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newer_workspace_for_STS4_200206\ElectricWireEditor\src\wiretype\"/>
    </mc:Choice>
  </mc:AlternateContent>
  <workbookProtection lockStructure="1"/>
  <bookViews>
    <workbookView xWindow="0" yWindow="0" windowWidth="12036" windowHeight="5940" activeTab="5"/>
  </bookViews>
  <sheets>
    <sheet name="Adatok" sheetId="1" r:id="rId1"/>
    <sheet name="Szerelési táblázat" sheetId="2" r:id="rId2"/>
    <sheet name="Számítás" sheetId="3" r:id="rId3"/>
    <sheet name="Ívhossz" sheetId="4" r:id="rId4"/>
    <sheet name="Láncgörbék" sheetId="7" r:id="rId5"/>
    <sheet name="Sodronyok" sheetId="6" r:id="rId6"/>
  </sheets>
  <externalReferences>
    <externalReference r:id="rId7"/>
  </externalReferences>
  <definedNames>
    <definedName name="_xlnm._FilterDatabase" localSheetId="0" hidden="1">Adatok!$A$1:$S$58</definedName>
    <definedName name="Csatl_pontok">#REF!</definedName>
    <definedName name="Köteg">#REF!</definedName>
    <definedName name="névleges">'[1]Csomóponti terhek'!$B$15</definedName>
    <definedName name="S_Típus">#REF!</definedName>
    <definedName name="Sodronyok">Sodronyok!$A$3:$A$32</definedName>
    <definedName name="Típus">#REF!</definedName>
  </definedNames>
  <calcPr calcId="152511"/>
</workbook>
</file>

<file path=xl/calcChain.xml><?xml version="1.0" encoding="utf-8"?>
<calcChain xmlns="http://schemas.openxmlformats.org/spreadsheetml/2006/main">
  <c r="S19" i="1" l="1"/>
  <c r="F4" i="6" l="1"/>
  <c r="F5" i="6"/>
  <c r="F3" i="6"/>
  <c r="E4" i="6"/>
  <c r="E5" i="6"/>
  <c r="E3" i="6"/>
  <c r="F6" i="6"/>
  <c r="E6" i="6"/>
  <c r="E35" i="6" l="1"/>
  <c r="F35" i="6"/>
  <c r="E40" i="6" l="1"/>
  <c r="F40" i="6"/>
  <c r="BO3" i="7" l="1"/>
  <c r="BO2" i="7"/>
  <c r="BM3" i="7"/>
  <c r="BM2" i="7"/>
  <c r="BM9" i="7" s="1"/>
  <c r="BK3" i="7"/>
  <c r="BK2" i="7"/>
  <c r="BK9" i="7" s="1"/>
  <c r="BI3" i="7"/>
  <c r="BI2" i="7"/>
  <c r="BG3" i="7"/>
  <c r="BG2" i="7"/>
  <c r="BE3" i="7"/>
  <c r="BE2" i="7"/>
  <c r="BC3" i="7"/>
  <c r="BC2" i="7"/>
  <c r="BA3" i="7"/>
  <c r="BA2" i="7"/>
  <c r="BA9" i="7" s="1"/>
  <c r="AY3" i="7"/>
  <c r="AY2" i="7"/>
  <c r="AW3" i="7"/>
  <c r="AW2" i="7"/>
  <c r="AW9" i="7" s="1"/>
  <c r="AU3" i="7"/>
  <c r="AU2" i="7"/>
  <c r="AM3" i="7"/>
  <c r="AQ3" i="7"/>
  <c r="AS3" i="7"/>
  <c r="AS2" i="7"/>
  <c r="AQ2" i="7"/>
  <c r="AO3" i="7"/>
  <c r="AO2" i="7"/>
  <c r="AO9" i="7" s="1"/>
  <c r="AM2" i="7"/>
  <c r="AK3" i="7"/>
  <c r="AK2" i="7"/>
  <c r="AI2" i="7"/>
  <c r="AI9" i="7" s="1"/>
  <c r="AG2" i="7"/>
  <c r="AI3" i="7"/>
  <c r="BO9" i="7" l="1"/>
  <c r="BI9" i="7"/>
  <c r="BG9" i="7"/>
  <c r="BE9" i="7"/>
  <c r="BC9" i="7"/>
  <c r="AY9" i="7"/>
  <c r="AU9" i="7"/>
  <c r="AS9" i="7"/>
  <c r="AQ9" i="7"/>
  <c r="AM9" i="7"/>
  <c r="AK9" i="7"/>
  <c r="E39" i="6" l="1"/>
  <c r="F39" i="6"/>
  <c r="E23" i="6" l="1"/>
  <c r="F23" i="6"/>
  <c r="F10" i="2" l="1"/>
  <c r="E41" i="6" l="1"/>
  <c r="F41" i="6"/>
  <c r="E37" i="6"/>
  <c r="F37" i="6"/>
  <c r="G18" i="6"/>
  <c r="F18" i="6"/>
  <c r="E18" i="6"/>
  <c r="E36" i="6"/>
  <c r="F36" i="6"/>
  <c r="AG3" i="7"/>
  <c r="AE3" i="7"/>
  <c r="AC3" i="7"/>
  <c r="AA3" i="7"/>
  <c r="Y3" i="7"/>
  <c r="W3" i="7"/>
  <c r="U3" i="7"/>
  <c r="S3" i="7"/>
  <c r="Q3" i="7"/>
  <c r="O3" i="7"/>
  <c r="M3" i="7"/>
  <c r="K3" i="7"/>
  <c r="I3" i="7"/>
  <c r="G3" i="7"/>
  <c r="I2" i="7"/>
  <c r="AE2" i="7"/>
  <c r="AC2" i="7"/>
  <c r="AA2" i="7"/>
  <c r="Y2" i="7"/>
  <c r="Y9" i="7" s="1"/>
  <c r="W2" i="7"/>
  <c r="U2" i="7"/>
  <c r="S2" i="7"/>
  <c r="Q2" i="7"/>
  <c r="Q9" i="7" s="1"/>
  <c r="O2" i="7"/>
  <c r="O9" i="7" s="1"/>
  <c r="M2" i="7"/>
  <c r="M9" i="7" s="1"/>
  <c r="K2" i="7"/>
  <c r="E3" i="7"/>
  <c r="E13" i="7" s="1"/>
  <c r="G11" i="7" s="1"/>
  <c r="G2" i="7"/>
  <c r="G9" i="7" s="1"/>
  <c r="E2" i="7"/>
  <c r="E12" i="7" s="1"/>
  <c r="G10" i="7" s="1"/>
  <c r="F19" i="1"/>
  <c r="E46" i="6"/>
  <c r="F46" i="6"/>
  <c r="E45" i="6"/>
  <c r="F45" i="6"/>
  <c r="E44" i="6"/>
  <c r="F44" i="6"/>
  <c r="E43" i="6"/>
  <c r="F43" i="6"/>
  <c r="C11" i="1"/>
  <c r="C10" i="1"/>
  <c r="C9" i="1"/>
  <c r="C8" i="1"/>
  <c r="C7" i="1"/>
  <c r="E42" i="6"/>
  <c r="F42" i="6"/>
  <c r="E34" i="6"/>
  <c r="F34" i="6"/>
  <c r="E38" i="6"/>
  <c r="F38" i="6"/>
  <c r="E33" i="6"/>
  <c r="F33" i="6"/>
  <c r="E13" i="6"/>
  <c r="F13" i="6"/>
  <c r="E30" i="6"/>
  <c r="F30" i="6"/>
  <c r="E29" i="6"/>
  <c r="F29" i="6"/>
  <c r="E28" i="6"/>
  <c r="F28" i="6"/>
  <c r="F9" i="6"/>
  <c r="E9" i="6"/>
  <c r="F48" i="6"/>
  <c r="F47" i="6"/>
  <c r="E47" i="6"/>
  <c r="F32" i="6"/>
  <c r="E32" i="6"/>
  <c r="F31" i="6"/>
  <c r="E31" i="6"/>
  <c r="F27" i="6"/>
  <c r="E27" i="6"/>
  <c r="F26" i="6"/>
  <c r="E26" i="6"/>
  <c r="F25" i="6"/>
  <c r="E25" i="6"/>
  <c r="F24" i="6"/>
  <c r="E24" i="6"/>
  <c r="F22" i="6"/>
  <c r="E22" i="6"/>
  <c r="F21" i="6"/>
  <c r="E21" i="6"/>
  <c r="F20" i="6"/>
  <c r="E20" i="6"/>
  <c r="F19" i="6"/>
  <c r="E19" i="6"/>
  <c r="F17" i="6"/>
  <c r="E17" i="6"/>
  <c r="F16" i="6"/>
  <c r="E16" i="6"/>
  <c r="F15" i="6"/>
  <c r="E15" i="6"/>
  <c r="F14" i="6"/>
  <c r="E14" i="6"/>
  <c r="F12" i="6"/>
  <c r="E12" i="6"/>
  <c r="F11" i="6"/>
  <c r="E11" i="6"/>
  <c r="F10" i="6"/>
  <c r="E10" i="6"/>
  <c r="F8" i="6"/>
  <c r="E8" i="6"/>
  <c r="F7" i="6"/>
  <c r="E7" i="6"/>
  <c r="H10" i="2"/>
  <c r="R51" i="1"/>
  <c r="R52" i="1"/>
  <c r="R53" i="1"/>
  <c r="R54" i="1"/>
  <c r="R55" i="1"/>
  <c r="R56" i="1"/>
  <c r="R57" i="1"/>
  <c r="R58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19" i="1"/>
  <c r="J33" i="1"/>
  <c r="J34" i="1"/>
  <c r="H35" i="2" s="1"/>
  <c r="J35" i="1"/>
  <c r="O35" i="1" s="1"/>
  <c r="Q35" i="1" s="1"/>
  <c r="J36" i="1"/>
  <c r="J37" i="1"/>
  <c r="J38" i="1"/>
  <c r="M38" i="1" s="1"/>
  <c r="P38" i="1" s="1"/>
  <c r="J39" i="1"/>
  <c r="J40" i="1"/>
  <c r="H41" i="2" s="1"/>
  <c r="J41" i="1"/>
  <c r="J42" i="1"/>
  <c r="O42" i="1" s="1"/>
  <c r="Q42" i="1" s="1"/>
  <c r="J43" i="1"/>
  <c r="O43" i="1" s="1"/>
  <c r="Q43" i="1" s="1"/>
  <c r="J44" i="1"/>
  <c r="O44" i="1" s="1"/>
  <c r="Q44" i="1" s="1"/>
  <c r="J45" i="1"/>
  <c r="J46" i="1"/>
  <c r="H47" i="2" s="1"/>
  <c r="J47" i="1"/>
  <c r="H48" i="2" s="1"/>
  <c r="J48" i="1"/>
  <c r="H49" i="2" s="1"/>
  <c r="J49" i="1"/>
  <c r="J50" i="1"/>
  <c r="O50" i="1" s="1"/>
  <c r="Q50" i="1" s="1"/>
  <c r="J51" i="1"/>
  <c r="M51" i="1" s="1"/>
  <c r="P51" i="1" s="1"/>
  <c r="J52" i="1"/>
  <c r="O52" i="1" s="1"/>
  <c r="Q52" i="1" s="1"/>
  <c r="J53" i="1"/>
  <c r="J54" i="1"/>
  <c r="M54" i="1" s="1"/>
  <c r="P54" i="1" s="1"/>
  <c r="J55" i="1"/>
  <c r="J56" i="1"/>
  <c r="H57" i="2" s="1"/>
  <c r="J57" i="1"/>
  <c r="J58" i="1"/>
  <c r="S58" i="1" s="1"/>
  <c r="J21" i="1"/>
  <c r="H22" i="2" s="1"/>
  <c r="J22" i="1"/>
  <c r="H23" i="2" s="1"/>
  <c r="J23" i="1"/>
  <c r="J24" i="1"/>
  <c r="M24" i="1" s="1"/>
  <c r="J25" i="1"/>
  <c r="M25" i="1" s="1"/>
  <c r="P25" i="1" s="1"/>
  <c r="J26" i="1"/>
  <c r="J27" i="1"/>
  <c r="H28" i="2" s="1"/>
  <c r="J28" i="1"/>
  <c r="J29" i="1"/>
  <c r="M29" i="1" s="1"/>
  <c r="J30" i="1"/>
  <c r="J31" i="1"/>
  <c r="J32" i="1"/>
  <c r="H33" i="2" s="1"/>
  <c r="J20" i="1"/>
  <c r="O20" i="1" s="1"/>
  <c r="Q20" i="1" s="1"/>
  <c r="J19" i="1"/>
  <c r="M19" i="1" s="1"/>
  <c r="P19" i="1" s="1"/>
  <c r="S54" i="1"/>
  <c r="H45" i="2"/>
  <c r="H56" i="2"/>
  <c r="M47" i="1"/>
  <c r="P47" i="1" s="1"/>
  <c r="H7" i="4"/>
  <c r="F4" i="4"/>
  <c r="F5" i="4"/>
  <c r="F7" i="4"/>
  <c r="F47" i="2"/>
  <c r="F39" i="4" s="1"/>
  <c r="F48" i="2"/>
  <c r="F49" i="2"/>
  <c r="F41" i="4" s="1"/>
  <c r="F50" i="2"/>
  <c r="F42" i="4" s="1"/>
  <c r="F51" i="2"/>
  <c r="F43" i="4" s="1"/>
  <c r="F52" i="2"/>
  <c r="F53" i="2"/>
  <c r="F45" i="4" s="1"/>
  <c r="F54" i="2"/>
  <c r="F46" i="4" s="1"/>
  <c r="F55" i="2"/>
  <c r="F47" i="4" s="1"/>
  <c r="F56" i="2"/>
  <c r="F57" i="2"/>
  <c r="F49" i="4" s="1"/>
  <c r="F58" i="2"/>
  <c r="F50" i="4" s="1"/>
  <c r="F59" i="2"/>
  <c r="O58" i="3" s="1"/>
  <c r="F21" i="2"/>
  <c r="F22" i="2"/>
  <c r="F14" i="4" s="1"/>
  <c r="F23" i="2"/>
  <c r="F15" i="4" s="1"/>
  <c r="F24" i="2"/>
  <c r="F16" i="4" s="1"/>
  <c r="F25" i="2"/>
  <c r="F26" i="2"/>
  <c r="F18" i="4" s="1"/>
  <c r="F27" i="2"/>
  <c r="F19" i="4" s="1"/>
  <c r="F28" i="2"/>
  <c r="F20" i="4" s="1"/>
  <c r="F29" i="2"/>
  <c r="F30" i="2"/>
  <c r="F22" i="4" s="1"/>
  <c r="F31" i="2"/>
  <c r="F23" i="4" s="1"/>
  <c r="F32" i="2"/>
  <c r="F24" i="4" s="1"/>
  <c r="F33" i="2"/>
  <c r="F34" i="2"/>
  <c r="F26" i="4" s="1"/>
  <c r="F35" i="2"/>
  <c r="F27" i="4" s="1"/>
  <c r="F36" i="2"/>
  <c r="F28" i="4" s="1"/>
  <c r="F37" i="2"/>
  <c r="F38" i="2"/>
  <c r="F30" i="4" s="1"/>
  <c r="F39" i="2"/>
  <c r="F31" i="4" s="1"/>
  <c r="F40" i="2"/>
  <c r="F32" i="4" s="1"/>
  <c r="F41" i="2"/>
  <c r="F42" i="2"/>
  <c r="F34" i="4" s="1"/>
  <c r="F43" i="2"/>
  <c r="F35" i="4" s="1"/>
  <c r="F44" i="2"/>
  <c r="F36" i="4" s="1"/>
  <c r="F45" i="2"/>
  <c r="F46" i="2"/>
  <c r="F38" i="4" s="1"/>
  <c r="F20" i="2"/>
  <c r="F12" i="4" s="1"/>
  <c r="F4" i="2"/>
  <c r="F3" i="2"/>
  <c r="F8" i="2"/>
  <c r="F7" i="2"/>
  <c r="I19" i="2"/>
  <c r="BA56" i="2" s="1"/>
  <c r="F5" i="2"/>
  <c r="C15" i="3"/>
  <c r="C14" i="3"/>
  <c r="C13" i="3"/>
  <c r="T56" i="3" s="1"/>
  <c r="B19" i="3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19" i="1"/>
  <c r="H31" i="1"/>
  <c r="E32" i="2" s="1"/>
  <c r="E24" i="4" s="1"/>
  <c r="C18" i="1"/>
  <c r="F11" i="2" s="1"/>
  <c r="H58" i="1"/>
  <c r="E59" i="2" s="1"/>
  <c r="E51" i="4" s="1"/>
  <c r="H32" i="1"/>
  <c r="H33" i="1"/>
  <c r="N33" i="3" s="1"/>
  <c r="H34" i="1"/>
  <c r="N34" i="3" s="1"/>
  <c r="H35" i="1"/>
  <c r="E36" i="2" s="1"/>
  <c r="E28" i="4" s="1"/>
  <c r="H36" i="1"/>
  <c r="H37" i="1"/>
  <c r="E38" i="2" s="1"/>
  <c r="E30" i="4" s="1"/>
  <c r="H38" i="1"/>
  <c r="N38" i="3" s="1"/>
  <c r="H39" i="1"/>
  <c r="F40" i="1" s="1"/>
  <c r="C1051" i="7" s="1"/>
  <c r="H40" i="1"/>
  <c r="H41" i="1"/>
  <c r="N41" i="3" s="1"/>
  <c r="H42" i="1"/>
  <c r="N42" i="3" s="1"/>
  <c r="H43" i="1"/>
  <c r="E44" i="2" s="1"/>
  <c r="E36" i="4" s="1"/>
  <c r="H44" i="1"/>
  <c r="H45" i="1"/>
  <c r="E46" i="2" s="1"/>
  <c r="E38" i="4" s="1"/>
  <c r="H46" i="1"/>
  <c r="E47" i="2" s="1"/>
  <c r="E39" i="4" s="1"/>
  <c r="H47" i="1"/>
  <c r="E48" i="2" s="1"/>
  <c r="E40" i="4" s="1"/>
  <c r="H48" i="1"/>
  <c r="N48" i="3" s="1"/>
  <c r="H49" i="1"/>
  <c r="N49" i="3" s="1"/>
  <c r="H50" i="1"/>
  <c r="N50" i="3" s="1"/>
  <c r="H51" i="1"/>
  <c r="E52" i="2" s="1"/>
  <c r="E44" i="4" s="1"/>
  <c r="H52" i="1"/>
  <c r="H53" i="1"/>
  <c r="E54" i="2" s="1"/>
  <c r="E46" i="4" s="1"/>
  <c r="H54" i="1"/>
  <c r="N54" i="3" s="1"/>
  <c r="H55" i="1"/>
  <c r="N55" i="3" s="1"/>
  <c r="H56" i="1"/>
  <c r="E57" i="2" s="1"/>
  <c r="E49" i="4" s="1"/>
  <c r="H57" i="1"/>
  <c r="N57" i="3" s="1"/>
  <c r="H21" i="1"/>
  <c r="N21" i="3" s="1"/>
  <c r="H22" i="1"/>
  <c r="E23" i="2" s="1"/>
  <c r="E15" i="4" s="1"/>
  <c r="H23" i="1"/>
  <c r="N23" i="3" s="1"/>
  <c r="H24" i="1"/>
  <c r="N24" i="3" s="1"/>
  <c r="H25" i="1"/>
  <c r="E26" i="2" s="1"/>
  <c r="E18" i="4" s="1"/>
  <c r="H26" i="1"/>
  <c r="F27" i="1" s="1"/>
  <c r="H27" i="1"/>
  <c r="N27" i="3" s="1"/>
  <c r="H28" i="1"/>
  <c r="N28" i="3" s="1"/>
  <c r="H29" i="1"/>
  <c r="N29" i="3" s="1"/>
  <c r="H30" i="1"/>
  <c r="E31" i="2" s="1"/>
  <c r="E23" i="4" s="1"/>
  <c r="H20" i="1"/>
  <c r="E21" i="2" s="1"/>
  <c r="E13" i="4" s="1"/>
  <c r="F54" i="1"/>
  <c r="C55" i="2" s="1"/>
  <c r="C47" i="4" s="1"/>
  <c r="F55" i="1"/>
  <c r="C56" i="2" s="1"/>
  <c r="C48" i="4" s="1"/>
  <c r="F42" i="1"/>
  <c r="C1151" i="7" s="1"/>
  <c r="B37" i="3"/>
  <c r="E42" i="3"/>
  <c r="BA21" i="2"/>
  <c r="E41" i="3"/>
  <c r="X59" i="2"/>
  <c r="AB23" i="2"/>
  <c r="X25" i="2"/>
  <c r="Z32" i="2"/>
  <c r="AQ21" i="2"/>
  <c r="AN24" i="2"/>
  <c r="AU53" i="2"/>
  <c r="AU32" i="2"/>
  <c r="AG37" i="2"/>
  <c r="AA37" i="2"/>
  <c r="AA35" i="2"/>
  <c r="AE28" i="2"/>
  <c r="AF26" i="2"/>
  <c r="AC56" i="2"/>
  <c r="AC54" i="2"/>
  <c r="AC37" i="2"/>
  <c r="V54" i="3"/>
  <c r="H52" i="3"/>
  <c r="AQ20" i="2"/>
  <c r="U58" i="3"/>
  <c r="G58" i="3"/>
  <c r="AD20" i="2"/>
  <c r="AD15" i="2"/>
  <c r="Y38" i="2"/>
  <c r="AT53" i="2"/>
  <c r="AT41" i="2"/>
  <c r="AT39" i="2"/>
  <c r="AW38" i="2"/>
  <c r="AS57" i="2"/>
  <c r="AS44" i="2"/>
  <c r="AS36" i="2"/>
  <c r="AV43" i="2"/>
  <c r="AK59" i="2"/>
  <c r="AK39" i="2"/>
  <c r="AK42" i="2"/>
  <c r="AO44" i="2"/>
  <c r="AO21" i="2"/>
  <c r="AJ44" i="2"/>
  <c r="AJ43" i="2"/>
  <c r="AR43" i="2"/>
  <c r="AR30" i="2"/>
  <c r="AH26" i="2"/>
  <c r="AH44" i="2"/>
  <c r="AP50" i="2"/>
  <c r="AP51" i="2"/>
  <c r="AP40" i="2"/>
  <c r="AP38" i="2"/>
  <c r="AP25" i="2"/>
  <c r="AL55" i="2"/>
  <c r="AL52" i="2"/>
  <c r="AL50" i="2"/>
  <c r="AL45" i="2"/>
  <c r="AL28" i="2"/>
  <c r="AM51" i="2"/>
  <c r="AM49" i="2"/>
  <c r="AM42" i="2"/>
  <c r="AM28" i="2"/>
  <c r="AM26" i="2"/>
  <c r="AM24" i="2"/>
  <c r="AP20" i="2"/>
  <c r="AV16" i="2"/>
  <c r="AO20" i="2"/>
  <c r="AJ16" i="2"/>
  <c r="AJ19" i="2" l="1"/>
  <c r="AV15" i="2"/>
  <c r="AM30" i="2"/>
  <c r="AL30" i="2"/>
  <c r="AL57" i="2"/>
  <c r="AP53" i="2"/>
  <c r="AR32" i="2"/>
  <c r="AO22" i="2"/>
  <c r="AV25" i="2"/>
  <c r="AW23" i="2"/>
  <c r="AT58" i="2"/>
  <c r="AF44" i="2"/>
  <c r="AG26" i="2"/>
  <c r="AN53" i="2"/>
  <c r="X53" i="2"/>
  <c r="AP16" i="2"/>
  <c r="AM44" i="2"/>
  <c r="AL27" i="2"/>
  <c r="AP28" i="2"/>
  <c r="AP54" i="2"/>
  <c r="AR44" i="2"/>
  <c r="AO39" i="2"/>
  <c r="AV38" i="2"/>
  <c r="AW39" i="2"/>
  <c r="Y42" i="2"/>
  <c r="AD38" i="2"/>
  <c r="AI28" i="2"/>
  <c r="AQ54" i="2"/>
  <c r="AL41" i="2"/>
  <c r="AJ23" i="2"/>
  <c r="X15" i="2"/>
  <c r="AD25" i="2"/>
  <c r="AI30" i="2"/>
  <c r="AB32" i="2"/>
  <c r="AR16" i="2"/>
  <c r="AM52" i="2"/>
  <c r="AP29" i="2"/>
  <c r="AH36" i="2"/>
  <c r="AO49" i="2"/>
  <c r="AS23" i="2"/>
  <c r="AW47" i="2"/>
  <c r="AH16" i="2"/>
  <c r="AM54" i="2"/>
  <c r="AL43" i="2"/>
  <c r="AP31" i="2"/>
  <c r="AH27" i="2"/>
  <c r="AJ28" i="2"/>
  <c r="AK22" i="2"/>
  <c r="AS22" i="2"/>
  <c r="AW49" i="2"/>
  <c r="X16" i="2"/>
  <c r="AC35" i="2"/>
  <c r="AE25" i="2"/>
  <c r="AU33" i="2"/>
  <c r="AB50" i="2"/>
  <c r="AX20" i="2"/>
  <c r="AO15" i="2"/>
  <c r="AS16" i="2"/>
  <c r="AP15" i="2"/>
  <c r="AH15" i="2"/>
  <c r="AM25" i="2"/>
  <c r="AM32" i="2"/>
  <c r="AM39" i="2"/>
  <c r="AM56" i="2"/>
  <c r="AM53" i="2"/>
  <c r="AL32" i="2"/>
  <c r="AL29" i="2"/>
  <c r="AL38" i="2"/>
  <c r="AL54" i="2"/>
  <c r="AL59" i="2"/>
  <c r="AP30" i="2"/>
  <c r="AP33" i="2"/>
  <c r="AP42" i="2"/>
  <c r="AP55" i="2"/>
  <c r="AP56" i="2"/>
  <c r="AH29" i="2"/>
  <c r="AH51" i="2"/>
  <c r="AR36" i="2"/>
  <c r="AR49" i="2"/>
  <c r="AJ30" i="2"/>
  <c r="AJ54" i="2"/>
  <c r="AO29" i="2"/>
  <c r="AO43" i="2"/>
  <c r="AK25" i="2"/>
  <c r="AK41" i="2"/>
  <c r="AV28" i="2"/>
  <c r="AV26" i="2"/>
  <c r="AS24" i="2"/>
  <c r="AS45" i="2"/>
  <c r="AW21" i="2"/>
  <c r="AW41" i="2"/>
  <c r="AT22" i="2"/>
  <c r="AT38" i="2"/>
  <c r="Y20" i="2"/>
  <c r="Y44" i="2"/>
  <c r="AE21" i="2"/>
  <c r="AD16" i="2"/>
  <c r="AC34" i="2"/>
  <c r="AC15" i="2"/>
  <c r="AF48" i="2"/>
  <c r="AD33" i="2"/>
  <c r="AE44" i="2"/>
  <c r="AA30" i="2"/>
  <c r="AG28" i="2"/>
  <c r="AI34" i="2"/>
  <c r="AU36" i="2"/>
  <c r="AN37" i="2"/>
  <c r="AQ24" i="2"/>
  <c r="AB38" i="2"/>
  <c r="Z33" i="2"/>
  <c r="X26" i="2"/>
  <c r="AI22" i="2"/>
  <c r="AX30" i="2"/>
  <c r="AO16" i="2"/>
  <c r="AS20" i="2"/>
  <c r="AW15" i="2"/>
  <c r="AH20" i="2"/>
  <c r="AM27" i="2"/>
  <c r="AM34" i="2"/>
  <c r="AM41" i="2"/>
  <c r="AM58" i="2"/>
  <c r="AM55" i="2"/>
  <c r="AL34" i="2"/>
  <c r="AL31" i="2"/>
  <c r="AL40" i="2"/>
  <c r="AL56" i="2"/>
  <c r="AL58" i="2"/>
  <c r="AP32" i="2"/>
  <c r="AP35" i="2"/>
  <c r="AP44" i="2"/>
  <c r="AP57" i="2"/>
  <c r="AH21" i="2"/>
  <c r="AH35" i="2"/>
  <c r="AH59" i="2"/>
  <c r="AR24" i="2"/>
  <c r="AR51" i="2"/>
  <c r="AJ24" i="2"/>
  <c r="AJ47" i="2"/>
  <c r="AO37" i="2"/>
  <c r="AO53" i="2"/>
  <c r="AK27" i="2"/>
  <c r="AK47" i="2"/>
  <c r="AV32" i="2"/>
  <c r="AV50" i="2"/>
  <c r="AS26" i="2"/>
  <c r="AS47" i="2"/>
  <c r="AW29" i="2"/>
  <c r="AW53" i="2"/>
  <c r="AT34" i="2"/>
  <c r="AT40" i="2"/>
  <c r="Y22" i="2"/>
  <c r="Y45" i="2"/>
  <c r="AE22" i="2"/>
  <c r="AF21" i="2"/>
  <c r="AM15" i="2"/>
  <c r="AC44" i="2"/>
  <c r="AF32" i="2"/>
  <c r="AF56" i="2"/>
  <c r="AD42" i="2"/>
  <c r="AE50" i="2"/>
  <c r="AA39" i="2"/>
  <c r="AG36" i="2"/>
  <c r="AI36" i="2"/>
  <c r="AU38" i="2"/>
  <c r="AN39" i="2"/>
  <c r="AQ34" i="2"/>
  <c r="AB27" i="2"/>
  <c r="Z35" i="2"/>
  <c r="AB21" i="2"/>
  <c r="AB22" i="2"/>
  <c r="AY24" i="2"/>
  <c r="AZ34" i="2"/>
  <c r="AK16" i="2"/>
  <c r="AS15" i="2"/>
  <c r="AW20" i="2"/>
  <c r="AL16" i="2"/>
  <c r="AM29" i="2"/>
  <c r="AM36" i="2"/>
  <c r="AM43" i="2"/>
  <c r="AM57" i="2"/>
  <c r="AM16" i="2"/>
  <c r="AL36" i="2"/>
  <c r="AL33" i="2"/>
  <c r="AL42" i="2"/>
  <c r="AL47" i="2"/>
  <c r="AL20" i="2"/>
  <c r="AP34" i="2"/>
  <c r="AP37" i="2"/>
  <c r="AP26" i="2"/>
  <c r="AP59" i="2"/>
  <c r="AH23" i="2"/>
  <c r="AH37" i="2"/>
  <c r="AH58" i="2"/>
  <c r="AR27" i="2"/>
  <c r="AR55" i="2"/>
  <c r="AJ27" i="2"/>
  <c r="AJ49" i="2"/>
  <c r="AO24" i="2"/>
  <c r="AO52" i="2"/>
  <c r="AK31" i="2"/>
  <c r="AK55" i="2"/>
  <c r="AV34" i="2"/>
  <c r="AV52" i="2"/>
  <c r="AS31" i="2"/>
  <c r="AS51" i="2"/>
  <c r="AW24" i="2"/>
  <c r="AW55" i="2"/>
  <c r="AT36" i="2"/>
  <c r="AT48" i="2"/>
  <c r="Y25" i="2"/>
  <c r="Y52" i="2"/>
  <c r="Z15" i="2"/>
  <c r="AF20" i="2"/>
  <c r="AL15" i="2"/>
  <c r="AC43" i="2"/>
  <c r="AF34" i="2"/>
  <c r="AF47" i="2"/>
  <c r="AD44" i="2"/>
  <c r="AE52" i="2"/>
  <c r="AA55" i="2"/>
  <c r="AG44" i="2"/>
  <c r="AI43" i="2"/>
  <c r="AU46" i="2"/>
  <c r="AN26" i="2"/>
  <c r="AQ43" i="2"/>
  <c r="AB31" i="2"/>
  <c r="Z39" i="2"/>
  <c r="X31" i="2"/>
  <c r="AZ25" i="2"/>
  <c r="BA35" i="2"/>
  <c r="AK20" i="2"/>
  <c r="AT15" i="2"/>
  <c r="AW16" i="2"/>
  <c r="AM22" i="2"/>
  <c r="AM31" i="2"/>
  <c r="AM37" i="2"/>
  <c r="AM46" i="2"/>
  <c r="AM59" i="2"/>
  <c r="AL21" i="2"/>
  <c r="AL24" i="2"/>
  <c r="AL35" i="2"/>
  <c r="AL44" i="2"/>
  <c r="AL49" i="2"/>
  <c r="AP23" i="2"/>
  <c r="AP36" i="2"/>
  <c r="AP39" i="2"/>
  <c r="AP45" i="2"/>
  <c r="AP58" i="2"/>
  <c r="AH25" i="2"/>
  <c r="AH43" i="2"/>
  <c r="AH48" i="2"/>
  <c r="AR35" i="2"/>
  <c r="AR57" i="2"/>
  <c r="AJ29" i="2"/>
  <c r="AJ57" i="2"/>
  <c r="AO46" i="2"/>
  <c r="AO57" i="2"/>
  <c r="AK33" i="2"/>
  <c r="AK48" i="2"/>
  <c r="AV29" i="2"/>
  <c r="AV56" i="2"/>
  <c r="AS28" i="2"/>
  <c r="AS53" i="2"/>
  <c r="AW26" i="2"/>
  <c r="AW52" i="2"/>
  <c r="AT25" i="2"/>
  <c r="AT56" i="2"/>
  <c r="Y26" i="2"/>
  <c r="Y47" i="2"/>
  <c r="Z23" i="2"/>
  <c r="AC24" i="2"/>
  <c r="AC49" i="2"/>
  <c r="AF27" i="2"/>
  <c r="AF51" i="2"/>
  <c r="AD48" i="2"/>
  <c r="AE56" i="2"/>
  <c r="AA50" i="2"/>
  <c r="AG52" i="2"/>
  <c r="AI48" i="2"/>
  <c r="AU58" i="2"/>
  <c r="AN56" i="2"/>
  <c r="AQ51" i="2"/>
  <c r="AB42" i="2"/>
  <c r="Z41" i="2"/>
  <c r="X57" i="2"/>
  <c r="BA25" i="2"/>
  <c r="B53" i="3"/>
  <c r="AY39" i="2"/>
  <c r="AJ15" i="2"/>
  <c r="AK15" i="2"/>
  <c r="AT16" i="2"/>
  <c r="AM20" i="2"/>
  <c r="AM21" i="2"/>
  <c r="AM33" i="2"/>
  <c r="AM38" i="2"/>
  <c r="AM48" i="2"/>
  <c r="AM45" i="2"/>
  <c r="AL22" i="2"/>
  <c r="AL25" i="2"/>
  <c r="AL37" i="2"/>
  <c r="AL46" i="2"/>
  <c r="AL51" i="2"/>
  <c r="AP22" i="2"/>
  <c r="AP24" i="2"/>
  <c r="AP41" i="2"/>
  <c r="AP47" i="2"/>
  <c r="AP46" i="2"/>
  <c r="AH32" i="2"/>
  <c r="AH38" i="2"/>
  <c r="AH50" i="2"/>
  <c r="AR37" i="2"/>
  <c r="AR48" i="2"/>
  <c r="AJ33" i="2"/>
  <c r="AJ48" i="2"/>
  <c r="AO28" i="2"/>
  <c r="AO59" i="2"/>
  <c r="AK32" i="2"/>
  <c r="AK52" i="2"/>
  <c r="AV37" i="2"/>
  <c r="AV47" i="2"/>
  <c r="AS30" i="2"/>
  <c r="AS50" i="2"/>
  <c r="AW28" i="2"/>
  <c r="AW57" i="2"/>
  <c r="AT26" i="2"/>
  <c r="AT47" i="2"/>
  <c r="Y33" i="2"/>
  <c r="Y54" i="2"/>
  <c r="AG21" i="2"/>
  <c r="AC29" i="2"/>
  <c r="AC48" i="2"/>
  <c r="AF43" i="2"/>
  <c r="AF53" i="2"/>
  <c r="AD56" i="2"/>
  <c r="AE58" i="2"/>
  <c r="AA52" i="2"/>
  <c r="AG45" i="2"/>
  <c r="AI50" i="2"/>
  <c r="AU57" i="2"/>
  <c r="AN47" i="2"/>
  <c r="AQ48" i="2"/>
  <c r="AB55" i="2"/>
  <c r="Z47" i="2"/>
  <c r="X34" i="2"/>
  <c r="AY15" i="2"/>
  <c r="BA26" i="2"/>
  <c r="AZ49" i="2"/>
  <c r="AC19" i="2"/>
  <c r="AJ20" i="2"/>
  <c r="AV20" i="2"/>
  <c r="AT20" i="2"/>
  <c r="AR15" i="2"/>
  <c r="AM23" i="2"/>
  <c r="AM35" i="2"/>
  <c r="AM40" i="2"/>
  <c r="AM50" i="2"/>
  <c r="AM47" i="2"/>
  <c r="AL23" i="2"/>
  <c r="AL26" i="2"/>
  <c r="AL39" i="2"/>
  <c r="AL48" i="2"/>
  <c r="AL53" i="2"/>
  <c r="AP21" i="2"/>
  <c r="AP27" i="2"/>
  <c r="AP43" i="2"/>
  <c r="AP49" i="2"/>
  <c r="AP48" i="2"/>
  <c r="AH34" i="2"/>
  <c r="AH40" i="2"/>
  <c r="AR23" i="2"/>
  <c r="AR41" i="2"/>
  <c r="AJ21" i="2"/>
  <c r="AJ35" i="2"/>
  <c r="AJ50" i="2"/>
  <c r="AO36" i="2"/>
  <c r="AO47" i="2"/>
  <c r="AK40" i="2"/>
  <c r="AK54" i="2"/>
  <c r="AV39" i="2"/>
  <c r="AV55" i="2"/>
  <c r="AS34" i="2"/>
  <c r="AS58" i="2"/>
  <c r="AW30" i="2"/>
  <c r="AW59" i="2"/>
  <c r="AT31" i="2"/>
  <c r="AT51" i="2"/>
  <c r="Y37" i="2"/>
  <c r="Y58" i="2"/>
  <c r="AG15" i="2"/>
  <c r="AU16" i="2"/>
  <c r="AC31" i="2"/>
  <c r="AC50" i="2"/>
  <c r="AF40" i="2"/>
  <c r="AD34" i="2"/>
  <c r="AD53" i="2"/>
  <c r="AE53" i="2"/>
  <c r="AG25" i="2"/>
  <c r="AI31" i="2"/>
  <c r="AI59" i="2"/>
  <c r="AU45" i="2"/>
  <c r="AN51" i="2"/>
  <c r="AQ52" i="2"/>
  <c r="AB48" i="2"/>
  <c r="Z46" i="2"/>
  <c r="X45" i="2"/>
  <c r="AZ21" i="2"/>
  <c r="AF19" i="2"/>
  <c r="F43" i="1"/>
  <c r="C1201" i="7" s="1"/>
  <c r="O47" i="1"/>
  <c r="Q47" i="1" s="1"/>
  <c r="O48" i="1"/>
  <c r="Q48" i="1" s="1"/>
  <c r="M40" i="1"/>
  <c r="M48" i="1"/>
  <c r="P48" i="1" s="1"/>
  <c r="M52" i="1"/>
  <c r="P52" i="1" s="1"/>
  <c r="H36" i="2"/>
  <c r="F28" i="1"/>
  <c r="C29" i="2" s="1"/>
  <c r="C21" i="4" s="1"/>
  <c r="M50" i="1"/>
  <c r="P50" i="1" s="1"/>
  <c r="M42" i="1"/>
  <c r="P42" i="1" s="1"/>
  <c r="H55" i="2"/>
  <c r="M46" i="1"/>
  <c r="P46" i="1" s="1"/>
  <c r="H59" i="2"/>
  <c r="M58" i="1"/>
  <c r="P58" i="1" s="1"/>
  <c r="F49" i="1"/>
  <c r="C1501" i="7" s="1"/>
  <c r="O34" i="1"/>
  <c r="Q34" i="1" s="1"/>
  <c r="H43" i="2"/>
  <c r="O46" i="1"/>
  <c r="Q46" i="1" s="1"/>
  <c r="S55" i="1"/>
  <c r="C28" i="2"/>
  <c r="C20" i="4" s="1"/>
  <c r="C401" i="7"/>
  <c r="L19" i="3"/>
  <c r="C1" i="7"/>
  <c r="O58" i="1"/>
  <c r="Q58" i="1" s="1"/>
  <c r="M34" i="1"/>
  <c r="P34" i="1" s="1"/>
  <c r="O32" i="1"/>
  <c r="Q32" i="1" s="1"/>
  <c r="H37" i="2"/>
  <c r="F57" i="1"/>
  <c r="L57" i="3" s="1"/>
  <c r="M55" i="1"/>
  <c r="P55" i="1" s="1"/>
  <c r="O54" i="1"/>
  <c r="Q54" i="1" s="1"/>
  <c r="S56" i="1"/>
  <c r="F56" i="1"/>
  <c r="C57" i="2" s="1"/>
  <c r="C49" i="4" s="1"/>
  <c r="O56" i="1"/>
  <c r="Q56" i="1" s="1"/>
  <c r="H29" i="2"/>
  <c r="F38" i="1"/>
  <c r="F51" i="1"/>
  <c r="M28" i="1"/>
  <c r="M32" i="1"/>
  <c r="P32" i="1" s="1"/>
  <c r="O28" i="1"/>
  <c r="Q28" i="1" s="1"/>
  <c r="C41" i="2"/>
  <c r="C33" i="4" s="1"/>
  <c r="AU1" i="7"/>
  <c r="F34" i="1"/>
  <c r="L34" i="3" s="1"/>
  <c r="F48" i="1"/>
  <c r="C1451" i="7" s="1"/>
  <c r="O25" i="1"/>
  <c r="Q25" i="1" s="1"/>
  <c r="H40" i="2"/>
  <c r="M56" i="1"/>
  <c r="P56" i="1" s="1"/>
  <c r="H51" i="2"/>
  <c r="H26" i="2"/>
  <c r="F23" i="1"/>
  <c r="M1" i="7" s="1"/>
  <c r="F50" i="1"/>
  <c r="C1551" i="7" s="1"/>
  <c r="S52" i="1"/>
  <c r="F52" i="1"/>
  <c r="L52" i="3" s="1"/>
  <c r="O51" i="1"/>
  <c r="Q51" i="1" s="1"/>
  <c r="H53" i="2"/>
  <c r="F35" i="1"/>
  <c r="C801" i="7" s="1"/>
  <c r="O55" i="1"/>
  <c r="Q55" i="1" s="1"/>
  <c r="H52" i="2"/>
  <c r="S51" i="1"/>
  <c r="C43" i="2"/>
  <c r="C35" i="4" s="1"/>
  <c r="AY1" i="7"/>
  <c r="M39" i="1"/>
  <c r="P39" i="1" s="1"/>
  <c r="F46" i="1"/>
  <c r="C1351" i="7" s="1"/>
  <c r="F58" i="1"/>
  <c r="C59" i="2" s="1"/>
  <c r="C51" i="4" s="1"/>
  <c r="H30" i="2"/>
  <c r="M44" i="1"/>
  <c r="P44" i="1" s="1"/>
  <c r="F47" i="1"/>
  <c r="C1401" i="7" s="1"/>
  <c r="O39" i="1"/>
  <c r="Q39" i="1" s="1"/>
  <c r="O36" i="1"/>
  <c r="Q36" i="1" s="1"/>
  <c r="O40" i="1"/>
  <c r="Q40" i="1" s="1"/>
  <c r="P29" i="1"/>
  <c r="M36" i="1"/>
  <c r="P36" i="1" s="1"/>
  <c r="P40" i="1"/>
  <c r="H39" i="2"/>
  <c r="F25" i="1"/>
  <c r="Q1" i="7" s="1"/>
  <c r="M35" i="1"/>
  <c r="P35" i="1" s="1"/>
  <c r="H25" i="2"/>
  <c r="F31" i="1"/>
  <c r="AC1" i="7" s="1"/>
  <c r="H44" i="2"/>
  <c r="F39" i="1"/>
  <c r="C1001" i="7" s="1"/>
  <c r="M43" i="1"/>
  <c r="P43" i="1" s="1"/>
  <c r="O38" i="1"/>
  <c r="Q38" i="1" s="1"/>
  <c r="F44" i="1"/>
  <c r="C1251" i="7" s="1"/>
  <c r="F36" i="1"/>
  <c r="C851" i="7" s="1"/>
  <c r="F32" i="1"/>
  <c r="AE1" i="7" s="1"/>
  <c r="AZ55" i="2"/>
  <c r="AZ56" i="2"/>
  <c r="AX39" i="2"/>
  <c r="AM19" i="2"/>
  <c r="AZ29" i="2"/>
  <c r="BA16" i="2"/>
  <c r="AY20" i="2"/>
  <c r="AI16" i="2"/>
  <c r="X48" i="2"/>
  <c r="X33" i="2"/>
  <c r="AC21" i="2"/>
  <c r="Z49" i="2"/>
  <c r="Z34" i="2"/>
  <c r="AB47" i="2"/>
  <c r="AB34" i="2"/>
  <c r="AQ45" i="2"/>
  <c r="AQ25" i="2"/>
  <c r="AN45" i="2"/>
  <c r="AN32" i="2"/>
  <c r="AU37" i="2"/>
  <c r="AU27" i="2"/>
  <c r="AI45" i="2"/>
  <c r="AI33" i="2"/>
  <c r="AG53" i="2"/>
  <c r="AG27" i="2"/>
  <c r="AA41" i="2"/>
  <c r="AE55" i="2"/>
  <c r="AE39" i="2"/>
  <c r="AD58" i="2"/>
  <c r="AD35" i="2"/>
  <c r="AD28" i="2"/>
  <c r="AF50" i="2"/>
  <c r="AF37" i="2"/>
  <c r="AF25" i="2"/>
  <c r="AC51" i="2"/>
  <c r="AC36" i="2"/>
  <c r="AC26" i="2"/>
  <c r="AQ16" i="2"/>
  <c r="AD21" i="2"/>
  <c r="Z16" i="2"/>
  <c r="Y57" i="2"/>
  <c r="Y46" i="2"/>
  <c r="Y34" i="2"/>
  <c r="Y23" i="2"/>
  <c r="AT50" i="2"/>
  <c r="AT33" i="2"/>
  <c r="AT28" i="2"/>
  <c r="AW54" i="2"/>
  <c r="AW40" i="2"/>
  <c r="AW31" i="2"/>
  <c r="AS52" i="2"/>
  <c r="AS39" i="2"/>
  <c r="AS33" i="2"/>
  <c r="AV57" i="2"/>
  <c r="AV45" i="2"/>
  <c r="AV31" i="2"/>
  <c r="AV23" i="2"/>
  <c r="AK49" i="2"/>
  <c r="AK34" i="2"/>
  <c r="AK24" i="2"/>
  <c r="AO54" i="2"/>
  <c r="AO38" i="2"/>
  <c r="AO31" i="2"/>
  <c r="AJ59" i="2"/>
  <c r="AJ38" i="2"/>
  <c r="AJ25" i="2"/>
  <c r="AR50" i="2"/>
  <c r="AR54" i="2"/>
  <c r="AR29" i="2"/>
  <c r="AR22" i="2"/>
  <c r="AH53" i="2"/>
  <c r="AH39" i="2"/>
  <c r="AH28" i="2"/>
  <c r="AX50" i="2"/>
  <c r="AX35" i="2"/>
  <c r="U19" i="2"/>
  <c r="AX28" i="2"/>
  <c r="BA22" i="2"/>
  <c r="X44" i="2"/>
  <c r="X27" i="2"/>
  <c r="Z45" i="2"/>
  <c r="Z30" i="2"/>
  <c r="AB40" i="2"/>
  <c r="AB30" i="2"/>
  <c r="AQ42" i="2"/>
  <c r="AQ22" i="2"/>
  <c r="AN44" i="2"/>
  <c r="AN21" i="2"/>
  <c r="AU43" i="2"/>
  <c r="AU22" i="2"/>
  <c r="AI41" i="2"/>
  <c r="AI29" i="2"/>
  <c r="AG42" i="2"/>
  <c r="AA15" i="2"/>
  <c r="AA38" i="2"/>
  <c r="AE51" i="2"/>
  <c r="AE42" i="2"/>
  <c r="AD51" i="2"/>
  <c r="AD31" i="2"/>
  <c r="AF59" i="2"/>
  <c r="AF46" i="2"/>
  <c r="AF33" i="2"/>
  <c r="AC59" i="2"/>
  <c r="AC47" i="2"/>
  <c r="AC32" i="2"/>
  <c r="AC16" i="2"/>
  <c r="AN15" i="2"/>
  <c r="AF22" i="2"/>
  <c r="AG16" i="2"/>
  <c r="AE20" i="2"/>
  <c r="Y55" i="2"/>
  <c r="Y43" i="2"/>
  <c r="Y31" i="2"/>
  <c r="Y21" i="2"/>
  <c r="AT59" i="2"/>
  <c r="AT46" i="2"/>
  <c r="AT29" i="2"/>
  <c r="AT23" i="2"/>
  <c r="AW50" i="2"/>
  <c r="AW36" i="2"/>
  <c r="AW27" i="2"/>
  <c r="AS48" i="2"/>
  <c r="AS42" i="2"/>
  <c r="AS29" i="2"/>
  <c r="AV53" i="2"/>
  <c r="AV44" i="2"/>
  <c r="AV27" i="2"/>
  <c r="AK57" i="2"/>
  <c r="AK45" i="2"/>
  <c r="AK30" i="2"/>
  <c r="AK21" i="2"/>
  <c r="AO50" i="2"/>
  <c r="AO34" i="2"/>
  <c r="AO27" i="2"/>
  <c r="AJ55" i="2"/>
  <c r="AJ41" i="2"/>
  <c r="AJ36" i="2"/>
  <c r="AR46" i="2"/>
  <c r="AR42" i="2"/>
  <c r="AR45" i="2"/>
  <c r="AH56" i="2"/>
  <c r="AH49" i="2"/>
  <c r="AY49" i="2"/>
  <c r="AY34" i="2"/>
  <c r="K19" i="2"/>
  <c r="AX29" i="2"/>
  <c r="AX22" i="2"/>
  <c r="AC23" i="2"/>
  <c r="X42" i="2"/>
  <c r="X23" i="2"/>
  <c r="Z26" i="2"/>
  <c r="AB15" i="2"/>
  <c r="AB43" i="2"/>
  <c r="AB28" i="2"/>
  <c r="AQ40" i="2"/>
  <c r="AQ23" i="2"/>
  <c r="AN43" i="2"/>
  <c r="AN23" i="2"/>
  <c r="AU41" i="2"/>
  <c r="AU23" i="2"/>
  <c r="AI39" i="2"/>
  <c r="AG49" i="2"/>
  <c r="AG40" i="2"/>
  <c r="AA59" i="2"/>
  <c r="AA36" i="2"/>
  <c r="AE49" i="2"/>
  <c r="AE34" i="2"/>
  <c r="AD49" i="2"/>
  <c r="AD29" i="2"/>
  <c r="AF57" i="2"/>
  <c r="AF45" i="2"/>
  <c r="AF31" i="2"/>
  <c r="AC57" i="2"/>
  <c r="AC45" i="2"/>
  <c r="AC30" i="2"/>
  <c r="AB16" i="2"/>
  <c r="AN20" i="2"/>
  <c r="AF16" i="2"/>
  <c r="AG23" i="2"/>
  <c r="AE23" i="2"/>
  <c r="Y53" i="2"/>
  <c r="Y41" i="2"/>
  <c r="Y29" i="2"/>
  <c r="Y16" i="2"/>
  <c r="AT57" i="2"/>
  <c r="AT44" i="2"/>
  <c r="AT27" i="2"/>
  <c r="AT21" i="2"/>
  <c r="AW48" i="2"/>
  <c r="AW34" i="2"/>
  <c r="AW25" i="2"/>
  <c r="AS46" i="2"/>
  <c r="AS40" i="2"/>
  <c r="AS27" i="2"/>
  <c r="AV51" i="2"/>
  <c r="AV42" i="2"/>
  <c r="AV24" i="2"/>
  <c r="AK58" i="2"/>
  <c r="AK46" i="2"/>
  <c r="AK28" i="2"/>
  <c r="AK23" i="2"/>
  <c r="AO48" i="2"/>
  <c r="AO32" i="2"/>
  <c r="AO25" i="2"/>
  <c r="AJ53" i="2"/>
  <c r="AJ39" i="2"/>
  <c r="AJ34" i="2"/>
  <c r="AR58" i="2"/>
  <c r="AR40" i="2"/>
  <c r="AR26" i="2"/>
  <c r="AH54" i="2"/>
  <c r="AH47" i="2"/>
  <c r="AH33" i="2"/>
  <c r="AH22" i="2"/>
  <c r="BA47" i="2"/>
  <c r="AZ31" i="2"/>
  <c r="AX19" i="2"/>
  <c r="AX27" i="2"/>
  <c r="AX23" i="2"/>
  <c r="X40" i="2"/>
  <c r="Z44" i="2"/>
  <c r="AB52" i="2"/>
  <c r="AB41" i="2"/>
  <c r="AQ56" i="2"/>
  <c r="AQ38" i="2"/>
  <c r="AN58" i="2"/>
  <c r="AN41" i="2"/>
  <c r="AU55" i="2"/>
  <c r="AU40" i="2"/>
  <c r="AI15" i="2"/>
  <c r="AI44" i="2"/>
  <c r="AG47" i="2"/>
  <c r="AG38" i="2"/>
  <c r="AA54" i="2"/>
  <c r="AA34" i="2"/>
  <c r="AE47" i="2"/>
  <c r="AE32" i="2"/>
  <c r="AD47" i="2"/>
  <c r="AD26" i="2"/>
  <c r="AF55" i="2"/>
  <c r="AF38" i="2"/>
  <c r="AF29" i="2"/>
  <c r="AC58" i="2"/>
  <c r="AC46" i="2"/>
  <c r="AC28" i="2"/>
  <c r="AN16" i="2"/>
  <c r="AF23" i="2"/>
  <c r="AG22" i="2"/>
  <c r="AE16" i="2"/>
  <c r="Y56" i="2"/>
  <c r="Y39" i="2"/>
  <c r="Y27" i="2"/>
  <c r="Y15" i="2"/>
  <c r="AT55" i="2"/>
  <c r="AT42" i="2"/>
  <c r="AT45" i="2"/>
  <c r="AW51" i="2"/>
  <c r="AW46" i="2"/>
  <c r="AW32" i="2"/>
  <c r="AW22" i="2"/>
  <c r="AS55" i="2"/>
  <c r="AS38" i="2"/>
  <c r="AS25" i="2"/>
  <c r="AV49" i="2"/>
  <c r="AV40" i="2"/>
  <c r="AV36" i="2"/>
  <c r="AK56" i="2"/>
  <c r="AK43" i="2"/>
  <c r="AK35" i="2"/>
  <c r="AO51" i="2"/>
  <c r="AO55" i="2"/>
  <c r="AO30" i="2"/>
  <c r="AO23" i="2"/>
  <c r="AJ51" i="2"/>
  <c r="AJ37" i="2"/>
  <c r="AJ32" i="2"/>
  <c r="AR59" i="2"/>
  <c r="AR38" i="2"/>
  <c r="AR25" i="2"/>
  <c r="AH52" i="2"/>
  <c r="AH45" i="2"/>
  <c r="AH31" i="2"/>
  <c r="AZ44" i="2"/>
  <c r="BA33" i="2"/>
  <c r="BA28" i="2"/>
  <c r="AY27" i="2"/>
  <c r="AZ15" i="2"/>
  <c r="X58" i="2"/>
  <c r="X36" i="2"/>
  <c r="Z48" i="2"/>
  <c r="Z37" i="2"/>
  <c r="AB46" i="2"/>
  <c r="AB29" i="2"/>
  <c r="AQ50" i="2"/>
  <c r="AQ37" i="2"/>
  <c r="AN49" i="2"/>
  <c r="AN35" i="2"/>
  <c r="AU59" i="2"/>
  <c r="AU34" i="2"/>
  <c r="AI52" i="2"/>
  <c r="AI32" i="2"/>
  <c r="AG57" i="2"/>
  <c r="AG46" i="2"/>
  <c r="AA48" i="2"/>
  <c r="AA24" i="2"/>
  <c r="AE54" i="2"/>
  <c r="AE35" i="2"/>
  <c r="AD46" i="2"/>
  <c r="AD24" i="2"/>
  <c r="AF49" i="2"/>
  <c r="AF42" i="2"/>
  <c r="AF36" i="2"/>
  <c r="AC52" i="2"/>
  <c r="AC39" i="2"/>
  <c r="AC33" i="2"/>
  <c r="AU15" i="2"/>
  <c r="AF15" i="2"/>
  <c r="AG20" i="2"/>
  <c r="AE15" i="2"/>
  <c r="Y49" i="2"/>
  <c r="Y40" i="2"/>
  <c r="Y24" i="2"/>
  <c r="AT49" i="2"/>
  <c r="AT43" i="2"/>
  <c r="AT24" i="2"/>
  <c r="AW45" i="2"/>
  <c r="AW43" i="2"/>
  <c r="AW37" i="2"/>
  <c r="AS59" i="2"/>
  <c r="AS49" i="2"/>
  <c r="AS32" i="2"/>
  <c r="AS21" i="2"/>
  <c r="AV54" i="2"/>
  <c r="AV41" i="2"/>
  <c r="AV30" i="2"/>
  <c r="AK50" i="2"/>
  <c r="AK44" i="2"/>
  <c r="AK29" i="2"/>
  <c r="AO45" i="2"/>
  <c r="AO41" i="2"/>
  <c r="AO26" i="2"/>
  <c r="AJ52" i="2"/>
  <c r="AJ56" i="2"/>
  <c r="AJ31" i="2"/>
  <c r="AJ22" i="2"/>
  <c r="AR53" i="2"/>
  <c r="AR39" i="2"/>
  <c r="AR34" i="2"/>
  <c r="AH46" i="2"/>
  <c r="AH42" i="2"/>
  <c r="AH24" i="2"/>
  <c r="AP52" i="2"/>
  <c r="AZ43" i="2"/>
  <c r="N19" i="2"/>
  <c r="AZ27" i="2"/>
  <c r="BA20" i="2"/>
  <c r="AY21" i="2"/>
  <c r="AI23" i="2"/>
  <c r="X52" i="2"/>
  <c r="X37" i="2"/>
  <c r="Z59" i="2"/>
  <c r="Z24" i="2"/>
  <c r="AB51" i="2"/>
  <c r="AB45" i="2"/>
  <c r="AQ49" i="2"/>
  <c r="AQ35" i="2"/>
  <c r="AN48" i="2"/>
  <c r="AN36" i="2"/>
  <c r="AU56" i="2"/>
  <c r="AU31" i="2"/>
  <c r="AI55" i="2"/>
  <c r="AI24" i="2"/>
  <c r="AG48" i="2"/>
  <c r="AG24" i="2"/>
  <c r="AA45" i="2"/>
  <c r="AA33" i="2"/>
  <c r="AE43" i="2"/>
  <c r="AE26" i="2"/>
  <c r="AD40" i="2"/>
  <c r="AD32" i="2"/>
  <c r="AF54" i="2"/>
  <c r="AF41" i="2"/>
  <c r="AF30" i="2"/>
  <c r="AC55" i="2"/>
  <c r="AC40" i="2"/>
  <c r="AC27" i="2"/>
  <c r="AD22" i="2"/>
  <c r="Z22" i="2"/>
  <c r="X20" i="2"/>
  <c r="Y50" i="2"/>
  <c r="Y35" i="2"/>
  <c r="Y30" i="2"/>
  <c r="AT54" i="2"/>
  <c r="AT37" i="2"/>
  <c r="AT32" i="2"/>
  <c r="AW58" i="2"/>
  <c r="AW44" i="2"/>
  <c r="AW35" i="2"/>
  <c r="AS56" i="2"/>
  <c r="AS43" i="2"/>
  <c r="AS37" i="2"/>
  <c r="AV58" i="2"/>
  <c r="AV48" i="2"/>
  <c r="AV35" i="2"/>
  <c r="AV22" i="2"/>
  <c r="AK53" i="2"/>
  <c r="AK38" i="2"/>
  <c r="AK37" i="2"/>
  <c r="AO58" i="2"/>
  <c r="AO42" i="2"/>
  <c r="AO35" i="2"/>
  <c r="AJ46" i="2"/>
  <c r="AJ42" i="2"/>
  <c r="AJ45" i="2"/>
  <c r="AR20" i="2"/>
  <c r="AR47" i="2"/>
  <c r="AR33" i="2"/>
  <c r="AR28" i="2"/>
  <c r="AH57" i="2"/>
  <c r="AZ57" i="2"/>
  <c r="AZ41" i="2"/>
  <c r="AQ19" i="2"/>
  <c r="AZ26" i="2"/>
  <c r="BA15" i="2"/>
  <c r="AY23" i="2"/>
  <c r="AI20" i="2"/>
  <c r="X50" i="2"/>
  <c r="X35" i="2"/>
  <c r="AC20" i="2"/>
  <c r="Z57" i="2"/>
  <c r="Z36" i="2"/>
  <c r="AB49" i="2"/>
  <c r="AB36" i="2"/>
  <c r="AQ47" i="2"/>
  <c r="AQ33" i="2"/>
  <c r="AN46" i="2"/>
  <c r="AN34" i="2"/>
  <c r="AU48" i="2"/>
  <c r="AU29" i="2"/>
  <c r="AI53" i="2"/>
  <c r="AI35" i="2"/>
  <c r="AG55" i="2"/>
  <c r="AG29" i="2"/>
  <c r="AA43" i="2"/>
  <c r="AA31" i="2"/>
  <c r="AE41" i="2"/>
  <c r="AE24" i="2"/>
  <c r="AD37" i="2"/>
  <c r="AD30" i="2"/>
  <c r="AF52" i="2"/>
  <c r="AF39" i="2"/>
  <c r="AF28" i="2"/>
  <c r="AC53" i="2"/>
  <c r="AC38" i="2"/>
  <c r="AC25" i="2"/>
  <c r="AQ15" i="2"/>
  <c r="AA20" i="2"/>
  <c r="AD23" i="2"/>
  <c r="Z21" i="2"/>
  <c r="X21" i="2"/>
  <c r="Y59" i="2"/>
  <c r="Y48" i="2"/>
  <c r="Y36" i="2"/>
  <c r="Y28" i="2"/>
  <c r="AT52" i="2"/>
  <c r="AT35" i="2"/>
  <c r="AT30" i="2"/>
  <c r="AW56" i="2"/>
  <c r="AW42" i="2"/>
  <c r="AW33" i="2"/>
  <c r="AS54" i="2"/>
  <c r="AS41" i="2"/>
  <c r="AS35" i="2"/>
  <c r="AV59" i="2"/>
  <c r="AV46" i="2"/>
  <c r="AV33" i="2"/>
  <c r="AV21" i="2"/>
  <c r="AK51" i="2"/>
  <c r="AK36" i="2"/>
  <c r="AK26" i="2"/>
  <c r="AO56" i="2"/>
  <c r="AO40" i="2"/>
  <c r="AO33" i="2"/>
  <c r="AJ58" i="2"/>
  <c r="AJ40" i="2"/>
  <c r="AJ26" i="2"/>
  <c r="AR52" i="2"/>
  <c r="AR56" i="2"/>
  <c r="AR31" i="2"/>
  <c r="AR21" i="2"/>
  <c r="AH55" i="2"/>
  <c r="AH41" i="2"/>
  <c r="AH30" i="2"/>
  <c r="AZ22" i="2"/>
  <c r="R19" i="2"/>
  <c r="Y32" i="2"/>
  <c r="Y51" i="2"/>
  <c r="Z20" i="2"/>
  <c r="AU20" i="2"/>
  <c r="AC42" i="2"/>
  <c r="AF24" i="2"/>
  <c r="AF58" i="2"/>
  <c r="AE27" i="2"/>
  <c r="AA32" i="2"/>
  <c r="AG50" i="2"/>
  <c r="AI57" i="2"/>
  <c r="AN22" i="2"/>
  <c r="AQ26" i="2"/>
  <c r="AB39" i="2"/>
  <c r="Z58" i="2"/>
  <c r="X43" i="2"/>
  <c r="AY26" i="2"/>
  <c r="AY38" i="2"/>
  <c r="AC41" i="2"/>
  <c r="AF35" i="2"/>
  <c r="AD36" i="2"/>
  <c r="AE30" i="2"/>
  <c r="AA47" i="2"/>
  <c r="AG59" i="2"/>
  <c r="AU25" i="2"/>
  <c r="AN27" i="2"/>
  <c r="AQ36" i="2"/>
  <c r="AB53" i="2"/>
  <c r="Z56" i="2"/>
  <c r="X46" i="2"/>
  <c r="AA22" i="2"/>
  <c r="AX24" i="2"/>
  <c r="V44" i="3"/>
  <c r="B34" i="3"/>
  <c r="S47" i="3"/>
  <c r="H48" i="3"/>
  <c r="H37" i="3"/>
  <c r="G42" i="3"/>
  <c r="V56" i="3"/>
  <c r="V46" i="3"/>
  <c r="AX40" i="2"/>
  <c r="AZ45" i="2"/>
  <c r="D44" i="3"/>
  <c r="AX25" i="2"/>
  <c r="R41" i="3"/>
  <c r="AH19" i="2"/>
  <c r="M19" i="2"/>
  <c r="AO19" i="2"/>
  <c r="J19" i="2"/>
  <c r="AY35" i="2"/>
  <c r="BA34" i="2"/>
  <c r="AZ39" i="2"/>
  <c r="BA39" i="2"/>
  <c r="AX49" i="2"/>
  <c r="BA49" i="2"/>
  <c r="AX57" i="2"/>
  <c r="F47" i="3"/>
  <c r="R38" i="3"/>
  <c r="AL19" i="2"/>
  <c r="W19" i="2"/>
  <c r="AS19" i="2"/>
  <c r="AZ30" i="2"/>
  <c r="AY30" i="2"/>
  <c r="AZ35" i="2"/>
  <c r="AY42" i="2"/>
  <c r="AZ40" i="2"/>
  <c r="AY50" i="2"/>
  <c r="AZ53" i="2"/>
  <c r="AY58" i="2"/>
  <c r="S60" i="3"/>
  <c r="AN19" i="2"/>
  <c r="Y19" i="2"/>
  <c r="BA19" i="2"/>
  <c r="AY31" i="2"/>
  <c r="BA30" i="2"/>
  <c r="AY36" i="2"/>
  <c r="BA42" i="2"/>
  <c r="AZ42" i="2"/>
  <c r="AZ51" i="2"/>
  <c r="AY54" i="2"/>
  <c r="AZ59" i="2"/>
  <c r="B44" i="3"/>
  <c r="B62" i="3"/>
  <c r="U61" i="3"/>
  <c r="R46" i="3"/>
  <c r="F51" i="3"/>
  <c r="C37" i="3"/>
  <c r="E37" i="3"/>
  <c r="S57" i="3"/>
  <c r="B23" i="3"/>
  <c r="C48" i="3"/>
  <c r="F35" i="3"/>
  <c r="T58" i="3"/>
  <c r="AV19" i="2"/>
  <c r="AA19" i="2"/>
  <c r="L19" i="2"/>
  <c r="BA31" i="2"/>
  <c r="AX31" i="2"/>
  <c r="AZ37" i="2"/>
  <c r="AX43" i="2"/>
  <c r="BA43" i="2"/>
  <c r="BA52" i="2"/>
  <c r="AX59" i="2"/>
  <c r="BA55" i="2"/>
  <c r="AX53" i="2"/>
  <c r="AX46" i="2"/>
  <c r="BA48" i="2"/>
  <c r="AX42" i="2"/>
  <c r="AX38" i="2"/>
  <c r="AX41" i="2"/>
  <c r="AX37" i="2"/>
  <c r="AZ33" i="2"/>
  <c r="BA37" i="2"/>
  <c r="AY33" i="2"/>
  <c r="X19" i="2"/>
  <c r="AY19" i="2"/>
  <c r="AI19" i="2"/>
  <c r="S19" i="2"/>
  <c r="AT19" i="2"/>
  <c r="AD19" i="2"/>
  <c r="BA27" i="2"/>
  <c r="AZ28" i="2"/>
  <c r="AY28" i="2"/>
  <c r="AX21" i="2"/>
  <c r="AZ20" i="2"/>
  <c r="AY16" i="2"/>
  <c r="AA21" i="2"/>
  <c r="AI21" i="2"/>
  <c r="X56" i="2"/>
  <c r="X51" i="2"/>
  <c r="X41" i="2"/>
  <c r="X32" i="2"/>
  <c r="X24" i="2"/>
  <c r="AB20" i="2"/>
  <c r="Z54" i="2"/>
  <c r="Z55" i="2"/>
  <c r="Z42" i="2"/>
  <c r="Z31" i="2"/>
  <c r="Z28" i="2"/>
  <c r="AB58" i="2"/>
  <c r="AB56" i="2"/>
  <c r="AB37" i="2"/>
  <c r="AB26" i="2"/>
  <c r="AQ59" i="2"/>
  <c r="AQ46" i="2"/>
  <c r="AQ41" i="2"/>
  <c r="AQ32" i="2"/>
  <c r="AQ31" i="2"/>
  <c r="AN59" i="2"/>
  <c r="AN54" i="2"/>
  <c r="AN42" i="2"/>
  <c r="AN33" i="2"/>
  <c r="AN30" i="2"/>
  <c r="AU51" i="2"/>
  <c r="AU54" i="2"/>
  <c r="AU39" i="2"/>
  <c r="AU30" i="2"/>
  <c r="AU26" i="2"/>
  <c r="AI58" i="2"/>
  <c r="AI51" i="2"/>
  <c r="AI42" i="2"/>
  <c r="AI46" i="2"/>
  <c r="AI27" i="2"/>
  <c r="AG58" i="2"/>
  <c r="AG43" i="2"/>
  <c r="AG34" i="2"/>
  <c r="AG35" i="2"/>
  <c r="AA57" i="2"/>
  <c r="AA53" i="2"/>
  <c r="AA44" i="2"/>
  <c r="AA28" i="2"/>
  <c r="AA29" i="2"/>
  <c r="AE45" i="2"/>
  <c r="AE48" i="2"/>
  <c r="AE40" i="2"/>
  <c r="AE33" i="2"/>
  <c r="AD59" i="2"/>
  <c r="AD54" i="2"/>
  <c r="AD43" i="2"/>
  <c r="AD27" i="2"/>
  <c r="AX58" i="2"/>
  <c r="AX54" i="2"/>
  <c r="AZ52" i="2"/>
  <c r="BA45" i="2"/>
  <c r="AZ47" i="2"/>
  <c r="BA41" i="2"/>
  <c r="BA44" i="2"/>
  <c r="BA40" i="2"/>
  <c r="AY37" i="2"/>
  <c r="AX33" i="2"/>
  <c r="AZ36" i="2"/>
  <c r="AZ32" i="2"/>
  <c r="V19" i="2"/>
  <c r="AW19" i="2"/>
  <c r="AG19" i="2"/>
  <c r="Q19" i="2"/>
  <c r="AR19" i="2"/>
  <c r="AB19" i="2"/>
  <c r="BA29" i="2"/>
  <c r="AZ24" i="2"/>
  <c r="AY25" i="2"/>
  <c r="AX15" i="2"/>
  <c r="AZ16" i="2"/>
  <c r="AY22" i="2"/>
  <c r="AA23" i="2"/>
  <c r="X54" i="2"/>
  <c r="X49" i="2"/>
  <c r="X39" i="2"/>
  <c r="X30" i="2"/>
  <c r="AC22" i="2"/>
  <c r="Z52" i="2"/>
  <c r="Z53" i="2"/>
  <c r="Z40" i="2"/>
  <c r="Z29" i="2"/>
  <c r="Z25" i="2"/>
  <c r="AB59" i="2"/>
  <c r="AB54" i="2"/>
  <c r="AB35" i="2"/>
  <c r="AB25" i="2"/>
  <c r="AQ57" i="2"/>
  <c r="AQ55" i="2"/>
  <c r="AQ39" i="2"/>
  <c r="AQ30" i="2"/>
  <c r="AQ29" i="2"/>
  <c r="AN57" i="2"/>
  <c r="AN52" i="2"/>
  <c r="AN40" i="2"/>
  <c r="AN31" i="2"/>
  <c r="AN28" i="2"/>
  <c r="AU49" i="2"/>
  <c r="AU52" i="2"/>
  <c r="AU44" i="2"/>
  <c r="AU28" i="2"/>
  <c r="AU24" i="2"/>
  <c r="AI56" i="2"/>
  <c r="AI49" i="2"/>
  <c r="AI40" i="2"/>
  <c r="AI37" i="2"/>
  <c r="AI25" i="2"/>
  <c r="AG56" i="2"/>
  <c r="AG41" i="2"/>
  <c r="AG32" i="2"/>
  <c r="AG33" i="2"/>
  <c r="AA58" i="2"/>
  <c r="AA51" i="2"/>
  <c r="AA42" i="2"/>
  <c r="AA46" i="2"/>
  <c r="AA27" i="2"/>
  <c r="AE59" i="2"/>
  <c r="AE46" i="2"/>
  <c r="AE38" i="2"/>
  <c r="AE31" i="2"/>
  <c r="AD57" i="2"/>
  <c r="AD52" i="2"/>
  <c r="AD41" i="2"/>
  <c r="AD45" i="2"/>
  <c r="BA57" i="2"/>
  <c r="BA53" i="2"/>
  <c r="BA51" i="2"/>
  <c r="AY45" i="2"/>
  <c r="AY46" i="2"/>
  <c r="AY41" i="2"/>
  <c r="AY44" i="2"/>
  <c r="AY40" i="2"/>
  <c r="BA36" i="2"/>
  <c r="BA32" i="2"/>
  <c r="AX36" i="2"/>
  <c r="AX32" i="2"/>
  <c r="T19" i="2"/>
  <c r="AU19" i="2"/>
  <c r="AE19" i="2"/>
  <c r="O19" i="2"/>
  <c r="AP19" i="2"/>
  <c r="Z19" i="2"/>
  <c r="BA24" i="2"/>
  <c r="AX26" i="2"/>
  <c r="AY29" i="2"/>
  <c r="BA23" i="2"/>
  <c r="AX16" i="2"/>
  <c r="AZ23" i="2"/>
  <c r="AA16" i="2"/>
  <c r="X22" i="2"/>
  <c r="X55" i="2"/>
  <c r="X47" i="2"/>
  <c r="X38" i="2"/>
  <c r="X28" i="2"/>
  <c r="X29" i="2"/>
  <c r="Z50" i="2"/>
  <c r="Z51" i="2"/>
  <c r="Z43" i="2"/>
  <c r="Z27" i="2"/>
  <c r="Z38" i="2"/>
  <c r="AB57" i="2"/>
  <c r="AB44" i="2"/>
  <c r="AB33" i="2"/>
  <c r="AB24" i="2"/>
  <c r="AQ58" i="2"/>
  <c r="AQ53" i="2"/>
  <c r="AQ44" i="2"/>
  <c r="AQ28" i="2"/>
  <c r="AQ27" i="2"/>
  <c r="AN55" i="2"/>
  <c r="AN50" i="2"/>
  <c r="AN38" i="2"/>
  <c r="AN29" i="2"/>
  <c r="AN25" i="2"/>
  <c r="AU47" i="2"/>
  <c r="AU50" i="2"/>
  <c r="AU42" i="2"/>
  <c r="AU35" i="2"/>
  <c r="AU21" i="2"/>
  <c r="AI54" i="2"/>
  <c r="AI47" i="2"/>
  <c r="AI38" i="2"/>
  <c r="AI26" i="2"/>
  <c r="AG51" i="2"/>
  <c r="AG54" i="2"/>
  <c r="AG39" i="2"/>
  <c r="AG30" i="2"/>
  <c r="AG31" i="2"/>
  <c r="AA56" i="2"/>
  <c r="AA49" i="2"/>
  <c r="AA40" i="2"/>
  <c r="AA26" i="2"/>
  <c r="AA25" i="2"/>
  <c r="AE57" i="2"/>
  <c r="AE37" i="2"/>
  <c r="AE36" i="2"/>
  <c r="AE29" i="2"/>
  <c r="AD55" i="2"/>
  <c r="AD50" i="2"/>
  <c r="AD39" i="2"/>
  <c r="V37" i="3"/>
  <c r="U45" i="3"/>
  <c r="AZ19" i="2"/>
  <c r="AK19" i="2"/>
  <c r="P19" i="2"/>
  <c r="AX34" i="2"/>
  <c r="AY32" i="2"/>
  <c r="BA38" i="2"/>
  <c r="AZ38" i="2"/>
  <c r="AX45" i="2"/>
  <c r="AZ48" i="2"/>
  <c r="AY53" i="2"/>
  <c r="C13" i="1"/>
  <c r="H59" i="3"/>
  <c r="G52" i="3"/>
  <c r="U56" i="3"/>
  <c r="H44" i="3"/>
  <c r="H43" i="3"/>
  <c r="U37" i="3"/>
  <c r="G37" i="3"/>
  <c r="S59" i="3"/>
  <c r="F49" i="3"/>
  <c r="E46" i="3"/>
  <c r="E52" i="3"/>
  <c r="H57" i="3"/>
  <c r="T49" i="3"/>
  <c r="U44" i="3"/>
  <c r="T45" i="3"/>
  <c r="F41" i="3"/>
  <c r="D35" i="3"/>
  <c r="D37" i="3"/>
  <c r="D46" i="3"/>
  <c r="D42" i="3"/>
  <c r="D41" i="3"/>
  <c r="R45" i="3"/>
  <c r="C38" i="3"/>
  <c r="C49" i="3"/>
  <c r="R43" i="3"/>
  <c r="F61" i="3"/>
  <c r="D61" i="3"/>
  <c r="B48" i="3"/>
  <c r="B39" i="3"/>
  <c r="B55" i="3"/>
  <c r="B36" i="3"/>
  <c r="B27" i="3"/>
  <c r="AE9" i="7"/>
  <c r="G59" i="3"/>
  <c r="V51" i="3"/>
  <c r="G44" i="3"/>
  <c r="G43" i="3"/>
  <c r="T37" i="3"/>
  <c r="V39" i="3"/>
  <c r="T59" i="3"/>
  <c r="E49" i="3"/>
  <c r="F46" i="3"/>
  <c r="F52" i="3"/>
  <c r="G57" i="3"/>
  <c r="S49" i="3"/>
  <c r="T44" i="3"/>
  <c r="T41" i="3"/>
  <c r="F34" i="3"/>
  <c r="D55" i="3"/>
  <c r="D48" i="3"/>
  <c r="D59" i="3"/>
  <c r="D45" i="3"/>
  <c r="R42" i="3"/>
  <c r="S34" i="3"/>
  <c r="S39" i="3"/>
  <c r="C57" i="3"/>
  <c r="C43" i="3"/>
  <c r="E61" i="3"/>
  <c r="S61" i="3"/>
  <c r="B50" i="3"/>
  <c r="R61" i="3"/>
  <c r="B57" i="3"/>
  <c r="B38" i="3"/>
  <c r="B31" i="3"/>
  <c r="H55" i="3"/>
  <c r="U51" i="3"/>
  <c r="H41" i="3"/>
  <c r="H35" i="3"/>
  <c r="U39" i="3"/>
  <c r="S54" i="3"/>
  <c r="E55" i="3"/>
  <c r="V50" i="3"/>
  <c r="E58" i="3"/>
  <c r="F57" i="3"/>
  <c r="T55" i="3"/>
  <c r="V43" i="3"/>
  <c r="E43" i="3"/>
  <c r="V36" i="3"/>
  <c r="D34" i="3"/>
  <c r="R55" i="3"/>
  <c r="R48" i="3"/>
  <c r="R59" i="3"/>
  <c r="H61" i="3"/>
  <c r="R34" i="3"/>
  <c r="R39" i="3"/>
  <c r="C52" i="3"/>
  <c r="R40" i="3"/>
  <c r="F63" i="3"/>
  <c r="T61" i="3"/>
  <c r="B54" i="3"/>
  <c r="C61" i="3"/>
  <c r="B59" i="3"/>
  <c r="B20" i="3"/>
  <c r="B35" i="3"/>
  <c r="G55" i="3"/>
  <c r="H46" i="3"/>
  <c r="V49" i="3"/>
  <c r="G41" i="3"/>
  <c r="V34" i="3"/>
  <c r="G35" i="3"/>
  <c r="T39" i="3"/>
  <c r="T54" i="3"/>
  <c r="F55" i="3"/>
  <c r="U50" i="3"/>
  <c r="F58" i="3"/>
  <c r="E57" i="3"/>
  <c r="S55" i="3"/>
  <c r="U43" i="3"/>
  <c r="F42" i="3"/>
  <c r="U36" i="3"/>
  <c r="D51" i="3"/>
  <c r="D58" i="3"/>
  <c r="D57" i="3"/>
  <c r="G61" i="3"/>
  <c r="C34" i="3"/>
  <c r="C39" i="3"/>
  <c r="C46" i="3"/>
  <c r="C40" i="3"/>
  <c r="E63" i="3"/>
  <c r="D60" i="3"/>
  <c r="T60" i="3"/>
  <c r="R63" i="3"/>
  <c r="B61" i="3"/>
  <c r="B42" i="3"/>
  <c r="H47" i="3"/>
  <c r="G46" i="3"/>
  <c r="U49" i="3"/>
  <c r="V55" i="3"/>
  <c r="H40" i="3"/>
  <c r="U34" i="3"/>
  <c r="E35" i="3"/>
  <c r="H53" i="3"/>
  <c r="E56" i="3"/>
  <c r="T50" i="3"/>
  <c r="S46" i="3"/>
  <c r="F54" i="3"/>
  <c r="F37" i="3"/>
  <c r="T43" i="3"/>
  <c r="S45" i="3"/>
  <c r="T36" i="3"/>
  <c r="R51" i="3"/>
  <c r="R58" i="3"/>
  <c r="R57" i="3"/>
  <c r="S35" i="3"/>
  <c r="S36" i="3"/>
  <c r="C51" i="3"/>
  <c r="C45" i="3"/>
  <c r="F62" i="3"/>
  <c r="S63" i="3"/>
  <c r="R60" i="3"/>
  <c r="C63" i="3"/>
  <c r="B63" i="3"/>
  <c r="B46" i="3"/>
  <c r="G47" i="3"/>
  <c r="V48" i="3"/>
  <c r="V52" i="3"/>
  <c r="H54" i="3"/>
  <c r="U55" i="3"/>
  <c r="G40" i="3"/>
  <c r="T34" i="3"/>
  <c r="H36" i="3"/>
  <c r="H38" i="3"/>
  <c r="G53" i="3"/>
  <c r="F56" i="3"/>
  <c r="S50" i="3"/>
  <c r="T46" i="3"/>
  <c r="E54" i="3"/>
  <c r="V42" i="3"/>
  <c r="S40" i="3"/>
  <c r="E36" i="3"/>
  <c r="D49" i="3"/>
  <c r="D53" i="3"/>
  <c r="D56" i="3"/>
  <c r="H63" i="3"/>
  <c r="R36" i="3"/>
  <c r="C59" i="3"/>
  <c r="C41" i="3"/>
  <c r="E62" i="3"/>
  <c r="T63" i="3"/>
  <c r="C60" i="3"/>
  <c r="B41" i="3"/>
  <c r="B22" i="3"/>
  <c r="B52" i="3"/>
  <c r="V47" i="3"/>
  <c r="V40" i="3"/>
  <c r="V35" i="3"/>
  <c r="G36" i="3"/>
  <c r="G38" i="3"/>
  <c r="F53" i="3"/>
  <c r="E59" i="3"/>
  <c r="S51" i="3"/>
  <c r="H50" i="3"/>
  <c r="S53" i="3"/>
  <c r="H39" i="3"/>
  <c r="U42" i="3"/>
  <c r="S41" i="3"/>
  <c r="D36" i="3"/>
  <c r="R49" i="3"/>
  <c r="R53" i="3"/>
  <c r="R56" i="3"/>
  <c r="G63" i="3"/>
  <c r="C36" i="3"/>
  <c r="C53" i="3"/>
  <c r="V63" i="3"/>
  <c r="V62" i="3"/>
  <c r="S62" i="3"/>
  <c r="B60" i="3"/>
  <c r="B43" i="3"/>
  <c r="B24" i="3"/>
  <c r="B56" i="3"/>
  <c r="V53" i="3"/>
  <c r="V59" i="3"/>
  <c r="U48" i="3"/>
  <c r="U52" i="3"/>
  <c r="G54" i="3"/>
  <c r="U53" i="3"/>
  <c r="U59" i="3"/>
  <c r="H51" i="3"/>
  <c r="H56" i="3"/>
  <c r="H49" i="3"/>
  <c r="U47" i="3"/>
  <c r="U40" i="3"/>
  <c r="U35" i="3"/>
  <c r="F36" i="3"/>
  <c r="E38" i="3"/>
  <c r="E53" i="3"/>
  <c r="F59" i="3"/>
  <c r="T51" i="3"/>
  <c r="G50" i="3"/>
  <c r="T53" i="3"/>
  <c r="G39" i="3"/>
  <c r="T42" i="3"/>
  <c r="S43" i="3"/>
  <c r="F38" i="3"/>
  <c r="D50" i="3"/>
  <c r="D52" i="3"/>
  <c r="F40" i="3"/>
  <c r="H62" i="3"/>
  <c r="S44" i="3"/>
  <c r="C58" i="3"/>
  <c r="C47" i="3"/>
  <c r="U63" i="3"/>
  <c r="U62" i="3"/>
  <c r="T62" i="3"/>
  <c r="B21" i="3"/>
  <c r="B45" i="3"/>
  <c r="B26" i="3"/>
  <c r="B58" i="3"/>
  <c r="H58" i="3"/>
  <c r="G51" i="3"/>
  <c r="G56" i="3"/>
  <c r="G49" i="3"/>
  <c r="V41" i="3"/>
  <c r="T35" i="3"/>
  <c r="H34" i="3"/>
  <c r="V38" i="3"/>
  <c r="H45" i="3"/>
  <c r="F48" i="3"/>
  <c r="S52" i="3"/>
  <c r="V57" i="3"/>
  <c r="F50" i="3"/>
  <c r="S48" i="3"/>
  <c r="F39" i="3"/>
  <c r="T40" i="3"/>
  <c r="S42" i="3"/>
  <c r="D38" i="3"/>
  <c r="R50" i="3"/>
  <c r="R52" i="3"/>
  <c r="D40" i="3"/>
  <c r="G62" i="3"/>
  <c r="R35" i="3"/>
  <c r="R44" i="3"/>
  <c r="C50" i="3"/>
  <c r="C55" i="3"/>
  <c r="E60" i="3"/>
  <c r="C42" i="3"/>
  <c r="D62" i="3"/>
  <c r="B25" i="3"/>
  <c r="B47" i="3"/>
  <c r="B28" i="3"/>
  <c r="R62" i="3"/>
  <c r="AZ58" i="2"/>
  <c r="U41" i="3"/>
  <c r="G34" i="3"/>
  <c r="U38" i="3"/>
  <c r="G45" i="3"/>
  <c r="E48" i="3"/>
  <c r="T52" i="3"/>
  <c r="U57" i="3"/>
  <c r="E50" i="3"/>
  <c r="T48" i="3"/>
  <c r="F44" i="3"/>
  <c r="E40" i="3"/>
  <c r="E45" i="3"/>
  <c r="E39" i="3"/>
  <c r="D47" i="3"/>
  <c r="R54" i="3"/>
  <c r="F43" i="3"/>
  <c r="H60" i="3"/>
  <c r="C35" i="3"/>
  <c r="C44" i="3"/>
  <c r="C56" i="3"/>
  <c r="S37" i="3"/>
  <c r="F60" i="3"/>
  <c r="V60" i="3"/>
  <c r="D63" i="3"/>
  <c r="B29" i="3"/>
  <c r="B49" i="3"/>
  <c r="B30" i="3"/>
  <c r="C62" i="3"/>
  <c r="AY59" i="2"/>
  <c r="V58" i="3"/>
  <c r="U46" i="3"/>
  <c r="U54" i="3"/>
  <c r="G48" i="3"/>
  <c r="H42" i="3"/>
  <c r="E34" i="3"/>
  <c r="T38" i="3"/>
  <c r="S56" i="3"/>
  <c r="E47" i="3"/>
  <c r="S58" i="3"/>
  <c r="T57" i="3"/>
  <c r="E51" i="3"/>
  <c r="T47" i="3"/>
  <c r="E44" i="3"/>
  <c r="V45" i="3"/>
  <c r="F45" i="3"/>
  <c r="D39" i="3"/>
  <c r="R47" i="3"/>
  <c r="D54" i="3"/>
  <c r="D43" i="3"/>
  <c r="G60" i="3"/>
  <c r="S38" i="3"/>
  <c r="C54" i="3"/>
  <c r="R37" i="3"/>
  <c r="V61" i="3"/>
  <c r="U60" i="3"/>
  <c r="B40" i="3"/>
  <c r="B33" i="3"/>
  <c r="B51" i="3"/>
  <c r="B32" i="3"/>
  <c r="C12" i="1"/>
  <c r="C14" i="1" s="1"/>
  <c r="H54" i="2"/>
  <c r="S53" i="1"/>
  <c r="O53" i="1"/>
  <c r="Q53" i="1" s="1"/>
  <c r="M53" i="1"/>
  <c r="P53" i="1" s="1"/>
  <c r="H58" i="2"/>
  <c r="S57" i="1"/>
  <c r="O57" i="1"/>
  <c r="Q57" i="1" s="1"/>
  <c r="M57" i="1"/>
  <c r="P57" i="1" s="1"/>
  <c r="H50" i="2"/>
  <c r="O49" i="1"/>
  <c r="Q49" i="1" s="1"/>
  <c r="M49" i="1"/>
  <c r="P49" i="1" s="1"/>
  <c r="H46" i="2"/>
  <c r="O45" i="1"/>
  <c r="Q45" i="1" s="1"/>
  <c r="M45" i="1"/>
  <c r="P45" i="1" s="1"/>
  <c r="H42" i="2"/>
  <c r="O41" i="1"/>
  <c r="Q41" i="1" s="1"/>
  <c r="M41" i="1"/>
  <c r="P41" i="1" s="1"/>
  <c r="H38" i="2"/>
  <c r="O37" i="1"/>
  <c r="Q37" i="1" s="1"/>
  <c r="M37" i="1"/>
  <c r="P37" i="1" s="1"/>
  <c r="H34" i="2"/>
  <c r="O33" i="1"/>
  <c r="Q33" i="1" s="1"/>
  <c r="M33" i="1"/>
  <c r="P33" i="1" s="1"/>
  <c r="E53" i="2"/>
  <c r="E45" i="4" s="1"/>
  <c r="F53" i="1"/>
  <c r="L53" i="3" s="1"/>
  <c r="N44" i="3"/>
  <c r="F45" i="1"/>
  <c r="C1301" i="7" s="1"/>
  <c r="N40" i="3"/>
  <c r="F41" i="1"/>
  <c r="C1101" i="7" s="1"/>
  <c r="E37" i="2"/>
  <c r="E29" i="4" s="1"/>
  <c r="F37" i="1"/>
  <c r="C901" i="7" s="1"/>
  <c r="N32" i="3"/>
  <c r="F33" i="1"/>
  <c r="F22" i="1"/>
  <c r="N47" i="3"/>
  <c r="N22" i="3"/>
  <c r="O29" i="1"/>
  <c r="Q29" i="1" s="1"/>
  <c r="H31" i="2"/>
  <c r="P28" i="1"/>
  <c r="H32" i="2"/>
  <c r="AC9" i="7"/>
  <c r="M27" i="1"/>
  <c r="P27" i="1" s="1"/>
  <c r="H24" i="2"/>
  <c r="O23" i="1"/>
  <c r="Q23" i="1" s="1"/>
  <c r="M23" i="1"/>
  <c r="P23" i="1" s="1"/>
  <c r="U9" i="7"/>
  <c r="M26" i="1"/>
  <c r="P26" i="1" s="1"/>
  <c r="O26" i="1"/>
  <c r="Q26" i="1" s="1"/>
  <c r="W9" i="7"/>
  <c r="H27" i="2"/>
  <c r="F26" i="1"/>
  <c r="O30" i="1"/>
  <c r="Q30" i="1" s="1"/>
  <c r="M30" i="1"/>
  <c r="P30" i="1" s="1"/>
  <c r="F30" i="1"/>
  <c r="F29" i="1"/>
  <c r="O27" i="1"/>
  <c r="Q27" i="1" s="1"/>
  <c r="O31" i="1"/>
  <c r="Q31" i="1" s="1"/>
  <c r="M31" i="1"/>
  <c r="P31" i="1" s="1"/>
  <c r="G12" i="7"/>
  <c r="I10" i="7" s="1"/>
  <c r="I12" i="7" s="1"/>
  <c r="K10" i="7" s="1"/>
  <c r="K12" i="7" s="1"/>
  <c r="M10" i="7" s="1"/>
  <c r="M12" i="7" s="1"/>
  <c r="O10" i="7" s="1"/>
  <c r="O12" i="7" s="1"/>
  <c r="Q10" i="7" s="1"/>
  <c r="Q12" i="7" s="1"/>
  <c r="S10" i="7" s="1"/>
  <c r="S12" i="7" s="1"/>
  <c r="U10" i="7" s="1"/>
  <c r="U12" i="7" s="1"/>
  <c r="W10" i="7" s="1"/>
  <c r="W12" i="7" s="1"/>
  <c r="Y10" i="7" s="1"/>
  <c r="Y12" i="7" s="1"/>
  <c r="AA10" i="7" s="1"/>
  <c r="AA12" i="7" s="1"/>
  <c r="AC10" i="7" s="1"/>
  <c r="AC12" i="7" s="1"/>
  <c r="AE10" i="7" s="1"/>
  <c r="AE12" i="7" s="1"/>
  <c r="AG10" i="7" s="1"/>
  <c r="AG12" i="7" s="1"/>
  <c r="AI10" i="7" s="1"/>
  <c r="C20" i="2"/>
  <c r="C12" i="4" s="1"/>
  <c r="E51" i="2"/>
  <c r="E43" i="4" s="1"/>
  <c r="C33" i="2"/>
  <c r="C25" i="4" s="1"/>
  <c r="C47" i="2"/>
  <c r="C39" i="4" s="1"/>
  <c r="L54" i="3"/>
  <c r="L47" i="3"/>
  <c r="M22" i="1"/>
  <c r="P22" i="1" s="1"/>
  <c r="P24" i="1"/>
  <c r="O42" i="3"/>
  <c r="O46" i="3"/>
  <c r="F24" i="1"/>
  <c r="E41" i="2"/>
  <c r="E33" i="4" s="1"/>
  <c r="N56" i="3"/>
  <c r="O43" i="3"/>
  <c r="N36" i="3"/>
  <c r="E22" i="2"/>
  <c r="E14" i="4" s="1"/>
  <c r="G13" i="7"/>
  <c r="I11" i="7" s="1"/>
  <c r="I13" i="7" s="1"/>
  <c r="K11" i="7" s="1"/>
  <c r="K13" i="7" s="1"/>
  <c r="M11" i="7" s="1"/>
  <c r="M13" i="7" s="1"/>
  <c r="O11" i="7" s="1"/>
  <c r="O13" i="7" s="1"/>
  <c r="Q11" i="7" s="1"/>
  <c r="Q13" i="7" s="1"/>
  <c r="S11" i="7" s="1"/>
  <c r="S13" i="7" s="1"/>
  <c r="U11" i="7" s="1"/>
  <c r="U13" i="7" s="1"/>
  <c r="W11" i="7" s="1"/>
  <c r="W13" i="7" s="1"/>
  <c r="Y11" i="7" s="1"/>
  <c r="Y13" i="7" s="1"/>
  <c r="AA11" i="7" s="1"/>
  <c r="AA13" i="7" s="1"/>
  <c r="AC11" i="7" s="1"/>
  <c r="AC13" i="7" s="1"/>
  <c r="AE11" i="7" s="1"/>
  <c r="AE13" i="7" s="1"/>
  <c r="AG11" i="7" s="1"/>
  <c r="AG13" i="7" s="1"/>
  <c r="AI11" i="7" s="1"/>
  <c r="AI13" i="7" s="1"/>
  <c r="AK11" i="7" s="1"/>
  <c r="AK13" i="7" s="1"/>
  <c r="AM11" i="7" s="1"/>
  <c r="AM13" i="7" s="1"/>
  <c r="AO11" i="7" s="1"/>
  <c r="AO13" i="7" s="1"/>
  <c r="AQ11" i="7" s="1"/>
  <c r="AQ13" i="7" s="1"/>
  <c r="AS11" i="7" s="1"/>
  <c r="AS13" i="7" s="1"/>
  <c r="AU11" i="7" s="1"/>
  <c r="AU13" i="7" s="1"/>
  <c r="AW11" i="7" s="1"/>
  <c r="AW13" i="7" s="1"/>
  <c r="AY11" i="7" s="1"/>
  <c r="AY13" i="7" s="1"/>
  <c r="BA11" i="7" s="1"/>
  <c r="BA13" i="7" s="1"/>
  <c r="BC11" i="7" s="1"/>
  <c r="BC13" i="7" s="1"/>
  <c r="BE11" i="7" s="1"/>
  <c r="BE13" i="7" s="1"/>
  <c r="BG11" i="7" s="1"/>
  <c r="BG13" i="7" s="1"/>
  <c r="BI11" i="7" s="1"/>
  <c r="BI13" i="7" s="1"/>
  <c r="BK11" i="7" s="1"/>
  <c r="BK13" i="7" s="1"/>
  <c r="BM11" i="7" s="1"/>
  <c r="BM13" i="7" s="1"/>
  <c r="BO11" i="7" s="1"/>
  <c r="BO13" i="7" s="1"/>
  <c r="O19" i="1"/>
  <c r="Q19" i="1" s="1"/>
  <c r="O22" i="1"/>
  <c r="Q22" i="1" s="1"/>
  <c r="H20" i="2"/>
  <c r="O21" i="3"/>
  <c r="E34" i="2"/>
  <c r="E26" i="4" s="1"/>
  <c r="E24" i="2"/>
  <c r="E16" i="4" s="1"/>
  <c r="O34" i="3"/>
  <c r="O39" i="3"/>
  <c r="M21" i="1"/>
  <c r="P21" i="1" s="1"/>
  <c r="O21" i="1"/>
  <c r="Q21" i="1" s="1"/>
  <c r="H21" i="2"/>
  <c r="E58" i="2"/>
  <c r="E50" i="4" s="1"/>
  <c r="N52" i="3"/>
  <c r="O37" i="3"/>
  <c r="O57" i="3"/>
  <c r="E29" i="2"/>
  <c r="E21" i="4" s="1"/>
  <c r="E43" i="2"/>
  <c r="E35" i="4" s="1"/>
  <c r="E30" i="2"/>
  <c r="E22" i="4" s="1"/>
  <c r="O23" i="3"/>
  <c r="O56" i="3"/>
  <c r="N31" i="3"/>
  <c r="E35" i="2"/>
  <c r="E27" i="4" s="1"/>
  <c r="E45" i="2"/>
  <c r="E37" i="4" s="1"/>
  <c r="N20" i="3"/>
  <c r="O31" i="3"/>
  <c r="L27" i="3"/>
  <c r="N35" i="3"/>
  <c r="N51" i="3"/>
  <c r="L55" i="3"/>
  <c r="N46" i="3"/>
  <c r="N25" i="3"/>
  <c r="N43" i="3"/>
  <c r="N30" i="3"/>
  <c r="O29" i="3"/>
  <c r="O52" i="3"/>
  <c r="O49" i="3"/>
  <c r="L42" i="3"/>
  <c r="N58" i="3"/>
  <c r="E50" i="2"/>
  <c r="E42" i="4" s="1"/>
  <c r="E56" i="2"/>
  <c r="E48" i="4" s="1"/>
  <c r="O26" i="3"/>
  <c r="O45" i="3"/>
  <c r="O25" i="3"/>
  <c r="O30" i="3"/>
  <c r="O53" i="3"/>
  <c r="O41" i="3"/>
  <c r="N53" i="3"/>
  <c r="L40" i="3"/>
  <c r="F21" i="1"/>
  <c r="C101" i="7" s="1"/>
  <c r="N45" i="3"/>
  <c r="O27" i="3"/>
  <c r="O19" i="3"/>
  <c r="O50" i="3"/>
  <c r="O38" i="3"/>
  <c r="M20" i="1"/>
  <c r="P20" i="1" s="1"/>
  <c r="O24" i="1"/>
  <c r="Q24" i="1" s="1"/>
  <c r="E42" i="2"/>
  <c r="E34" i="4" s="1"/>
  <c r="E25" i="2"/>
  <c r="E17" i="4" s="1"/>
  <c r="U1" i="7"/>
  <c r="O22" i="3"/>
  <c r="O48" i="3"/>
  <c r="O33" i="3"/>
  <c r="O36" i="3"/>
  <c r="F29" i="4"/>
  <c r="F13" i="4"/>
  <c r="O20" i="3"/>
  <c r="O40" i="3"/>
  <c r="F33" i="4"/>
  <c r="O24" i="3"/>
  <c r="F17" i="4"/>
  <c r="F40" i="4"/>
  <c r="O47" i="3"/>
  <c r="N26" i="3"/>
  <c r="E27" i="2"/>
  <c r="E19" i="4" s="1"/>
  <c r="N39" i="3"/>
  <c r="E40" i="2"/>
  <c r="E32" i="4" s="1"/>
  <c r="K9" i="7"/>
  <c r="AA9" i="7"/>
  <c r="O44" i="3"/>
  <c r="F37" i="4"/>
  <c r="O28" i="3"/>
  <c r="F21" i="4"/>
  <c r="O51" i="3"/>
  <c r="F44" i="4"/>
  <c r="O32" i="3"/>
  <c r="F25" i="4"/>
  <c r="O55" i="3"/>
  <c r="F48" i="4"/>
  <c r="S9" i="7"/>
  <c r="I9" i="7"/>
  <c r="E33" i="2"/>
  <c r="E25" i="4" s="1"/>
  <c r="E49" i="2"/>
  <c r="E41" i="4" s="1"/>
  <c r="E28" i="2"/>
  <c r="E20" i="4" s="1"/>
  <c r="O54" i="3"/>
  <c r="AX44" i="2"/>
  <c r="AY48" i="2"/>
  <c r="AY52" i="2"/>
  <c r="AX48" i="2"/>
  <c r="AX52" i="2"/>
  <c r="AY56" i="2"/>
  <c r="AX56" i="2"/>
  <c r="AY57" i="2"/>
  <c r="H19" i="1"/>
  <c r="E9" i="7"/>
  <c r="E39" i="2"/>
  <c r="E31" i="4" s="1"/>
  <c r="E55" i="2"/>
  <c r="E47" i="4" s="1"/>
  <c r="O35" i="3"/>
  <c r="N37" i="3"/>
  <c r="F51" i="4"/>
  <c r="BA46" i="2"/>
  <c r="BA50" i="2"/>
  <c r="AZ46" i="2"/>
  <c r="AZ50" i="2"/>
  <c r="BA54" i="2"/>
  <c r="AZ54" i="2"/>
  <c r="BA58" i="2"/>
  <c r="BA59" i="2"/>
  <c r="AY43" i="2"/>
  <c r="AX47" i="2"/>
  <c r="AX51" i="2"/>
  <c r="AY47" i="2"/>
  <c r="AY51" i="2"/>
  <c r="AX55" i="2"/>
  <c r="AY55" i="2"/>
  <c r="AG9" i="7"/>
  <c r="C44" i="2" l="1"/>
  <c r="C36" i="4" s="1"/>
  <c r="W1" i="7"/>
  <c r="L56" i="3"/>
  <c r="L28" i="3"/>
  <c r="L39" i="3"/>
  <c r="L48" i="3"/>
  <c r="C37" i="2"/>
  <c r="C29" i="4" s="1"/>
  <c r="R31" i="1"/>
  <c r="R35" i="1"/>
  <c r="S35" i="1" s="1"/>
  <c r="R39" i="1"/>
  <c r="S39" i="1" s="1"/>
  <c r="R43" i="1"/>
  <c r="S43" i="1" s="1"/>
  <c r="R47" i="1"/>
  <c r="S47" i="1" s="1"/>
  <c r="R26" i="1"/>
  <c r="S26" i="1" s="1"/>
  <c r="R25" i="1"/>
  <c r="S25" i="1" s="1"/>
  <c r="R28" i="1"/>
  <c r="S28" i="1" s="1"/>
  <c r="R32" i="1"/>
  <c r="S32" i="1" s="1"/>
  <c r="R36" i="1"/>
  <c r="S36" i="1" s="1"/>
  <c r="R40" i="1"/>
  <c r="S40" i="1" s="1"/>
  <c r="R44" i="1"/>
  <c r="S44" i="1" s="1"/>
  <c r="R48" i="1"/>
  <c r="R22" i="1"/>
  <c r="S22" i="1" s="1"/>
  <c r="R29" i="1"/>
  <c r="S29" i="1" s="1"/>
  <c r="R33" i="1"/>
  <c r="S33" i="1" s="1"/>
  <c r="R37" i="1"/>
  <c r="S37" i="1" s="1"/>
  <c r="R41" i="1"/>
  <c r="S41" i="1" s="1"/>
  <c r="R45" i="1"/>
  <c r="S45" i="1" s="1"/>
  <c r="R49" i="1"/>
  <c r="S49" i="1" s="1"/>
  <c r="R24" i="1"/>
  <c r="S24" i="1" s="1"/>
  <c r="R30" i="1"/>
  <c r="S30" i="1" s="1"/>
  <c r="R34" i="1"/>
  <c r="S34" i="1" s="1"/>
  <c r="R38" i="1"/>
  <c r="S38" i="1" s="1"/>
  <c r="R42" i="1"/>
  <c r="R46" i="1"/>
  <c r="R50" i="1"/>
  <c r="S50" i="1" s="1"/>
  <c r="R27" i="1"/>
  <c r="S27" i="1" s="1"/>
  <c r="R23" i="1"/>
  <c r="S23" i="1" s="1"/>
  <c r="S31" i="1"/>
  <c r="S42" i="1"/>
  <c r="S46" i="1"/>
  <c r="S48" i="1"/>
  <c r="C58" i="2"/>
  <c r="C50" i="4" s="1"/>
  <c r="C32" i="2"/>
  <c r="C24" i="4" s="1"/>
  <c r="L50" i="3"/>
  <c r="L23" i="3"/>
  <c r="C52" i="2"/>
  <c r="C44" i="4" s="1"/>
  <c r="C1601" i="7"/>
  <c r="BA1" i="7"/>
  <c r="L43" i="3"/>
  <c r="C53" i="2"/>
  <c r="C45" i="4" s="1"/>
  <c r="L58" i="3"/>
  <c r="C35" i="2"/>
  <c r="C27" i="4" s="1"/>
  <c r="C451" i="7"/>
  <c r="L51" i="3"/>
  <c r="L29" i="3"/>
  <c r="C501" i="7"/>
  <c r="C23" i="2"/>
  <c r="C15" i="4" s="1"/>
  <c r="C151" i="7"/>
  <c r="L49" i="3"/>
  <c r="L30" i="3"/>
  <c r="C551" i="7"/>
  <c r="L33" i="3"/>
  <c r="C701" i="7"/>
  <c r="C39" i="2"/>
  <c r="C31" i="4" s="1"/>
  <c r="C951" i="7"/>
  <c r="C25" i="2"/>
  <c r="C17" i="4" s="1"/>
  <c r="C251" i="7"/>
  <c r="AI1" i="7"/>
  <c r="C751" i="7"/>
  <c r="C27" i="2"/>
  <c r="C19" i="4" s="1"/>
  <c r="C351" i="7"/>
  <c r="L31" i="3"/>
  <c r="C601" i="7"/>
  <c r="L32" i="3"/>
  <c r="C651" i="7"/>
  <c r="L35" i="3"/>
  <c r="BM1" i="7"/>
  <c r="C24" i="2"/>
  <c r="C16" i="4" s="1"/>
  <c r="C201" i="7"/>
  <c r="C26" i="2"/>
  <c r="C18" i="4" s="1"/>
  <c r="C301" i="7"/>
  <c r="C50" i="2"/>
  <c r="C42" i="4" s="1"/>
  <c r="L38" i="3"/>
  <c r="AQ1" i="7"/>
  <c r="C51" i="2"/>
  <c r="C43" i="4" s="1"/>
  <c r="BO1" i="7"/>
  <c r="C48" i="2"/>
  <c r="C40" i="4" s="1"/>
  <c r="BI1" i="7"/>
  <c r="L36" i="3"/>
  <c r="AM1" i="7"/>
  <c r="L44" i="3"/>
  <c r="BC1" i="7"/>
  <c r="C40" i="2"/>
  <c r="C32" i="4" s="1"/>
  <c r="AS1" i="7"/>
  <c r="C38" i="2"/>
  <c r="C30" i="4" s="1"/>
  <c r="AO1" i="7"/>
  <c r="C36" i="2"/>
  <c r="C28" i="4" s="1"/>
  <c r="AK1" i="7"/>
  <c r="C49" i="2"/>
  <c r="C41" i="4" s="1"/>
  <c r="BK1" i="7"/>
  <c r="L25" i="3"/>
  <c r="C42" i="2"/>
  <c r="C34" i="4" s="1"/>
  <c r="AW1" i="7"/>
  <c r="L46" i="3"/>
  <c r="BG1" i="7"/>
  <c r="L45" i="3"/>
  <c r="BE1" i="7"/>
  <c r="AI12" i="7"/>
  <c r="AK10" i="7" s="1"/>
  <c r="AK12" i="7" s="1"/>
  <c r="AM10" i="7" s="1"/>
  <c r="AM12" i="7" s="1"/>
  <c r="AO10" i="7" s="1"/>
  <c r="AO12" i="7" s="1"/>
  <c r="AQ10" i="7" s="1"/>
  <c r="AQ12" i="7" s="1"/>
  <c r="AS10" i="7" s="1"/>
  <c r="AS12" i="7" s="1"/>
  <c r="AU10" i="7" s="1"/>
  <c r="AU12" i="7" s="1"/>
  <c r="AW10" i="7" s="1"/>
  <c r="AW12" i="7" s="1"/>
  <c r="AY10" i="7" s="1"/>
  <c r="AY12" i="7" s="1"/>
  <c r="BA10" i="7" s="1"/>
  <c r="BA12" i="7" s="1"/>
  <c r="BC10" i="7" s="1"/>
  <c r="BC12" i="7" s="1"/>
  <c r="BE10" i="7" s="1"/>
  <c r="BE12" i="7" s="1"/>
  <c r="BG10" i="7" s="1"/>
  <c r="BG12" i="7" s="1"/>
  <c r="BI10" i="7" s="1"/>
  <c r="BI12" i="7" s="1"/>
  <c r="BK10" i="7" s="1"/>
  <c r="BK12" i="7" s="1"/>
  <c r="BM10" i="7" s="1"/>
  <c r="BM12" i="7" s="1"/>
  <c r="BO10" i="7" s="1"/>
  <c r="BO12" i="7" s="1"/>
  <c r="C45" i="2"/>
  <c r="C37" i="4" s="1"/>
  <c r="L41" i="3"/>
  <c r="Y1" i="7"/>
  <c r="L22" i="3"/>
  <c r="C34" i="2"/>
  <c r="C26" i="4" s="1"/>
  <c r="C54" i="2"/>
  <c r="C46" i="4" s="1"/>
  <c r="L37" i="3"/>
  <c r="R21" i="1"/>
  <c r="S21" i="1" s="1"/>
  <c r="R20" i="1"/>
  <c r="S20" i="1" s="1"/>
  <c r="K1" i="7"/>
  <c r="AG1" i="7"/>
  <c r="C4" i="3"/>
  <c r="R19" i="1"/>
  <c r="C46" i="2"/>
  <c r="C38" i="4" s="1"/>
  <c r="C30" i="2"/>
  <c r="C22" i="4" s="1"/>
  <c r="L26" i="3"/>
  <c r="S1" i="7"/>
  <c r="O1" i="7"/>
  <c r="L24" i="3"/>
  <c r="AA1" i="7"/>
  <c r="C31" i="2"/>
  <c r="C23" i="4" s="1"/>
  <c r="C20" i="1"/>
  <c r="E1" i="7"/>
  <c r="F20" i="1"/>
  <c r="C51" i="7" s="1"/>
  <c r="I1" i="7"/>
  <c r="L21" i="3"/>
  <c r="C22" i="2"/>
  <c r="C14" i="4" s="1"/>
  <c r="E20" i="2"/>
  <c r="E12" i="4" s="1"/>
  <c r="N19" i="3"/>
  <c r="I11" i="1" l="1"/>
  <c r="F9" i="2" s="1"/>
  <c r="S6" i="3"/>
  <c r="I14" i="2"/>
  <c r="J14" i="2" s="1"/>
  <c r="C19" i="1"/>
  <c r="I13" i="2" s="1"/>
  <c r="G1" i="7"/>
  <c r="C21" i="2"/>
  <c r="C13" i="4" s="1"/>
  <c r="L20" i="3"/>
  <c r="C21" i="1" l="1"/>
  <c r="P56" i="3" s="1"/>
  <c r="C3" i="3"/>
  <c r="C10" i="3" s="1"/>
  <c r="C12" i="3" s="1"/>
  <c r="P57" i="3" l="1"/>
  <c r="P58" i="3"/>
  <c r="P38" i="3"/>
  <c r="P39" i="3"/>
  <c r="P51" i="3"/>
  <c r="P49" i="3"/>
  <c r="P55" i="3"/>
  <c r="P52" i="3"/>
  <c r="P47" i="3"/>
  <c r="P48" i="3"/>
  <c r="P45" i="3"/>
  <c r="P50" i="3"/>
  <c r="P53" i="3"/>
  <c r="P54" i="3"/>
  <c r="P36" i="3"/>
  <c r="P42" i="3"/>
  <c r="P41" i="3"/>
  <c r="P37" i="3"/>
  <c r="P43" i="3"/>
  <c r="P30" i="3"/>
  <c r="P40" i="3"/>
  <c r="P44" i="3"/>
  <c r="P27" i="3"/>
  <c r="P33" i="3"/>
  <c r="P46" i="3"/>
  <c r="P23" i="3"/>
  <c r="P20" i="3"/>
  <c r="P21" i="3"/>
  <c r="P22" i="3"/>
  <c r="P35" i="3"/>
  <c r="P31" i="3"/>
  <c r="P24" i="3"/>
  <c r="P26" i="3"/>
  <c r="P29" i="3"/>
  <c r="P19" i="3"/>
  <c r="P32" i="3"/>
  <c r="P28" i="3"/>
  <c r="P25" i="3"/>
  <c r="P34" i="3"/>
  <c r="C8" i="3"/>
  <c r="C5" i="3"/>
  <c r="C9" i="3" s="1"/>
  <c r="C11" i="3" l="1"/>
  <c r="R15" i="3" s="1"/>
  <c r="C32" i="3"/>
  <c r="C31" i="3"/>
  <c r="C30" i="3"/>
  <c r="C33" i="3"/>
  <c r="C26" i="3"/>
  <c r="R26" i="3" s="1"/>
  <c r="C23" i="3"/>
  <c r="C25" i="3"/>
  <c r="C21" i="3"/>
  <c r="R21" i="3" s="1"/>
  <c r="C29" i="3"/>
  <c r="C28" i="3"/>
  <c r="C24" i="3"/>
  <c r="C22" i="3"/>
  <c r="R22" i="3" s="1"/>
  <c r="C19" i="3"/>
  <c r="R19" i="3" s="1"/>
  <c r="C20" i="3"/>
  <c r="C27" i="3"/>
  <c r="D28" i="3" l="1"/>
  <c r="F28" i="3" s="1"/>
  <c r="D20" i="3"/>
  <c r="E20" i="3" s="1"/>
  <c r="D25" i="3"/>
  <c r="F25" i="3" s="1"/>
  <c r="R32" i="3"/>
  <c r="D32" i="3"/>
  <c r="D27" i="3"/>
  <c r="F27" i="3" s="1"/>
  <c r="D30" i="3"/>
  <c r="R30" i="3"/>
  <c r="D31" i="3"/>
  <c r="R31" i="3"/>
  <c r="D29" i="3"/>
  <c r="E29" i="3" s="1"/>
  <c r="D24" i="3"/>
  <c r="E24" i="3" s="1"/>
  <c r="D23" i="3"/>
  <c r="F23" i="3" s="1"/>
  <c r="D33" i="3"/>
  <c r="R33" i="3"/>
  <c r="D26" i="3"/>
  <c r="F26" i="3" s="1"/>
  <c r="R23" i="3"/>
  <c r="T23" i="3" s="1"/>
  <c r="R25" i="3"/>
  <c r="S25" i="3" s="1"/>
  <c r="D21" i="3"/>
  <c r="E21" i="3" s="1"/>
  <c r="D22" i="3"/>
  <c r="F22" i="3" s="1"/>
  <c r="R29" i="3"/>
  <c r="S29" i="3" s="1"/>
  <c r="R27" i="3"/>
  <c r="S27" i="3" s="1"/>
  <c r="R28" i="3"/>
  <c r="S28" i="3" s="1"/>
  <c r="R24" i="3"/>
  <c r="T24" i="3" s="1"/>
  <c r="D19" i="3"/>
  <c r="F19" i="3" s="1"/>
  <c r="R20" i="3"/>
  <c r="T20" i="3" s="1"/>
  <c r="S22" i="3"/>
  <c r="T22" i="3"/>
  <c r="T26" i="3"/>
  <c r="S26" i="3"/>
  <c r="S19" i="3"/>
  <c r="T19" i="3"/>
  <c r="S21" i="3"/>
  <c r="T21" i="3"/>
  <c r="E27" i="3" l="1"/>
  <c r="G27" i="3" s="1"/>
  <c r="H27" i="3" s="1"/>
  <c r="E28" i="3"/>
  <c r="G28" i="3" s="1"/>
  <c r="H28" i="3" s="1"/>
  <c r="F20" i="3"/>
  <c r="G20" i="3" s="1"/>
  <c r="H20" i="3" s="1"/>
  <c r="E25" i="3"/>
  <c r="G25" i="3" s="1"/>
  <c r="H25" i="3" s="1"/>
  <c r="E23" i="3"/>
  <c r="G23" i="3" s="1"/>
  <c r="H23" i="3" s="1"/>
  <c r="F24" i="3"/>
  <c r="G24" i="3" s="1"/>
  <c r="H24" i="3" s="1"/>
  <c r="F29" i="3"/>
  <c r="G29" i="3" s="1"/>
  <c r="H29" i="3" s="1"/>
  <c r="E33" i="3"/>
  <c r="F33" i="3"/>
  <c r="T31" i="3"/>
  <c r="S31" i="3"/>
  <c r="E31" i="3"/>
  <c r="F31" i="3"/>
  <c r="S30" i="3"/>
  <c r="T30" i="3"/>
  <c r="S33" i="3"/>
  <c r="T33" i="3"/>
  <c r="E30" i="3"/>
  <c r="F30" i="3"/>
  <c r="E32" i="3"/>
  <c r="F32" i="3"/>
  <c r="T32" i="3"/>
  <c r="S32" i="3"/>
  <c r="E26" i="3"/>
  <c r="G26" i="3" s="1"/>
  <c r="H26" i="3" s="1"/>
  <c r="S24" i="3"/>
  <c r="U24" i="3" s="1"/>
  <c r="V24" i="3" s="1"/>
  <c r="T25" i="3"/>
  <c r="U25" i="3" s="1"/>
  <c r="V25" i="3" s="1"/>
  <c r="S23" i="3"/>
  <c r="U23" i="3" s="1"/>
  <c r="V23" i="3" s="1"/>
  <c r="F21" i="3"/>
  <c r="G21" i="3" s="1"/>
  <c r="H21" i="3" s="1"/>
  <c r="T28" i="3"/>
  <c r="U28" i="3" s="1"/>
  <c r="V28" i="3" s="1"/>
  <c r="S20" i="3"/>
  <c r="U20" i="3" s="1"/>
  <c r="V20" i="3" s="1"/>
  <c r="E22" i="3"/>
  <c r="G22" i="3" s="1"/>
  <c r="H22" i="3" s="1"/>
  <c r="T27" i="3"/>
  <c r="U27" i="3" s="1"/>
  <c r="V27" i="3" s="1"/>
  <c r="T29" i="3"/>
  <c r="U29" i="3" s="1"/>
  <c r="V29" i="3" s="1"/>
  <c r="E19" i="3"/>
  <c r="G19" i="3" s="1"/>
  <c r="H19" i="3" s="1"/>
  <c r="U21" i="3"/>
  <c r="V21" i="3" s="1"/>
  <c r="U19" i="3"/>
  <c r="V19" i="3" s="1"/>
  <c r="U22" i="3"/>
  <c r="V22" i="3" s="1"/>
  <c r="U26" i="3"/>
  <c r="V26" i="3" s="1"/>
  <c r="BA4" i="7" l="1"/>
  <c r="AW4" i="7"/>
  <c r="AO4" i="7"/>
  <c r="AS4" i="7"/>
  <c r="BK4" i="7"/>
  <c r="BG4" i="7"/>
  <c r="BC4" i="7"/>
  <c r="AM4" i="7"/>
  <c r="AI4" i="7"/>
  <c r="BI4" i="7"/>
  <c r="AY4" i="7"/>
  <c r="AK4" i="7"/>
  <c r="BM4" i="7"/>
  <c r="AU4" i="7"/>
  <c r="BE4" i="7"/>
  <c r="AQ4" i="7"/>
  <c r="BO4" i="7"/>
  <c r="U30" i="3"/>
  <c r="V30" i="3" s="1"/>
  <c r="G31" i="3"/>
  <c r="H31" i="3" s="1"/>
  <c r="W19" i="3"/>
  <c r="G32" i="3"/>
  <c r="H32" i="3" s="1"/>
  <c r="G33" i="3"/>
  <c r="H33" i="3" s="1"/>
  <c r="W16" i="2" s="1"/>
  <c r="G30" i="3"/>
  <c r="H30" i="3" s="1"/>
  <c r="U33" i="3"/>
  <c r="V33" i="3" s="1"/>
  <c r="U32" i="3"/>
  <c r="V32" i="3" s="1"/>
  <c r="U31" i="3"/>
  <c r="V31" i="3" s="1"/>
  <c r="E4" i="7"/>
  <c r="Y4" i="7"/>
  <c r="AC4" i="7"/>
  <c r="AA4" i="7"/>
  <c r="G4" i="7"/>
  <c r="U4" i="7"/>
  <c r="O4" i="7"/>
  <c r="I4" i="7"/>
  <c r="Q4" i="7"/>
  <c r="AE4" i="7"/>
  <c r="M4" i="7"/>
  <c r="S4" i="7"/>
  <c r="K4" i="7"/>
  <c r="AG4" i="7"/>
  <c r="W4" i="7"/>
  <c r="M57" i="2"/>
  <c r="M40" i="2"/>
  <c r="M46" i="2"/>
  <c r="M38" i="2"/>
  <c r="M59" i="2"/>
  <c r="M41" i="2"/>
  <c r="M44" i="2"/>
  <c r="M48" i="2"/>
  <c r="M36" i="2"/>
  <c r="M50" i="2"/>
  <c r="M42" i="2"/>
  <c r="M51" i="2"/>
  <c r="M53" i="2"/>
  <c r="M35" i="2"/>
  <c r="M39" i="2"/>
  <c r="M49" i="2"/>
  <c r="M54" i="2"/>
  <c r="M33" i="2"/>
  <c r="M43" i="2"/>
  <c r="M45" i="2"/>
  <c r="M34" i="2"/>
  <c r="M55" i="2"/>
  <c r="M56" i="2"/>
  <c r="M47" i="2"/>
  <c r="M52" i="2"/>
  <c r="M58" i="2"/>
  <c r="M37" i="2"/>
  <c r="K25" i="2"/>
  <c r="K48" i="2"/>
  <c r="K33" i="2"/>
  <c r="K59" i="2"/>
  <c r="K41" i="2"/>
  <c r="K43" i="2"/>
  <c r="K55" i="2"/>
  <c r="K54" i="2"/>
  <c r="K51" i="2"/>
  <c r="K56" i="2"/>
  <c r="K36" i="2"/>
  <c r="K53" i="2"/>
  <c r="K35" i="2"/>
  <c r="K47" i="2"/>
  <c r="K34" i="2"/>
  <c r="K37" i="2"/>
  <c r="K39" i="2"/>
  <c r="K52" i="2"/>
  <c r="K46" i="2"/>
  <c r="K45" i="2"/>
  <c r="K58" i="2"/>
  <c r="K44" i="2"/>
  <c r="K57" i="2"/>
  <c r="K42" i="2"/>
  <c r="K38" i="2"/>
  <c r="K49" i="2"/>
  <c r="K40" i="2"/>
  <c r="K50" i="2"/>
  <c r="Q52" i="2"/>
  <c r="Q56" i="2"/>
  <c r="Q40" i="2"/>
  <c r="Q51" i="2"/>
  <c r="Q41" i="2"/>
  <c r="Q59" i="2"/>
  <c r="Q55" i="2"/>
  <c r="Q48" i="2"/>
  <c r="Q45" i="2"/>
  <c r="Q35" i="2"/>
  <c r="Q58" i="2"/>
  <c r="Q44" i="2"/>
  <c r="Q46" i="2"/>
  <c r="Q42" i="2"/>
  <c r="Q43" i="2"/>
  <c r="Q57" i="2"/>
  <c r="Q50" i="2"/>
  <c r="Q39" i="2"/>
  <c r="Q54" i="2"/>
  <c r="Q33" i="2"/>
  <c r="Q53" i="2"/>
  <c r="Q36" i="2"/>
  <c r="Q34" i="2"/>
  <c r="Q49" i="2"/>
  <c r="Q47" i="2"/>
  <c r="Q37" i="2"/>
  <c r="Q38" i="2"/>
  <c r="P44" i="2"/>
  <c r="P38" i="2"/>
  <c r="P46" i="2"/>
  <c r="P53" i="2"/>
  <c r="P45" i="2"/>
  <c r="P55" i="2"/>
  <c r="P34" i="2"/>
  <c r="P37" i="2"/>
  <c r="P50" i="2"/>
  <c r="P58" i="2"/>
  <c r="P43" i="2"/>
  <c r="P57" i="2"/>
  <c r="P33" i="2"/>
  <c r="P35" i="2"/>
  <c r="P49" i="2"/>
  <c r="P40" i="2"/>
  <c r="P48" i="2"/>
  <c r="P42" i="2"/>
  <c r="P51" i="2"/>
  <c r="P36" i="2"/>
  <c r="P41" i="2"/>
  <c r="P54" i="2"/>
  <c r="P52" i="2"/>
  <c r="P59" i="2"/>
  <c r="P56" i="2"/>
  <c r="P39" i="2"/>
  <c r="P47" i="2"/>
  <c r="S48" i="2"/>
  <c r="S47" i="2"/>
  <c r="S34" i="2"/>
  <c r="S39" i="2"/>
  <c r="S58" i="2"/>
  <c r="S56" i="2"/>
  <c r="S54" i="2"/>
  <c r="S59" i="2"/>
  <c r="S55" i="2"/>
  <c r="S44" i="2"/>
  <c r="S50" i="2"/>
  <c r="S37" i="2"/>
  <c r="S42" i="2"/>
  <c r="S38" i="2"/>
  <c r="S41" i="2"/>
  <c r="S35" i="2"/>
  <c r="S46" i="2"/>
  <c r="S51" i="2"/>
  <c r="S53" i="2"/>
  <c r="S33" i="2"/>
  <c r="S52" i="2"/>
  <c r="S40" i="2"/>
  <c r="S36" i="2"/>
  <c r="S43" i="2"/>
  <c r="S57" i="2"/>
  <c r="S45" i="2"/>
  <c r="S49" i="2"/>
  <c r="L59" i="2"/>
  <c r="H51" i="4" s="1"/>
  <c r="I51" i="4" s="1"/>
  <c r="L37" i="2"/>
  <c r="H29" i="4" s="1"/>
  <c r="I29" i="4" s="1"/>
  <c r="L49" i="2"/>
  <c r="H41" i="4" s="1"/>
  <c r="I41" i="4" s="1"/>
  <c r="L53" i="2"/>
  <c r="H45" i="4" s="1"/>
  <c r="I45" i="4" s="1"/>
  <c r="L42" i="2"/>
  <c r="L38" i="2"/>
  <c r="L50" i="2"/>
  <c r="L52" i="2"/>
  <c r="L35" i="2"/>
  <c r="L46" i="2"/>
  <c r="L47" i="2"/>
  <c r="L54" i="2"/>
  <c r="L33" i="2"/>
  <c r="L36" i="2"/>
  <c r="H28" i="4" s="1"/>
  <c r="I28" i="4" s="1"/>
  <c r="L58" i="2"/>
  <c r="L43" i="2"/>
  <c r="L45" i="2"/>
  <c r="L51" i="2"/>
  <c r="L44" i="2"/>
  <c r="L40" i="2"/>
  <c r="L48" i="2"/>
  <c r="L34" i="2"/>
  <c r="L55" i="2"/>
  <c r="H47" i="4" s="1"/>
  <c r="I47" i="4" s="1"/>
  <c r="L56" i="2"/>
  <c r="L39" i="2"/>
  <c r="L57" i="2"/>
  <c r="H49" i="4" s="1"/>
  <c r="I49" i="4" s="1"/>
  <c r="L41" i="2"/>
  <c r="H33" i="4" s="1"/>
  <c r="I33" i="4" s="1"/>
  <c r="I49" i="2"/>
  <c r="I59" i="2"/>
  <c r="I53" i="2"/>
  <c r="I52" i="2"/>
  <c r="I35" i="2"/>
  <c r="I34" i="2"/>
  <c r="I40" i="2"/>
  <c r="I33" i="2"/>
  <c r="I37" i="2"/>
  <c r="I38" i="2"/>
  <c r="I42" i="2"/>
  <c r="I41" i="2"/>
  <c r="I51" i="2"/>
  <c r="I50" i="2"/>
  <c r="I45" i="2"/>
  <c r="I44" i="2"/>
  <c r="I54" i="2"/>
  <c r="I48" i="2"/>
  <c r="I58" i="2"/>
  <c r="I57" i="2"/>
  <c r="I56" i="2"/>
  <c r="I55" i="2"/>
  <c r="I43" i="2"/>
  <c r="I47" i="2"/>
  <c r="I36" i="2"/>
  <c r="I46" i="2"/>
  <c r="I39" i="2"/>
  <c r="O49" i="2"/>
  <c r="O55" i="2"/>
  <c r="O42" i="2"/>
  <c r="O56" i="2"/>
  <c r="O35" i="2"/>
  <c r="O34" i="2"/>
  <c r="O40" i="2"/>
  <c r="O57" i="2"/>
  <c r="O39" i="2"/>
  <c r="O52" i="2"/>
  <c r="O33" i="2"/>
  <c r="O46" i="2"/>
  <c r="O47" i="2"/>
  <c r="O37" i="2"/>
  <c r="O58" i="2"/>
  <c r="O36" i="2"/>
  <c r="O54" i="2"/>
  <c r="O38" i="2"/>
  <c r="O43" i="2"/>
  <c r="O59" i="2"/>
  <c r="O50" i="2"/>
  <c r="O48" i="2"/>
  <c r="O41" i="2"/>
  <c r="O44" i="2"/>
  <c r="O45" i="2"/>
  <c r="O53" i="2"/>
  <c r="O51" i="2"/>
  <c r="J55" i="2"/>
  <c r="J45" i="2"/>
  <c r="J35" i="2"/>
  <c r="J52" i="2"/>
  <c r="J53" i="2"/>
  <c r="J38" i="2"/>
  <c r="J33" i="2"/>
  <c r="J59" i="2"/>
  <c r="J54" i="2"/>
  <c r="J44" i="2"/>
  <c r="J39" i="2"/>
  <c r="J56" i="2"/>
  <c r="J46" i="2"/>
  <c r="J36" i="2"/>
  <c r="J47" i="2"/>
  <c r="J37" i="2"/>
  <c r="J49" i="2"/>
  <c r="J50" i="2"/>
  <c r="J40" i="2"/>
  <c r="J57" i="2"/>
  <c r="J58" i="2"/>
  <c r="J48" i="2"/>
  <c r="J34" i="2"/>
  <c r="J51" i="2"/>
  <c r="J41" i="2"/>
  <c r="J42" i="2"/>
  <c r="J43" i="2"/>
  <c r="N46" i="2"/>
  <c r="N57" i="2"/>
  <c r="N33" i="2"/>
  <c r="N49" i="2"/>
  <c r="N50" i="2"/>
  <c r="N42" i="2"/>
  <c r="N40" i="2"/>
  <c r="N56" i="2"/>
  <c r="N47" i="2"/>
  <c r="N54" i="2"/>
  <c r="N41" i="2"/>
  <c r="N38" i="2"/>
  <c r="N34" i="2"/>
  <c r="N53" i="2"/>
  <c r="N44" i="2"/>
  <c r="N35" i="2"/>
  <c r="N51" i="2"/>
  <c r="N39" i="2"/>
  <c r="N58" i="2"/>
  <c r="N59" i="2"/>
  <c r="N45" i="2"/>
  <c r="N36" i="2"/>
  <c r="N43" i="2"/>
  <c r="N37" i="2"/>
  <c r="N55" i="2"/>
  <c r="N52" i="2"/>
  <c r="N48" i="2"/>
  <c r="R24" i="2"/>
  <c r="R59" i="2"/>
  <c r="R45" i="2"/>
  <c r="R54" i="2"/>
  <c r="R41" i="2"/>
  <c r="R52" i="2"/>
  <c r="R34" i="2"/>
  <c r="R46" i="2"/>
  <c r="R42" i="2"/>
  <c r="R51" i="2"/>
  <c r="R36" i="2"/>
  <c r="R47" i="2"/>
  <c r="R40" i="2"/>
  <c r="R44" i="2"/>
  <c r="R33" i="2"/>
  <c r="R56" i="2"/>
  <c r="R57" i="2"/>
  <c r="R35" i="2"/>
  <c r="R55" i="2"/>
  <c r="R38" i="2"/>
  <c r="R50" i="2"/>
  <c r="R37" i="2"/>
  <c r="R39" i="2"/>
  <c r="R53" i="2"/>
  <c r="R49" i="2"/>
  <c r="R58" i="2"/>
  <c r="R43" i="2"/>
  <c r="R48" i="2"/>
  <c r="K20" i="2"/>
  <c r="K24" i="2"/>
  <c r="K22" i="2"/>
  <c r="R23" i="2"/>
  <c r="K23" i="2"/>
  <c r="K21" i="2"/>
  <c r="R25" i="2"/>
  <c r="R22" i="2"/>
  <c r="O16" i="2"/>
  <c r="O29" i="2"/>
  <c r="O26" i="2"/>
  <c r="O27" i="2"/>
  <c r="O30" i="2"/>
  <c r="O28" i="2"/>
  <c r="O32" i="2"/>
  <c r="O31" i="2"/>
  <c r="R16" i="2"/>
  <c r="R26" i="2"/>
  <c r="R29" i="2"/>
  <c r="R31" i="2"/>
  <c r="R32" i="2"/>
  <c r="R28" i="2"/>
  <c r="R27" i="2"/>
  <c r="R30" i="2"/>
  <c r="Q32" i="2"/>
  <c r="Q29" i="2"/>
  <c r="Q31" i="2"/>
  <c r="Q27" i="2"/>
  <c r="Q30" i="2"/>
  <c r="Q26" i="2"/>
  <c r="Q28" i="2"/>
  <c r="I32" i="2"/>
  <c r="I31" i="2"/>
  <c r="I27" i="2"/>
  <c r="I28" i="2"/>
  <c r="I26" i="2"/>
  <c r="I29" i="2"/>
  <c r="I30" i="2"/>
  <c r="L20" i="2"/>
  <c r="L27" i="2"/>
  <c r="L28" i="2"/>
  <c r="L32" i="2"/>
  <c r="L31" i="2"/>
  <c r="L30" i="2"/>
  <c r="L26" i="2"/>
  <c r="L29" i="2"/>
  <c r="N29" i="2"/>
  <c r="N27" i="2"/>
  <c r="N30" i="2"/>
  <c r="N28" i="2"/>
  <c r="N26" i="2"/>
  <c r="N32" i="2"/>
  <c r="N31" i="2"/>
  <c r="S15" i="2"/>
  <c r="S28" i="2"/>
  <c r="S30" i="2"/>
  <c r="S27" i="2"/>
  <c r="S32" i="2"/>
  <c r="S31" i="2"/>
  <c r="S29" i="2"/>
  <c r="S26" i="2"/>
  <c r="K16" i="2"/>
  <c r="K30" i="2"/>
  <c r="K27" i="2"/>
  <c r="K29" i="2"/>
  <c r="K31" i="2"/>
  <c r="K28" i="2"/>
  <c r="K26" i="2"/>
  <c r="K32" i="2"/>
  <c r="M29" i="2"/>
  <c r="M27" i="2"/>
  <c r="M32" i="2"/>
  <c r="M26" i="2"/>
  <c r="M31" i="2"/>
  <c r="M28" i="2"/>
  <c r="M30" i="2"/>
  <c r="J28" i="2"/>
  <c r="J32" i="2"/>
  <c r="J30" i="2"/>
  <c r="J29" i="2"/>
  <c r="J31" i="2"/>
  <c r="J27" i="2"/>
  <c r="J26" i="2"/>
  <c r="P30" i="2"/>
  <c r="P27" i="2"/>
  <c r="P29" i="2"/>
  <c r="P26" i="2"/>
  <c r="P31" i="2"/>
  <c r="P28" i="2"/>
  <c r="P32" i="2"/>
  <c r="R20" i="2"/>
  <c r="R15" i="2"/>
  <c r="L15" i="2"/>
  <c r="R21" i="2"/>
  <c r="K15" i="2"/>
  <c r="L16" i="2"/>
  <c r="O15" i="2"/>
  <c r="S16" i="2"/>
  <c r="S20" i="2"/>
  <c r="S21" i="2"/>
  <c r="S22" i="2"/>
  <c r="S23" i="2"/>
  <c r="S25" i="2"/>
  <c r="S24" i="2"/>
  <c r="I24" i="2"/>
  <c r="I23" i="2"/>
  <c r="I21" i="2"/>
  <c r="I25" i="2"/>
  <c r="I22" i="2"/>
  <c r="M23" i="2"/>
  <c r="M25" i="2"/>
  <c r="M24" i="2"/>
  <c r="M21" i="2"/>
  <c r="M22" i="2"/>
  <c r="N24" i="2"/>
  <c r="N21" i="2"/>
  <c r="N25" i="2"/>
  <c r="N22" i="2"/>
  <c r="N23" i="2"/>
  <c r="O22" i="2"/>
  <c r="O21" i="2"/>
  <c r="O23" i="2"/>
  <c r="O25" i="2"/>
  <c r="O24" i="2"/>
  <c r="O20" i="2"/>
  <c r="Q25" i="2"/>
  <c r="Q23" i="2"/>
  <c r="Q22" i="2"/>
  <c r="Q21" i="2"/>
  <c r="Q24" i="2"/>
  <c r="J23" i="2"/>
  <c r="J25" i="2"/>
  <c r="J22" i="2"/>
  <c r="J24" i="2"/>
  <c r="J21" i="2"/>
  <c r="P22" i="2"/>
  <c r="P23" i="2"/>
  <c r="P25" i="2"/>
  <c r="P21" i="2"/>
  <c r="P24" i="2"/>
  <c r="L25" i="2"/>
  <c r="L24" i="2"/>
  <c r="L22" i="2"/>
  <c r="L23" i="2"/>
  <c r="L21" i="2"/>
  <c r="P15" i="2"/>
  <c r="P20" i="2"/>
  <c r="P16" i="2"/>
  <c r="M15" i="2"/>
  <c r="M20" i="2"/>
  <c r="M16" i="2"/>
  <c r="N15" i="2"/>
  <c r="N20" i="2"/>
  <c r="N16" i="2"/>
  <c r="Q15" i="2"/>
  <c r="Q20" i="2"/>
  <c r="Q16" i="2"/>
  <c r="J15" i="2"/>
  <c r="J20" i="2"/>
  <c r="J16" i="2"/>
  <c r="I15" i="2"/>
  <c r="I20" i="2"/>
  <c r="I16" i="2"/>
  <c r="H50" i="4" l="1"/>
  <c r="I50" i="4" s="1"/>
  <c r="H42" i="4"/>
  <c r="I42" i="4" s="1"/>
  <c r="H37" i="4"/>
  <c r="I37" i="4" s="1"/>
  <c r="H34" i="4"/>
  <c r="I34" i="4" s="1"/>
  <c r="H36" i="4"/>
  <c r="I36" i="4" s="1"/>
  <c r="H26" i="4"/>
  <c r="I26" i="4" s="1"/>
  <c r="H40" i="4"/>
  <c r="I40" i="4" s="1"/>
  <c r="H44" i="4"/>
  <c r="I44" i="4" s="1"/>
  <c r="H43" i="4"/>
  <c r="I43" i="4" s="1"/>
  <c r="H35" i="4"/>
  <c r="I35" i="4" s="1"/>
  <c r="W15" i="2"/>
  <c r="T15" i="2"/>
  <c r="T54" i="2"/>
  <c r="T53" i="2"/>
  <c r="T58" i="2"/>
  <c r="T51" i="2"/>
  <c r="T50" i="2"/>
  <c r="T56" i="2"/>
  <c r="T55" i="2"/>
  <c r="T52" i="2"/>
  <c r="T48" i="2"/>
  <c r="T49" i="2"/>
  <c r="T57" i="2"/>
  <c r="T59" i="2"/>
  <c r="AY6" i="7"/>
  <c r="AY7" i="7" s="1"/>
  <c r="AZ32" i="7" s="1"/>
  <c r="AY5" i="7"/>
  <c r="AY8" i="7" s="1"/>
  <c r="W20" i="2"/>
  <c r="W48" i="2"/>
  <c r="W53" i="2"/>
  <c r="W59" i="2"/>
  <c r="W50" i="2"/>
  <c r="W55" i="2"/>
  <c r="W57" i="2"/>
  <c r="W49" i="2"/>
  <c r="W56" i="2"/>
  <c r="W58" i="2"/>
  <c r="W51" i="2"/>
  <c r="W54" i="2"/>
  <c r="W52" i="2"/>
  <c r="BI5" i="7"/>
  <c r="BI8" i="7" s="1"/>
  <c r="BI6" i="7"/>
  <c r="BI7" i="7" s="1"/>
  <c r="BJ25" i="7" s="1"/>
  <c r="V52" i="2"/>
  <c r="V48" i="2"/>
  <c r="V57" i="2"/>
  <c r="V54" i="2"/>
  <c r="V53" i="2"/>
  <c r="V49" i="2"/>
  <c r="V55" i="2"/>
  <c r="V56" i="2"/>
  <c r="V50" i="2"/>
  <c r="V51" i="2"/>
  <c r="V58" i="2"/>
  <c r="V59" i="2"/>
  <c r="AI5" i="7"/>
  <c r="AI8" i="7" s="1"/>
  <c r="AI6" i="7"/>
  <c r="AI7" i="7" s="1"/>
  <c r="AJ25" i="7" s="1"/>
  <c r="AM6" i="7"/>
  <c r="AM7" i="7" s="1"/>
  <c r="AN57" i="7" s="1"/>
  <c r="AM5" i="7"/>
  <c r="AM8" i="7" s="1"/>
  <c r="V16" i="2"/>
  <c r="U15" i="2"/>
  <c r="U52" i="2"/>
  <c r="U58" i="2"/>
  <c r="U57" i="2"/>
  <c r="U59" i="2"/>
  <c r="U50" i="2"/>
  <c r="U55" i="2"/>
  <c r="U51" i="2"/>
  <c r="U49" i="2"/>
  <c r="U54" i="2"/>
  <c r="U53" i="2"/>
  <c r="U56" i="2"/>
  <c r="U48" i="2"/>
  <c r="BC5" i="7"/>
  <c r="BC8" i="7" s="1"/>
  <c r="BC6" i="7"/>
  <c r="BC7" i="7" s="1"/>
  <c r="BD62" i="7" s="1"/>
  <c r="V15" i="2"/>
  <c r="BG6" i="7"/>
  <c r="BG7" i="7" s="1"/>
  <c r="BH31" i="7" s="1"/>
  <c r="BG5" i="7"/>
  <c r="BG8" i="7" s="1"/>
  <c r="V20" i="2"/>
  <c r="BO6" i="7"/>
  <c r="BO7" i="7" s="1"/>
  <c r="BP64" i="7" s="1"/>
  <c r="BO5" i="7"/>
  <c r="BO8" i="7" s="1"/>
  <c r="BK5" i="7"/>
  <c r="BK8" i="7" s="1"/>
  <c r="BK6" i="7"/>
  <c r="BK7" i="7" s="1"/>
  <c r="BL52" i="7" s="1"/>
  <c r="H48" i="4"/>
  <c r="I48" i="4" s="1"/>
  <c r="H46" i="4"/>
  <c r="I46" i="4" s="1"/>
  <c r="AQ5" i="7"/>
  <c r="AQ8" i="7" s="1"/>
  <c r="AQ6" i="7"/>
  <c r="AQ7" i="7" s="1"/>
  <c r="AR55" i="7" s="1"/>
  <c r="AS5" i="7"/>
  <c r="AS8" i="7" s="1"/>
  <c r="AS6" i="7"/>
  <c r="AS7" i="7" s="1"/>
  <c r="AT23" i="7" s="1"/>
  <c r="AK5" i="7"/>
  <c r="AK8" i="7" s="1"/>
  <c r="AK6" i="7"/>
  <c r="AK7" i="7" s="1"/>
  <c r="AL54" i="7" s="1"/>
  <c r="BE5" i="7"/>
  <c r="BE8" i="7" s="1"/>
  <c r="BE6" i="7"/>
  <c r="BE7" i="7" s="1"/>
  <c r="BF25" i="7" s="1"/>
  <c r="AO6" i="7"/>
  <c r="AO7" i="7" s="1"/>
  <c r="AP43" i="7" s="1"/>
  <c r="AO5" i="7"/>
  <c r="AO8" i="7" s="1"/>
  <c r="U20" i="2"/>
  <c r="AU5" i="7"/>
  <c r="AU8" i="7" s="1"/>
  <c r="AU6" i="7"/>
  <c r="AU7" i="7" s="1"/>
  <c r="AV32" i="7" s="1"/>
  <c r="AW5" i="7"/>
  <c r="AW8" i="7" s="1"/>
  <c r="AW6" i="7"/>
  <c r="AW7" i="7" s="1"/>
  <c r="AX30" i="7" s="1"/>
  <c r="U16" i="2"/>
  <c r="BM5" i="7"/>
  <c r="BM8" i="7" s="1"/>
  <c r="BM6" i="7"/>
  <c r="BM7" i="7" s="1"/>
  <c r="BN47" i="7" s="1"/>
  <c r="BA5" i="7"/>
  <c r="BA8" i="7" s="1"/>
  <c r="BA6" i="7"/>
  <c r="BA7" i="7" s="1"/>
  <c r="BB54" i="7" s="1"/>
  <c r="T20" i="2"/>
  <c r="H32" i="4"/>
  <c r="I32" i="4" s="1"/>
  <c r="T16" i="2"/>
  <c r="H13" i="4"/>
  <c r="I13" i="4" s="1"/>
  <c r="H39" i="4"/>
  <c r="I39" i="4" s="1"/>
  <c r="H38" i="4"/>
  <c r="I38" i="4" s="1"/>
  <c r="H15" i="4"/>
  <c r="I15" i="4" s="1"/>
  <c r="H30" i="4"/>
  <c r="I30" i="4" s="1"/>
  <c r="H31" i="4"/>
  <c r="I31" i="4" s="1"/>
  <c r="H27" i="4"/>
  <c r="I27" i="4" s="1"/>
  <c r="T38" i="2"/>
  <c r="T43" i="2"/>
  <c r="T44" i="2"/>
  <c r="T45" i="2"/>
  <c r="T46" i="2"/>
  <c r="T37" i="2"/>
  <c r="T41" i="2"/>
  <c r="T40" i="2"/>
  <c r="T47" i="2"/>
  <c r="T42" i="2"/>
  <c r="T39" i="2"/>
  <c r="W37" i="2"/>
  <c r="W44" i="2"/>
  <c r="W46" i="2"/>
  <c r="W39" i="2"/>
  <c r="W47" i="2"/>
  <c r="W40" i="2"/>
  <c r="W38" i="2"/>
  <c r="W43" i="2"/>
  <c r="W45" i="2"/>
  <c r="W42" i="2"/>
  <c r="W41" i="2"/>
  <c r="V40" i="2"/>
  <c r="V37" i="2"/>
  <c r="V43" i="2"/>
  <c r="V42" i="2"/>
  <c r="V47" i="2"/>
  <c r="V46" i="2"/>
  <c r="V44" i="2"/>
  <c r="V39" i="2"/>
  <c r="V38" i="2"/>
  <c r="V41" i="2"/>
  <c r="V45" i="2"/>
  <c r="U38" i="2"/>
  <c r="U44" i="2"/>
  <c r="U46" i="2"/>
  <c r="U39" i="2"/>
  <c r="U45" i="2"/>
  <c r="U42" i="2"/>
  <c r="U43" i="2"/>
  <c r="U40" i="2"/>
  <c r="U41" i="2"/>
  <c r="U47" i="2"/>
  <c r="U37" i="2"/>
  <c r="H14" i="4"/>
  <c r="I14" i="4" s="1"/>
  <c r="H21" i="4"/>
  <c r="I21" i="4" s="1"/>
  <c r="H16" i="4"/>
  <c r="I16" i="4" s="1"/>
  <c r="H17" i="4"/>
  <c r="I17" i="4" s="1"/>
  <c r="H18" i="4"/>
  <c r="I18" i="4" s="1"/>
  <c r="H22" i="4"/>
  <c r="I22" i="4" s="1"/>
  <c r="H23" i="4"/>
  <c r="I23" i="4" s="1"/>
  <c r="T30" i="2"/>
  <c r="T29" i="2"/>
  <c r="T23" i="2"/>
  <c r="T27" i="2"/>
  <c r="T33" i="2"/>
  <c r="T32" i="2"/>
  <c r="T22" i="2"/>
  <c r="T31" i="2"/>
  <c r="T24" i="2"/>
  <c r="T21" i="2"/>
  <c r="T26" i="2"/>
  <c r="T36" i="2"/>
  <c r="T34" i="2"/>
  <c r="T28" i="2"/>
  <c r="T25" i="2"/>
  <c r="T35" i="2"/>
  <c r="H24" i="4"/>
  <c r="I24" i="4" s="1"/>
  <c r="H25" i="4"/>
  <c r="I25" i="4" s="1"/>
  <c r="W35" i="2"/>
  <c r="W33" i="2"/>
  <c r="W29" i="2"/>
  <c r="W27" i="2"/>
  <c r="W28" i="2"/>
  <c r="W22" i="2"/>
  <c r="W32" i="2"/>
  <c r="W31" i="2"/>
  <c r="W21" i="2"/>
  <c r="W25" i="2"/>
  <c r="W36" i="2"/>
  <c r="W30" i="2"/>
  <c r="W24" i="2"/>
  <c r="W26" i="2"/>
  <c r="W23" i="2"/>
  <c r="W34" i="2"/>
  <c r="H20" i="4"/>
  <c r="I20" i="4" s="1"/>
  <c r="V24" i="2"/>
  <c r="V30" i="2"/>
  <c r="V27" i="2"/>
  <c r="V23" i="2"/>
  <c r="V36" i="2"/>
  <c r="V21" i="2"/>
  <c r="V29" i="2"/>
  <c r="V32" i="2"/>
  <c r="V35" i="2"/>
  <c r="V25" i="2"/>
  <c r="V22" i="2"/>
  <c r="V31" i="2"/>
  <c r="V33" i="2"/>
  <c r="V28" i="2"/>
  <c r="V26" i="2"/>
  <c r="V34" i="2"/>
  <c r="H19" i="4"/>
  <c r="I19" i="4" s="1"/>
  <c r="U21" i="2"/>
  <c r="U26" i="2"/>
  <c r="U35" i="2"/>
  <c r="U33" i="2"/>
  <c r="U29" i="2"/>
  <c r="U32" i="2"/>
  <c r="U34" i="2"/>
  <c r="U25" i="2"/>
  <c r="U23" i="2"/>
  <c r="U24" i="2"/>
  <c r="U27" i="2"/>
  <c r="U30" i="2"/>
  <c r="U28" i="2"/>
  <c r="U36" i="2"/>
  <c r="U31" i="2"/>
  <c r="U22" i="2"/>
  <c r="S5" i="7"/>
  <c r="S8" i="7" s="1"/>
  <c r="S6" i="7"/>
  <c r="S7" i="7" s="1"/>
  <c r="T37" i="7" s="1"/>
  <c r="M6" i="7"/>
  <c r="M7" i="7" s="1"/>
  <c r="N46" i="7" s="1"/>
  <c r="M5" i="7"/>
  <c r="M8" i="7" s="1"/>
  <c r="AE6" i="7"/>
  <c r="AE7" i="7" s="1"/>
  <c r="AF40" i="7" s="1"/>
  <c r="AE5" i="7"/>
  <c r="AE8" i="7" s="1"/>
  <c r="Q6" i="7"/>
  <c r="Q7" i="7" s="1"/>
  <c r="R20" i="7" s="1"/>
  <c r="Q5" i="7"/>
  <c r="Q8" i="7" s="1"/>
  <c r="I5" i="7"/>
  <c r="I8" i="7" s="1"/>
  <c r="I6" i="7"/>
  <c r="I7" i="7" s="1"/>
  <c r="J66" i="7" s="1"/>
  <c r="O6" i="7"/>
  <c r="O7" i="7" s="1"/>
  <c r="P58" i="7" s="1"/>
  <c r="O5" i="7"/>
  <c r="O8" i="7" s="1"/>
  <c r="U6" i="7"/>
  <c r="U7" i="7" s="1"/>
  <c r="V18" i="7" s="1"/>
  <c r="U5" i="7"/>
  <c r="U8" i="7" s="1"/>
  <c r="H12" i="4"/>
  <c r="I12" i="4" s="1"/>
  <c r="G6" i="7"/>
  <c r="G7" i="7" s="1"/>
  <c r="H48" i="7" s="1"/>
  <c r="G5" i="7"/>
  <c r="G8" i="7" s="1"/>
  <c r="AA5" i="7"/>
  <c r="AA8" i="7" s="1"/>
  <c r="AA6" i="7"/>
  <c r="AA7" i="7" s="1"/>
  <c r="AB29" i="7" s="1"/>
  <c r="W5" i="7"/>
  <c r="W8" i="7" s="1"/>
  <c r="W6" i="7"/>
  <c r="W7" i="7" s="1"/>
  <c r="X63" i="7" s="1"/>
  <c r="AC5" i="7"/>
  <c r="AC8" i="7" s="1"/>
  <c r="AC6" i="7"/>
  <c r="AC7" i="7" s="1"/>
  <c r="AD53" i="7" s="1"/>
  <c r="AG5" i="7"/>
  <c r="AG8" i="7" s="1"/>
  <c r="AG6" i="7"/>
  <c r="AG7" i="7" s="1"/>
  <c r="AH62" i="7" s="1"/>
  <c r="Y5" i="7"/>
  <c r="Y8" i="7" s="1"/>
  <c r="Y6" i="7"/>
  <c r="Y7" i="7" s="1"/>
  <c r="Z22" i="7" s="1"/>
  <c r="K5" i="7"/>
  <c r="K8" i="7" s="1"/>
  <c r="K6" i="7"/>
  <c r="K7" i="7" s="1"/>
  <c r="L48" i="7" s="1"/>
  <c r="E5" i="7"/>
  <c r="E8" i="7" s="1"/>
  <c r="E6" i="7"/>
  <c r="E7" i="7" s="1"/>
  <c r="F38" i="7" s="1"/>
  <c r="AV44" i="7" l="1"/>
  <c r="AV42" i="7"/>
  <c r="AL36" i="7"/>
  <c r="AV56" i="7"/>
  <c r="BH51" i="7"/>
  <c r="AV48" i="7"/>
  <c r="BH45" i="7"/>
  <c r="AV37" i="7"/>
  <c r="AV31" i="7"/>
  <c r="AV62" i="7"/>
  <c r="AV17" i="7"/>
  <c r="AV60" i="7"/>
  <c r="AV21" i="7"/>
  <c r="AZ62" i="7"/>
  <c r="BJ27" i="7"/>
  <c r="BJ37" i="7"/>
  <c r="BD46" i="7"/>
  <c r="BP38" i="7"/>
  <c r="BJ19" i="7"/>
  <c r="AZ30" i="7"/>
  <c r="BP51" i="7"/>
  <c r="BJ52" i="7"/>
  <c r="AZ39" i="7"/>
  <c r="BP62" i="7"/>
  <c r="BJ40" i="7"/>
  <c r="AZ63" i="7"/>
  <c r="BJ66" i="7"/>
  <c r="BP55" i="7"/>
  <c r="AL66" i="7"/>
  <c r="BJ42" i="7"/>
  <c r="AV63" i="7"/>
  <c r="AL30" i="7"/>
  <c r="BP59" i="7"/>
  <c r="BH59" i="7"/>
  <c r="AN22" i="7"/>
  <c r="BJ16" i="7"/>
  <c r="BP29" i="7"/>
  <c r="BP42" i="7"/>
  <c r="BH25" i="7"/>
  <c r="BP48" i="7"/>
  <c r="BP40" i="7"/>
  <c r="AV65" i="7"/>
  <c r="AL62" i="7"/>
  <c r="BP24" i="7"/>
  <c r="BH24" i="7"/>
  <c r="AN55" i="7"/>
  <c r="AZ38" i="7"/>
  <c r="AV29" i="7"/>
  <c r="AV20" i="7"/>
  <c r="BP49" i="7"/>
  <c r="AN46" i="7"/>
  <c r="AZ59" i="7"/>
  <c r="AV16" i="7"/>
  <c r="AV64" i="7"/>
  <c r="BF17" i="7"/>
  <c r="BD43" i="7"/>
  <c r="AZ53" i="7"/>
  <c r="AV28" i="7"/>
  <c r="AV35" i="7"/>
  <c r="BF44" i="7"/>
  <c r="BP45" i="7"/>
  <c r="BP20" i="7"/>
  <c r="BD48" i="7"/>
  <c r="AN28" i="7"/>
  <c r="AZ36" i="7"/>
  <c r="AV24" i="7"/>
  <c r="AV34" i="7"/>
  <c r="BF51" i="7"/>
  <c r="BP22" i="7"/>
  <c r="BD40" i="7"/>
  <c r="AJ64" i="7"/>
  <c r="BJ62" i="7"/>
  <c r="AZ19" i="7"/>
  <c r="J40" i="7"/>
  <c r="AV39" i="7"/>
  <c r="AV58" i="7"/>
  <c r="AL51" i="7"/>
  <c r="BP21" i="7"/>
  <c r="BH23" i="7"/>
  <c r="AZ16" i="7"/>
  <c r="AR58" i="7"/>
  <c r="BL27" i="7"/>
  <c r="BF29" i="7"/>
  <c r="AL63" i="7"/>
  <c r="AR25" i="7"/>
  <c r="AR17" i="7"/>
  <c r="BL35" i="7"/>
  <c r="BL21" i="7"/>
  <c r="BJ36" i="7"/>
  <c r="BJ46" i="7"/>
  <c r="BJ64" i="7"/>
  <c r="L52" i="7"/>
  <c r="AR48" i="7"/>
  <c r="AR51" i="7"/>
  <c r="BL16" i="7"/>
  <c r="BJ30" i="7"/>
  <c r="BJ58" i="7"/>
  <c r="BJ34" i="7"/>
  <c r="L55" i="7"/>
  <c r="BN51" i="7"/>
  <c r="AR62" i="7"/>
  <c r="AR38" i="7"/>
  <c r="BL46" i="7"/>
  <c r="BL59" i="7"/>
  <c r="L30" i="7"/>
  <c r="BN49" i="7"/>
  <c r="BF43" i="7"/>
  <c r="AL47" i="7"/>
  <c r="AR42" i="7"/>
  <c r="AR21" i="7"/>
  <c r="BL36" i="7"/>
  <c r="BL41" i="7"/>
  <c r="AN58" i="7"/>
  <c r="AJ43" i="7"/>
  <c r="BJ44" i="7"/>
  <c r="BJ32" i="7"/>
  <c r="BJ29" i="7"/>
  <c r="L46" i="7"/>
  <c r="BL44" i="7"/>
  <c r="BL43" i="7"/>
  <c r="L37" i="7"/>
  <c r="BF55" i="7"/>
  <c r="AL16" i="7"/>
  <c r="AR16" i="7"/>
  <c r="AR28" i="7"/>
  <c r="BL50" i="7"/>
  <c r="BL49" i="7"/>
  <c r="BP54" i="7"/>
  <c r="BP61" i="7"/>
  <c r="AN16" i="7"/>
  <c r="AJ38" i="7"/>
  <c r="BJ17" i="7"/>
  <c r="BJ23" i="7"/>
  <c r="AR33" i="7"/>
  <c r="AR29" i="7"/>
  <c r="BL18" i="7"/>
  <c r="BL20" i="7"/>
  <c r="AN26" i="7"/>
  <c r="AJ40" i="7"/>
  <c r="BJ65" i="7"/>
  <c r="BJ26" i="7"/>
  <c r="BJ35" i="7"/>
  <c r="L23" i="7"/>
  <c r="L16" i="7"/>
  <c r="AR65" i="7"/>
  <c r="BL62" i="7"/>
  <c r="BL55" i="7"/>
  <c r="AN54" i="7"/>
  <c r="BJ45" i="7"/>
  <c r="BJ43" i="7"/>
  <c r="AZ37" i="7"/>
  <c r="AR61" i="7"/>
  <c r="BL48" i="7"/>
  <c r="BL42" i="7"/>
  <c r="BJ55" i="7"/>
  <c r="H22" i="7"/>
  <c r="AL31" i="7"/>
  <c r="AR53" i="7"/>
  <c r="BL38" i="7"/>
  <c r="BL25" i="7"/>
  <c r="BL39" i="7"/>
  <c r="BP34" i="7"/>
  <c r="AN64" i="7"/>
  <c r="AJ54" i="7"/>
  <c r="BJ61" i="7"/>
  <c r="BJ41" i="7"/>
  <c r="AL40" i="7"/>
  <c r="AR57" i="7"/>
  <c r="AR31" i="7"/>
  <c r="BL33" i="7"/>
  <c r="BL23" i="7"/>
  <c r="BP27" i="7"/>
  <c r="BP16" i="7"/>
  <c r="BH48" i="7"/>
  <c r="AN20" i="7"/>
  <c r="BJ63" i="7"/>
  <c r="BJ51" i="7"/>
  <c r="BJ47" i="7"/>
  <c r="AZ34" i="7"/>
  <c r="AX28" i="7"/>
  <c r="AX48" i="7"/>
  <c r="L21" i="7"/>
  <c r="AX36" i="7"/>
  <c r="AX17" i="7"/>
  <c r="AX57" i="7"/>
  <c r="AX58" i="7"/>
  <c r="AV30" i="7"/>
  <c r="AV47" i="7"/>
  <c r="BF38" i="7"/>
  <c r="BF40" i="7"/>
  <c r="AL59" i="7"/>
  <c r="AL20" i="7"/>
  <c r="AL57" i="7"/>
  <c r="AR36" i="7"/>
  <c r="AR30" i="7"/>
  <c r="BL63" i="7"/>
  <c r="BL26" i="7"/>
  <c r="BP52" i="7"/>
  <c r="BP53" i="7"/>
  <c r="BH56" i="7"/>
  <c r="BH22" i="7"/>
  <c r="BH64" i="7"/>
  <c r="BD50" i="7"/>
  <c r="AN52" i="7"/>
  <c r="AN37" i="7"/>
  <c r="AJ44" i="7"/>
  <c r="AJ21" i="7"/>
  <c r="BJ28" i="7"/>
  <c r="BJ54" i="7"/>
  <c r="BJ60" i="7"/>
  <c r="AZ17" i="7"/>
  <c r="AZ64" i="7"/>
  <c r="AZ27" i="7"/>
  <c r="AZ47" i="7"/>
  <c r="L38" i="7"/>
  <c r="BB37" i="7"/>
  <c r="AX61" i="7"/>
  <c r="AX50" i="7"/>
  <c r="AX54" i="7"/>
  <c r="AX16" i="7"/>
  <c r="AV22" i="7"/>
  <c r="BF22" i="7"/>
  <c r="BF54" i="7"/>
  <c r="AL58" i="7"/>
  <c r="AL61" i="7"/>
  <c r="AL50" i="7"/>
  <c r="AR50" i="7"/>
  <c r="AR56" i="7"/>
  <c r="BL65" i="7"/>
  <c r="BL34" i="7"/>
  <c r="BL30" i="7"/>
  <c r="BP32" i="7"/>
  <c r="BP30" i="7"/>
  <c r="BH38" i="7"/>
  <c r="BH47" i="7"/>
  <c r="BH27" i="7"/>
  <c r="AN62" i="7"/>
  <c r="AN47" i="7"/>
  <c r="AJ48" i="7"/>
  <c r="AJ51" i="7"/>
  <c r="BJ57" i="7"/>
  <c r="BJ33" i="7"/>
  <c r="BJ21" i="7"/>
  <c r="BJ50" i="7"/>
  <c r="AZ40" i="7"/>
  <c r="AZ55" i="7"/>
  <c r="AZ28" i="7"/>
  <c r="AZ25" i="7"/>
  <c r="BH66" i="7"/>
  <c r="BH18" i="7"/>
  <c r="AN61" i="7"/>
  <c r="AN45" i="7"/>
  <c r="AJ46" i="7"/>
  <c r="AJ16" i="7"/>
  <c r="AZ22" i="7"/>
  <c r="AZ66" i="7"/>
  <c r="AZ50" i="7"/>
  <c r="AZ26" i="7"/>
  <c r="AX49" i="7"/>
  <c r="BB57" i="7"/>
  <c r="AX42" i="7"/>
  <c r="AX27" i="7"/>
  <c r="AX51" i="7"/>
  <c r="AX44" i="7"/>
  <c r="AX41" i="7"/>
  <c r="BF26" i="7"/>
  <c r="BF32" i="7"/>
  <c r="AL17" i="7"/>
  <c r="AL26" i="7"/>
  <c r="BH35" i="7"/>
  <c r="L41" i="7"/>
  <c r="BB25" i="7"/>
  <c r="AX52" i="7"/>
  <c r="AX65" i="7"/>
  <c r="AX33" i="7"/>
  <c r="AX63" i="7"/>
  <c r="BF66" i="7"/>
  <c r="BF28" i="7"/>
  <c r="AL48" i="7"/>
  <c r="AL55" i="7"/>
  <c r="AL19" i="7"/>
  <c r="AR54" i="7"/>
  <c r="AR66" i="7"/>
  <c r="BL22" i="7"/>
  <c r="BL28" i="7"/>
  <c r="BL37" i="7"/>
  <c r="BP19" i="7"/>
  <c r="BP63" i="7"/>
  <c r="BH62" i="7"/>
  <c r="BH61" i="7"/>
  <c r="BH26" i="7"/>
  <c r="AN29" i="7"/>
  <c r="AN32" i="7"/>
  <c r="AJ45" i="7"/>
  <c r="AJ56" i="7"/>
  <c r="BJ48" i="7"/>
  <c r="BJ22" i="7"/>
  <c r="BJ24" i="7"/>
  <c r="BJ38" i="7"/>
  <c r="AZ45" i="7"/>
  <c r="AZ58" i="7"/>
  <c r="AZ43" i="7"/>
  <c r="AZ49" i="7"/>
  <c r="AX66" i="7"/>
  <c r="AX31" i="7"/>
  <c r="BB40" i="7"/>
  <c r="AX22" i="7"/>
  <c r="AX29" i="7"/>
  <c r="AX47" i="7"/>
  <c r="AX62" i="7"/>
  <c r="BF49" i="7"/>
  <c r="BF50" i="7"/>
  <c r="AL18" i="7"/>
  <c r="AL27" i="7"/>
  <c r="BH54" i="7"/>
  <c r="BH29" i="7"/>
  <c r="BH20" i="7"/>
  <c r="AN48" i="7"/>
  <c r="AJ63" i="7"/>
  <c r="AZ35" i="7"/>
  <c r="AZ46" i="7"/>
  <c r="AZ44" i="7"/>
  <c r="AZ60" i="7"/>
  <c r="AX39" i="7"/>
  <c r="AX45" i="7"/>
  <c r="AX19" i="7"/>
  <c r="AX34" i="7"/>
  <c r="BF21" i="7"/>
  <c r="BF48" i="7"/>
  <c r="AL56" i="7"/>
  <c r="AL22" i="7"/>
  <c r="BH63" i="7"/>
  <c r="AJ24" i="7"/>
  <c r="AZ33" i="7"/>
  <c r="AZ18" i="7"/>
  <c r="AZ51" i="7"/>
  <c r="AZ29" i="7"/>
  <c r="AZ54" i="7"/>
  <c r="BH55" i="7"/>
  <c r="BH37" i="7"/>
  <c r="L28" i="7"/>
  <c r="AX64" i="7"/>
  <c r="AX18" i="7"/>
  <c r="AX38" i="7"/>
  <c r="AX23" i="7"/>
  <c r="BF45" i="7"/>
  <c r="BF46" i="7"/>
  <c r="AL32" i="7"/>
  <c r="AL39" i="7"/>
  <c r="AR32" i="7"/>
  <c r="BL24" i="7"/>
  <c r="BL19" i="7"/>
  <c r="BL56" i="7"/>
  <c r="BH17" i="7"/>
  <c r="BH46" i="7"/>
  <c r="BH65" i="7"/>
  <c r="AN53" i="7"/>
  <c r="AN17" i="7"/>
  <c r="AJ35" i="7"/>
  <c r="BJ39" i="7"/>
  <c r="BJ49" i="7"/>
  <c r="BJ53" i="7"/>
  <c r="BJ20" i="7"/>
  <c r="AZ52" i="7"/>
  <c r="AZ57" i="7"/>
  <c r="AZ65" i="7"/>
  <c r="AZ48" i="7"/>
  <c r="AX32" i="7"/>
  <c r="AX24" i="7"/>
  <c r="AX40" i="7"/>
  <c r="AX46" i="7"/>
  <c r="AX60" i="7"/>
  <c r="BN59" i="7"/>
  <c r="AX53" i="7"/>
  <c r="AX43" i="7"/>
  <c r="AX55" i="7"/>
  <c r="AX35" i="7"/>
  <c r="AP65" i="7"/>
  <c r="BH58" i="7"/>
  <c r="BH34" i="7"/>
  <c r="AZ23" i="7"/>
  <c r="AZ42" i="7"/>
  <c r="AZ41" i="7"/>
  <c r="AZ31" i="7"/>
  <c r="AX20" i="7"/>
  <c r="AX37" i="7"/>
  <c r="AX59" i="7"/>
  <c r="AX21" i="7"/>
  <c r="AL35" i="7"/>
  <c r="BL58" i="7"/>
  <c r="BH36" i="7"/>
  <c r="BH49" i="7"/>
  <c r="BH57" i="7"/>
  <c r="AN24" i="7"/>
  <c r="AJ39" i="7"/>
  <c r="AZ61" i="7"/>
  <c r="AZ20" i="7"/>
  <c r="AZ21" i="7"/>
  <c r="AZ56" i="7"/>
  <c r="AS49" i="7"/>
  <c r="AS48" i="7"/>
  <c r="AS47" i="7"/>
  <c r="AS38" i="7"/>
  <c r="AS26" i="7"/>
  <c r="AS42" i="7"/>
  <c r="AS64" i="7"/>
  <c r="AS55" i="7"/>
  <c r="AS36" i="7"/>
  <c r="AS58" i="7"/>
  <c r="AS19" i="7"/>
  <c r="AS21" i="7"/>
  <c r="AS30" i="7"/>
  <c r="AS40" i="7"/>
  <c r="AS63" i="7"/>
  <c r="AS24" i="7"/>
  <c r="AS34" i="7"/>
  <c r="AS57" i="7"/>
  <c r="AS18" i="7"/>
  <c r="AS28" i="7"/>
  <c r="AS51" i="7"/>
  <c r="AS43" i="7"/>
  <c r="AS41" i="7"/>
  <c r="AS50" i="7"/>
  <c r="AS45" i="7"/>
  <c r="AS65" i="7"/>
  <c r="AS35" i="7"/>
  <c r="AS32" i="7"/>
  <c r="AS33" i="7"/>
  <c r="AS17" i="7"/>
  <c r="AS61" i="7"/>
  <c r="AS27" i="7"/>
  <c r="AS59" i="7"/>
  <c r="AS31" i="7"/>
  <c r="AS56" i="7"/>
  <c r="AS54" i="7"/>
  <c r="AS53" i="7"/>
  <c r="AS62" i="7"/>
  <c r="AS44" i="7"/>
  <c r="AS60" i="7"/>
  <c r="AS25" i="7"/>
  <c r="AS39" i="7"/>
  <c r="AS46" i="7"/>
  <c r="AS66" i="7"/>
  <c r="AS37" i="7"/>
  <c r="AS52" i="7"/>
  <c r="AS20" i="7"/>
  <c r="AS29" i="7"/>
  <c r="AS23" i="7"/>
  <c r="B1008" i="7" s="1"/>
  <c r="AS22" i="7"/>
  <c r="AS16" i="7"/>
  <c r="BM65" i="7"/>
  <c r="BM40" i="7"/>
  <c r="BM32" i="7"/>
  <c r="BM33" i="7"/>
  <c r="BM27" i="7"/>
  <c r="BM54" i="7"/>
  <c r="BM36" i="7"/>
  <c r="BM44" i="7"/>
  <c r="BM43" i="7"/>
  <c r="BM58" i="7"/>
  <c r="BM39" i="7"/>
  <c r="BM48" i="7"/>
  <c r="BM55" i="7"/>
  <c r="BM26" i="7"/>
  <c r="BM47" i="7"/>
  <c r="B1532" i="7" s="1"/>
  <c r="BM16" i="7"/>
  <c r="BM28" i="7"/>
  <c r="BM50" i="7"/>
  <c r="BM51" i="7"/>
  <c r="BM53" i="7"/>
  <c r="BM46" i="7"/>
  <c r="BM41" i="7"/>
  <c r="BM52" i="7"/>
  <c r="BM23" i="7"/>
  <c r="BM31" i="7"/>
  <c r="BM20" i="7"/>
  <c r="BM30" i="7"/>
  <c r="BM49" i="7"/>
  <c r="B1534" i="7" s="1"/>
  <c r="BM66" i="7"/>
  <c r="BM59" i="7"/>
  <c r="B1544" i="7" s="1"/>
  <c r="BM57" i="7"/>
  <c r="BM19" i="7"/>
  <c r="BM24" i="7"/>
  <c r="BM35" i="7"/>
  <c r="BM45" i="7"/>
  <c r="BM22" i="7"/>
  <c r="BM63" i="7"/>
  <c r="BM34" i="7"/>
  <c r="BM18" i="7"/>
  <c r="BM62" i="7"/>
  <c r="BM42" i="7"/>
  <c r="BM38" i="7"/>
  <c r="BM17" i="7"/>
  <c r="BM21" i="7"/>
  <c r="BM37" i="7"/>
  <c r="BM60" i="7"/>
  <c r="BM29" i="7"/>
  <c r="BM64" i="7"/>
  <c r="BM25" i="7"/>
  <c r="BM56" i="7"/>
  <c r="BM61" i="7"/>
  <c r="AP64" i="7"/>
  <c r="AP62" i="7"/>
  <c r="AT34" i="7"/>
  <c r="BD18" i="7"/>
  <c r="BC45" i="7"/>
  <c r="BC20" i="7"/>
  <c r="BC31" i="7"/>
  <c r="BC52" i="7"/>
  <c r="BC23" i="7"/>
  <c r="BC27" i="7"/>
  <c r="BC18" i="7"/>
  <c r="BC66" i="7"/>
  <c r="BC16" i="7"/>
  <c r="BC58" i="7"/>
  <c r="BC62" i="7"/>
  <c r="B1297" i="7" s="1"/>
  <c r="BC47" i="7"/>
  <c r="BC34" i="7"/>
  <c r="BC50" i="7"/>
  <c r="BC61" i="7"/>
  <c r="BC30" i="7"/>
  <c r="BC39" i="7"/>
  <c r="BC55" i="7"/>
  <c r="BC17" i="7"/>
  <c r="BC56" i="7"/>
  <c r="BC37" i="7"/>
  <c r="BC41" i="7"/>
  <c r="BC38" i="7"/>
  <c r="BC19" i="7"/>
  <c r="BC46" i="7"/>
  <c r="B1281" i="7" s="1"/>
  <c r="BC26" i="7"/>
  <c r="BC48" i="7"/>
  <c r="BC63" i="7"/>
  <c r="BC43" i="7"/>
  <c r="BC57" i="7"/>
  <c r="BC25" i="7"/>
  <c r="BC51" i="7"/>
  <c r="BC60" i="7"/>
  <c r="BC33" i="7"/>
  <c r="BC42" i="7"/>
  <c r="BC21" i="7"/>
  <c r="BC24" i="7"/>
  <c r="BC44" i="7"/>
  <c r="BC65" i="7"/>
  <c r="BC32" i="7"/>
  <c r="BC35" i="7"/>
  <c r="BC54" i="7"/>
  <c r="BC40" i="7"/>
  <c r="BC36" i="7"/>
  <c r="BC28" i="7"/>
  <c r="BC53" i="7"/>
  <c r="BC49" i="7"/>
  <c r="BC29" i="7"/>
  <c r="BC59" i="7"/>
  <c r="BC64" i="7"/>
  <c r="BC22" i="7"/>
  <c r="BB39" i="7"/>
  <c r="BB24" i="7"/>
  <c r="BB23" i="7"/>
  <c r="BB22" i="7"/>
  <c r="BB56" i="7"/>
  <c r="BN38" i="7"/>
  <c r="BN46" i="7"/>
  <c r="BN58" i="7"/>
  <c r="BN55" i="7"/>
  <c r="AP40" i="7"/>
  <c r="AP28" i="7"/>
  <c r="AP42" i="7"/>
  <c r="AP39" i="7"/>
  <c r="BF35" i="7"/>
  <c r="BE22" i="7"/>
  <c r="B1307" i="7" s="1"/>
  <c r="BE36" i="7"/>
  <c r="BE33" i="7"/>
  <c r="BE54" i="7"/>
  <c r="BE56" i="7"/>
  <c r="BE53" i="7"/>
  <c r="BE61" i="7"/>
  <c r="BE18" i="7"/>
  <c r="BE64" i="7"/>
  <c r="BE44" i="7"/>
  <c r="BE29" i="7"/>
  <c r="BE49" i="7"/>
  <c r="BE47" i="7"/>
  <c r="BE52" i="7"/>
  <c r="BE32" i="7"/>
  <c r="BE63" i="7"/>
  <c r="BE37" i="7"/>
  <c r="BE23" i="7"/>
  <c r="BE16" i="7"/>
  <c r="BE57" i="7"/>
  <c r="BE42" i="7"/>
  <c r="BE62" i="7"/>
  <c r="BE51" i="7"/>
  <c r="BE30" i="7"/>
  <c r="BE38" i="7"/>
  <c r="BE39" i="7"/>
  <c r="BE35" i="7"/>
  <c r="BE20" i="7"/>
  <c r="BE21" i="7"/>
  <c r="BE58" i="7"/>
  <c r="BE48" i="7"/>
  <c r="B1333" i="7" s="1"/>
  <c r="BE43" i="7"/>
  <c r="BE60" i="7"/>
  <c r="BE59" i="7"/>
  <c r="BE24" i="7"/>
  <c r="BE65" i="7"/>
  <c r="BE41" i="7"/>
  <c r="BE17" i="7"/>
  <c r="B1302" i="7" s="1"/>
  <c r="BE45" i="7"/>
  <c r="BE46" i="7"/>
  <c r="BE27" i="7"/>
  <c r="BE40" i="7"/>
  <c r="BE55" i="7"/>
  <c r="BE34" i="7"/>
  <c r="BE31" i="7"/>
  <c r="BE50" i="7"/>
  <c r="BE28" i="7"/>
  <c r="BE19" i="7"/>
  <c r="BE66" i="7"/>
  <c r="BE26" i="7"/>
  <c r="B1311" i="7" s="1"/>
  <c r="BE25" i="7"/>
  <c r="B1310" i="7" s="1"/>
  <c r="AT63" i="7"/>
  <c r="AT30" i="7"/>
  <c r="AT45" i="7"/>
  <c r="AT33" i="7"/>
  <c r="BD53" i="7"/>
  <c r="BD57" i="7"/>
  <c r="BD64" i="7"/>
  <c r="BD39" i="7"/>
  <c r="AJ19" i="7"/>
  <c r="AI32" i="7"/>
  <c r="AI31" i="7"/>
  <c r="AI39" i="7"/>
  <c r="AI50" i="7"/>
  <c r="AI49" i="7"/>
  <c r="AI27" i="7"/>
  <c r="AI62" i="7"/>
  <c r="AI43" i="7"/>
  <c r="B778" i="7" s="1"/>
  <c r="AI65" i="7"/>
  <c r="AI66" i="7"/>
  <c r="AI21" i="7"/>
  <c r="AI30" i="7"/>
  <c r="AI40" i="7"/>
  <c r="B775" i="7" s="1"/>
  <c r="AI51" i="7"/>
  <c r="AI42" i="7"/>
  <c r="AI48" i="7"/>
  <c r="AI44" i="7"/>
  <c r="AI55" i="7"/>
  <c r="AI24" i="7"/>
  <c r="AI28" i="7"/>
  <c r="AI47" i="7"/>
  <c r="AI56" i="7"/>
  <c r="AI46" i="7"/>
  <c r="AI34" i="7"/>
  <c r="AI53" i="7"/>
  <c r="AI20" i="7"/>
  <c r="AI35" i="7"/>
  <c r="AI61" i="7"/>
  <c r="AI36" i="7"/>
  <c r="AI38" i="7"/>
  <c r="B773" i="7" s="1"/>
  <c r="AI23" i="7"/>
  <c r="AI25" i="7"/>
  <c r="B760" i="7" s="1"/>
  <c r="AI33" i="7"/>
  <c r="AI29" i="7"/>
  <c r="AI63" i="7"/>
  <c r="AI59" i="7"/>
  <c r="AI60" i="7"/>
  <c r="AI64" i="7"/>
  <c r="AI58" i="7"/>
  <c r="AI19" i="7"/>
  <c r="AI18" i="7"/>
  <c r="AI17" i="7"/>
  <c r="AI57" i="7"/>
  <c r="AI26" i="7"/>
  <c r="AI22" i="7"/>
  <c r="AI41" i="7"/>
  <c r="AI37" i="7"/>
  <c r="AI45" i="7"/>
  <c r="B780" i="7" s="1"/>
  <c r="AI54" i="7"/>
  <c r="AI52" i="7"/>
  <c r="AI16" i="7"/>
  <c r="AJ61" i="7"/>
  <c r="AP31" i="7"/>
  <c r="BB38" i="7"/>
  <c r="BD63" i="7"/>
  <c r="BB34" i="7"/>
  <c r="BB45" i="7"/>
  <c r="BB61" i="7"/>
  <c r="BB49" i="7"/>
  <c r="BB41" i="7"/>
  <c r="BN37" i="7"/>
  <c r="BN16" i="7"/>
  <c r="BN62" i="7"/>
  <c r="AU65" i="7"/>
  <c r="B1100" i="7" s="1"/>
  <c r="AU33" i="7"/>
  <c r="AU24" i="7"/>
  <c r="B1059" i="7" s="1"/>
  <c r="AU61" i="7"/>
  <c r="AU57" i="7"/>
  <c r="AU28" i="7"/>
  <c r="AU49" i="7"/>
  <c r="AU17" i="7"/>
  <c r="AU22" i="7"/>
  <c r="B1057" i="7" s="1"/>
  <c r="AU46" i="7"/>
  <c r="AU45" i="7"/>
  <c r="AU44" i="7"/>
  <c r="B1079" i="7" s="1"/>
  <c r="AU30" i="7"/>
  <c r="AU25" i="7"/>
  <c r="AU29" i="7"/>
  <c r="B1064" i="7" s="1"/>
  <c r="AU34" i="7"/>
  <c r="AU21" i="7"/>
  <c r="AU38" i="7"/>
  <c r="AU19" i="7"/>
  <c r="AU37" i="7"/>
  <c r="AU53" i="7"/>
  <c r="AU18" i="7"/>
  <c r="AU41" i="7"/>
  <c r="AU42" i="7"/>
  <c r="B1077" i="7" s="1"/>
  <c r="AU16" i="7"/>
  <c r="AU51" i="7"/>
  <c r="AU66" i="7"/>
  <c r="AU43" i="7"/>
  <c r="AU52" i="7"/>
  <c r="AU20" i="7"/>
  <c r="AU48" i="7"/>
  <c r="B1083" i="7" s="1"/>
  <c r="AU62" i="7"/>
  <c r="AU63" i="7"/>
  <c r="AU35" i="7"/>
  <c r="AU40" i="7"/>
  <c r="AU26" i="7"/>
  <c r="AU23" i="7"/>
  <c r="AU39" i="7"/>
  <c r="AU54" i="7"/>
  <c r="AU27" i="7"/>
  <c r="AU55" i="7"/>
  <c r="AU59" i="7"/>
  <c r="AU58" i="7"/>
  <c r="B1093" i="7" s="1"/>
  <c r="AU60" i="7"/>
  <c r="AU36" i="7"/>
  <c r="AU64" i="7"/>
  <c r="B1099" i="7" s="1"/>
  <c r="AU50" i="7"/>
  <c r="AU56" i="7"/>
  <c r="AU47" i="7"/>
  <c r="AU32" i="7"/>
  <c r="B1067" i="7" s="1"/>
  <c r="AU31" i="7"/>
  <c r="B1066" i="7" s="1"/>
  <c r="AP44" i="7"/>
  <c r="AP17" i="7"/>
  <c r="AP55" i="7"/>
  <c r="AP32" i="7"/>
  <c r="BF16" i="7"/>
  <c r="BF19" i="7"/>
  <c r="BF41" i="7"/>
  <c r="BF20" i="7"/>
  <c r="BF31" i="7"/>
  <c r="AT25" i="7"/>
  <c r="AT18" i="7"/>
  <c r="AT55" i="7"/>
  <c r="AT37" i="7"/>
  <c r="AR26" i="7"/>
  <c r="AQ38" i="7"/>
  <c r="B973" i="7" s="1"/>
  <c r="AQ23" i="7"/>
  <c r="AQ35" i="7"/>
  <c r="AQ64" i="7"/>
  <c r="AQ55" i="7"/>
  <c r="B990" i="7" s="1"/>
  <c r="AQ34" i="7"/>
  <c r="AQ28" i="7"/>
  <c r="B963" i="7" s="1"/>
  <c r="AQ37" i="7"/>
  <c r="AQ52" i="7"/>
  <c r="AQ21" i="7"/>
  <c r="B956" i="7" s="1"/>
  <c r="AQ48" i="7"/>
  <c r="AQ59" i="7"/>
  <c r="AQ51" i="7"/>
  <c r="AQ32" i="7"/>
  <c r="AQ33" i="7"/>
  <c r="AQ36" i="7"/>
  <c r="B971" i="7" s="1"/>
  <c r="AQ65" i="7"/>
  <c r="AQ44" i="7"/>
  <c r="AQ56" i="7"/>
  <c r="AQ17" i="7"/>
  <c r="B952" i="7" s="1"/>
  <c r="AQ24" i="7"/>
  <c r="AQ16" i="7"/>
  <c r="AQ40" i="7"/>
  <c r="AQ30" i="7"/>
  <c r="AQ47" i="7"/>
  <c r="AQ26" i="7"/>
  <c r="AQ31" i="7"/>
  <c r="AQ39" i="7"/>
  <c r="AQ19" i="7"/>
  <c r="AQ41" i="7"/>
  <c r="AQ18" i="7"/>
  <c r="AQ66" i="7"/>
  <c r="AQ61" i="7"/>
  <c r="AQ20" i="7"/>
  <c r="AQ53" i="7"/>
  <c r="B988" i="7" s="1"/>
  <c r="AQ43" i="7"/>
  <c r="AQ60" i="7"/>
  <c r="AQ25" i="7"/>
  <c r="AQ62" i="7"/>
  <c r="B997" i="7" s="1"/>
  <c r="AQ46" i="7"/>
  <c r="AQ63" i="7"/>
  <c r="AQ27" i="7"/>
  <c r="AQ58" i="7"/>
  <c r="B993" i="7" s="1"/>
  <c r="AQ22" i="7"/>
  <c r="AQ54" i="7"/>
  <c r="AQ45" i="7"/>
  <c r="AQ42" i="7"/>
  <c r="B977" i="7" s="1"/>
  <c r="AQ57" i="7"/>
  <c r="AQ50" i="7"/>
  <c r="AQ29" i="7"/>
  <c r="AQ49" i="7"/>
  <c r="BP18" i="7"/>
  <c r="BO29" i="7"/>
  <c r="BO20" i="7"/>
  <c r="B1555" i="7" s="1"/>
  <c r="BO23" i="7"/>
  <c r="BO66" i="7"/>
  <c r="BO57" i="7"/>
  <c r="BO52" i="7"/>
  <c r="B1587" i="7" s="1"/>
  <c r="BO39" i="7"/>
  <c r="BO46" i="7"/>
  <c r="BO25" i="7"/>
  <c r="BO40" i="7"/>
  <c r="B1575" i="7" s="1"/>
  <c r="BO60" i="7"/>
  <c r="BO28" i="7"/>
  <c r="BO43" i="7"/>
  <c r="BO30" i="7"/>
  <c r="B1565" i="7" s="1"/>
  <c r="BO16" i="7"/>
  <c r="BO31" i="7"/>
  <c r="BO36" i="7"/>
  <c r="BO54" i="7"/>
  <c r="BO19" i="7"/>
  <c r="BO48" i="7"/>
  <c r="BO35" i="7"/>
  <c r="BO56" i="7"/>
  <c r="BO22" i="7"/>
  <c r="BO42" i="7"/>
  <c r="B1577" i="7" s="1"/>
  <c r="BO45" i="7"/>
  <c r="BO27" i="7"/>
  <c r="B1562" i="7" s="1"/>
  <c r="BO44" i="7"/>
  <c r="BO24" i="7"/>
  <c r="BO41" i="7"/>
  <c r="BO61" i="7"/>
  <c r="B1596" i="7" s="1"/>
  <c r="BO65" i="7"/>
  <c r="BO49" i="7"/>
  <c r="B1584" i="7" s="1"/>
  <c r="BO38" i="7"/>
  <c r="B1573" i="7" s="1"/>
  <c r="BO34" i="7"/>
  <c r="B1569" i="7" s="1"/>
  <c r="BO26" i="7"/>
  <c r="BO50" i="7"/>
  <c r="BO63" i="7"/>
  <c r="BO33" i="7"/>
  <c r="BO17" i="7"/>
  <c r="BO32" i="7"/>
  <c r="BO62" i="7"/>
  <c r="BO58" i="7"/>
  <c r="BO59" i="7"/>
  <c r="BO55" i="7"/>
  <c r="BO18" i="7"/>
  <c r="BO64" i="7"/>
  <c r="B1599" i="7" s="1"/>
  <c r="BO51" i="7"/>
  <c r="BO47" i="7"/>
  <c r="BO37" i="7"/>
  <c r="BO53" i="7"/>
  <c r="BO21" i="7"/>
  <c r="B1556" i="7" s="1"/>
  <c r="BD20" i="7"/>
  <c r="BD49" i="7"/>
  <c r="BD19" i="7"/>
  <c r="BD45" i="7"/>
  <c r="BD16" i="7"/>
  <c r="AN65" i="7"/>
  <c r="AM65" i="7"/>
  <c r="AM64" i="7"/>
  <c r="AM52" i="7"/>
  <c r="AM16" i="7"/>
  <c r="AM51" i="7"/>
  <c r="AM19" i="7"/>
  <c r="AM60" i="7"/>
  <c r="AM30" i="7"/>
  <c r="AM37" i="7"/>
  <c r="AM18" i="7"/>
  <c r="AM32" i="7"/>
  <c r="B867" i="7" s="1"/>
  <c r="AM53" i="7"/>
  <c r="AM63" i="7"/>
  <c r="AM54" i="7"/>
  <c r="AM39" i="7"/>
  <c r="AM36" i="7"/>
  <c r="AM66" i="7"/>
  <c r="AM56" i="7"/>
  <c r="AM24" i="7"/>
  <c r="B859" i="7" s="1"/>
  <c r="AM33" i="7"/>
  <c r="AM44" i="7"/>
  <c r="AM27" i="7"/>
  <c r="AM22" i="7"/>
  <c r="AM46" i="7"/>
  <c r="B881" i="7" s="1"/>
  <c r="AM20" i="7"/>
  <c r="AM29" i="7"/>
  <c r="AM55" i="7"/>
  <c r="AM58" i="7"/>
  <c r="B893" i="7" s="1"/>
  <c r="AM31" i="7"/>
  <c r="AM25" i="7"/>
  <c r="AM50" i="7"/>
  <c r="AM23" i="7"/>
  <c r="AM57" i="7"/>
  <c r="B892" i="7" s="1"/>
  <c r="AM45" i="7"/>
  <c r="AM59" i="7"/>
  <c r="AM62" i="7"/>
  <c r="AM61" i="7"/>
  <c r="AM42" i="7"/>
  <c r="AM21" i="7"/>
  <c r="AM41" i="7"/>
  <c r="AM49" i="7"/>
  <c r="AM35" i="7"/>
  <c r="AM17" i="7"/>
  <c r="B852" i="7" s="1"/>
  <c r="AM28" i="7"/>
  <c r="AM48" i="7"/>
  <c r="B883" i="7" s="1"/>
  <c r="AM47" i="7"/>
  <c r="AM34" i="7"/>
  <c r="AM38" i="7"/>
  <c r="AM26" i="7"/>
  <c r="B861" i="7" s="1"/>
  <c r="AM43" i="7"/>
  <c r="AM40" i="7"/>
  <c r="AJ47" i="7"/>
  <c r="AJ27" i="7"/>
  <c r="AJ23" i="7"/>
  <c r="AJ42" i="7"/>
  <c r="BN45" i="7"/>
  <c r="AP49" i="7"/>
  <c r="AP25" i="7"/>
  <c r="AP35" i="7"/>
  <c r="AP50" i="7"/>
  <c r="AT64" i="7"/>
  <c r="AT60" i="7"/>
  <c r="AT53" i="7"/>
  <c r="AT42" i="7"/>
  <c r="BD33" i="7"/>
  <c r="BD17" i="7"/>
  <c r="BD37" i="7"/>
  <c r="BD52" i="7"/>
  <c r="BN24" i="7"/>
  <c r="AP51" i="7"/>
  <c r="AT21" i="7"/>
  <c r="BB32" i="7"/>
  <c r="BB16" i="7"/>
  <c r="BB46" i="7"/>
  <c r="BB33" i="7"/>
  <c r="BN48" i="7"/>
  <c r="BN43" i="7"/>
  <c r="BN41" i="7"/>
  <c r="BN40" i="7"/>
  <c r="BN44" i="7"/>
  <c r="AV59" i="7"/>
  <c r="AV36" i="7"/>
  <c r="AV26" i="7"/>
  <c r="AV19" i="7"/>
  <c r="AV51" i="7"/>
  <c r="AP38" i="7"/>
  <c r="AP58" i="7"/>
  <c r="AP59" i="7"/>
  <c r="AP21" i="7"/>
  <c r="BF23" i="7"/>
  <c r="BF61" i="7"/>
  <c r="BF39" i="7"/>
  <c r="BF56" i="7"/>
  <c r="AL64" i="7"/>
  <c r="AK32" i="7"/>
  <c r="AK20" i="7"/>
  <c r="AK31" i="7"/>
  <c r="AK46" i="7"/>
  <c r="AK34" i="7"/>
  <c r="AK29" i="7"/>
  <c r="AK49" i="7"/>
  <c r="AK16" i="7"/>
  <c r="AK50" i="7"/>
  <c r="B835" i="7" s="1"/>
  <c r="AK27" i="7"/>
  <c r="AK44" i="7"/>
  <c r="AK19" i="7"/>
  <c r="B804" i="7" s="1"/>
  <c r="AK23" i="7"/>
  <c r="AK63" i="7"/>
  <c r="AK42" i="7"/>
  <c r="AK25" i="7"/>
  <c r="AK33" i="7"/>
  <c r="AK17" i="7"/>
  <c r="AK54" i="7"/>
  <c r="B839" i="7" s="1"/>
  <c r="AK22" i="7"/>
  <c r="AK56" i="7"/>
  <c r="B841" i="7" s="1"/>
  <c r="AK57" i="7"/>
  <c r="AK43" i="7"/>
  <c r="AK45" i="7"/>
  <c r="AK60" i="7"/>
  <c r="AK55" i="7"/>
  <c r="AK37" i="7"/>
  <c r="AK41" i="7"/>
  <c r="AK39" i="7"/>
  <c r="AK24" i="7"/>
  <c r="AK26" i="7"/>
  <c r="B811" i="7" s="1"/>
  <c r="AK64" i="7"/>
  <c r="AK28" i="7"/>
  <c r="AK59" i="7"/>
  <c r="B844" i="7" s="1"/>
  <c r="AK66" i="7"/>
  <c r="B851" i="7" s="1"/>
  <c r="AK58" i="7"/>
  <c r="AK62" i="7"/>
  <c r="AK53" i="7"/>
  <c r="AK18" i="7"/>
  <c r="AK65" i="7"/>
  <c r="AK35" i="7"/>
  <c r="B820" i="7" s="1"/>
  <c r="AK61" i="7"/>
  <c r="AK47" i="7"/>
  <c r="AK48" i="7"/>
  <c r="AK21" i="7"/>
  <c r="AK38" i="7"/>
  <c r="AK30" i="7"/>
  <c r="AK40" i="7"/>
  <c r="AK52" i="7"/>
  <c r="AK51" i="7"/>
  <c r="B836" i="7" s="1"/>
  <c r="AK36" i="7"/>
  <c r="B821" i="7" s="1"/>
  <c r="AT65" i="7"/>
  <c r="AT62" i="7"/>
  <c r="AT22" i="7"/>
  <c r="AT54" i="7"/>
  <c r="AR40" i="7"/>
  <c r="AR18" i="7"/>
  <c r="AR49" i="7"/>
  <c r="AR37" i="7"/>
  <c r="BP41" i="7"/>
  <c r="BP26" i="7"/>
  <c r="BP56" i="7"/>
  <c r="BP35" i="7"/>
  <c r="BD47" i="7"/>
  <c r="BD23" i="7"/>
  <c r="BD61" i="7"/>
  <c r="BD60" i="7"/>
  <c r="AN34" i="7"/>
  <c r="AN50" i="7"/>
  <c r="AN43" i="7"/>
  <c r="AN25" i="7"/>
  <c r="AJ59" i="7"/>
  <c r="AJ52" i="7"/>
  <c r="AJ17" i="7"/>
  <c r="AJ20" i="7"/>
  <c r="AT38" i="7"/>
  <c r="BB27" i="7"/>
  <c r="BN22" i="7"/>
  <c r="BB65" i="7"/>
  <c r="BN53" i="7"/>
  <c r="BN63" i="7"/>
  <c r="BN21" i="7"/>
  <c r="AP45" i="7"/>
  <c r="AP26" i="7"/>
  <c r="AP46" i="7"/>
  <c r="AP63" i="7"/>
  <c r="AT19" i="7"/>
  <c r="AT49" i="7"/>
  <c r="AT46" i="7"/>
  <c r="AT20" i="7"/>
  <c r="BD34" i="7"/>
  <c r="BD41" i="7"/>
  <c r="BD58" i="7"/>
  <c r="BD31" i="7"/>
  <c r="AJ31" i="7"/>
  <c r="AJ34" i="7"/>
  <c r="AP61" i="7"/>
  <c r="AT56" i="7"/>
  <c r="BB48" i="7"/>
  <c r="BD44" i="7"/>
  <c r="BD59" i="7"/>
  <c r="BB59" i="7"/>
  <c r="BB53" i="7"/>
  <c r="BB36" i="7"/>
  <c r="BB51" i="7"/>
  <c r="BN30" i="7"/>
  <c r="BN23" i="7"/>
  <c r="L36" i="7"/>
  <c r="L34" i="7"/>
  <c r="BB52" i="7"/>
  <c r="BB28" i="7"/>
  <c r="BB44" i="7"/>
  <c r="BB20" i="7"/>
  <c r="BN57" i="7"/>
  <c r="BN50" i="7"/>
  <c r="BN39" i="7"/>
  <c r="BN36" i="7"/>
  <c r="BN64" i="7"/>
  <c r="AX25" i="7"/>
  <c r="AV46" i="7"/>
  <c r="AV18" i="7"/>
  <c r="AV41" i="7"/>
  <c r="AV57" i="7"/>
  <c r="AP52" i="7"/>
  <c r="AP24" i="7"/>
  <c r="AP66" i="7"/>
  <c r="AP37" i="7"/>
  <c r="BF37" i="7"/>
  <c r="BF34" i="7"/>
  <c r="BF57" i="7"/>
  <c r="BF30" i="7"/>
  <c r="AL52" i="7"/>
  <c r="AL60" i="7"/>
  <c r="AL34" i="7"/>
  <c r="AL49" i="7"/>
  <c r="AL41" i="7"/>
  <c r="AT57" i="7"/>
  <c r="AT47" i="7"/>
  <c r="AT36" i="7"/>
  <c r="AT29" i="7"/>
  <c r="AR23" i="7"/>
  <c r="AR22" i="7"/>
  <c r="AR63" i="7"/>
  <c r="AR60" i="7"/>
  <c r="BL17" i="7"/>
  <c r="BL29" i="7"/>
  <c r="BL45" i="7"/>
  <c r="BP57" i="7"/>
  <c r="BP33" i="7"/>
  <c r="BP58" i="7"/>
  <c r="BP36" i="7"/>
  <c r="BH32" i="7"/>
  <c r="BH30" i="7"/>
  <c r="BH39" i="7"/>
  <c r="BH21" i="7"/>
  <c r="BD21" i="7"/>
  <c r="BD32" i="7"/>
  <c r="BD26" i="7"/>
  <c r="BD24" i="7"/>
  <c r="AN63" i="7"/>
  <c r="AN23" i="7"/>
  <c r="AN31" i="7"/>
  <c r="AN33" i="7"/>
  <c r="AN49" i="7"/>
  <c r="AJ58" i="7"/>
  <c r="AJ22" i="7"/>
  <c r="AJ36" i="7"/>
  <c r="BJ31" i="7"/>
  <c r="BJ59" i="7"/>
  <c r="AP57" i="7"/>
  <c r="BB21" i="7"/>
  <c r="BN27" i="7"/>
  <c r="BB43" i="7"/>
  <c r="BB29" i="7"/>
  <c r="BN65" i="7"/>
  <c r="BN56" i="7"/>
  <c r="BB42" i="7"/>
  <c r="BB64" i="7"/>
  <c r="BB30" i="7"/>
  <c r="BB60" i="7"/>
  <c r="BN61" i="7"/>
  <c r="BN26" i="7"/>
  <c r="BN42" i="7"/>
  <c r="BN52" i="7"/>
  <c r="BN33" i="7"/>
  <c r="AV61" i="7"/>
  <c r="AV43" i="7"/>
  <c r="AV40" i="7"/>
  <c r="AV66" i="7"/>
  <c r="AP48" i="7"/>
  <c r="AP18" i="7"/>
  <c r="AP20" i="7"/>
  <c r="AP30" i="7"/>
  <c r="BF27" i="7"/>
  <c r="BF42" i="7"/>
  <c r="BF58" i="7"/>
  <c r="BF24" i="7"/>
  <c r="AL53" i="7"/>
  <c r="AL44" i="7"/>
  <c r="AL33" i="7"/>
  <c r="AL38" i="7"/>
  <c r="AT16" i="7"/>
  <c r="AT32" i="7"/>
  <c r="AT43" i="7"/>
  <c r="AT41" i="7"/>
  <c r="AR43" i="7"/>
  <c r="AR46" i="7"/>
  <c r="AR47" i="7"/>
  <c r="AR39" i="7"/>
  <c r="BP46" i="7"/>
  <c r="BP25" i="7"/>
  <c r="BP44" i="7"/>
  <c r="BP28" i="7"/>
  <c r="BG18" i="7"/>
  <c r="BG32" i="7"/>
  <c r="BG51" i="7"/>
  <c r="B1386" i="7" s="1"/>
  <c r="BG25" i="7"/>
  <c r="BG22" i="7"/>
  <c r="B1357" i="7" s="1"/>
  <c r="BG59" i="7"/>
  <c r="BG27" i="7"/>
  <c r="BG56" i="7"/>
  <c r="BG33" i="7"/>
  <c r="BG30" i="7"/>
  <c r="BG41" i="7"/>
  <c r="BG24" i="7"/>
  <c r="B1359" i="7" s="1"/>
  <c r="BG62" i="7"/>
  <c r="BG35" i="7"/>
  <c r="B1370" i="7" s="1"/>
  <c r="BG43" i="7"/>
  <c r="BG65" i="7"/>
  <c r="BG34" i="7"/>
  <c r="BG58" i="7"/>
  <c r="BG21" i="7"/>
  <c r="BG37" i="7"/>
  <c r="BG57" i="7"/>
  <c r="BG48" i="7"/>
  <c r="B1383" i="7" s="1"/>
  <c r="BG31" i="7"/>
  <c r="B1366" i="7" s="1"/>
  <c r="BG36" i="7"/>
  <c r="BG60" i="7"/>
  <c r="BG50" i="7"/>
  <c r="BG19" i="7"/>
  <c r="BG49" i="7"/>
  <c r="BG23" i="7"/>
  <c r="BG40" i="7"/>
  <c r="BG47" i="7"/>
  <c r="BG20" i="7"/>
  <c r="B1355" i="7" s="1"/>
  <c r="BG45" i="7"/>
  <c r="B1380" i="7" s="1"/>
  <c r="BG54" i="7"/>
  <c r="B1389" i="7" s="1"/>
  <c r="BG16" i="7"/>
  <c r="BG64" i="7"/>
  <c r="B1399" i="7" s="1"/>
  <c r="BG44" i="7"/>
  <c r="BG55" i="7"/>
  <c r="BG38" i="7"/>
  <c r="B1373" i="7" s="1"/>
  <c r="BG28" i="7"/>
  <c r="BG46" i="7"/>
  <c r="BG17" i="7"/>
  <c r="B1352" i="7" s="1"/>
  <c r="BG42" i="7"/>
  <c r="BG26" i="7"/>
  <c r="BG52" i="7"/>
  <c r="BG66" i="7"/>
  <c r="BG63" i="7"/>
  <c r="BG53" i="7"/>
  <c r="BG39" i="7"/>
  <c r="B1374" i="7" s="1"/>
  <c r="BG29" i="7"/>
  <c r="B1364" i="7" s="1"/>
  <c r="BG61" i="7"/>
  <c r="B1396" i="7" s="1"/>
  <c r="BD42" i="7"/>
  <c r="BD28" i="7"/>
  <c r="BD22" i="7"/>
  <c r="BD56" i="7"/>
  <c r="AN18" i="7"/>
  <c r="AN27" i="7"/>
  <c r="AN60" i="7"/>
  <c r="AN30" i="7"/>
  <c r="AN19" i="7"/>
  <c r="AJ53" i="7"/>
  <c r="AJ62" i="7"/>
  <c r="AJ49" i="7"/>
  <c r="AJ57" i="7"/>
  <c r="AT26" i="7"/>
  <c r="BB31" i="7"/>
  <c r="BB55" i="7"/>
  <c r="BB47" i="7"/>
  <c r="BB62" i="7"/>
  <c r="BN32" i="7"/>
  <c r="BN19" i="7"/>
  <c r="BN29" i="7"/>
  <c r="BN25" i="7"/>
  <c r="BN31" i="7"/>
  <c r="AV25" i="7"/>
  <c r="AV27" i="7"/>
  <c r="AV23" i="7"/>
  <c r="AV38" i="7"/>
  <c r="AP29" i="7"/>
  <c r="AP56" i="7"/>
  <c r="AP54" i="7"/>
  <c r="AP36" i="7"/>
  <c r="AP23" i="7"/>
  <c r="BF52" i="7"/>
  <c r="BF18" i="7"/>
  <c r="BF36" i="7"/>
  <c r="BF62" i="7"/>
  <c r="AL29" i="7"/>
  <c r="AL25" i="7"/>
  <c r="AL65" i="7"/>
  <c r="AL42" i="7"/>
  <c r="AT27" i="7"/>
  <c r="AT17" i="7"/>
  <c r="AT31" i="7"/>
  <c r="AT48" i="7"/>
  <c r="AT59" i="7"/>
  <c r="AR35" i="7"/>
  <c r="AR41" i="7"/>
  <c r="AR34" i="7"/>
  <c r="AR59" i="7"/>
  <c r="BK58" i="7"/>
  <c r="B1493" i="7" s="1"/>
  <c r="BK29" i="7"/>
  <c r="B1464" i="7" s="1"/>
  <c r="BK40" i="7"/>
  <c r="BK54" i="7"/>
  <c r="BK23" i="7"/>
  <c r="B1458" i="7" s="1"/>
  <c r="BK63" i="7"/>
  <c r="B1498" i="7" s="1"/>
  <c r="BK60" i="7"/>
  <c r="BK61" i="7"/>
  <c r="BK17" i="7"/>
  <c r="BK57" i="7"/>
  <c r="BK48" i="7"/>
  <c r="B1483" i="7" s="1"/>
  <c r="BK42" i="7"/>
  <c r="BK51" i="7"/>
  <c r="BK62" i="7"/>
  <c r="B1497" i="7" s="1"/>
  <c r="BK18" i="7"/>
  <c r="BK45" i="7"/>
  <c r="BK56" i="7"/>
  <c r="B1491" i="7" s="1"/>
  <c r="BK47" i="7"/>
  <c r="BK39" i="7"/>
  <c r="B1474" i="7" s="1"/>
  <c r="BK44" i="7"/>
  <c r="BK64" i="7"/>
  <c r="BK33" i="7"/>
  <c r="B1468" i="7" s="1"/>
  <c r="BK32" i="7"/>
  <c r="BK43" i="7"/>
  <c r="BK59" i="7"/>
  <c r="BK52" i="7"/>
  <c r="B1487" i="7" s="1"/>
  <c r="BK27" i="7"/>
  <c r="BK26" i="7"/>
  <c r="B1461" i="7" s="1"/>
  <c r="BK53" i="7"/>
  <c r="BK46" i="7"/>
  <c r="B1481" i="7" s="1"/>
  <c r="BK66" i="7"/>
  <c r="BK20" i="7"/>
  <c r="B1455" i="7" s="1"/>
  <c r="BK55" i="7"/>
  <c r="B1490" i="7" s="1"/>
  <c r="BK41" i="7"/>
  <c r="B1476" i="7" s="1"/>
  <c r="BK28" i="7"/>
  <c r="B1463" i="7" s="1"/>
  <c r="BK49" i="7"/>
  <c r="BK35" i="7"/>
  <c r="B1470" i="7" s="1"/>
  <c r="BK19" i="7"/>
  <c r="B1454" i="7" s="1"/>
  <c r="BK38" i="7"/>
  <c r="BK65" i="7"/>
  <c r="B1500" i="7" s="1"/>
  <c r="BK22" i="7"/>
  <c r="BK37" i="7"/>
  <c r="BK31" i="7"/>
  <c r="BK50" i="7"/>
  <c r="B1485" i="7" s="1"/>
  <c r="BK30" i="7"/>
  <c r="B1465" i="7" s="1"/>
  <c r="BK16" i="7"/>
  <c r="BK24" i="7"/>
  <c r="BK25" i="7"/>
  <c r="BK21" i="7"/>
  <c r="BK34" i="7"/>
  <c r="B1469" i="7" s="1"/>
  <c r="BK36" i="7"/>
  <c r="BL53" i="7"/>
  <c r="BL61" i="7"/>
  <c r="BP37" i="7"/>
  <c r="BP47" i="7"/>
  <c r="BP17" i="7"/>
  <c r="BP31" i="7"/>
  <c r="BH42" i="7"/>
  <c r="BH16" i="7"/>
  <c r="BH52" i="7"/>
  <c r="BH28" i="7"/>
  <c r="BH19" i="7"/>
  <c r="BD27" i="7"/>
  <c r="BD38" i="7"/>
  <c r="BD29" i="7"/>
  <c r="BD35" i="7"/>
  <c r="AN59" i="7"/>
  <c r="AN66" i="7"/>
  <c r="AN35" i="7"/>
  <c r="AN21" i="7"/>
  <c r="AN42" i="7"/>
  <c r="AJ33" i="7"/>
  <c r="AJ18" i="7"/>
  <c r="AJ60" i="7"/>
  <c r="AJ26" i="7"/>
  <c r="BB19" i="7"/>
  <c r="BN34" i="7"/>
  <c r="AP22" i="7"/>
  <c r="AT35" i="7"/>
  <c r="L17" i="7"/>
  <c r="BB17" i="7"/>
  <c r="BB26" i="7"/>
  <c r="BB50" i="7"/>
  <c r="BN18" i="7"/>
  <c r="BN28" i="7"/>
  <c r="BN66" i="7"/>
  <c r="BN54" i="7"/>
  <c r="AX56" i="7"/>
  <c r="AW34" i="7"/>
  <c r="B1119" i="7" s="1"/>
  <c r="AW16" i="7"/>
  <c r="AW62" i="7"/>
  <c r="AW20" i="7"/>
  <c r="AW31" i="7"/>
  <c r="B1116" i="7" s="1"/>
  <c r="AW60" i="7"/>
  <c r="B1145" i="7" s="1"/>
  <c r="AW29" i="7"/>
  <c r="AW45" i="7"/>
  <c r="AW41" i="7"/>
  <c r="AW18" i="7"/>
  <c r="AW65" i="7"/>
  <c r="AW54" i="7"/>
  <c r="AW28" i="7"/>
  <c r="AW47" i="7"/>
  <c r="B1132" i="7" s="1"/>
  <c r="AW44" i="7"/>
  <c r="AW33" i="7"/>
  <c r="AW39" i="7"/>
  <c r="AW40" i="7"/>
  <c r="B1125" i="7" s="1"/>
  <c r="AW58" i="7"/>
  <c r="B1143" i="7" s="1"/>
  <c r="AW24" i="7"/>
  <c r="B1109" i="7" s="1"/>
  <c r="AW30" i="7"/>
  <c r="B1115" i="7" s="1"/>
  <c r="AW59" i="7"/>
  <c r="B1144" i="7" s="1"/>
  <c r="AW56" i="7"/>
  <c r="AW66" i="7"/>
  <c r="AW48" i="7"/>
  <c r="AW36" i="7"/>
  <c r="B1121" i="7" s="1"/>
  <c r="AW32" i="7"/>
  <c r="AW49" i="7"/>
  <c r="AW22" i="7"/>
  <c r="AW46" i="7"/>
  <c r="B1131" i="7" s="1"/>
  <c r="AW27" i="7"/>
  <c r="AW42" i="7"/>
  <c r="B1127" i="7" s="1"/>
  <c r="AW25" i="7"/>
  <c r="AW55" i="7"/>
  <c r="B1140" i="7" s="1"/>
  <c r="AW19" i="7"/>
  <c r="B1104" i="7" s="1"/>
  <c r="AW23" i="7"/>
  <c r="B1108" i="7" s="1"/>
  <c r="AW51" i="7"/>
  <c r="AW26" i="7"/>
  <c r="AW52" i="7"/>
  <c r="B1137" i="7" s="1"/>
  <c r="AW64" i="7"/>
  <c r="B1149" i="7" s="1"/>
  <c r="AW63" i="7"/>
  <c r="AW21" i="7"/>
  <c r="B1106" i="7" s="1"/>
  <c r="AW38" i="7"/>
  <c r="AW61" i="7"/>
  <c r="AW17" i="7"/>
  <c r="AW57" i="7"/>
  <c r="B1142" i="7" s="1"/>
  <c r="AW43" i="7"/>
  <c r="AW53" i="7"/>
  <c r="B1138" i="7" s="1"/>
  <c r="AW37" i="7"/>
  <c r="B1122" i="7" s="1"/>
  <c r="AW35" i="7"/>
  <c r="B1120" i="7" s="1"/>
  <c r="AW50" i="7"/>
  <c r="B1135" i="7" s="1"/>
  <c r="AV33" i="7"/>
  <c r="AV53" i="7"/>
  <c r="AV50" i="7"/>
  <c r="AV45" i="7"/>
  <c r="AP19" i="7"/>
  <c r="AP60" i="7"/>
  <c r="AP27" i="7"/>
  <c r="AP47" i="7"/>
  <c r="BF65" i="7"/>
  <c r="BF64" i="7"/>
  <c r="BF59" i="7"/>
  <c r="BF47" i="7"/>
  <c r="AL24" i="7"/>
  <c r="AL45" i="7"/>
  <c r="AL43" i="7"/>
  <c r="AL46" i="7"/>
  <c r="AT51" i="7"/>
  <c r="AT40" i="7"/>
  <c r="AT66" i="7"/>
  <c r="AT61" i="7"/>
  <c r="AT58" i="7"/>
  <c r="AR19" i="7"/>
  <c r="AR44" i="7"/>
  <c r="AR20" i="7"/>
  <c r="AR64" i="7"/>
  <c r="BL64" i="7"/>
  <c r="BL40" i="7"/>
  <c r="BL47" i="7"/>
  <c r="BL57" i="7"/>
  <c r="BL60" i="7"/>
  <c r="BP66" i="7"/>
  <c r="BP65" i="7"/>
  <c r="BP50" i="7"/>
  <c r="BH50" i="7"/>
  <c r="BH41" i="7"/>
  <c r="BH44" i="7"/>
  <c r="BH40" i="7"/>
  <c r="BH53" i="7"/>
  <c r="BD51" i="7"/>
  <c r="BD66" i="7"/>
  <c r="BD36" i="7"/>
  <c r="BD25" i="7"/>
  <c r="AN41" i="7"/>
  <c r="AN38" i="7"/>
  <c r="AN39" i="7"/>
  <c r="AN51" i="7"/>
  <c r="AJ65" i="7"/>
  <c r="AJ29" i="7"/>
  <c r="AJ28" i="7"/>
  <c r="AJ66" i="7"/>
  <c r="AJ41" i="7"/>
  <c r="BJ56" i="7"/>
  <c r="AZ24" i="7"/>
  <c r="AY57" i="7"/>
  <c r="B1192" i="7" s="1"/>
  <c r="AY17" i="7"/>
  <c r="AY25" i="7"/>
  <c r="AY34" i="7"/>
  <c r="AY47" i="7"/>
  <c r="AY54" i="7"/>
  <c r="B1189" i="7" s="1"/>
  <c r="AY26" i="7"/>
  <c r="B1161" i="7" s="1"/>
  <c r="AY64" i="7"/>
  <c r="AY21" i="7"/>
  <c r="B1156" i="7" s="1"/>
  <c r="AY55" i="7"/>
  <c r="B1190" i="7" s="1"/>
  <c r="AY40" i="7"/>
  <c r="B1175" i="7" s="1"/>
  <c r="AY29" i="7"/>
  <c r="AY53" i="7"/>
  <c r="B1188" i="7" s="1"/>
  <c r="AY60" i="7"/>
  <c r="AY16" i="7"/>
  <c r="AY62" i="7"/>
  <c r="B1197" i="7" s="1"/>
  <c r="AY30" i="7"/>
  <c r="AY43" i="7"/>
  <c r="B1178" i="7" s="1"/>
  <c r="AY51" i="7"/>
  <c r="AY50" i="7"/>
  <c r="B1185" i="7" s="1"/>
  <c r="AY41" i="7"/>
  <c r="B1176" i="7" s="1"/>
  <c r="AY19" i="7"/>
  <c r="AY18" i="7"/>
  <c r="AY58" i="7"/>
  <c r="AY35" i="7"/>
  <c r="AY52" i="7"/>
  <c r="B1187" i="7" s="1"/>
  <c r="AY56" i="7"/>
  <c r="AY46" i="7"/>
  <c r="B1181" i="7" s="1"/>
  <c r="AY44" i="7"/>
  <c r="AY28" i="7"/>
  <c r="B1163" i="7" s="1"/>
  <c r="AY38" i="7"/>
  <c r="AY22" i="7"/>
  <c r="AY32" i="7"/>
  <c r="B1167" i="7" s="1"/>
  <c r="AY61" i="7"/>
  <c r="B1196" i="7" s="1"/>
  <c r="AY45" i="7"/>
  <c r="AY49" i="7"/>
  <c r="AY66" i="7"/>
  <c r="AY39" i="7"/>
  <c r="AY37" i="7"/>
  <c r="AY42" i="7"/>
  <c r="AY59" i="7"/>
  <c r="AY63" i="7"/>
  <c r="B1198" i="7" s="1"/>
  <c r="AY27" i="7"/>
  <c r="B1162" i="7" s="1"/>
  <c r="AY20" i="7"/>
  <c r="AY48" i="7"/>
  <c r="AY65" i="7"/>
  <c r="B1200" i="7" s="1"/>
  <c r="AY33" i="7"/>
  <c r="AY36" i="7"/>
  <c r="B1171" i="7" s="1"/>
  <c r="AY23" i="7"/>
  <c r="B1158" i="7" s="1"/>
  <c r="AY31" i="7"/>
  <c r="AY24" i="7"/>
  <c r="AP34" i="7"/>
  <c r="AO28" i="7"/>
  <c r="B913" i="7" s="1"/>
  <c r="AO56" i="7"/>
  <c r="AO47" i="7"/>
  <c r="AO54" i="7"/>
  <c r="AO63" i="7"/>
  <c r="AO38" i="7"/>
  <c r="B923" i="7" s="1"/>
  <c r="AO61" i="7"/>
  <c r="AO24" i="7"/>
  <c r="B909" i="7" s="1"/>
  <c r="AO58" i="7"/>
  <c r="AO39" i="7"/>
  <c r="B924" i="7" s="1"/>
  <c r="AO60" i="7"/>
  <c r="AO37" i="7"/>
  <c r="AO29" i="7"/>
  <c r="B914" i="7" s="1"/>
  <c r="AO34" i="7"/>
  <c r="AO32" i="7"/>
  <c r="AO31" i="7"/>
  <c r="AO22" i="7"/>
  <c r="AO26" i="7"/>
  <c r="AO25" i="7"/>
  <c r="B910" i="7" s="1"/>
  <c r="AO57" i="7"/>
  <c r="AO48" i="7"/>
  <c r="AO66" i="7"/>
  <c r="AO45" i="7"/>
  <c r="AO18" i="7"/>
  <c r="AO36" i="7"/>
  <c r="AO27" i="7"/>
  <c r="AO35" i="7"/>
  <c r="AO53" i="7"/>
  <c r="AO64" i="7"/>
  <c r="AO21" i="7"/>
  <c r="AO23" i="7"/>
  <c r="AO41" i="7"/>
  <c r="AO16" i="7"/>
  <c r="AO19" i="7"/>
  <c r="AO51" i="7"/>
  <c r="AO42" i="7"/>
  <c r="AO62" i="7"/>
  <c r="AO33" i="7"/>
  <c r="AO65" i="7"/>
  <c r="B950" i="7" s="1"/>
  <c r="AO17" i="7"/>
  <c r="B902" i="7" s="1"/>
  <c r="AO44" i="7"/>
  <c r="AO20" i="7"/>
  <c r="AO30" i="7"/>
  <c r="AO59" i="7"/>
  <c r="AO50" i="7"/>
  <c r="B935" i="7" s="1"/>
  <c r="AO52" i="7"/>
  <c r="B937" i="7" s="1"/>
  <c r="AO55" i="7"/>
  <c r="AO46" i="7"/>
  <c r="B931" i="7" s="1"/>
  <c r="AO49" i="7"/>
  <c r="AO40" i="7"/>
  <c r="AO43" i="7"/>
  <c r="B928" i="7" s="1"/>
  <c r="AT24" i="7"/>
  <c r="BB18" i="7"/>
  <c r="BA17" i="7"/>
  <c r="B1202" i="7" s="1"/>
  <c r="BA51" i="7"/>
  <c r="BA26" i="7"/>
  <c r="BA25" i="7"/>
  <c r="BA23" i="7"/>
  <c r="BA52" i="7"/>
  <c r="BA33" i="7"/>
  <c r="B1218" i="7" s="1"/>
  <c r="BA59" i="7"/>
  <c r="B1244" i="7" s="1"/>
  <c r="BA60" i="7"/>
  <c r="BA28" i="7"/>
  <c r="BA56" i="7"/>
  <c r="B1241" i="7" s="1"/>
  <c r="BA55" i="7"/>
  <c r="B1240" i="7" s="1"/>
  <c r="BA36" i="7"/>
  <c r="B1221" i="7" s="1"/>
  <c r="BA22" i="7"/>
  <c r="BA32" i="7"/>
  <c r="BA54" i="7"/>
  <c r="B1239" i="7" s="1"/>
  <c r="BA57" i="7"/>
  <c r="BA47" i="7"/>
  <c r="BA30" i="7"/>
  <c r="BA65" i="7"/>
  <c r="BA39" i="7"/>
  <c r="B1224" i="7" s="1"/>
  <c r="BA61" i="7"/>
  <c r="BA53" i="7"/>
  <c r="BA64" i="7"/>
  <c r="B1249" i="7" s="1"/>
  <c r="BA21" i="7"/>
  <c r="B1206" i="7" s="1"/>
  <c r="BA43" i="7"/>
  <c r="BA63" i="7"/>
  <c r="BA31" i="7"/>
  <c r="BA45" i="7"/>
  <c r="BA19" i="7"/>
  <c r="BA27" i="7"/>
  <c r="B1212" i="7" s="1"/>
  <c r="BA66" i="7"/>
  <c r="BA62" i="7"/>
  <c r="BA48" i="7"/>
  <c r="BA50" i="7"/>
  <c r="BA42" i="7"/>
  <c r="BA44" i="7"/>
  <c r="B1229" i="7" s="1"/>
  <c r="BA18" i="7"/>
  <c r="BA41" i="7"/>
  <c r="B1226" i="7" s="1"/>
  <c r="BA38" i="7"/>
  <c r="BA58" i="7"/>
  <c r="BA20" i="7"/>
  <c r="BA46" i="7"/>
  <c r="B1231" i="7" s="1"/>
  <c r="BA24" i="7"/>
  <c r="BA40" i="7"/>
  <c r="B1225" i="7" s="1"/>
  <c r="BA49" i="7"/>
  <c r="B1234" i="7" s="1"/>
  <c r="BA34" i="7"/>
  <c r="B1219" i="7" s="1"/>
  <c r="BA16" i="7"/>
  <c r="BA35" i="7"/>
  <c r="BA29" i="7"/>
  <c r="BA37" i="7"/>
  <c r="L54" i="7"/>
  <c r="L18" i="7"/>
  <c r="BB66" i="7"/>
  <c r="BB63" i="7"/>
  <c r="BB35" i="7"/>
  <c r="BB58" i="7"/>
  <c r="BN20" i="7"/>
  <c r="BN35" i="7"/>
  <c r="BN60" i="7"/>
  <c r="BN17" i="7"/>
  <c r="AX26" i="7"/>
  <c r="AV49" i="7"/>
  <c r="AV52" i="7"/>
  <c r="AV54" i="7"/>
  <c r="AV55" i="7"/>
  <c r="AP41" i="7"/>
  <c r="AP33" i="7"/>
  <c r="AP53" i="7"/>
  <c r="AP16" i="7"/>
  <c r="BF60" i="7"/>
  <c r="BF33" i="7"/>
  <c r="BF53" i="7"/>
  <c r="BF63" i="7"/>
  <c r="AL28" i="7"/>
  <c r="AL21" i="7"/>
  <c r="AL37" i="7"/>
  <c r="AL23" i="7"/>
  <c r="AT28" i="7"/>
  <c r="AT44" i="7"/>
  <c r="AT50" i="7"/>
  <c r="AT52" i="7"/>
  <c r="AT39" i="7"/>
  <c r="AR27" i="7"/>
  <c r="AR52" i="7"/>
  <c r="AR24" i="7"/>
  <c r="AR45" i="7"/>
  <c r="BL51" i="7"/>
  <c r="BL54" i="7"/>
  <c r="BL31" i="7"/>
  <c r="BL66" i="7"/>
  <c r="BL32" i="7"/>
  <c r="BP60" i="7"/>
  <c r="BP39" i="7"/>
  <c r="BP23" i="7"/>
  <c r="BP43" i="7"/>
  <c r="BH43" i="7"/>
  <c r="BH33" i="7"/>
  <c r="BH60" i="7"/>
  <c r="BD54" i="7"/>
  <c r="BD55" i="7"/>
  <c r="BD30" i="7"/>
  <c r="BD65" i="7"/>
  <c r="AN44" i="7"/>
  <c r="AN40" i="7"/>
  <c r="AN36" i="7"/>
  <c r="AN56" i="7"/>
  <c r="AJ50" i="7"/>
  <c r="AJ32" i="7"/>
  <c r="AJ37" i="7"/>
  <c r="AJ55" i="7"/>
  <c r="AJ30" i="7"/>
  <c r="BJ18" i="7"/>
  <c r="BI56" i="7"/>
  <c r="B1441" i="7" s="1"/>
  <c r="BI52" i="7"/>
  <c r="BI18" i="7"/>
  <c r="BI19" i="7"/>
  <c r="B1404" i="7" s="1"/>
  <c r="BI20" i="7"/>
  <c r="BI34" i="7"/>
  <c r="B1419" i="7" s="1"/>
  <c r="BI23" i="7"/>
  <c r="B1408" i="7" s="1"/>
  <c r="BI30" i="7"/>
  <c r="B1415" i="7" s="1"/>
  <c r="BI57" i="7"/>
  <c r="B1442" i="7" s="1"/>
  <c r="BI42" i="7"/>
  <c r="B1427" i="7" s="1"/>
  <c r="BI16" i="7"/>
  <c r="BI61" i="7"/>
  <c r="B1446" i="7" s="1"/>
  <c r="BI47" i="7"/>
  <c r="BI45" i="7"/>
  <c r="B1430" i="7" s="1"/>
  <c r="BI53" i="7"/>
  <c r="B1438" i="7" s="1"/>
  <c r="BI50" i="7"/>
  <c r="B1435" i="7" s="1"/>
  <c r="BI49" i="7"/>
  <c r="B1434" i="7" s="1"/>
  <c r="BI39" i="7"/>
  <c r="BI46" i="7"/>
  <c r="B1431" i="7" s="1"/>
  <c r="BI43" i="7"/>
  <c r="B1428" i="7" s="1"/>
  <c r="BI33" i="7"/>
  <c r="B1418" i="7" s="1"/>
  <c r="BI40" i="7"/>
  <c r="B1425" i="7" s="1"/>
  <c r="BI37" i="7"/>
  <c r="BI21" i="7"/>
  <c r="B1406" i="7" s="1"/>
  <c r="BI62" i="7"/>
  <c r="BI25" i="7"/>
  <c r="B1410" i="7" s="1"/>
  <c r="BI32" i="7"/>
  <c r="BI26" i="7"/>
  <c r="B1411" i="7" s="1"/>
  <c r="BI48" i="7"/>
  <c r="BI24" i="7"/>
  <c r="B1409" i="7" s="1"/>
  <c r="BI36" i="7"/>
  <c r="B1421" i="7" s="1"/>
  <c r="BI29" i="7"/>
  <c r="B1414" i="7" s="1"/>
  <c r="BI22" i="7"/>
  <c r="B1407" i="7" s="1"/>
  <c r="BI38" i="7"/>
  <c r="BI66" i="7"/>
  <c r="B1451" i="7" s="1"/>
  <c r="BI63" i="7"/>
  <c r="BI65" i="7"/>
  <c r="BI51" i="7"/>
  <c r="B1436" i="7" s="1"/>
  <c r="BI41" i="7"/>
  <c r="BI27" i="7"/>
  <c r="B1412" i="7" s="1"/>
  <c r="BI28" i="7"/>
  <c r="BI44" i="7"/>
  <c r="BI55" i="7"/>
  <c r="B1440" i="7" s="1"/>
  <c r="BI54" i="7"/>
  <c r="B1439" i="7" s="1"/>
  <c r="BI31" i="7"/>
  <c r="B1416" i="7" s="1"/>
  <c r="BI35" i="7"/>
  <c r="BI60" i="7"/>
  <c r="B1445" i="7" s="1"/>
  <c r="BI59" i="7"/>
  <c r="BI17" i="7"/>
  <c r="BI64" i="7"/>
  <c r="BI58" i="7"/>
  <c r="B1443" i="7" s="1"/>
  <c r="L64" i="7"/>
  <c r="F59" i="7"/>
  <c r="L45" i="7"/>
  <c r="T41" i="7"/>
  <c r="T28" i="7"/>
  <c r="J45" i="7"/>
  <c r="H50" i="7"/>
  <c r="F63" i="7"/>
  <c r="F19" i="7"/>
  <c r="AD37" i="7"/>
  <c r="X17" i="7"/>
  <c r="T29" i="7"/>
  <c r="AD42" i="7"/>
  <c r="AD66" i="7"/>
  <c r="T65" i="7"/>
  <c r="AD57" i="7"/>
  <c r="AD43" i="7"/>
  <c r="F34" i="7"/>
  <c r="AD32" i="7"/>
  <c r="AD51" i="7"/>
  <c r="T66" i="7"/>
  <c r="AD64" i="7"/>
  <c r="AD40" i="7"/>
  <c r="AD60" i="7"/>
  <c r="Z51" i="7"/>
  <c r="AD39" i="7"/>
  <c r="AD38" i="7"/>
  <c r="AD26" i="7"/>
  <c r="AD50" i="7"/>
  <c r="L61" i="7"/>
  <c r="Z18" i="7"/>
  <c r="AD56" i="7"/>
  <c r="AD36" i="7"/>
  <c r="AD30" i="7"/>
  <c r="L40" i="7"/>
  <c r="Z54" i="7"/>
  <c r="AD27" i="7"/>
  <c r="AD62" i="7"/>
  <c r="AD20" i="7"/>
  <c r="AD24" i="7"/>
  <c r="H8" i="4"/>
  <c r="F17" i="7"/>
  <c r="F64" i="7"/>
  <c r="F37" i="7"/>
  <c r="F40" i="7"/>
  <c r="Z32" i="7"/>
  <c r="AH50" i="7"/>
  <c r="X65" i="7"/>
  <c r="J39" i="7"/>
  <c r="AH39" i="7"/>
  <c r="F39" i="7"/>
  <c r="F43" i="7"/>
  <c r="F49" i="7"/>
  <c r="L29" i="7"/>
  <c r="L44" i="7"/>
  <c r="Z39" i="7"/>
  <c r="AH34" i="7"/>
  <c r="J31" i="7"/>
  <c r="F27" i="7"/>
  <c r="F62" i="7"/>
  <c r="AH17" i="7"/>
  <c r="J22" i="7"/>
  <c r="AH35" i="7"/>
  <c r="F23" i="7"/>
  <c r="F54" i="7"/>
  <c r="F31" i="7"/>
  <c r="F56" i="7"/>
  <c r="Z17" i="7"/>
  <c r="AH28" i="7"/>
  <c r="X51" i="7"/>
  <c r="J30" i="7"/>
  <c r="AH63" i="7"/>
  <c r="F51" i="7"/>
  <c r="F29" i="7"/>
  <c r="X25" i="7"/>
  <c r="H19" i="7"/>
  <c r="J27" i="7"/>
  <c r="F33" i="7"/>
  <c r="F36" i="7"/>
  <c r="F20" i="7"/>
  <c r="X42" i="7"/>
  <c r="J23" i="7"/>
  <c r="R31" i="7"/>
  <c r="AH53" i="7"/>
  <c r="F16" i="7"/>
  <c r="F41" i="7"/>
  <c r="F55" i="7"/>
  <c r="L22" i="7"/>
  <c r="L47" i="7"/>
  <c r="AH42" i="7"/>
  <c r="AH18" i="7"/>
  <c r="F50" i="7"/>
  <c r="F45" i="7"/>
  <c r="F57" i="7"/>
  <c r="L19" i="7"/>
  <c r="L49" i="7"/>
  <c r="AH56" i="7"/>
  <c r="AH38" i="7"/>
  <c r="AD59" i="7"/>
  <c r="AD33" i="7"/>
  <c r="X41" i="7"/>
  <c r="H45" i="7"/>
  <c r="J16" i="7"/>
  <c r="T20" i="7"/>
  <c r="F18" i="7"/>
  <c r="F35" i="7"/>
  <c r="AH57" i="7"/>
  <c r="H43" i="7"/>
  <c r="R22" i="7"/>
  <c r="X47" i="7"/>
  <c r="F28" i="7"/>
  <c r="F24" i="7"/>
  <c r="F47" i="7"/>
  <c r="F60" i="7"/>
  <c r="F61" i="7"/>
  <c r="Z34" i="7"/>
  <c r="AH43" i="7"/>
  <c r="X57" i="7"/>
  <c r="J29" i="7"/>
  <c r="F21" i="7"/>
  <c r="F32" i="7"/>
  <c r="F52" i="7"/>
  <c r="L63" i="7"/>
  <c r="L60" i="7"/>
  <c r="Z63" i="7"/>
  <c r="AH24" i="7"/>
  <c r="AH44" i="7"/>
  <c r="AD63" i="7"/>
  <c r="AD58" i="7"/>
  <c r="X18" i="7"/>
  <c r="H39" i="7"/>
  <c r="J28" i="7"/>
  <c r="R27" i="7"/>
  <c r="Z55" i="7"/>
  <c r="Z19" i="7"/>
  <c r="AH66" i="7"/>
  <c r="AH16" i="7"/>
  <c r="AH20" i="7"/>
  <c r="AH26" i="7"/>
  <c r="AD61" i="7"/>
  <c r="AD16" i="7"/>
  <c r="X62" i="7"/>
  <c r="H60" i="7"/>
  <c r="H54" i="7"/>
  <c r="J33" i="7"/>
  <c r="J52" i="7"/>
  <c r="R39" i="7"/>
  <c r="T50" i="7"/>
  <c r="Z16" i="7"/>
  <c r="AH49" i="7"/>
  <c r="AH47" i="7"/>
  <c r="AH45" i="7"/>
  <c r="AF27" i="7"/>
  <c r="AH33" i="7"/>
  <c r="AH65" i="7"/>
  <c r="Z23" i="7"/>
  <c r="Z49" i="7"/>
  <c r="Z57" i="7"/>
  <c r="Z52" i="7"/>
  <c r="Z31" i="7"/>
  <c r="AH51" i="7"/>
  <c r="AH21" i="7"/>
  <c r="AH59" i="7"/>
  <c r="H30" i="7"/>
  <c r="V46" i="7"/>
  <c r="J42" i="7"/>
  <c r="AF46" i="7"/>
  <c r="H16" i="7"/>
  <c r="Z61" i="7"/>
  <c r="Z48" i="7"/>
  <c r="Z53" i="7"/>
  <c r="AH30" i="7"/>
  <c r="AH25" i="7"/>
  <c r="AH40" i="7"/>
  <c r="H61" i="7"/>
  <c r="V60" i="7"/>
  <c r="J63" i="7"/>
  <c r="R64" i="7"/>
  <c r="Z26" i="7"/>
  <c r="AH37" i="7"/>
  <c r="H36" i="7"/>
  <c r="V42" i="7"/>
  <c r="R25" i="7"/>
  <c r="Z56" i="7"/>
  <c r="AH48" i="7"/>
  <c r="Z30" i="7"/>
  <c r="Z20" i="7"/>
  <c r="AH64" i="7"/>
  <c r="AH55" i="7"/>
  <c r="Z28" i="7"/>
  <c r="Z38" i="7"/>
  <c r="AH46" i="7"/>
  <c r="AH27" i="7"/>
  <c r="AH41" i="7"/>
  <c r="H51" i="7"/>
  <c r="J21" i="7"/>
  <c r="R43" i="7"/>
  <c r="Z44" i="7"/>
  <c r="Z65" i="7"/>
  <c r="AH19" i="7"/>
  <c r="AH22" i="7"/>
  <c r="AH60" i="7"/>
  <c r="AH58" i="7"/>
  <c r="H57" i="7"/>
  <c r="R17" i="7"/>
  <c r="AB30" i="7"/>
  <c r="X32" i="7"/>
  <c r="X28" i="7"/>
  <c r="X16" i="7"/>
  <c r="AB58" i="7"/>
  <c r="AB54" i="7"/>
  <c r="AB63" i="7"/>
  <c r="AF29" i="7"/>
  <c r="X35" i="7"/>
  <c r="X48" i="7"/>
  <c r="X38" i="7"/>
  <c r="AB60" i="7"/>
  <c r="AB43" i="7"/>
  <c r="AB32" i="7"/>
  <c r="AB22" i="7"/>
  <c r="AB42" i="7"/>
  <c r="F26" i="7"/>
  <c r="F30" i="7"/>
  <c r="F58" i="7"/>
  <c r="L33" i="7"/>
  <c r="L25" i="7"/>
  <c r="L27" i="7"/>
  <c r="Z59" i="7"/>
  <c r="Z27" i="7"/>
  <c r="Z29" i="7"/>
  <c r="AD49" i="7"/>
  <c r="AD35" i="7"/>
  <c r="AD29" i="7"/>
  <c r="AD52" i="7"/>
  <c r="X39" i="7"/>
  <c r="X59" i="7"/>
  <c r="X30" i="7"/>
  <c r="AB64" i="7"/>
  <c r="AB21" i="7"/>
  <c r="AB35" i="7"/>
  <c r="AF38" i="7"/>
  <c r="AB62" i="7"/>
  <c r="AB36" i="7"/>
  <c r="AB40" i="7"/>
  <c r="AF56" i="7"/>
  <c r="Z45" i="7"/>
  <c r="Z24" i="7"/>
  <c r="AD44" i="7"/>
  <c r="AD23" i="7"/>
  <c r="AD41" i="7"/>
  <c r="AD25" i="7"/>
  <c r="X66" i="7"/>
  <c r="X22" i="7"/>
  <c r="AB55" i="7"/>
  <c r="AB18" i="7"/>
  <c r="AB26" i="7"/>
  <c r="AF30" i="7"/>
  <c r="AB51" i="7"/>
  <c r="AF60" i="7"/>
  <c r="AB19" i="7"/>
  <c r="AD31" i="7"/>
  <c r="AD28" i="7"/>
  <c r="AD46" i="7"/>
  <c r="AD48" i="7"/>
  <c r="X19" i="7"/>
  <c r="X36" i="7"/>
  <c r="AB17" i="7"/>
  <c r="AB49" i="7"/>
  <c r="AB59" i="7"/>
  <c r="AB41" i="7"/>
  <c r="AF31" i="7"/>
  <c r="AB39" i="7"/>
  <c r="X60" i="7"/>
  <c r="X40" i="7"/>
  <c r="AB44" i="7"/>
  <c r="AB56" i="7"/>
  <c r="AB20" i="7"/>
  <c r="AB27" i="7"/>
  <c r="AF52" i="7"/>
  <c r="AB48" i="7"/>
  <c r="Z41" i="7"/>
  <c r="Z64" i="7"/>
  <c r="Z35" i="7"/>
  <c r="AD47" i="7"/>
  <c r="AD55" i="7"/>
  <c r="AD17" i="7"/>
  <c r="X53" i="7"/>
  <c r="X50" i="7"/>
  <c r="AB28" i="7"/>
  <c r="AB31" i="7"/>
  <c r="AB65" i="7"/>
  <c r="AB23" i="7"/>
  <c r="H44" i="7"/>
  <c r="V22" i="7"/>
  <c r="AF19" i="7"/>
  <c r="T38" i="7"/>
  <c r="L50" i="7"/>
  <c r="L35" i="7"/>
  <c r="Z21" i="7"/>
  <c r="Z47" i="7"/>
  <c r="Z43" i="7"/>
  <c r="AD65" i="7"/>
  <c r="AD21" i="7"/>
  <c r="AD54" i="7"/>
  <c r="X33" i="7"/>
  <c r="X21" i="7"/>
  <c r="X29" i="7"/>
  <c r="AB45" i="7"/>
  <c r="AB34" i="7"/>
  <c r="AB37" i="7"/>
  <c r="AB61" i="7"/>
  <c r="H42" i="7"/>
  <c r="AF25" i="7"/>
  <c r="AF53" i="7"/>
  <c r="AB57" i="7"/>
  <c r="AB66" i="7"/>
  <c r="AB46" i="7"/>
  <c r="V59" i="7"/>
  <c r="U25" i="7"/>
  <c r="U56" i="7"/>
  <c r="U49" i="7"/>
  <c r="U66" i="7"/>
  <c r="U23" i="7"/>
  <c r="U19" i="7"/>
  <c r="U41" i="7"/>
  <c r="U54" i="7"/>
  <c r="U57" i="7"/>
  <c r="U61" i="7"/>
  <c r="U38" i="7"/>
  <c r="U31" i="7"/>
  <c r="U36" i="7"/>
  <c r="U44" i="7"/>
  <c r="U28" i="7"/>
  <c r="U26" i="7"/>
  <c r="U21" i="7"/>
  <c r="U51" i="7"/>
  <c r="U35" i="7"/>
  <c r="U24" i="7"/>
  <c r="U16" i="7"/>
  <c r="U34" i="7"/>
  <c r="U52" i="7"/>
  <c r="U29" i="7"/>
  <c r="U46" i="7"/>
  <c r="U59" i="7"/>
  <c r="U65" i="7"/>
  <c r="U30" i="7"/>
  <c r="U33" i="7"/>
  <c r="U18" i="7"/>
  <c r="B403" i="7" s="1"/>
  <c r="U22" i="7"/>
  <c r="U53" i="7"/>
  <c r="U39" i="7"/>
  <c r="U20" i="7"/>
  <c r="U17" i="7"/>
  <c r="U48" i="7"/>
  <c r="U45" i="7"/>
  <c r="U47" i="7"/>
  <c r="U27" i="7"/>
  <c r="U55" i="7"/>
  <c r="U50" i="7"/>
  <c r="U62" i="7"/>
  <c r="U64" i="7"/>
  <c r="U40" i="7"/>
  <c r="U63" i="7"/>
  <c r="U42" i="7"/>
  <c r="U37" i="7"/>
  <c r="U32" i="7"/>
  <c r="U60" i="7"/>
  <c r="U58" i="7"/>
  <c r="U43" i="7"/>
  <c r="P39" i="7"/>
  <c r="F42" i="7"/>
  <c r="F25" i="7"/>
  <c r="F53" i="7"/>
  <c r="F66" i="7"/>
  <c r="L66" i="7"/>
  <c r="L65" i="7"/>
  <c r="L26" i="7"/>
  <c r="L43" i="7"/>
  <c r="Z40" i="7"/>
  <c r="Z66" i="7"/>
  <c r="Z25" i="7"/>
  <c r="Z60" i="7"/>
  <c r="AH23" i="7"/>
  <c r="AH31" i="7"/>
  <c r="AH32" i="7"/>
  <c r="X61" i="7"/>
  <c r="X34" i="7"/>
  <c r="X46" i="7"/>
  <c r="X64" i="7"/>
  <c r="H47" i="7"/>
  <c r="H21" i="7"/>
  <c r="H63" i="7"/>
  <c r="V40" i="7"/>
  <c r="V55" i="7"/>
  <c r="V54" i="7"/>
  <c r="V48" i="7"/>
  <c r="P64" i="7"/>
  <c r="P41" i="7"/>
  <c r="P66" i="7"/>
  <c r="P32" i="7"/>
  <c r="P35" i="7"/>
  <c r="J38" i="7"/>
  <c r="J25" i="7"/>
  <c r="J53" i="7"/>
  <c r="J49" i="7"/>
  <c r="R52" i="7"/>
  <c r="R24" i="7"/>
  <c r="R58" i="7"/>
  <c r="R41" i="7"/>
  <c r="AF65" i="7"/>
  <c r="AF24" i="7"/>
  <c r="AF54" i="7"/>
  <c r="AF17" i="7"/>
  <c r="AF16" i="7"/>
  <c r="N51" i="7"/>
  <c r="N24" i="7"/>
  <c r="N17" i="7"/>
  <c r="N47" i="7"/>
  <c r="T34" i="7"/>
  <c r="T36" i="7"/>
  <c r="T32" i="7"/>
  <c r="T21" i="7"/>
  <c r="F48" i="7"/>
  <c r="E33" i="7"/>
  <c r="E58" i="7"/>
  <c r="E61" i="7"/>
  <c r="E28" i="7"/>
  <c r="E24" i="7"/>
  <c r="E56" i="7"/>
  <c r="E41" i="7"/>
  <c r="E48" i="7"/>
  <c r="E31" i="7"/>
  <c r="E26" i="7"/>
  <c r="E23" i="7"/>
  <c r="E63" i="7"/>
  <c r="E38" i="7"/>
  <c r="B23" i="7" s="1"/>
  <c r="E25" i="7"/>
  <c r="E17" i="7"/>
  <c r="E60" i="7"/>
  <c r="E57" i="7"/>
  <c r="E50" i="7"/>
  <c r="E49" i="7"/>
  <c r="E40" i="7"/>
  <c r="E39" i="7"/>
  <c r="E51" i="7"/>
  <c r="E36" i="7"/>
  <c r="E21" i="7"/>
  <c r="E37" i="7"/>
  <c r="E45" i="7"/>
  <c r="E18" i="7"/>
  <c r="E52" i="7"/>
  <c r="E42" i="7"/>
  <c r="E22" i="7"/>
  <c r="E53" i="7"/>
  <c r="E65" i="7"/>
  <c r="E35" i="7"/>
  <c r="E44" i="7"/>
  <c r="E62" i="7"/>
  <c r="E16" i="7"/>
  <c r="E20" i="7"/>
  <c r="E66" i="7"/>
  <c r="E54" i="7"/>
  <c r="E29" i="7"/>
  <c r="E64" i="7"/>
  <c r="E19" i="7"/>
  <c r="B4" i="7" s="1"/>
  <c r="E59" i="7"/>
  <c r="E46" i="7"/>
  <c r="E47" i="7"/>
  <c r="E32" i="7"/>
  <c r="E27" i="7"/>
  <c r="E30" i="7"/>
  <c r="E55" i="7"/>
  <c r="E34" i="7"/>
  <c r="E43" i="7"/>
  <c r="L32" i="7"/>
  <c r="L57" i="7"/>
  <c r="L51" i="7"/>
  <c r="L56" i="7"/>
  <c r="Z33" i="7"/>
  <c r="Z62" i="7"/>
  <c r="Z58" i="7"/>
  <c r="AH52" i="7"/>
  <c r="AG26" i="7"/>
  <c r="AG47" i="7"/>
  <c r="AG61" i="7"/>
  <c r="AG66" i="7"/>
  <c r="AG51" i="7"/>
  <c r="AG59" i="7"/>
  <c r="AG65" i="7"/>
  <c r="AG22" i="7"/>
  <c r="AG45" i="7"/>
  <c r="AG20" i="7"/>
  <c r="AG35" i="7"/>
  <c r="AG36" i="7"/>
  <c r="AG54" i="7"/>
  <c r="AG60" i="7"/>
  <c r="AG23" i="7"/>
  <c r="AG62" i="7"/>
  <c r="B747" i="7" s="1"/>
  <c r="AG30" i="7"/>
  <c r="AG43" i="7"/>
  <c r="AG29" i="7"/>
  <c r="AG55" i="7"/>
  <c r="AG19" i="7"/>
  <c r="AG57" i="7"/>
  <c r="AG38" i="7"/>
  <c r="AG27" i="7"/>
  <c r="AG44" i="7"/>
  <c r="AG28" i="7"/>
  <c r="AG41" i="7"/>
  <c r="AG37" i="7"/>
  <c r="AG46" i="7"/>
  <c r="AG25" i="7"/>
  <c r="AG32" i="7"/>
  <c r="AG63" i="7"/>
  <c r="AG48" i="7"/>
  <c r="AG40" i="7"/>
  <c r="AG21" i="7"/>
  <c r="AG64" i="7"/>
  <c r="AG52" i="7"/>
  <c r="AG17" i="7"/>
  <c r="AG39" i="7"/>
  <c r="B724" i="7" s="1"/>
  <c r="AG49" i="7"/>
  <c r="B734" i="7" s="1"/>
  <c r="AG53" i="7"/>
  <c r="AG56" i="7"/>
  <c r="AG18" i="7"/>
  <c r="AG16" i="7"/>
  <c r="AG34" i="7"/>
  <c r="AG58" i="7"/>
  <c r="AG42" i="7"/>
  <c r="AG50" i="7"/>
  <c r="AG33" i="7"/>
  <c r="AG31" i="7"/>
  <c r="AG24" i="7"/>
  <c r="X45" i="7"/>
  <c r="X26" i="7"/>
  <c r="X55" i="7"/>
  <c r="X24" i="7"/>
  <c r="AB52" i="7"/>
  <c r="AA23" i="7"/>
  <c r="AA62" i="7"/>
  <c r="AA24" i="7"/>
  <c r="AA26" i="7"/>
  <c r="AA53" i="7"/>
  <c r="AA41" i="7"/>
  <c r="AA20" i="7"/>
  <c r="AA42" i="7"/>
  <c r="AA55" i="7"/>
  <c r="AA27" i="7"/>
  <c r="AA19" i="7"/>
  <c r="AA57" i="7"/>
  <c r="AA60" i="7"/>
  <c r="AA30" i="7"/>
  <c r="AA43" i="7"/>
  <c r="AA16" i="7"/>
  <c r="AA21" i="7"/>
  <c r="AA40" i="7"/>
  <c r="B575" i="7" s="1"/>
  <c r="AA36" i="7"/>
  <c r="AA35" i="7"/>
  <c r="AA59" i="7"/>
  <c r="AA51" i="7"/>
  <c r="AA34" i="7"/>
  <c r="B569" i="7" s="1"/>
  <c r="AA61" i="7"/>
  <c r="AA46" i="7"/>
  <c r="AA32" i="7"/>
  <c r="AA37" i="7"/>
  <c r="AA58" i="7"/>
  <c r="AA17" i="7"/>
  <c r="B552" i="7" s="1"/>
  <c r="AA45" i="7"/>
  <c r="AA49" i="7"/>
  <c r="AA54" i="7"/>
  <c r="AA64" i="7"/>
  <c r="AA31" i="7"/>
  <c r="AA18" i="7"/>
  <c r="AA25" i="7"/>
  <c r="AA48" i="7"/>
  <c r="AA56" i="7"/>
  <c r="B591" i="7" s="1"/>
  <c r="AA38" i="7"/>
  <c r="AA44" i="7"/>
  <c r="AA29" i="7"/>
  <c r="B564" i="7" s="1"/>
  <c r="AA52" i="7"/>
  <c r="AA63" i="7"/>
  <c r="AA39" i="7"/>
  <c r="AA22" i="7"/>
  <c r="AA50" i="7"/>
  <c r="AA33" i="7"/>
  <c r="AA47" i="7"/>
  <c r="AA28" i="7"/>
  <c r="AA66" i="7"/>
  <c r="AA65" i="7"/>
  <c r="H59" i="7"/>
  <c r="H23" i="7"/>
  <c r="H53" i="7"/>
  <c r="H24" i="7"/>
  <c r="V33" i="7"/>
  <c r="V62" i="7"/>
  <c r="V58" i="7"/>
  <c r="V21" i="7"/>
  <c r="P65" i="7"/>
  <c r="P44" i="7"/>
  <c r="P62" i="7"/>
  <c r="P37" i="7"/>
  <c r="P61" i="7"/>
  <c r="J20" i="7"/>
  <c r="J35" i="7"/>
  <c r="J46" i="7"/>
  <c r="J37" i="7"/>
  <c r="R37" i="7"/>
  <c r="R40" i="7"/>
  <c r="R46" i="7"/>
  <c r="R30" i="7"/>
  <c r="AF62" i="7"/>
  <c r="AF23" i="7"/>
  <c r="AF36" i="7"/>
  <c r="AF45" i="7"/>
  <c r="AF48" i="7"/>
  <c r="N27" i="7"/>
  <c r="N53" i="7"/>
  <c r="N42" i="7"/>
  <c r="N61" i="7"/>
  <c r="T30" i="7"/>
  <c r="T54" i="7"/>
  <c r="T18" i="7"/>
  <c r="T25" i="7"/>
  <c r="P53" i="7"/>
  <c r="L53" i="7"/>
  <c r="L58" i="7"/>
  <c r="L24" i="7"/>
  <c r="L31" i="7"/>
  <c r="Z46" i="7"/>
  <c r="Y19" i="7"/>
  <c r="Y44" i="7"/>
  <c r="Y40" i="7"/>
  <c r="Y64" i="7"/>
  <c r="Y27" i="7"/>
  <c r="Y61" i="7"/>
  <c r="Y39" i="7"/>
  <c r="Y16" i="7"/>
  <c r="Y38" i="7"/>
  <c r="Y28" i="7"/>
  <c r="Y24" i="7"/>
  <c r="Y63" i="7"/>
  <c r="B548" i="7" s="1"/>
  <c r="Y35" i="7"/>
  <c r="Y22" i="7"/>
  <c r="B507" i="7" s="1"/>
  <c r="Y51" i="7"/>
  <c r="Y30" i="7"/>
  <c r="Y52" i="7"/>
  <c r="Y17" i="7"/>
  <c r="Y57" i="7"/>
  <c r="Y18" i="7"/>
  <c r="Y47" i="7"/>
  <c r="Y31" i="7"/>
  <c r="Y33" i="7"/>
  <c r="Y60" i="7"/>
  <c r="Y56" i="7"/>
  <c r="Y59" i="7"/>
  <c r="Y50" i="7"/>
  <c r="Y21" i="7"/>
  <c r="Y37" i="7"/>
  <c r="Y20" i="7"/>
  <c r="Y62" i="7"/>
  <c r="B547" i="7" s="1"/>
  <c r="Y42" i="7"/>
  <c r="Y49" i="7"/>
  <c r="Y58" i="7"/>
  <c r="Y23" i="7"/>
  <c r="Y54" i="7"/>
  <c r="Y43" i="7"/>
  <c r="Y26" i="7"/>
  <c r="Y48" i="7"/>
  <c r="Y32" i="7"/>
  <c r="Y45" i="7"/>
  <c r="Y36" i="7"/>
  <c r="Y25" i="7"/>
  <c r="Y53" i="7"/>
  <c r="Y41" i="7"/>
  <c r="Y46" i="7"/>
  <c r="Y34" i="7"/>
  <c r="Y66" i="7"/>
  <c r="Y65" i="7"/>
  <c r="Y55" i="7"/>
  <c r="Y29" i="7"/>
  <c r="X23" i="7"/>
  <c r="X52" i="7"/>
  <c r="X49" i="7"/>
  <c r="X37" i="7"/>
  <c r="H37" i="7"/>
  <c r="H35" i="7"/>
  <c r="H29" i="7"/>
  <c r="H27" i="7"/>
  <c r="V19" i="7"/>
  <c r="V24" i="7"/>
  <c r="V57" i="7"/>
  <c r="V44" i="7"/>
  <c r="P24" i="7"/>
  <c r="P56" i="7"/>
  <c r="P18" i="7"/>
  <c r="P31" i="7"/>
  <c r="P46" i="7"/>
  <c r="J43" i="7"/>
  <c r="J59" i="7"/>
  <c r="J65" i="7"/>
  <c r="J64" i="7"/>
  <c r="R18" i="7"/>
  <c r="R28" i="7"/>
  <c r="R62" i="7"/>
  <c r="R59" i="7"/>
  <c r="AF18" i="7"/>
  <c r="AF33" i="7"/>
  <c r="AF66" i="7"/>
  <c r="AF37" i="7"/>
  <c r="N28" i="7"/>
  <c r="N18" i="7"/>
  <c r="N48" i="7"/>
  <c r="N50" i="7"/>
  <c r="T16" i="7"/>
  <c r="T49" i="7"/>
  <c r="T51" i="7"/>
  <c r="T58" i="7"/>
  <c r="H64" i="7"/>
  <c r="H41" i="7"/>
  <c r="H46" i="7"/>
  <c r="H32" i="7"/>
  <c r="H65" i="7"/>
  <c r="V52" i="7"/>
  <c r="V38" i="7"/>
  <c r="V25" i="7"/>
  <c r="V43" i="7"/>
  <c r="P22" i="7"/>
  <c r="P26" i="7"/>
  <c r="P48" i="7"/>
  <c r="AF63" i="7"/>
  <c r="AE17" i="7"/>
  <c r="AE60" i="7"/>
  <c r="AE47" i="7"/>
  <c r="AE39" i="7"/>
  <c r="AE46" i="7"/>
  <c r="AE16" i="7"/>
  <c r="AE23" i="7"/>
  <c r="AE61" i="7"/>
  <c r="AE44" i="7"/>
  <c r="AE64" i="7"/>
  <c r="AE45" i="7"/>
  <c r="AE22" i="7"/>
  <c r="AE25" i="7"/>
  <c r="AE51" i="7"/>
  <c r="AE32" i="7"/>
  <c r="AE21" i="7"/>
  <c r="AE33" i="7"/>
  <c r="AE42" i="7"/>
  <c r="AE19" i="7"/>
  <c r="AE54" i="7"/>
  <c r="AE59" i="7"/>
  <c r="AE57" i="7"/>
  <c r="AE56" i="7"/>
  <c r="AE40" i="7"/>
  <c r="B675" i="7" s="1"/>
  <c r="AE48" i="7"/>
  <c r="AE55" i="7"/>
  <c r="AE43" i="7"/>
  <c r="AE35" i="7"/>
  <c r="AE41" i="7"/>
  <c r="AE29" i="7"/>
  <c r="AE38" i="7"/>
  <c r="AE37" i="7"/>
  <c r="AE27" i="7"/>
  <c r="AE66" i="7"/>
  <c r="AE62" i="7"/>
  <c r="AE36" i="7"/>
  <c r="AE24" i="7"/>
  <c r="AE58" i="7"/>
  <c r="AE18" i="7"/>
  <c r="AE52" i="7"/>
  <c r="AE65" i="7"/>
  <c r="AE26" i="7"/>
  <c r="AE28" i="7"/>
  <c r="AE49" i="7"/>
  <c r="AE50" i="7"/>
  <c r="AE63" i="7"/>
  <c r="AE53" i="7"/>
  <c r="AE31" i="7"/>
  <c r="AE30" i="7"/>
  <c r="AE34" i="7"/>
  <c r="AE20" i="7"/>
  <c r="N49" i="7"/>
  <c r="N56" i="7"/>
  <c r="N57" i="7"/>
  <c r="N44" i="7"/>
  <c r="T61" i="7"/>
  <c r="T60" i="7"/>
  <c r="T27" i="7"/>
  <c r="T57" i="7"/>
  <c r="P16" i="7"/>
  <c r="O65" i="7"/>
  <c r="O63" i="7"/>
  <c r="O19" i="7"/>
  <c r="O35" i="7"/>
  <c r="O43" i="7"/>
  <c r="O66" i="7"/>
  <c r="O39" i="7"/>
  <c r="O53" i="7"/>
  <c r="O60" i="7"/>
  <c r="O59" i="7"/>
  <c r="O37" i="7"/>
  <c r="O25" i="7"/>
  <c r="O31" i="7"/>
  <c r="O61" i="7"/>
  <c r="O58" i="7"/>
  <c r="B293" i="7" s="1"/>
  <c r="O26" i="7"/>
  <c r="O34" i="7"/>
  <c r="O45" i="7"/>
  <c r="O57" i="7"/>
  <c r="O56" i="7"/>
  <c r="O16" i="7"/>
  <c r="O21" i="7"/>
  <c r="O17" i="7"/>
  <c r="O38" i="7"/>
  <c r="O52" i="7"/>
  <c r="O62" i="7"/>
  <c r="B297" i="7" s="1"/>
  <c r="O50" i="7"/>
  <c r="O20" i="7"/>
  <c r="O44" i="7"/>
  <c r="O48" i="7"/>
  <c r="O51" i="7"/>
  <c r="O46" i="7"/>
  <c r="O47" i="7"/>
  <c r="O42" i="7"/>
  <c r="O41" i="7"/>
  <c r="O23" i="7"/>
  <c r="O49" i="7"/>
  <c r="O29" i="7"/>
  <c r="O55" i="7"/>
  <c r="O54" i="7"/>
  <c r="O64" i="7"/>
  <c r="O33" i="7"/>
  <c r="O18" i="7"/>
  <c r="O32" i="7"/>
  <c r="O30" i="7"/>
  <c r="O24" i="7"/>
  <c r="O36" i="7"/>
  <c r="O40" i="7"/>
  <c r="O27" i="7"/>
  <c r="O22" i="7"/>
  <c r="O28" i="7"/>
  <c r="J34" i="7"/>
  <c r="J54" i="7"/>
  <c r="J26" i="7"/>
  <c r="J41" i="7"/>
  <c r="R29" i="7"/>
  <c r="R54" i="7"/>
  <c r="R55" i="7"/>
  <c r="R61" i="7"/>
  <c r="AF20" i="7"/>
  <c r="AF64" i="7"/>
  <c r="AF41" i="7"/>
  <c r="AF43" i="7"/>
  <c r="F22" i="7"/>
  <c r="F44" i="7"/>
  <c r="F65" i="7"/>
  <c r="F46" i="7"/>
  <c r="L20" i="7"/>
  <c r="L59" i="7"/>
  <c r="L62" i="7"/>
  <c r="L42" i="7"/>
  <c r="Z37" i="7"/>
  <c r="Z50" i="7"/>
  <c r="Z42" i="7"/>
  <c r="Z36" i="7"/>
  <c r="AH29" i="7"/>
  <c r="AH54" i="7"/>
  <c r="AH61" i="7"/>
  <c r="AH36" i="7"/>
  <c r="AD45" i="7"/>
  <c r="AD22" i="7"/>
  <c r="AD34" i="7"/>
  <c r="AD19" i="7"/>
  <c r="X54" i="7"/>
  <c r="X43" i="7"/>
  <c r="X20" i="7"/>
  <c r="X31" i="7"/>
  <c r="AB16" i="7"/>
  <c r="AB33" i="7"/>
  <c r="AB38" i="7"/>
  <c r="AB47" i="7"/>
  <c r="H17" i="7"/>
  <c r="H33" i="7"/>
  <c r="H20" i="7"/>
  <c r="H62" i="7"/>
  <c r="H40" i="7"/>
  <c r="V30" i="7"/>
  <c r="V61" i="7"/>
  <c r="V35" i="7"/>
  <c r="V63" i="7"/>
  <c r="P51" i="7"/>
  <c r="P57" i="7"/>
  <c r="P30" i="7"/>
  <c r="P40" i="7"/>
  <c r="J18" i="7"/>
  <c r="J17" i="7"/>
  <c r="J19" i="7"/>
  <c r="J48" i="7"/>
  <c r="J47" i="7"/>
  <c r="R48" i="7"/>
  <c r="R16" i="7"/>
  <c r="R49" i="7"/>
  <c r="R51" i="7"/>
  <c r="AF47" i="7"/>
  <c r="AF35" i="7"/>
  <c r="AF51" i="7"/>
  <c r="AF21" i="7"/>
  <c r="N22" i="7"/>
  <c r="N60" i="7"/>
  <c r="N45" i="7"/>
  <c r="N65" i="7"/>
  <c r="N34" i="7"/>
  <c r="T64" i="7"/>
  <c r="T45" i="7"/>
  <c r="T43" i="7"/>
  <c r="T17" i="7"/>
  <c r="L39" i="7"/>
  <c r="K18" i="7"/>
  <c r="K43" i="7"/>
  <c r="K35" i="7"/>
  <c r="K52" i="7"/>
  <c r="K26" i="7"/>
  <c r="K32" i="7"/>
  <c r="K38" i="7"/>
  <c r="K57" i="7"/>
  <c r="K31" i="7"/>
  <c r="K27" i="7"/>
  <c r="K63" i="7"/>
  <c r="K37" i="7"/>
  <c r="K19" i="7"/>
  <c r="K66" i="7"/>
  <c r="K30" i="7"/>
  <c r="K29" i="7"/>
  <c r="K65" i="7"/>
  <c r="K64" i="7"/>
  <c r="K46" i="7"/>
  <c r="K25" i="7"/>
  <c r="K47" i="7"/>
  <c r="K21" i="7"/>
  <c r="K36" i="7"/>
  <c r="K22" i="7"/>
  <c r="K28" i="7"/>
  <c r="K61" i="7"/>
  <c r="K42" i="7"/>
  <c r="K59" i="7"/>
  <c r="K55" i="7"/>
  <c r="K39" i="7"/>
  <c r="K60" i="7"/>
  <c r="K53" i="7"/>
  <c r="K41" i="7"/>
  <c r="K40" i="7"/>
  <c r="K24" i="7"/>
  <c r="K51" i="7"/>
  <c r="K45" i="7"/>
  <c r="K50" i="7"/>
  <c r="K49" i="7"/>
  <c r="K20" i="7"/>
  <c r="K48" i="7"/>
  <c r="B183" i="7" s="1"/>
  <c r="K58" i="7"/>
  <c r="K44" i="7"/>
  <c r="K62" i="7"/>
  <c r="K54" i="7"/>
  <c r="K34" i="7"/>
  <c r="K23" i="7"/>
  <c r="K16" i="7"/>
  <c r="K17" i="7"/>
  <c r="K33" i="7"/>
  <c r="K56" i="7"/>
  <c r="AD18" i="7"/>
  <c r="AC35" i="7"/>
  <c r="AC31" i="7"/>
  <c r="AC37" i="7"/>
  <c r="AC64" i="7"/>
  <c r="AC40" i="7"/>
  <c r="AC51" i="7"/>
  <c r="AC36" i="7"/>
  <c r="AC19" i="7"/>
  <c r="B604" i="7" s="1"/>
  <c r="AC39" i="7"/>
  <c r="AC24" i="7"/>
  <c r="AC57" i="7"/>
  <c r="AC33" i="7"/>
  <c r="AC43" i="7"/>
  <c r="AC28" i="7"/>
  <c r="AC60" i="7"/>
  <c r="B645" i="7" s="1"/>
  <c r="AC50" i="7"/>
  <c r="AC41" i="7"/>
  <c r="AC44" i="7"/>
  <c r="AC56" i="7"/>
  <c r="AC18" i="7"/>
  <c r="AC25" i="7"/>
  <c r="AC21" i="7"/>
  <c r="AC22" i="7"/>
  <c r="AC63" i="7"/>
  <c r="AC30" i="7"/>
  <c r="B615" i="7" s="1"/>
  <c r="AC48" i="7"/>
  <c r="AC23" i="7"/>
  <c r="AC58" i="7"/>
  <c r="B643" i="7" s="1"/>
  <c r="AC20" i="7"/>
  <c r="AC29" i="7"/>
  <c r="AC54" i="7"/>
  <c r="B639" i="7" s="1"/>
  <c r="AC34" i="7"/>
  <c r="AC52" i="7"/>
  <c r="B637" i="7" s="1"/>
  <c r="AC47" i="7"/>
  <c r="AC66" i="7"/>
  <c r="B651" i="7" s="1"/>
  <c r="AC46" i="7"/>
  <c r="AC26" i="7"/>
  <c r="AC59" i="7"/>
  <c r="AC45" i="7"/>
  <c r="AC55" i="7"/>
  <c r="AC38" i="7"/>
  <c r="AC65" i="7"/>
  <c r="AC27" i="7"/>
  <c r="AC32" i="7"/>
  <c r="AC17" i="7"/>
  <c r="AC62" i="7"/>
  <c r="AC42" i="7"/>
  <c r="AC61" i="7"/>
  <c r="AC49" i="7"/>
  <c r="AC16" i="7"/>
  <c r="AC53" i="7"/>
  <c r="B638" i="7" s="1"/>
  <c r="X58" i="7"/>
  <c r="X44" i="7"/>
  <c r="X27" i="7"/>
  <c r="AB25" i="7"/>
  <c r="AB50" i="7"/>
  <c r="AB24" i="7"/>
  <c r="AB53" i="7"/>
  <c r="H34" i="7"/>
  <c r="H28" i="7"/>
  <c r="H18" i="7"/>
  <c r="H31" i="7"/>
  <c r="V20" i="7"/>
  <c r="V49" i="7"/>
  <c r="V53" i="7"/>
  <c r="V28" i="7"/>
  <c r="P28" i="7"/>
  <c r="P17" i="7"/>
  <c r="P20" i="7"/>
  <c r="P50" i="7"/>
  <c r="J36" i="7"/>
  <c r="J57" i="7"/>
  <c r="J32" i="7"/>
  <c r="J62" i="7"/>
  <c r="R53" i="7"/>
  <c r="R35" i="7"/>
  <c r="R50" i="7"/>
  <c r="R33" i="7"/>
  <c r="AF22" i="7"/>
  <c r="AF50" i="7"/>
  <c r="AF28" i="7"/>
  <c r="AF39" i="7"/>
  <c r="N64" i="7"/>
  <c r="N55" i="7"/>
  <c r="N29" i="7"/>
  <c r="N35" i="7"/>
  <c r="N32" i="7"/>
  <c r="T24" i="7"/>
  <c r="T62" i="7"/>
  <c r="T59" i="7"/>
  <c r="T39" i="7"/>
  <c r="H58" i="7"/>
  <c r="G63" i="7"/>
  <c r="G31" i="7"/>
  <c r="G51" i="7"/>
  <c r="G27" i="7"/>
  <c r="G49" i="7"/>
  <c r="G38" i="7"/>
  <c r="G37" i="7"/>
  <c r="G26" i="7"/>
  <c r="G48" i="7"/>
  <c r="B83" i="7" s="1"/>
  <c r="G42" i="7"/>
  <c r="G33" i="7"/>
  <c r="G62" i="7"/>
  <c r="G23" i="7"/>
  <c r="G53" i="7"/>
  <c r="G45" i="7"/>
  <c r="G21" i="7"/>
  <c r="G20" i="7"/>
  <c r="G36" i="7"/>
  <c r="G19" i="7"/>
  <c r="G25" i="7"/>
  <c r="G66" i="7"/>
  <c r="G65" i="7"/>
  <c r="G56" i="7"/>
  <c r="G64" i="7"/>
  <c r="G22" i="7"/>
  <c r="G41" i="7"/>
  <c r="G46" i="7"/>
  <c r="G52" i="7"/>
  <c r="G59" i="7"/>
  <c r="G39" i="7"/>
  <c r="B74" i="7" s="1"/>
  <c r="G50" i="7"/>
  <c r="G30" i="7"/>
  <c r="G16" i="7"/>
  <c r="G43" i="7"/>
  <c r="G44" i="7"/>
  <c r="G34" i="7"/>
  <c r="G55" i="7"/>
  <c r="G17" i="7"/>
  <c r="G54" i="7"/>
  <c r="G29" i="7"/>
  <c r="G35" i="7"/>
  <c r="G24" i="7"/>
  <c r="G47" i="7"/>
  <c r="G57" i="7"/>
  <c r="G40" i="7"/>
  <c r="G58" i="7"/>
  <c r="G60" i="7"/>
  <c r="G18" i="7"/>
  <c r="G61" i="7"/>
  <c r="G28" i="7"/>
  <c r="G32" i="7"/>
  <c r="V65" i="7"/>
  <c r="V26" i="7"/>
  <c r="V41" i="7"/>
  <c r="V29" i="7"/>
  <c r="P55" i="7"/>
  <c r="P59" i="7"/>
  <c r="P29" i="7"/>
  <c r="P27" i="7"/>
  <c r="J44" i="7"/>
  <c r="I66" i="7"/>
  <c r="B151" i="7" s="1"/>
  <c r="I53" i="7"/>
  <c r="I47" i="7"/>
  <c r="I59" i="7"/>
  <c r="I36" i="7"/>
  <c r="I38" i="7"/>
  <c r="I54" i="7"/>
  <c r="I62" i="7"/>
  <c r="I49" i="7"/>
  <c r="I29" i="7"/>
  <c r="I51" i="7"/>
  <c r="I35" i="7"/>
  <c r="I43" i="7"/>
  <c r="I55" i="7"/>
  <c r="I20" i="7"/>
  <c r="I28" i="7"/>
  <c r="I65" i="7"/>
  <c r="I39" i="7"/>
  <c r="I52" i="7"/>
  <c r="I64" i="7"/>
  <c r="I60" i="7"/>
  <c r="I48" i="7"/>
  <c r="I16" i="7"/>
  <c r="I50" i="7"/>
  <c r="I17" i="7"/>
  <c r="I63" i="7"/>
  <c r="I25" i="7"/>
  <c r="I56" i="7"/>
  <c r="I34" i="7"/>
  <c r="I27" i="7"/>
  <c r="I26" i="7"/>
  <c r="I40" i="7"/>
  <c r="B125" i="7" s="1"/>
  <c r="I19" i="7"/>
  <c r="I44" i="7"/>
  <c r="I18" i="7"/>
  <c r="I32" i="7"/>
  <c r="I41" i="7"/>
  <c r="I31" i="7"/>
  <c r="I45" i="7"/>
  <c r="I61" i="7"/>
  <c r="I58" i="7"/>
  <c r="I33" i="7"/>
  <c r="I23" i="7"/>
  <c r="I21" i="7"/>
  <c r="I24" i="7"/>
  <c r="I37" i="7"/>
  <c r="I42" i="7"/>
  <c r="I22" i="7"/>
  <c r="I30" i="7"/>
  <c r="I57" i="7"/>
  <c r="I46" i="7"/>
  <c r="R32" i="7"/>
  <c r="R36" i="7"/>
  <c r="R34" i="7"/>
  <c r="AF26" i="7"/>
  <c r="AF57" i="7"/>
  <c r="AF58" i="7"/>
  <c r="AF55" i="7"/>
  <c r="N66" i="7"/>
  <c r="N58" i="7"/>
  <c r="N20" i="7"/>
  <c r="N52" i="7"/>
  <c r="T33" i="7"/>
  <c r="T26" i="7"/>
  <c r="T31" i="7"/>
  <c r="T56" i="7"/>
  <c r="N54" i="7"/>
  <c r="M32" i="7"/>
  <c r="M47" i="7"/>
  <c r="M34" i="7"/>
  <c r="M37" i="7"/>
  <c r="M40" i="7"/>
  <c r="M45" i="7"/>
  <c r="M31" i="7"/>
  <c r="M44" i="7"/>
  <c r="M54" i="7"/>
  <c r="M18" i="7"/>
  <c r="M29" i="7"/>
  <c r="M30" i="7"/>
  <c r="M66" i="7"/>
  <c r="M57" i="7"/>
  <c r="M65" i="7"/>
  <c r="M51" i="7"/>
  <c r="M17" i="7"/>
  <c r="M50" i="7"/>
  <c r="M26" i="7"/>
  <c r="M62" i="7"/>
  <c r="M19" i="7"/>
  <c r="M16" i="7"/>
  <c r="M61" i="7"/>
  <c r="M63" i="7"/>
  <c r="M41" i="7"/>
  <c r="M42" i="7"/>
  <c r="M25" i="7"/>
  <c r="M20" i="7"/>
  <c r="M52" i="7"/>
  <c r="M23" i="7"/>
  <c r="M24" i="7"/>
  <c r="M64" i="7"/>
  <c r="B249" i="7" s="1"/>
  <c r="M21" i="7"/>
  <c r="M33" i="7"/>
  <c r="M43" i="7"/>
  <c r="M56" i="7"/>
  <c r="M48" i="7"/>
  <c r="M46" i="7"/>
  <c r="B231" i="7" s="1"/>
  <c r="M35" i="7"/>
  <c r="M58" i="7"/>
  <c r="M27" i="7"/>
  <c r="M60" i="7"/>
  <c r="M39" i="7"/>
  <c r="M59" i="7"/>
  <c r="M28" i="7"/>
  <c r="M36" i="7"/>
  <c r="M53" i="7"/>
  <c r="M22" i="7"/>
  <c r="M49" i="7"/>
  <c r="M38" i="7"/>
  <c r="M55" i="7"/>
  <c r="T52" i="7"/>
  <c r="T19" i="7"/>
  <c r="T42" i="7"/>
  <c r="T23" i="7"/>
  <c r="P60" i="7"/>
  <c r="N63" i="7"/>
  <c r="H26" i="7"/>
  <c r="H25" i="7"/>
  <c r="H56" i="7"/>
  <c r="H38" i="7"/>
  <c r="V27" i="7"/>
  <c r="V17" i="7"/>
  <c r="V16" i="7"/>
  <c r="V34" i="7"/>
  <c r="V64" i="7"/>
  <c r="P43" i="7"/>
  <c r="P52" i="7"/>
  <c r="P45" i="7"/>
  <c r="P47" i="7"/>
  <c r="J51" i="7"/>
  <c r="J56" i="7"/>
  <c r="J55" i="7"/>
  <c r="J24" i="7"/>
  <c r="R19" i="7"/>
  <c r="R47" i="7"/>
  <c r="R60" i="7"/>
  <c r="R42" i="7"/>
  <c r="R66" i="7"/>
  <c r="AF59" i="7"/>
  <c r="AF44" i="7"/>
  <c r="AF34" i="7"/>
  <c r="N40" i="7"/>
  <c r="N59" i="7"/>
  <c r="N33" i="7"/>
  <c r="N37" i="7"/>
  <c r="T44" i="7"/>
  <c r="T22" i="7"/>
  <c r="T40" i="7"/>
  <c r="T48" i="7"/>
  <c r="T35" i="7"/>
  <c r="P36" i="7"/>
  <c r="N39" i="7"/>
  <c r="N36" i="7"/>
  <c r="N62" i="7"/>
  <c r="X56" i="7"/>
  <c r="W18" i="7"/>
  <c r="W33" i="7"/>
  <c r="W20" i="7"/>
  <c r="W34" i="7"/>
  <c r="W41" i="7"/>
  <c r="B476" i="7" s="1"/>
  <c r="W55" i="7"/>
  <c r="W64" i="7"/>
  <c r="W66" i="7"/>
  <c r="W58" i="7"/>
  <c r="W49" i="7"/>
  <c r="W27" i="7"/>
  <c r="W61" i="7"/>
  <c r="W25" i="7"/>
  <c r="W22" i="7"/>
  <c r="W45" i="7"/>
  <c r="W35" i="7"/>
  <c r="W50" i="7"/>
  <c r="W23" i="7"/>
  <c r="W30" i="7"/>
  <c r="W26" i="7"/>
  <c r="W46" i="7"/>
  <c r="W54" i="7"/>
  <c r="B489" i="7" s="1"/>
  <c r="W29" i="7"/>
  <c r="W43" i="7"/>
  <c r="W60" i="7"/>
  <c r="B495" i="7" s="1"/>
  <c r="W51" i="7"/>
  <c r="W39" i="7"/>
  <c r="W19" i="7"/>
  <c r="W40" i="7"/>
  <c r="W65" i="7"/>
  <c r="W63" i="7"/>
  <c r="B498" i="7" s="1"/>
  <c r="W42" i="7"/>
  <c r="W24" i="7"/>
  <c r="B459" i="7" s="1"/>
  <c r="W48" i="7"/>
  <c r="W36" i="7"/>
  <c r="B471" i="7" s="1"/>
  <c r="W52" i="7"/>
  <c r="W56" i="7"/>
  <c r="W37" i="7"/>
  <c r="W57" i="7"/>
  <c r="W17" i="7"/>
  <c r="W21" i="7"/>
  <c r="W16" i="7"/>
  <c r="W53" i="7"/>
  <c r="W28" i="7"/>
  <c r="W59" i="7"/>
  <c r="W62" i="7"/>
  <c r="B497" i="7" s="1"/>
  <c r="W44" i="7"/>
  <c r="W32" i="7"/>
  <c r="W31" i="7"/>
  <c r="B466" i="7" s="1"/>
  <c r="W47" i="7"/>
  <c r="B482" i="7" s="1"/>
  <c r="W38" i="7"/>
  <c r="H66" i="7"/>
  <c r="H49" i="7"/>
  <c r="H52" i="7"/>
  <c r="H55" i="7"/>
  <c r="V36" i="7"/>
  <c r="V66" i="7"/>
  <c r="V50" i="7"/>
  <c r="V51" i="7"/>
  <c r="P19" i="7"/>
  <c r="P23" i="7"/>
  <c r="P25" i="7"/>
  <c r="J60" i="7"/>
  <c r="J61" i="7"/>
  <c r="J50" i="7"/>
  <c r="J58" i="7"/>
  <c r="R26" i="7"/>
  <c r="R63" i="7"/>
  <c r="R57" i="7"/>
  <c r="R65" i="7"/>
  <c r="R44" i="7"/>
  <c r="AF42" i="7"/>
  <c r="AF32" i="7"/>
  <c r="AF61" i="7"/>
  <c r="AF49" i="7"/>
  <c r="N31" i="7"/>
  <c r="N19" i="7"/>
  <c r="N43" i="7"/>
  <c r="N21" i="7"/>
  <c r="T47" i="7"/>
  <c r="T53" i="7"/>
  <c r="T55" i="7"/>
  <c r="T46" i="7"/>
  <c r="P21" i="7"/>
  <c r="V23" i="7"/>
  <c r="V37" i="7"/>
  <c r="V47" i="7"/>
  <c r="V32" i="7"/>
  <c r="V31" i="7"/>
  <c r="P38" i="7"/>
  <c r="P49" i="7"/>
  <c r="P33" i="7"/>
  <c r="P63" i="7"/>
  <c r="R45" i="7"/>
  <c r="R23" i="7"/>
  <c r="R56" i="7"/>
  <c r="R38" i="7"/>
  <c r="N30" i="7"/>
  <c r="N25" i="7"/>
  <c r="N41" i="7"/>
  <c r="T63" i="7"/>
  <c r="S58" i="7"/>
  <c r="S20" i="7"/>
  <c r="S21" i="7"/>
  <c r="S19" i="7"/>
  <c r="S23" i="7"/>
  <c r="S31" i="7"/>
  <c r="S35" i="7"/>
  <c r="S61" i="7"/>
  <c r="S17" i="7"/>
  <c r="S40" i="7"/>
  <c r="S55" i="7"/>
  <c r="S51" i="7"/>
  <c r="S59" i="7"/>
  <c r="S64" i="7"/>
  <c r="S49" i="7"/>
  <c r="S45" i="7"/>
  <c r="S54" i="7"/>
  <c r="S38" i="7"/>
  <c r="S42" i="7"/>
  <c r="S29" i="7"/>
  <c r="S37" i="7"/>
  <c r="B372" i="7" s="1"/>
  <c r="S56" i="7"/>
  <c r="S36" i="7"/>
  <c r="S28" i="7"/>
  <c r="B363" i="7" s="1"/>
  <c r="S53" i="7"/>
  <c r="S24" i="7"/>
  <c r="S62" i="7"/>
  <c r="S66" i="7"/>
  <c r="B401" i="7" s="1"/>
  <c r="S27" i="7"/>
  <c r="S41" i="7"/>
  <c r="S18" i="7"/>
  <c r="S43" i="7"/>
  <c r="S33" i="7"/>
  <c r="S32" i="7"/>
  <c r="S48" i="7"/>
  <c r="S52" i="7"/>
  <c r="S39" i="7"/>
  <c r="S46" i="7"/>
  <c r="S22" i="7"/>
  <c r="S26" i="7"/>
  <c r="B361" i="7" s="1"/>
  <c r="S65" i="7"/>
  <c r="S60" i="7"/>
  <c r="S50" i="7"/>
  <c r="S63" i="7"/>
  <c r="S25" i="7"/>
  <c r="S30" i="7"/>
  <c r="S34" i="7"/>
  <c r="S16" i="7"/>
  <c r="S47" i="7"/>
  <c r="S44" i="7"/>
  <c r="S57" i="7"/>
  <c r="V45" i="7"/>
  <c r="V56" i="7"/>
  <c r="V39" i="7"/>
  <c r="P54" i="7"/>
  <c r="P42" i="7"/>
  <c r="P34" i="7"/>
  <c r="R21" i="7"/>
  <c r="Q34" i="7"/>
  <c r="Q30" i="7"/>
  <c r="Q43" i="7"/>
  <c r="Q26" i="7"/>
  <c r="B311" i="7" s="1"/>
  <c r="Q48" i="7"/>
  <c r="Q61" i="7"/>
  <c r="B346" i="7" s="1"/>
  <c r="Q29" i="7"/>
  <c r="Q23" i="7"/>
  <c r="B308" i="7" s="1"/>
  <c r="Q52" i="7"/>
  <c r="Q59" i="7"/>
  <c r="Q41" i="7"/>
  <c r="Q42" i="7"/>
  <c r="Q60" i="7"/>
  <c r="Q16" i="7"/>
  <c r="Q45" i="7"/>
  <c r="Q27" i="7"/>
  <c r="Q33" i="7"/>
  <c r="Q24" i="7"/>
  <c r="Q50" i="7"/>
  <c r="Q54" i="7"/>
  <c r="Q47" i="7"/>
  <c r="Q46" i="7"/>
  <c r="Q36" i="7"/>
  <c r="Q19" i="7"/>
  <c r="Q40" i="7"/>
  <c r="Q56" i="7"/>
  <c r="Q57" i="7"/>
  <c r="Q53" i="7"/>
  <c r="Q65" i="7"/>
  <c r="Q28" i="7"/>
  <c r="Q38" i="7"/>
  <c r="Q39" i="7"/>
  <c r="Q63" i="7"/>
  <c r="Q17" i="7"/>
  <c r="B302" i="7" s="1"/>
  <c r="Q37" i="7"/>
  <c r="Q18" i="7"/>
  <c r="Q55" i="7"/>
  <c r="Q58" i="7"/>
  <c r="Q21" i="7"/>
  <c r="Q35" i="7"/>
  <c r="Q64" i="7"/>
  <c r="Q51" i="7"/>
  <c r="Q49" i="7"/>
  <c r="Q20" i="7"/>
  <c r="B305" i="7" s="1"/>
  <c r="Q44" i="7"/>
  <c r="Q31" i="7"/>
  <c r="Q66" i="7"/>
  <c r="Q25" i="7"/>
  <c r="Q22" i="7"/>
  <c r="Q32" i="7"/>
  <c r="Q62" i="7"/>
  <c r="N26" i="7"/>
  <c r="N38" i="7"/>
  <c r="N16" i="7"/>
  <c r="N23" i="7"/>
  <c r="B186" i="7" l="1"/>
  <c r="B317" i="7"/>
  <c r="B163" i="7"/>
  <c r="B165" i="7"/>
  <c r="B137" i="7"/>
  <c r="B310" i="7"/>
  <c r="B304" i="7"/>
  <c r="B156" i="7"/>
  <c r="B202" i="7"/>
  <c r="B107" i="7"/>
  <c r="B2" i="7"/>
  <c r="B30" i="7"/>
  <c r="B1580" i="7"/>
  <c r="B1564" i="7"/>
  <c r="B97" i="7"/>
  <c r="B17" i="7"/>
  <c r="B36" i="7"/>
  <c r="B1588" i="7"/>
  <c r="B158" i="7"/>
  <c r="B1449" i="7"/>
  <c r="B1429" i="7"/>
  <c r="B1217" i="7"/>
  <c r="B1184" i="7"/>
  <c r="B1157" i="7"/>
  <c r="B1139" i="7"/>
  <c r="B1484" i="7"/>
  <c r="B1360" i="7"/>
  <c r="B190" i="7"/>
  <c r="B1405" i="7"/>
  <c r="B1471" i="7"/>
  <c r="B1459" i="7"/>
  <c r="B1473" i="7"/>
  <c r="B1593" i="7"/>
  <c r="B477" i="7"/>
  <c r="B621" i="7"/>
  <c r="B1422" i="7"/>
  <c r="B1194" i="7"/>
  <c r="B1201" i="7"/>
  <c r="B1102" i="7"/>
  <c r="B1456" i="7"/>
  <c r="B840" i="7"/>
  <c r="B802" i="7"/>
  <c r="B863" i="7"/>
  <c r="B465" i="7"/>
  <c r="B927" i="7"/>
  <c r="B1151" i="7"/>
  <c r="B1460" i="7"/>
  <c r="B1372" i="7"/>
  <c r="B1590" i="7"/>
  <c r="B1567" i="7"/>
  <c r="B1583" i="7"/>
  <c r="B134" i="7"/>
  <c r="B153" i="7"/>
  <c r="B1413" i="7"/>
  <c r="B1233" i="7"/>
  <c r="B1246" i="7"/>
  <c r="B1213" i="7"/>
  <c r="B917" i="7"/>
  <c r="B1453" i="7"/>
  <c r="B889" i="7"/>
  <c r="B1091" i="7"/>
  <c r="B1444" i="7"/>
  <c r="B925" i="7"/>
  <c r="B941" i="7"/>
  <c r="B1209" i="7"/>
  <c r="B1216" i="7"/>
  <c r="B943" i="7"/>
  <c r="B1228" i="7"/>
  <c r="B920" i="7"/>
  <c r="B946" i="7"/>
  <c r="B1536" i="7"/>
  <c r="B1589" i="7"/>
  <c r="B1559" i="7"/>
  <c r="B1433" i="7"/>
  <c r="B496" i="7"/>
  <c r="B608" i="7"/>
  <c r="B542" i="7"/>
  <c r="B565" i="7"/>
  <c r="B1417" i="7"/>
  <c r="B1457" i="7"/>
  <c r="B1392" i="7"/>
  <c r="B846" i="7"/>
  <c r="B1480" i="7"/>
  <c r="B1450" i="7"/>
  <c r="B1448" i="7"/>
  <c r="B1494" i="7"/>
  <c r="B168" i="7"/>
  <c r="B932" i="7"/>
  <c r="B1492" i="7"/>
  <c r="B1535" i="7"/>
  <c r="B1539" i="7"/>
  <c r="B1452" i="7"/>
  <c r="B1501" i="7"/>
  <c r="B1495" i="7"/>
  <c r="B1546" i="7"/>
  <c r="B478" i="7"/>
  <c r="B743" i="7"/>
  <c r="B742" i="7"/>
  <c r="B1403" i="7"/>
  <c r="B1488" i="7"/>
  <c r="B968" i="7"/>
  <c r="B915" i="7"/>
  <c r="B1340" i="7"/>
  <c r="B1325" i="7"/>
  <c r="B1523" i="7"/>
  <c r="B949" i="7"/>
  <c r="B1353" i="7"/>
  <c r="B1576" i="7"/>
  <c r="B1571" i="7"/>
  <c r="B1592" i="7"/>
  <c r="B1527" i="7"/>
  <c r="B1551" i="7"/>
  <c r="B1513" i="7"/>
  <c r="B1512" i="7"/>
  <c r="B1147" i="7"/>
  <c r="B1552" i="7"/>
  <c r="B1330" i="7"/>
  <c r="B331" i="7"/>
  <c r="B344" i="7"/>
  <c r="B640" i="7"/>
  <c r="B1472" i="7"/>
  <c r="B1401" i="7"/>
  <c r="B1275" i="7"/>
  <c r="B1426" i="7"/>
  <c r="B1179" i="7"/>
  <c r="B1182" i="7"/>
  <c r="B1437" i="7"/>
  <c r="B1177" i="7"/>
  <c r="B890" i="7"/>
  <c r="B44" i="7"/>
  <c r="B1432" i="7"/>
  <c r="B1150" i="7"/>
  <c r="B1462" i="7"/>
  <c r="B1586" i="7"/>
  <c r="B1561" i="7"/>
  <c r="B1557" i="7"/>
  <c r="B1097" i="7"/>
  <c r="B1394" i="7"/>
  <c r="B356" i="7"/>
  <c r="B897" i="7"/>
  <c r="B1553" i="7"/>
  <c r="B986" i="7"/>
  <c r="B1063" i="7"/>
  <c r="B181" i="7"/>
  <c r="B647" i="7"/>
  <c r="B1420" i="7"/>
  <c r="B1477" i="7"/>
  <c r="B624" i="7"/>
  <c r="B1236" i="7"/>
  <c r="B908" i="7"/>
  <c r="B1168" i="7"/>
  <c r="B1112" i="7"/>
  <c r="B882" i="7"/>
  <c r="B1594" i="7"/>
  <c r="B983" i="7"/>
  <c r="B759" i="7"/>
  <c r="B1597" i="7"/>
  <c r="B650" i="7"/>
  <c r="B1424" i="7"/>
  <c r="B1479" i="7"/>
  <c r="B1496" i="7"/>
  <c r="B1566" i="7"/>
  <c r="B1601" i="7"/>
  <c r="B1547" i="7"/>
  <c r="B1518" i="7"/>
  <c r="B1466" i="7"/>
  <c r="B1579" i="7"/>
  <c r="B1558" i="7"/>
  <c r="B1503" i="7"/>
  <c r="B1515" i="7"/>
  <c r="B1517" i="7"/>
  <c r="B234" i="7"/>
  <c r="B578" i="7"/>
  <c r="B723" i="7"/>
  <c r="B1247" i="7"/>
  <c r="B1482" i="7"/>
  <c r="B1568" i="7"/>
  <c r="B1541" i="7"/>
  <c r="B1519" i="7"/>
  <c r="B1505" i="7"/>
  <c r="B1511" i="7"/>
  <c r="B1525" i="7"/>
  <c r="B1572" i="7"/>
  <c r="B1598" i="7"/>
  <c r="B1578" i="7"/>
  <c r="B1510" i="7"/>
  <c r="B1548" i="7"/>
  <c r="B1516" i="7"/>
  <c r="B1540" i="7"/>
  <c r="B1550" i="7"/>
  <c r="B479" i="7"/>
  <c r="B1489" i="7"/>
  <c r="B1582" i="7"/>
  <c r="B1585" i="7"/>
  <c r="B1563" i="7"/>
  <c r="B1549" i="7"/>
  <c r="B1507" i="7"/>
  <c r="B1508" i="7"/>
  <c r="B1533" i="7"/>
  <c r="B1402" i="7"/>
  <c r="B1447" i="7"/>
  <c r="B1475" i="7"/>
  <c r="B1595" i="7"/>
  <c r="B1514" i="7"/>
  <c r="B1530" i="7"/>
  <c r="B1537" i="7"/>
  <c r="B1524" i="7"/>
  <c r="B1591" i="7"/>
  <c r="B1545" i="7"/>
  <c r="B1520" i="7"/>
  <c r="B1526" i="7"/>
  <c r="B1543" i="7"/>
  <c r="B1499" i="7"/>
  <c r="B397" i="7"/>
  <c r="B514" i="7"/>
  <c r="B533" i="7"/>
  <c r="B566" i="7"/>
  <c r="B562" i="7"/>
  <c r="B1486" i="7"/>
  <c r="B888" i="7"/>
  <c r="B1570" i="7"/>
  <c r="B1560" i="7"/>
  <c r="B1522" i="7"/>
  <c r="B1509" i="7"/>
  <c r="B1531" i="7"/>
  <c r="B1528" i="7"/>
  <c r="B540" i="7"/>
  <c r="B14" i="7"/>
  <c r="B1423" i="7"/>
  <c r="B1478" i="7"/>
  <c r="B1581" i="7"/>
  <c r="B1506" i="7"/>
  <c r="B1504" i="7"/>
  <c r="B1538" i="7"/>
  <c r="B1529" i="7"/>
  <c r="B1467" i="7"/>
  <c r="B1600" i="7"/>
  <c r="B1554" i="7"/>
  <c r="B1574" i="7"/>
  <c r="B1502" i="7"/>
  <c r="B1542" i="7"/>
  <c r="B1521" i="7"/>
  <c r="B989" i="7"/>
  <c r="B918" i="7"/>
  <c r="B919" i="7"/>
  <c r="B1205" i="7"/>
  <c r="B967" i="7"/>
  <c r="B916" i="7"/>
  <c r="B1118" i="7"/>
  <c r="B783" i="7"/>
  <c r="B1331" i="7"/>
  <c r="B1173" i="7"/>
  <c r="B770" i="7"/>
  <c r="B774" i="7"/>
  <c r="B866" i="7"/>
  <c r="B799" i="7"/>
  <c r="B1324" i="7"/>
  <c r="B1251" i="7"/>
  <c r="B947" i="7"/>
  <c r="B1136" i="7"/>
  <c r="B1070" i="7"/>
  <c r="B1169" i="7"/>
  <c r="B1334" i="7"/>
  <c r="B1052" i="7"/>
  <c r="B1314" i="7"/>
  <c r="B1174" i="7"/>
  <c r="B1195" i="7"/>
  <c r="B896" i="7"/>
  <c r="B933" i="7"/>
  <c r="B985" i="7"/>
  <c r="B1285" i="7"/>
  <c r="B857" i="7"/>
  <c r="B1328" i="7"/>
  <c r="B328" i="7"/>
  <c r="B57" i="7"/>
  <c r="B1180" i="7"/>
  <c r="B1153" i="7"/>
  <c r="B825" i="7"/>
  <c r="B754" i="7"/>
  <c r="B1320" i="7"/>
  <c r="B334" i="7"/>
  <c r="B94" i="7"/>
  <c r="B1072" i="7"/>
  <c r="B380" i="7"/>
  <c r="B213" i="7"/>
  <c r="B873" i="7"/>
  <c r="B982" i="7"/>
  <c r="B757" i="7"/>
  <c r="B1279" i="7"/>
  <c r="B128" i="7"/>
  <c r="B880" i="7"/>
  <c r="B172" i="7"/>
  <c r="B872" i="7"/>
  <c r="B79" i="7"/>
  <c r="B171" i="7"/>
  <c r="B664" i="7"/>
  <c r="B713" i="7"/>
  <c r="B427" i="7"/>
  <c r="B1227" i="7"/>
  <c r="B929" i="7"/>
  <c r="B1148" i="7"/>
  <c r="B1124" i="7"/>
  <c r="B1397" i="7"/>
  <c r="B842" i="7"/>
  <c r="B812" i="7"/>
  <c r="B779" i="7"/>
  <c r="B1306" i="7"/>
  <c r="B911" i="7"/>
  <c r="B1235" i="7"/>
  <c r="B1155" i="7"/>
  <c r="B1105" i="7"/>
  <c r="B614" i="7"/>
  <c r="B468" i="7"/>
  <c r="B182" i="7"/>
  <c r="B1186" i="7"/>
  <c r="B1129" i="7"/>
  <c r="B849" i="7"/>
  <c r="B860" i="7"/>
  <c r="B953" i="7"/>
  <c r="B991" i="7"/>
  <c r="B777" i="7"/>
  <c r="B1154" i="7"/>
  <c r="B635" i="7"/>
  <c r="B1245" i="7"/>
  <c r="B912" i="7"/>
  <c r="B1111" i="7"/>
  <c r="B1365" i="7"/>
  <c r="B832" i="7"/>
  <c r="B834" i="7"/>
  <c r="B884" i="7"/>
  <c r="B901" i="7"/>
  <c r="B886" i="7"/>
  <c r="B962" i="7"/>
  <c r="B976" i="7"/>
  <c r="B969" i="7"/>
  <c r="B1085" i="7"/>
  <c r="B1075" i="7"/>
  <c r="B1076" i="7"/>
  <c r="B1080" i="7"/>
  <c r="B787" i="7"/>
  <c r="B755" i="7"/>
  <c r="B786" i="7"/>
  <c r="B766" i="7"/>
  <c r="B1337" i="7"/>
  <c r="B1321" i="7"/>
  <c r="B1260" i="7"/>
  <c r="B1252" i="7"/>
  <c r="B1253" i="7"/>
  <c r="B1010" i="7"/>
  <c r="B1018" i="7"/>
  <c r="B1019" i="7"/>
  <c r="B1011" i="7"/>
  <c r="B934" i="7"/>
  <c r="B1133" i="7"/>
  <c r="B1113" i="7"/>
  <c r="B1387" i="7"/>
  <c r="B1368" i="7"/>
  <c r="B809" i="7"/>
  <c r="B814" i="7"/>
  <c r="B876" i="7"/>
  <c r="B871" i="7"/>
  <c r="B998" i="7"/>
  <c r="B1000" i="7"/>
  <c r="B1053" i="7"/>
  <c r="B1081" i="7"/>
  <c r="B795" i="7"/>
  <c r="B788" i="7"/>
  <c r="B767" i="7"/>
  <c r="B1351" i="7"/>
  <c r="B1326" i="7"/>
  <c r="B1323" i="7"/>
  <c r="B1332" i="7"/>
  <c r="B1289" i="7"/>
  <c r="B1292" i="7"/>
  <c r="B1290" i="7"/>
  <c r="B1262" i="7"/>
  <c r="B1045" i="7"/>
  <c r="B1017" i="7"/>
  <c r="B1009" i="7"/>
  <c r="B1023" i="7"/>
  <c r="B19" i="7"/>
  <c r="B112" i="7"/>
  <c r="B1215" i="7"/>
  <c r="B903" i="7"/>
  <c r="B824" i="7"/>
  <c r="B887" i="7"/>
  <c r="B389" i="7"/>
  <c r="B70" i="7"/>
  <c r="B628" i="7"/>
  <c r="B26" i="7"/>
  <c r="B1204" i="7"/>
  <c r="B1232" i="7"/>
  <c r="B936" i="7"/>
  <c r="B930" i="7"/>
  <c r="B1141" i="7"/>
  <c r="B864" i="7"/>
  <c r="B966" i="7"/>
  <c r="B1095" i="7"/>
  <c r="B1313" i="7"/>
  <c r="B691" i="7"/>
  <c r="B1166" i="7"/>
  <c r="B803" i="7"/>
  <c r="B816" i="7"/>
  <c r="B960" i="7"/>
  <c r="B1335" i="7"/>
  <c r="B1329" i="7"/>
  <c r="B905" i="7"/>
  <c r="B392" i="7"/>
  <c r="B130" i="7"/>
  <c r="B1223" i="7"/>
  <c r="B1110" i="7"/>
  <c r="B1126" i="7"/>
  <c r="B848" i="7"/>
  <c r="B805" i="7"/>
  <c r="B995" i="7"/>
  <c r="B1094" i="7"/>
  <c r="B1055" i="7"/>
  <c r="B1073" i="7"/>
  <c r="B1316" i="7"/>
  <c r="B1345" i="7"/>
  <c r="B1327" i="7"/>
  <c r="B1299" i="7"/>
  <c r="B1255" i="7"/>
  <c r="B1014" i="7"/>
  <c r="B1006" i="7"/>
  <c r="B529" i="7"/>
  <c r="B1222" i="7"/>
  <c r="B1248" i="7"/>
  <c r="B1211" i="7"/>
  <c r="B926" i="7"/>
  <c r="B1193" i="7"/>
  <c r="B1164" i="7"/>
  <c r="B1146" i="7"/>
  <c r="B1130" i="7"/>
  <c r="B837" i="7"/>
  <c r="B817" i="7"/>
  <c r="B992" i="7"/>
  <c r="B1056" i="7"/>
  <c r="B1165" i="7"/>
  <c r="B954" i="7"/>
  <c r="B789" i="7"/>
  <c r="B118" i="7"/>
  <c r="B124" i="7"/>
  <c r="B71" i="7"/>
  <c r="B199" i="7"/>
  <c r="B922" i="7"/>
  <c r="B1361" i="7"/>
  <c r="B1391" i="7"/>
  <c r="B818" i="7"/>
  <c r="B819" i="7"/>
  <c r="B875" i="7"/>
  <c r="B856" i="7"/>
  <c r="B874" i="7"/>
  <c r="B981" i="7"/>
  <c r="B974" i="7"/>
  <c r="B999" i="7"/>
  <c r="B1071" i="7"/>
  <c r="B1098" i="7"/>
  <c r="B1088" i="7"/>
  <c r="B794" i="7"/>
  <c r="B769" i="7"/>
  <c r="B765" i="7"/>
  <c r="B1304" i="7"/>
  <c r="B1350" i="7"/>
  <c r="B1315" i="7"/>
  <c r="B1270" i="7"/>
  <c r="B1278" i="7"/>
  <c r="B1274" i="7"/>
  <c r="B1258" i="7"/>
  <c r="B1029" i="7"/>
  <c r="B1020" i="7"/>
  <c r="B1048" i="7"/>
  <c r="B1032" i="7"/>
  <c r="B512" i="7"/>
  <c r="B1237" i="7"/>
  <c r="B940" i="7"/>
  <c r="B945" i="7"/>
  <c r="B1159" i="7"/>
  <c r="B1172" i="7"/>
  <c r="B1191" i="7"/>
  <c r="B1160" i="7"/>
  <c r="B1128" i="7"/>
  <c r="B1377" i="7"/>
  <c r="B1382" i="7"/>
  <c r="B1356" i="7"/>
  <c r="B1362" i="7"/>
  <c r="B850" i="7"/>
  <c r="B826" i="7"/>
  <c r="B810" i="7"/>
  <c r="B831" i="7"/>
  <c r="B878" i="7"/>
  <c r="B877" i="7"/>
  <c r="B899" i="7"/>
  <c r="B984" i="7"/>
  <c r="B970" i="7"/>
  <c r="B772" i="7"/>
  <c r="B798" i="7"/>
  <c r="B781" i="7"/>
  <c r="B756" i="7"/>
  <c r="B1309" i="7"/>
  <c r="B1336" i="7"/>
  <c r="B1267" i="7"/>
  <c r="B1298" i="7"/>
  <c r="B1265" i="7"/>
  <c r="B1287" i="7"/>
  <c r="B1007" i="7"/>
  <c r="B1047" i="7"/>
  <c r="B1050" i="7"/>
  <c r="B1025" i="7"/>
  <c r="B1033" i="7"/>
  <c r="B187" i="7"/>
  <c r="B1243" i="7"/>
  <c r="B1230" i="7"/>
  <c r="B1242" i="7"/>
  <c r="B1208" i="7"/>
  <c r="B904" i="7"/>
  <c r="B951" i="7"/>
  <c r="B1152" i="7"/>
  <c r="B1103" i="7"/>
  <c r="B1375" i="7"/>
  <c r="B1393" i="7"/>
  <c r="B822" i="7"/>
  <c r="B827" i="7"/>
  <c r="B855" i="7"/>
  <c r="B898" i="7"/>
  <c r="B900" i="7"/>
  <c r="B964" i="7"/>
  <c r="B961" i="7"/>
  <c r="B958" i="7"/>
  <c r="B1054" i="7"/>
  <c r="B1084" i="7"/>
  <c r="B776" i="7"/>
  <c r="B764" i="7"/>
  <c r="B791" i="7"/>
  <c r="B801" i="7"/>
  <c r="B1344" i="7"/>
  <c r="B1347" i="7"/>
  <c r="B1257" i="7"/>
  <c r="B1300" i="7"/>
  <c r="B1283" i="7"/>
  <c r="B1296" i="7"/>
  <c r="B1266" i="7"/>
  <c r="B1038" i="7"/>
  <c r="B1030" i="7"/>
  <c r="B1015" i="7"/>
  <c r="B1034" i="7"/>
  <c r="B1210" i="7"/>
  <c r="B1170" i="7"/>
  <c r="B1381" i="7"/>
  <c r="B1358" i="7"/>
  <c r="B1369" i="7"/>
  <c r="B838" i="7"/>
  <c r="B768" i="7"/>
  <c r="B782" i="7"/>
  <c r="B800" i="7"/>
  <c r="B1349" i="7"/>
  <c r="B1261" i="7"/>
  <c r="B1039" i="7"/>
  <c r="B1035" i="7"/>
  <c r="B359" i="7"/>
  <c r="B944" i="7"/>
  <c r="B942" i="7"/>
  <c r="B1363" i="7"/>
  <c r="B1384" i="7"/>
  <c r="B1400" i="7"/>
  <c r="B847" i="7"/>
  <c r="B845" i="7"/>
  <c r="B808" i="7"/>
  <c r="B869" i="7"/>
  <c r="B894" i="7"/>
  <c r="B978" i="7"/>
  <c r="B965" i="7"/>
  <c r="B994" i="7"/>
  <c r="B1090" i="7"/>
  <c r="B1087" i="7"/>
  <c r="B1092" i="7"/>
  <c r="B761" i="7"/>
  <c r="B763" i="7"/>
  <c r="B1319" i="7"/>
  <c r="B1342" i="7"/>
  <c r="B1303" i="7"/>
  <c r="B1294" i="7"/>
  <c r="B1259" i="7"/>
  <c r="B1269" i="7"/>
  <c r="B1280" i="7"/>
  <c r="B1005" i="7"/>
  <c r="B1041" i="7"/>
  <c r="B1026" i="7"/>
  <c r="B1004" i="7"/>
  <c r="B1214" i="7"/>
  <c r="B1203" i="7"/>
  <c r="B1207" i="7"/>
  <c r="B1123" i="7"/>
  <c r="B1114" i="7"/>
  <c r="B1354" i="7"/>
  <c r="B1378" i="7"/>
  <c r="B843" i="7"/>
  <c r="B830" i="7"/>
  <c r="B862" i="7"/>
  <c r="B853" i="7"/>
  <c r="B975" i="7"/>
  <c r="B1062" i="7"/>
  <c r="B1078" i="7"/>
  <c r="B1069" i="7"/>
  <c r="B1096" i="7"/>
  <c r="B792" i="7"/>
  <c r="B758" i="7"/>
  <c r="B797" i="7"/>
  <c r="B1346" i="7"/>
  <c r="B1264" i="7"/>
  <c r="B1256" i="7"/>
  <c r="B1254" i="7"/>
  <c r="B1282" i="7"/>
  <c r="B1037" i="7"/>
  <c r="B1016" i="7"/>
  <c r="B1028" i="7"/>
  <c r="B1043" i="7"/>
  <c r="B320" i="7"/>
  <c r="B673" i="7"/>
  <c r="B1220" i="7"/>
  <c r="B906" i="7"/>
  <c r="B1390" i="7"/>
  <c r="B1385" i="7"/>
  <c r="B1367" i="7"/>
  <c r="B815" i="7"/>
  <c r="B828" i="7"/>
  <c r="B829" i="7"/>
  <c r="B879" i="7"/>
  <c r="B980" i="7"/>
  <c r="B955" i="7"/>
  <c r="B1089" i="7"/>
  <c r="B1101" i="7"/>
  <c r="B752" i="7"/>
  <c r="B790" i="7"/>
  <c r="B762" i="7"/>
  <c r="B1343" i="7"/>
  <c r="B1308" i="7"/>
  <c r="B1338" i="7"/>
  <c r="B1284" i="7"/>
  <c r="B1277" i="7"/>
  <c r="B1273" i="7"/>
  <c r="B1022" i="7"/>
  <c r="B1044" i="7"/>
  <c r="B1036" i="7"/>
  <c r="B1021" i="7"/>
  <c r="B612" i="7"/>
  <c r="B702" i="7"/>
  <c r="B907" i="7"/>
  <c r="B948" i="7"/>
  <c r="B1183" i="7"/>
  <c r="B1107" i="7"/>
  <c r="B1379" i="7"/>
  <c r="B1395" i="7"/>
  <c r="B823" i="7"/>
  <c r="B858" i="7"/>
  <c r="B868" i="7"/>
  <c r="B865" i="7"/>
  <c r="B996" i="7"/>
  <c r="B959" i="7"/>
  <c r="B987" i="7"/>
  <c r="B1074" i="7"/>
  <c r="B1086" i="7"/>
  <c r="B1060" i="7"/>
  <c r="B1068" i="7"/>
  <c r="B753" i="7"/>
  <c r="B771" i="7"/>
  <c r="B784" i="7"/>
  <c r="B1312" i="7"/>
  <c r="B1322" i="7"/>
  <c r="B1341" i="7"/>
  <c r="B1288" i="7"/>
  <c r="B1268" i="7"/>
  <c r="B1276" i="7"/>
  <c r="B1293" i="7"/>
  <c r="B1051" i="7"/>
  <c r="B1012" i="7"/>
  <c r="B1013" i="7"/>
  <c r="B1040" i="7"/>
  <c r="B979" i="7"/>
  <c r="B1250" i="7"/>
  <c r="B307" i="7"/>
  <c r="B367" i="7"/>
  <c r="B299" i="7"/>
  <c r="B543" i="7"/>
  <c r="B1238" i="7"/>
  <c r="B938" i="7"/>
  <c r="B939" i="7"/>
  <c r="B1199" i="7"/>
  <c r="B1134" i="7"/>
  <c r="B1388" i="7"/>
  <c r="B1371" i="7"/>
  <c r="B806" i="7"/>
  <c r="B813" i="7"/>
  <c r="B885" i="7"/>
  <c r="B895" i="7"/>
  <c r="B957" i="7"/>
  <c r="B1001" i="7"/>
  <c r="B972" i="7"/>
  <c r="B1082" i="7"/>
  <c r="B1058" i="7"/>
  <c r="B1065" i="7"/>
  <c r="B796" i="7"/>
  <c r="B785" i="7"/>
  <c r="B1305" i="7"/>
  <c r="B1348" i="7"/>
  <c r="B1339" i="7"/>
  <c r="B1263" i="7"/>
  <c r="B1295" i="7"/>
  <c r="B1272" i="7"/>
  <c r="B1031" i="7"/>
  <c r="B1046" i="7"/>
  <c r="B1003" i="7"/>
  <c r="B1049" i="7"/>
  <c r="B921" i="7"/>
  <c r="B627" i="7"/>
  <c r="B312" i="7"/>
  <c r="B399" i="7"/>
  <c r="B454" i="7"/>
  <c r="B326" i="7"/>
  <c r="B457" i="7"/>
  <c r="B176" i="7"/>
  <c r="B1117" i="7"/>
  <c r="B1398" i="7"/>
  <c r="B1376" i="7"/>
  <c r="B833" i="7"/>
  <c r="B807" i="7"/>
  <c r="B870" i="7"/>
  <c r="B891" i="7"/>
  <c r="B854" i="7"/>
  <c r="B1061" i="7"/>
  <c r="B793" i="7"/>
  <c r="B1317" i="7"/>
  <c r="B1318" i="7"/>
  <c r="B1271" i="7"/>
  <c r="B1286" i="7"/>
  <c r="B1291" i="7"/>
  <c r="B1301" i="7"/>
  <c r="B1024" i="7"/>
  <c r="B1002" i="7"/>
  <c r="B1042" i="7"/>
  <c r="B1027" i="7"/>
  <c r="B342" i="7"/>
  <c r="B458" i="7"/>
  <c r="B245" i="7"/>
  <c r="B235" i="7"/>
  <c r="B126" i="7"/>
  <c r="B577" i="7"/>
  <c r="B240" i="7"/>
  <c r="B149" i="7"/>
  <c r="B510" i="7"/>
  <c r="B238" i="7"/>
  <c r="B59" i="7"/>
  <c r="B616" i="7"/>
  <c r="B665" i="7"/>
  <c r="B719" i="7"/>
  <c r="B25" i="7"/>
  <c r="B740" i="7"/>
  <c r="B707" i="7"/>
  <c r="B131" i="7"/>
  <c r="B728" i="7"/>
  <c r="B499" i="7"/>
  <c r="B185" i="7"/>
  <c r="B662" i="7"/>
  <c r="B736" i="7"/>
  <c r="B276" i="7"/>
  <c r="B688" i="7"/>
  <c r="B517" i="7"/>
  <c r="B349" i="7"/>
  <c r="B170" i="7"/>
  <c r="B116" i="7"/>
  <c r="B52" i="7"/>
  <c r="B599" i="7"/>
  <c r="B590" i="7"/>
  <c r="B37" i="7"/>
  <c r="B602" i="7"/>
  <c r="B291" i="7"/>
  <c r="B330" i="7"/>
  <c r="B230" i="7"/>
  <c r="B315" i="7"/>
  <c r="B475" i="7"/>
  <c r="B117" i="7"/>
  <c r="B53" i="7"/>
  <c r="B99" i="7"/>
  <c r="B274" i="7"/>
  <c r="B545" i="7"/>
  <c r="B726" i="7"/>
  <c r="B127" i="7"/>
  <c r="B587" i="7"/>
  <c r="B492" i="7"/>
  <c r="B133" i="7"/>
  <c r="B700" i="7"/>
  <c r="B513" i="7"/>
  <c r="B390" i="7"/>
  <c r="B232" i="7"/>
  <c r="B626" i="7"/>
  <c r="B470" i="7"/>
  <c r="B486" i="7"/>
  <c r="B453" i="7"/>
  <c r="B649" i="7"/>
  <c r="B160" i="7"/>
  <c r="B572" i="7"/>
  <c r="B337" i="7"/>
  <c r="B622" i="7"/>
  <c r="B20" i="7"/>
  <c r="B353" i="7"/>
  <c r="B487" i="7"/>
  <c r="B108" i="7"/>
  <c r="B613" i="7"/>
  <c r="B193" i="7"/>
  <c r="B329" i="7"/>
  <c r="B248" i="7"/>
  <c r="B177" i="7"/>
  <c r="B259" i="7"/>
  <c r="B224" i="7"/>
  <c r="B142" i="7"/>
  <c r="B63" i="7"/>
  <c r="B594" i="7"/>
  <c r="B431" i="7"/>
  <c r="B388" i="7"/>
  <c r="B155" i="7"/>
  <c r="B3" i="7"/>
  <c r="B603" i="7"/>
  <c r="B345" i="7"/>
  <c r="B283" i="7"/>
  <c r="B104" i="7"/>
  <c r="B321" i="7"/>
  <c r="B75" i="7"/>
  <c r="B270" i="7"/>
  <c r="B526" i="7"/>
  <c r="B534" i="7"/>
  <c r="B712" i="7"/>
  <c r="B8" i="7"/>
  <c r="B106" i="7"/>
  <c r="B54" i="7"/>
  <c r="B72" i="7"/>
  <c r="B195" i="7"/>
  <c r="B173" i="7"/>
  <c r="B376" i="7"/>
  <c r="B366" i="7"/>
  <c r="B214" i="7"/>
  <c r="B174" i="7"/>
  <c r="B300" i="7"/>
  <c r="B660" i="7"/>
  <c r="B652" i="7"/>
  <c r="B546" i="7"/>
  <c r="B563" i="7"/>
  <c r="B581" i="7"/>
  <c r="B595" i="7"/>
  <c r="B733" i="7"/>
  <c r="B323" i="7"/>
  <c r="B611" i="7"/>
  <c r="B671" i="7"/>
  <c r="B493" i="7"/>
  <c r="B618" i="7"/>
  <c r="B272" i="7"/>
  <c r="B717" i="7"/>
  <c r="B385" i="7"/>
  <c r="B350" i="7"/>
  <c r="B463" i="7"/>
  <c r="B229" i="7"/>
  <c r="B67" i="7"/>
  <c r="B642" i="7"/>
  <c r="B191" i="7"/>
  <c r="B698" i="7"/>
  <c r="B536" i="7"/>
  <c r="B741" i="7"/>
  <c r="B710" i="7"/>
  <c r="B42" i="7"/>
  <c r="B9" i="7"/>
  <c r="B140" i="7"/>
  <c r="B88" i="7"/>
  <c r="B609" i="7"/>
  <c r="B557" i="7"/>
  <c r="B715" i="7"/>
  <c r="B152" i="7"/>
  <c r="B180" i="7"/>
  <c r="B281" i="7"/>
  <c r="B672" i="7"/>
  <c r="B528" i="7"/>
  <c r="B157" i="7"/>
  <c r="B555" i="7"/>
  <c r="B445" i="7"/>
  <c r="B382" i="7"/>
  <c r="B490" i="7"/>
  <c r="B102" i="7"/>
  <c r="B98" i="7"/>
  <c r="B267" i="7"/>
  <c r="B689" i="7"/>
  <c r="B541" i="7"/>
  <c r="B574" i="7"/>
  <c r="B751" i="7"/>
  <c r="B28" i="7"/>
  <c r="B347" i="7"/>
  <c r="B374" i="7"/>
  <c r="B386" i="7"/>
  <c r="B212" i="7"/>
  <c r="B120" i="7"/>
  <c r="B619" i="7"/>
  <c r="B551" i="7"/>
  <c r="B598" i="7"/>
  <c r="B584" i="7"/>
  <c r="B43" i="7"/>
  <c r="B325" i="7"/>
  <c r="B580" i="7"/>
  <c r="B5" i="7"/>
  <c r="B22" i="7"/>
  <c r="B340" i="7"/>
  <c r="B641" i="7"/>
  <c r="B519" i="7"/>
  <c r="B365" i="7"/>
  <c r="B100" i="7"/>
  <c r="B629" i="7"/>
  <c r="B169" i="7"/>
  <c r="B516" i="7"/>
  <c r="B48" i="7"/>
  <c r="B189" i="7"/>
  <c r="B166" i="7"/>
  <c r="B261" i="7"/>
  <c r="B561" i="7"/>
  <c r="B749" i="7"/>
  <c r="B632" i="7"/>
  <c r="B233" i="7"/>
  <c r="B65" i="7"/>
  <c r="B192" i="7"/>
  <c r="B355" i="7"/>
  <c r="B138" i="7"/>
  <c r="B348" i="7"/>
  <c r="B332" i="7"/>
  <c r="B207" i="7"/>
  <c r="B215" i="7"/>
  <c r="B111" i="7"/>
  <c r="B85" i="7"/>
  <c r="B296" i="7"/>
  <c r="B524" i="7"/>
  <c r="B601" i="7"/>
  <c r="B597" i="7"/>
  <c r="B502" i="7"/>
  <c r="B583" i="7"/>
  <c r="B558" i="7"/>
  <c r="B704" i="7"/>
  <c r="B730" i="7"/>
  <c r="B352" i="7"/>
  <c r="B335" i="7"/>
  <c r="B362" i="7"/>
  <c r="B119" i="7"/>
  <c r="B150" i="7"/>
  <c r="B55" i="7"/>
  <c r="B620" i="7"/>
  <c r="B200" i="7"/>
  <c r="B209" i="7"/>
  <c r="B368" i="7"/>
  <c r="B242" i="7"/>
  <c r="B373" i="7"/>
  <c r="B494" i="7"/>
  <c r="B481" i="7"/>
  <c r="B646" i="7"/>
  <c r="B648" i="7"/>
  <c r="B554" i="7"/>
  <c r="B35" i="7"/>
  <c r="B745" i="7"/>
  <c r="B718" i="7"/>
  <c r="B483" i="7"/>
  <c r="B484" i="7"/>
  <c r="B596" i="7"/>
  <c r="B748" i="7"/>
  <c r="B309" i="7"/>
  <c r="B113" i="7"/>
  <c r="B631" i="7"/>
  <c r="B697" i="7"/>
  <c r="B506" i="7"/>
  <c r="B750" i="7"/>
  <c r="B333" i="7"/>
  <c r="B501" i="7"/>
  <c r="B132" i="7"/>
  <c r="B89" i="7"/>
  <c r="B184" i="7"/>
  <c r="B488" i="7"/>
  <c r="B370" i="7"/>
  <c r="B216" i="7"/>
  <c r="B76" i="7"/>
  <c r="B66" i="7"/>
  <c r="B265" i="7"/>
  <c r="B511" i="7"/>
  <c r="B544" i="7"/>
  <c r="B738" i="7"/>
  <c r="B731" i="7"/>
  <c r="B381" i="7"/>
  <c r="B500" i="7"/>
  <c r="B115" i="7"/>
  <c r="B610" i="7"/>
  <c r="B154" i="7"/>
  <c r="B570" i="7"/>
  <c r="B722" i="7"/>
  <c r="B485" i="7"/>
  <c r="B253" i="7"/>
  <c r="B539" i="7"/>
  <c r="B708" i="7"/>
  <c r="B633" i="7"/>
  <c r="B319" i="7"/>
  <c r="B369" i="7"/>
  <c r="B371" i="7"/>
  <c r="B452" i="7"/>
  <c r="B95" i="7"/>
  <c r="B508" i="7"/>
  <c r="B518" i="7"/>
  <c r="B343" i="7"/>
  <c r="B391" i="7"/>
  <c r="B375" i="7"/>
  <c r="B473" i="7"/>
  <c r="B455" i="7"/>
  <c r="B220" i="7"/>
  <c r="B250" i="7"/>
  <c r="B129" i="7"/>
  <c r="B114" i="7"/>
  <c r="B78" i="7"/>
  <c r="B77" i="7"/>
  <c r="B175" i="7"/>
  <c r="B162" i="7"/>
  <c r="B279" i="7"/>
  <c r="B681" i="7"/>
  <c r="B556" i="7"/>
  <c r="B6" i="7"/>
  <c r="B338" i="7"/>
  <c r="B472" i="7"/>
  <c r="B625" i="7"/>
  <c r="B532" i="7"/>
  <c r="B523" i="7"/>
  <c r="B579" i="7"/>
  <c r="B735" i="7"/>
  <c r="B12" i="7"/>
  <c r="B47" i="7"/>
  <c r="B425" i="7"/>
  <c r="B316" i="7"/>
  <c r="B364" i="7"/>
  <c r="B92" i="7"/>
  <c r="B653" i="7"/>
  <c r="B623" i="7"/>
  <c r="B605" i="7"/>
  <c r="B687" i="7"/>
  <c r="B439" i="7"/>
  <c r="B378" i="7"/>
  <c r="B460" i="7"/>
  <c r="B538" i="7"/>
  <c r="B600" i="7"/>
  <c r="B720" i="7"/>
  <c r="B264" i="7"/>
  <c r="B567" i="7"/>
  <c r="B24" i="7"/>
  <c r="B467" i="7"/>
  <c r="B462" i="7"/>
  <c r="B644" i="7"/>
  <c r="B659" i="7"/>
  <c r="B683" i="7"/>
  <c r="B324" i="7"/>
  <c r="B400" i="7"/>
  <c r="B203" i="7"/>
  <c r="B634" i="7"/>
  <c r="B537" i="7"/>
  <c r="B592" i="7"/>
  <c r="B139" i="7"/>
  <c r="B336" i="7"/>
  <c r="B144" i="7"/>
  <c r="B64" i="7"/>
  <c r="B553" i="7"/>
  <c r="B241" i="7"/>
  <c r="B318" i="7"/>
  <c r="B247" i="7"/>
  <c r="B105" i="7"/>
  <c r="B81" i="7"/>
  <c r="B86" i="7"/>
  <c r="B606" i="7"/>
  <c r="B201" i="7"/>
  <c r="B282" i="7"/>
  <c r="B295" i="7"/>
  <c r="B685" i="7"/>
  <c r="B694" i="7"/>
  <c r="B679" i="7"/>
  <c r="B13" i="7"/>
  <c r="B430" i="7"/>
  <c r="B421" i="7"/>
  <c r="B410" i="7"/>
  <c r="B208" i="7"/>
  <c r="B58" i="7"/>
  <c r="B288" i="7"/>
  <c r="B396" i="7"/>
  <c r="B684" i="7"/>
  <c r="B696" i="7"/>
  <c r="B504" i="7"/>
  <c r="B417" i="7"/>
  <c r="B433" i="7"/>
  <c r="B414" i="7"/>
  <c r="B416" i="7"/>
  <c r="B306" i="7"/>
  <c r="B286" i="7"/>
  <c r="B571" i="7"/>
  <c r="B394" i="7"/>
  <c r="B469" i="7"/>
  <c r="B243" i="7"/>
  <c r="B222" i="7"/>
  <c r="B136" i="7"/>
  <c r="B159" i="7"/>
  <c r="B198" i="7"/>
  <c r="B301" i="7"/>
  <c r="B716" i="7"/>
  <c r="B40" i="7"/>
  <c r="B196" i="7"/>
  <c r="B341" i="7"/>
  <c r="B387" i="7"/>
  <c r="B456" i="7"/>
  <c r="B237" i="7"/>
  <c r="B225" i="7"/>
  <c r="B135" i="7"/>
  <c r="B69" i="7"/>
  <c r="B617" i="7"/>
  <c r="B292" i="7"/>
  <c r="B663" i="7"/>
  <c r="B654" i="7"/>
  <c r="B658" i="7"/>
  <c r="B709" i="7"/>
  <c r="B746" i="7"/>
  <c r="B51" i="7"/>
  <c r="B161" i="7"/>
  <c r="B422" i="7"/>
  <c r="B402" i="7"/>
  <c r="B437" i="7"/>
  <c r="B423" i="7"/>
  <c r="B96" i="7"/>
  <c r="B103" i="7"/>
  <c r="B91" i="7"/>
  <c r="B68" i="7"/>
  <c r="B268" i="7"/>
  <c r="B280" i="7"/>
  <c r="B661" i="7"/>
  <c r="B677" i="7"/>
  <c r="B509" i="7"/>
  <c r="B576" i="7"/>
  <c r="B732" i="7"/>
  <c r="B405" i="7"/>
  <c r="B419" i="7"/>
  <c r="B446" i="7"/>
  <c r="B205" i="7"/>
  <c r="B303" i="7"/>
  <c r="B327" i="7"/>
  <c r="B474" i="7"/>
  <c r="B480" i="7"/>
  <c r="B379" i="7"/>
  <c r="B210" i="7"/>
  <c r="B219" i="7"/>
  <c r="B122" i="7"/>
  <c r="B93" i="7"/>
  <c r="B636" i="7"/>
  <c r="B269" i="7"/>
  <c r="B278" i="7"/>
  <c r="B676" i="7"/>
  <c r="B668" i="7"/>
  <c r="B531" i="7"/>
  <c r="B588" i="7"/>
  <c r="B737" i="7"/>
  <c r="B729" i="7"/>
  <c r="B739" i="7"/>
  <c r="B711" i="7"/>
  <c r="B15" i="7"/>
  <c r="B448" i="7"/>
  <c r="B424" i="7"/>
  <c r="B442" i="7"/>
  <c r="B236" i="7"/>
  <c r="B351" i="7"/>
  <c r="B223" i="7"/>
  <c r="B227" i="7"/>
  <c r="B109" i="7"/>
  <c r="B145" i="7"/>
  <c r="B101" i="7"/>
  <c r="B289" i="7"/>
  <c r="B255" i="7"/>
  <c r="B670" i="7"/>
  <c r="B656" i="7"/>
  <c r="B674" i="7"/>
  <c r="B593" i="7"/>
  <c r="B721" i="7"/>
  <c r="B21" i="7"/>
  <c r="B438" i="7"/>
  <c r="B409" i="7"/>
  <c r="B520" i="7"/>
  <c r="B589" i="7"/>
  <c r="B383" i="7"/>
  <c r="B322" i="7"/>
  <c r="B398" i="7"/>
  <c r="B491" i="7"/>
  <c r="B226" i="7"/>
  <c r="B251" i="7"/>
  <c r="B217" i="7"/>
  <c r="B147" i="7"/>
  <c r="B60" i="7"/>
  <c r="B61" i="7"/>
  <c r="B197" i="7"/>
  <c r="B263" i="7"/>
  <c r="B290" i="7"/>
  <c r="B285" i="7"/>
  <c r="B254" i="7"/>
  <c r="B655" i="7"/>
  <c r="B678" i="7"/>
  <c r="B667" i="7"/>
  <c r="B682" i="7"/>
  <c r="B527" i="7"/>
  <c r="B503" i="7"/>
  <c r="B188" i="7"/>
  <c r="B573" i="7"/>
  <c r="B559" i="7"/>
  <c r="B727" i="7"/>
  <c r="B706" i="7"/>
  <c r="B11" i="7"/>
  <c r="B449" i="7"/>
  <c r="B407" i="7"/>
  <c r="B420" i="7"/>
  <c r="B426" i="7"/>
  <c r="B178" i="7"/>
  <c r="B82" i="7"/>
  <c r="B179" i="7"/>
  <c r="B257" i="7"/>
  <c r="B298" i="7"/>
  <c r="B669" i="7"/>
  <c r="B693" i="7"/>
  <c r="B690" i="7"/>
  <c r="B686" i="7"/>
  <c r="B695" i="7"/>
  <c r="B725" i="7"/>
  <c r="B705" i="7"/>
  <c r="B16" i="7"/>
  <c r="B447" i="7"/>
  <c r="B436" i="7"/>
  <c r="B404" i="7"/>
  <c r="B630" i="7"/>
  <c r="B464" i="7"/>
  <c r="B228" i="7"/>
  <c r="B246" i="7"/>
  <c r="B123" i="7"/>
  <c r="B73" i="7"/>
  <c r="B167" i="7"/>
  <c r="B262" i="7"/>
  <c r="B284" i="7"/>
  <c r="B287" i="7"/>
  <c r="B266" i="7"/>
  <c r="B521" i="7"/>
  <c r="B505" i="7"/>
  <c r="B360" i="7"/>
  <c r="B435" i="7"/>
  <c r="B418" i="7"/>
  <c r="B406" i="7"/>
  <c r="B408" i="7"/>
  <c r="B339" i="7"/>
  <c r="B395" i="7"/>
  <c r="B314" i="7"/>
  <c r="B358" i="7"/>
  <c r="B221" i="7"/>
  <c r="B218" i="7"/>
  <c r="B143" i="7"/>
  <c r="B121" i="7"/>
  <c r="B84" i="7"/>
  <c r="B275" i="7"/>
  <c r="B258" i="7"/>
  <c r="B273" i="7"/>
  <c r="B260" i="7"/>
  <c r="B666" i="7"/>
  <c r="B657" i="7"/>
  <c r="B530" i="7"/>
  <c r="B522" i="7"/>
  <c r="B582" i="7"/>
  <c r="B560" i="7"/>
  <c r="B440" i="7"/>
  <c r="B415" i="7"/>
  <c r="B411" i="7"/>
  <c r="B451" i="7"/>
  <c r="B211" i="7"/>
  <c r="B46" i="7"/>
  <c r="B377" i="7"/>
  <c r="B313" i="7"/>
  <c r="B354" i="7"/>
  <c r="B206" i="7"/>
  <c r="B204" i="7"/>
  <c r="B239" i="7"/>
  <c r="B146" i="7"/>
  <c r="B141" i="7"/>
  <c r="B87" i="7"/>
  <c r="B56" i="7"/>
  <c r="B62" i="7"/>
  <c r="B194" i="7"/>
  <c r="B164" i="7"/>
  <c r="B271" i="7"/>
  <c r="B252" i="7"/>
  <c r="B680" i="7"/>
  <c r="B393" i="7"/>
  <c r="B515" i="7"/>
  <c r="B549" i="7"/>
  <c r="B568" i="7"/>
  <c r="B703" i="7"/>
  <c r="B714" i="7"/>
  <c r="B41" i="7"/>
  <c r="B428" i="7"/>
  <c r="B412" i="7"/>
  <c r="B450" i="7"/>
  <c r="B413" i="7"/>
  <c r="B434" i="7"/>
  <c r="B148" i="7"/>
  <c r="B90" i="7"/>
  <c r="B550" i="7"/>
  <c r="B357" i="7"/>
  <c r="B384" i="7"/>
  <c r="B461" i="7"/>
  <c r="B244" i="7"/>
  <c r="B110" i="7"/>
  <c r="B80" i="7"/>
  <c r="B607" i="7"/>
  <c r="B277" i="7"/>
  <c r="B256" i="7"/>
  <c r="B294" i="7"/>
  <c r="B701" i="7"/>
  <c r="B692" i="7"/>
  <c r="B699" i="7"/>
  <c r="B535" i="7"/>
  <c r="B525" i="7"/>
  <c r="B585" i="7"/>
  <c r="B586" i="7"/>
  <c r="B744" i="7"/>
  <c r="B49" i="7"/>
  <c r="B443" i="7"/>
  <c r="B432" i="7"/>
  <c r="B444" i="7"/>
  <c r="B429" i="7"/>
  <c r="B441" i="7"/>
  <c r="B18" i="7"/>
  <c r="B1" i="7"/>
  <c r="B32" i="7"/>
  <c r="B34" i="7"/>
  <c r="B45" i="7"/>
  <c r="B39" i="7"/>
  <c r="B27" i="7"/>
  <c r="B38" i="7"/>
  <c r="B7" i="7"/>
  <c r="B10" i="7"/>
  <c r="B29" i="7"/>
  <c r="B31" i="7"/>
  <c r="B50" i="7"/>
  <c r="B33" i="7"/>
</calcChain>
</file>

<file path=xl/comments1.xml><?xml version="1.0" encoding="utf-8"?>
<comments xmlns="http://schemas.openxmlformats.org/spreadsheetml/2006/main">
  <authors>
    <author>Csáki Enikő</author>
  </authors>
  <commentList>
    <comment ref="E16" authorId="0" shapeId="0">
      <text>
        <r>
          <rPr>
            <b/>
            <sz val="9"/>
            <color indexed="81"/>
            <rFont val="Tahoma"/>
            <family val="2"/>
            <charset val="238"/>
          </rPr>
          <t>Csáki Enikő:</t>
        </r>
        <r>
          <rPr>
            <sz val="9"/>
            <color indexed="81"/>
            <rFont val="Tahoma"/>
            <family val="2"/>
            <charset val="238"/>
          </rPr>
          <t xml:space="preserve">
A magasság különbségeket előjel helyesen kell beírni, amennyiben az alakhelyes láncgörbéket ki akarjuk rajzoltatni!
(+) a nagyobb sorszámú oszlop felfüggesztési pontja magasabban helyezkedik el
(-) a nagyobb sorszámú oszlop felfüggesztési pontja alacsonyabban helyezkedik el</t>
        </r>
      </text>
    </comment>
  </commentList>
</comments>
</file>

<file path=xl/comments2.xml><?xml version="1.0" encoding="utf-8"?>
<comments xmlns="http://schemas.openxmlformats.org/spreadsheetml/2006/main">
  <authors>
    <author>Csáki Enikő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38"/>
          </rPr>
          <t>Csáki Enikő:</t>
        </r>
        <r>
          <rPr>
            <sz val="9"/>
            <color indexed="81"/>
            <rFont val="Tahoma"/>
            <family val="2"/>
            <charset val="238"/>
          </rPr>
          <t xml:space="preserve">
Állítsd be a kívánt hőmérsékletet, majd másold be az AutoCAD parancssorába a B oszlop tartalmát!
(csak azt a részt másold, ami nem nulla)</t>
        </r>
      </text>
    </comment>
  </commentList>
</comments>
</file>

<file path=xl/sharedStrings.xml><?xml version="1.0" encoding="utf-8"?>
<sst xmlns="http://schemas.openxmlformats.org/spreadsheetml/2006/main" count="519" uniqueCount="193">
  <si>
    <t>Létesítmény megnevezése</t>
  </si>
  <si>
    <t>Típus</t>
  </si>
  <si>
    <t>Átmérő /d/</t>
  </si>
  <si>
    <t>mm</t>
  </si>
  <si>
    <r>
      <t>mm</t>
    </r>
    <r>
      <rPr>
        <vertAlign val="superscript"/>
        <sz val="11"/>
        <color theme="1"/>
        <rFont val="Arial"/>
        <family val="2"/>
        <charset val="238"/>
      </rPr>
      <t>2</t>
    </r>
  </si>
  <si>
    <t>Súly /g/</t>
  </si>
  <si>
    <t>N/m</t>
  </si>
  <si>
    <t>1/°C</t>
  </si>
  <si>
    <r>
      <t>N/mm</t>
    </r>
    <r>
      <rPr>
        <vertAlign val="superscript"/>
        <sz val="11"/>
        <color theme="1"/>
        <rFont val="Arial"/>
        <family val="2"/>
        <charset val="238"/>
      </rPr>
      <t>2</t>
    </r>
  </si>
  <si>
    <t>Pótteher /z/</t>
  </si>
  <si>
    <t>kg/m</t>
  </si>
  <si>
    <t>Keresztmetszet /A/</t>
  </si>
  <si>
    <t>Rug.modulus /E/</t>
  </si>
  <si>
    <t>°C-tól</t>
  </si>
  <si>
    <t>°C-ig</t>
  </si>
  <si>
    <t>Lépés:</t>
  </si>
  <si>
    <t>°C</t>
  </si>
  <si>
    <t>Utolsó oszlop száma:</t>
  </si>
  <si>
    <t>Első oszlop száma:</t>
  </si>
  <si>
    <t>Sodrony jellemzők</t>
  </si>
  <si>
    <t>Hőmérsékleti adatok</t>
  </si>
  <si>
    <t>Feszítőköz adatai</t>
  </si>
  <si>
    <t>m</t>
  </si>
  <si>
    <t>Oszlopköz</t>
  </si>
  <si>
    <t>Száma</t>
  </si>
  <si>
    <t>Hossza</t>
  </si>
  <si>
    <t>[m]</t>
  </si>
  <si>
    <t>-</t>
  </si>
  <si>
    <r>
      <t>Hőfoktényező /</t>
    </r>
    <r>
      <rPr>
        <sz val="14"/>
        <color theme="1"/>
        <rFont val="Freestyle Script"/>
        <family val="4"/>
      </rPr>
      <t>α</t>
    </r>
    <r>
      <rPr>
        <sz val="11"/>
        <color theme="1"/>
        <rFont val="Arial"/>
        <family val="2"/>
        <charset val="238"/>
      </rPr>
      <t>/</t>
    </r>
  </si>
  <si>
    <t>Szigma MAX</t>
  </si>
  <si>
    <r>
      <t>a</t>
    </r>
    <r>
      <rPr>
        <vertAlign val="superscript"/>
        <sz val="11"/>
        <color theme="1"/>
        <rFont val="Arial"/>
        <family val="2"/>
        <charset val="238"/>
      </rPr>
      <t>3</t>
    </r>
  </si>
  <si>
    <t>Oszlopköz jellemzők:</t>
  </si>
  <si>
    <r>
      <t>a</t>
    </r>
    <r>
      <rPr>
        <vertAlign val="subscript"/>
        <sz val="11"/>
        <color theme="1"/>
        <rFont val="Arial"/>
        <family val="2"/>
        <charset val="238"/>
      </rPr>
      <t>k</t>
    </r>
  </si>
  <si>
    <r>
      <t>a</t>
    </r>
    <r>
      <rPr>
        <vertAlign val="subscript"/>
        <sz val="11"/>
        <color theme="1"/>
        <rFont val="Arial"/>
        <family val="2"/>
        <charset val="238"/>
      </rPr>
      <t>kr</t>
    </r>
  </si>
  <si>
    <r>
      <t>a</t>
    </r>
    <r>
      <rPr>
        <vertAlign val="subscript"/>
        <sz val="11"/>
        <color theme="1"/>
        <rFont val="Arial"/>
        <family val="2"/>
        <charset val="238"/>
      </rPr>
      <t>m</t>
    </r>
  </si>
  <si>
    <t>Számítási paraméterek:</t>
  </si>
  <si>
    <r>
      <t>t</t>
    </r>
    <r>
      <rPr>
        <vertAlign val="subscript"/>
        <sz val="11"/>
        <color theme="1"/>
        <rFont val="Arial"/>
        <family val="2"/>
        <charset val="238"/>
      </rPr>
      <t>0</t>
    </r>
  </si>
  <si>
    <t>G</t>
  </si>
  <si>
    <r>
      <t>G</t>
    </r>
    <r>
      <rPr>
        <i/>
        <vertAlign val="subscript"/>
        <sz val="11"/>
        <color theme="1"/>
        <rFont val="Arial"/>
        <family val="2"/>
        <charset val="238"/>
      </rPr>
      <t>z</t>
    </r>
  </si>
  <si>
    <t>d</t>
  </si>
  <si>
    <t>T</t>
  </si>
  <si>
    <t>b</t>
  </si>
  <si>
    <t>A</t>
  </si>
  <si>
    <t>B</t>
  </si>
  <si>
    <r>
      <t>t</t>
    </r>
    <r>
      <rPr>
        <vertAlign val="subscript"/>
        <sz val="11"/>
        <color theme="1"/>
        <rFont val="Arial"/>
        <family val="2"/>
        <charset val="238"/>
      </rPr>
      <t>max</t>
    </r>
  </si>
  <si>
    <r>
      <t>t</t>
    </r>
    <r>
      <rPr>
        <vertAlign val="subscript"/>
        <sz val="11"/>
        <color theme="1"/>
        <rFont val="Arial"/>
        <family val="2"/>
        <charset val="238"/>
      </rPr>
      <t>min</t>
    </r>
  </si>
  <si>
    <t>t [°C]</t>
  </si>
  <si>
    <r>
      <t>N/mm</t>
    </r>
    <r>
      <rPr>
        <vertAlign val="superscript"/>
        <sz val="11"/>
        <color theme="1"/>
        <rFont val="Arial"/>
        <family val="2"/>
        <charset val="238"/>
      </rPr>
      <t>2</t>
    </r>
    <r>
      <rPr>
        <sz val="11"/>
        <color theme="1"/>
        <rFont val="Calibri"/>
        <family val="2"/>
        <charset val="238"/>
        <scheme val="minor"/>
      </rPr>
      <t/>
    </r>
  </si>
  <si>
    <t>Egyszerűsítések képletei:</t>
  </si>
  <si>
    <t>Állapotegyenletek megoldóképletei:</t>
  </si>
  <si>
    <t>Szerelési táblázat</t>
  </si>
  <si>
    <t>Feszítőköz</t>
  </si>
  <si>
    <t>száma</t>
  </si>
  <si>
    <t>Közepes oszlopköz:</t>
  </si>
  <si>
    <t>belógás</t>
  </si>
  <si>
    <t>Hőmérséklet [°C]</t>
  </si>
  <si>
    <t>Tárgy:</t>
  </si>
  <si>
    <t>Létesítmény:</t>
  </si>
  <si>
    <t>Sodrony:</t>
  </si>
  <si>
    <t>[N]</t>
  </si>
  <si>
    <t>[cm]</t>
  </si>
  <si>
    <t>TÁRGY</t>
  </si>
  <si>
    <r>
      <t>N/mm</t>
    </r>
    <r>
      <rPr>
        <b/>
        <vertAlign val="superscript"/>
        <sz val="12"/>
        <color theme="1"/>
        <rFont val="Arial"/>
        <family val="2"/>
        <charset val="238"/>
      </rPr>
      <t>2</t>
    </r>
  </si>
  <si>
    <t>-5+Pótteher</t>
  </si>
  <si>
    <t>b'</t>
  </si>
  <si>
    <t>d'</t>
  </si>
  <si>
    <t>A'</t>
  </si>
  <si>
    <t>B'</t>
  </si>
  <si>
    <t>Δ'</t>
  </si>
  <si>
    <t>Ívhossz</t>
  </si>
  <si>
    <t>Hőmérséklet:</t>
  </si>
  <si>
    <t>Feszítőköz:</t>
  </si>
  <si>
    <t>Belógás</t>
  </si>
  <si>
    <t>Feszítőköz ívhossza:</t>
  </si>
  <si>
    <r>
      <t>N/mm</t>
    </r>
    <r>
      <rPr>
        <b/>
        <vertAlign val="superscript"/>
        <sz val="11"/>
        <color theme="1"/>
        <rFont val="Arial"/>
        <family val="2"/>
        <charset val="238"/>
      </rPr>
      <t>2</t>
    </r>
  </si>
  <si>
    <r>
      <t>Hossza /</t>
    </r>
    <r>
      <rPr>
        <b/>
        <sz val="11"/>
        <color theme="1"/>
        <rFont val="Arial"/>
        <family val="2"/>
        <charset val="238"/>
      </rPr>
      <t>a</t>
    </r>
    <r>
      <rPr>
        <sz val="11"/>
        <color theme="1"/>
        <rFont val="Arial"/>
        <family val="2"/>
        <charset val="238"/>
      </rPr>
      <t>/</t>
    </r>
  </si>
  <si>
    <r>
      <t>Közepes oszlopköz /</t>
    </r>
    <r>
      <rPr>
        <b/>
        <sz val="11"/>
        <color theme="1"/>
        <rFont val="Arial"/>
        <family val="2"/>
        <charset val="238"/>
      </rPr>
      <t>a</t>
    </r>
    <r>
      <rPr>
        <b/>
        <vertAlign val="subscript"/>
        <sz val="11"/>
        <color theme="1"/>
        <rFont val="Arial"/>
        <family val="2"/>
        <charset val="238"/>
      </rPr>
      <t>k'</t>
    </r>
    <r>
      <rPr>
        <sz val="11"/>
        <color theme="1"/>
        <rFont val="Arial"/>
        <family val="2"/>
        <charset val="238"/>
      </rPr>
      <t>/:</t>
    </r>
  </si>
  <si>
    <r>
      <t>a'</t>
    </r>
    <r>
      <rPr>
        <vertAlign val="superscript"/>
        <sz val="11"/>
        <color theme="1"/>
        <rFont val="Arial"/>
        <family val="2"/>
        <charset val="238"/>
      </rPr>
      <t>3</t>
    </r>
  </si>
  <si>
    <r>
      <t>a</t>
    </r>
    <r>
      <rPr>
        <vertAlign val="superscript"/>
        <sz val="11"/>
        <color theme="1"/>
        <rFont val="Arial"/>
        <family val="2"/>
        <charset val="238"/>
      </rPr>
      <t>2</t>
    </r>
  </si>
  <si>
    <r>
      <t>a'</t>
    </r>
    <r>
      <rPr>
        <vertAlign val="superscript"/>
        <sz val="11"/>
        <color theme="1"/>
        <rFont val="Arial"/>
        <family val="2"/>
        <charset val="238"/>
      </rPr>
      <t>2</t>
    </r>
  </si>
  <si>
    <r>
      <t>b'</t>
    </r>
    <r>
      <rPr>
        <vertAlign val="subscript"/>
        <sz val="11"/>
        <color theme="1"/>
        <rFont val="Arial"/>
        <family val="2"/>
        <charset val="238"/>
      </rPr>
      <t>z</t>
    </r>
  </si>
  <si>
    <r>
      <t>Közepes ferdeség /</t>
    </r>
    <r>
      <rPr>
        <b/>
        <sz val="11"/>
        <color theme="1"/>
        <rFont val="Arial"/>
        <family val="2"/>
        <charset val="238"/>
      </rPr>
      <t>f</t>
    </r>
    <r>
      <rPr>
        <b/>
        <vertAlign val="subscript"/>
        <sz val="11"/>
        <color theme="1"/>
        <rFont val="Arial"/>
        <family val="2"/>
        <charset val="238"/>
      </rPr>
      <t>k</t>
    </r>
    <r>
      <rPr>
        <sz val="11"/>
        <color theme="1"/>
        <rFont val="Arial"/>
        <family val="2"/>
        <charset val="238"/>
      </rPr>
      <t>/:</t>
    </r>
  </si>
  <si>
    <r>
      <t>a'</t>
    </r>
    <r>
      <rPr>
        <vertAlign val="superscript"/>
        <sz val="11"/>
        <color theme="1"/>
        <rFont val="Arial"/>
        <family val="2"/>
        <charset val="238"/>
      </rPr>
      <t>3</t>
    </r>
    <r>
      <rPr>
        <sz val="11"/>
        <color theme="1"/>
        <rFont val="Arial"/>
        <family val="2"/>
        <charset val="238"/>
      </rPr>
      <t>/a</t>
    </r>
    <r>
      <rPr>
        <vertAlign val="superscript"/>
        <sz val="11"/>
        <color theme="1"/>
        <rFont val="Arial"/>
        <family val="2"/>
        <charset val="238"/>
      </rPr>
      <t>2</t>
    </r>
  </si>
  <si>
    <t>a'2/a</t>
  </si>
  <si>
    <r>
      <t>Közepes feszültség/</t>
    </r>
    <r>
      <rPr>
        <b/>
        <sz val="11"/>
        <color theme="1"/>
        <rFont val="Calibri"/>
        <family val="2"/>
        <charset val="238"/>
      </rPr>
      <t>σ</t>
    </r>
    <r>
      <rPr>
        <b/>
        <vertAlign val="subscript"/>
        <sz val="11"/>
        <color theme="1"/>
        <rFont val="Arial"/>
        <family val="2"/>
        <charset val="238"/>
      </rPr>
      <t>kz</t>
    </r>
    <r>
      <rPr>
        <sz val="11"/>
        <color theme="1"/>
        <rFont val="Arial"/>
        <family val="2"/>
        <charset val="238"/>
      </rPr>
      <t>/:</t>
    </r>
  </si>
  <si>
    <t>Ferdeség</t>
  </si>
  <si>
    <r>
      <t>σ</t>
    </r>
    <r>
      <rPr>
        <b/>
        <vertAlign val="subscript"/>
        <sz val="11"/>
        <color theme="1"/>
        <rFont val="Arial"/>
        <family val="2"/>
        <charset val="238"/>
      </rPr>
      <t>hz</t>
    </r>
  </si>
  <si>
    <r>
      <t>[N/mm</t>
    </r>
    <r>
      <rPr>
        <vertAlign val="superscript"/>
        <sz val="11"/>
        <color theme="1"/>
        <rFont val="Arial"/>
        <family val="2"/>
        <charset val="238"/>
      </rPr>
      <t>2</t>
    </r>
    <r>
      <rPr>
        <sz val="11"/>
        <color theme="1"/>
        <rFont val="Arial"/>
        <family val="2"/>
        <charset val="238"/>
      </rPr>
      <t>]</t>
    </r>
  </si>
  <si>
    <t>Feszítőköz vízsz. hossza:</t>
  </si>
  <si>
    <t>°</t>
  </si>
  <si>
    <r>
      <rPr>
        <b/>
        <sz val="12"/>
        <color theme="1"/>
        <rFont val="Calibri"/>
        <family val="2"/>
        <charset val="238"/>
      </rPr>
      <t>σ</t>
    </r>
    <r>
      <rPr>
        <b/>
        <vertAlign val="subscript"/>
        <sz val="12"/>
        <color theme="1"/>
        <rFont val="Arial"/>
        <family val="2"/>
        <charset val="238"/>
      </rPr>
      <t>k</t>
    </r>
    <r>
      <rPr>
        <b/>
        <sz val="12"/>
        <color theme="1"/>
        <rFont val="Arial"/>
        <family val="2"/>
        <charset val="238"/>
      </rPr>
      <t>=</t>
    </r>
  </si>
  <si>
    <r>
      <rPr>
        <b/>
        <sz val="12"/>
        <color theme="1"/>
        <rFont val="Calibri"/>
        <family val="2"/>
        <charset val="238"/>
      </rPr>
      <t>σ</t>
    </r>
    <r>
      <rPr>
        <b/>
        <vertAlign val="subscript"/>
        <sz val="12"/>
        <color theme="1"/>
        <rFont val="Arial"/>
        <family val="2"/>
        <charset val="238"/>
      </rPr>
      <t xml:space="preserve">hz </t>
    </r>
    <r>
      <rPr>
        <b/>
        <sz val="12"/>
        <color theme="1"/>
        <rFont val="Arial"/>
        <family val="2"/>
        <charset val="238"/>
      </rPr>
      <t xml:space="preserve">ismeretlen, </t>
    </r>
    <r>
      <rPr>
        <b/>
        <sz val="12"/>
        <color theme="1"/>
        <rFont val="Calibri"/>
        <family val="2"/>
        <charset val="238"/>
      </rPr>
      <t>σ</t>
    </r>
    <r>
      <rPr>
        <b/>
        <vertAlign val="subscript"/>
        <sz val="10.8"/>
        <color theme="1"/>
        <rFont val="Arial"/>
        <family val="2"/>
        <charset val="238"/>
      </rPr>
      <t>k</t>
    </r>
    <r>
      <rPr>
        <b/>
        <sz val="10.8"/>
        <color theme="1"/>
        <rFont val="Arial"/>
        <family val="2"/>
        <charset val="238"/>
      </rPr>
      <t xml:space="preserve">  a mért belógásból vagy a max. belógásból számítva</t>
    </r>
  </si>
  <si>
    <r>
      <rPr>
        <b/>
        <sz val="12"/>
        <color theme="1"/>
        <rFont val="Calibri"/>
        <family val="2"/>
        <charset val="238"/>
      </rPr>
      <t>σ</t>
    </r>
    <r>
      <rPr>
        <b/>
        <vertAlign val="subscript"/>
        <sz val="12"/>
        <color theme="1"/>
        <rFont val="Arial"/>
        <family val="2"/>
        <charset val="238"/>
      </rPr>
      <t>k</t>
    </r>
    <r>
      <rPr>
        <b/>
        <sz val="12"/>
        <color theme="1"/>
        <rFont val="Arial"/>
        <family val="2"/>
        <charset val="238"/>
      </rPr>
      <t>-hoz tartozó hőmérséklet:</t>
    </r>
  </si>
  <si>
    <r>
      <rPr>
        <b/>
        <sz val="12"/>
        <color theme="1"/>
        <rFont val="Calibri"/>
        <family val="2"/>
        <charset val="238"/>
      </rPr>
      <t>σ</t>
    </r>
    <r>
      <rPr>
        <b/>
        <vertAlign val="subscript"/>
        <sz val="12"/>
        <color theme="1"/>
        <rFont val="Arial"/>
        <family val="2"/>
        <charset val="238"/>
      </rPr>
      <t>hz</t>
    </r>
  </si>
  <si>
    <t>ferdesége (a'/a)</t>
  </si>
  <si>
    <t>sodrony erő (H)</t>
  </si>
  <si>
    <t>by CSE</t>
  </si>
  <si>
    <r>
      <t>N/(m×mm</t>
    </r>
    <r>
      <rPr>
        <vertAlign val="superscript"/>
        <sz val="11"/>
        <color theme="1"/>
        <rFont val="Arial"/>
        <family val="2"/>
        <charset val="238"/>
      </rPr>
      <t>2</t>
    </r>
    <r>
      <rPr>
        <sz val="11"/>
        <color theme="1"/>
        <rFont val="Arial"/>
        <family val="2"/>
        <charset val="238"/>
      </rPr>
      <t>)</t>
    </r>
  </si>
  <si>
    <r>
      <rPr>
        <sz val="14"/>
        <color theme="1"/>
        <rFont val="Calibri"/>
        <family val="2"/>
        <charset val="238"/>
      </rPr>
      <t>σ</t>
    </r>
    <r>
      <rPr>
        <vertAlign val="subscript"/>
        <sz val="11"/>
        <color theme="1"/>
        <rFont val="Arial"/>
        <family val="2"/>
        <charset val="238"/>
      </rPr>
      <t>B</t>
    </r>
  </si>
  <si>
    <r>
      <rPr>
        <sz val="14"/>
        <color theme="1"/>
        <rFont val="Calibri"/>
        <family val="2"/>
        <charset val="238"/>
      </rPr>
      <t>σ</t>
    </r>
    <r>
      <rPr>
        <vertAlign val="subscript"/>
        <sz val="11"/>
        <color theme="1"/>
        <rFont val="Arial"/>
        <family val="2"/>
        <charset val="238"/>
      </rPr>
      <t>Hz</t>
    </r>
  </si>
  <si>
    <t>γ</t>
  </si>
  <si>
    <r>
      <t>γ</t>
    </r>
    <r>
      <rPr>
        <vertAlign val="subscript"/>
        <sz val="14"/>
        <color theme="1"/>
        <rFont val="Calibri"/>
        <family val="2"/>
        <charset val="238"/>
      </rPr>
      <t>z</t>
    </r>
  </si>
  <si>
    <r>
      <t>N/mm</t>
    </r>
    <r>
      <rPr>
        <vertAlign val="superscript"/>
        <sz val="10"/>
        <color theme="1"/>
        <rFont val="Arial"/>
        <family val="2"/>
        <charset val="238"/>
      </rPr>
      <t>2</t>
    </r>
  </si>
  <si>
    <r>
      <t>Felfüggesztési pontok magasság különbsége /</t>
    </r>
    <r>
      <rPr>
        <b/>
        <sz val="9"/>
        <color theme="1"/>
        <rFont val="Arial"/>
        <family val="2"/>
        <charset val="238"/>
      </rPr>
      <t>m</t>
    </r>
    <r>
      <rPr>
        <sz val="9"/>
        <color theme="1"/>
        <rFont val="Arial"/>
        <family val="2"/>
        <charset val="238"/>
      </rPr>
      <t>/    [m]</t>
    </r>
  </si>
  <si>
    <r>
      <t>Felfüggesztési köz /</t>
    </r>
    <r>
      <rPr>
        <b/>
        <sz val="9"/>
        <color theme="1"/>
        <rFont val="Arial"/>
        <family val="2"/>
        <charset val="238"/>
      </rPr>
      <t>a'</t>
    </r>
    <r>
      <rPr>
        <sz val="9"/>
        <color theme="1"/>
        <rFont val="Arial"/>
        <family val="2"/>
        <charset val="238"/>
      </rPr>
      <t>/</t>
    </r>
  </si>
  <si>
    <t>Sodrony típusa:</t>
  </si>
  <si>
    <t>Keresztmetszet</t>
  </si>
  <si>
    <t>Átmérő</t>
  </si>
  <si>
    <t>Súly</t>
  </si>
  <si>
    <t>Pótteher</t>
  </si>
  <si>
    <t>Rug.mod.</t>
  </si>
  <si>
    <t>Hőfok.tény.</t>
  </si>
  <si>
    <r>
      <t>mm</t>
    </r>
    <r>
      <rPr>
        <b/>
        <vertAlign val="superscript"/>
        <sz val="11"/>
        <color theme="1"/>
        <rFont val="Times New Roman"/>
        <family val="1"/>
        <charset val="238"/>
      </rPr>
      <t>2</t>
    </r>
  </si>
  <si>
    <t>N/mm2</t>
  </si>
  <si>
    <t>50 AV4</t>
  </si>
  <si>
    <t>70 AV4</t>
  </si>
  <si>
    <t>95 AV4</t>
  </si>
  <si>
    <t>120 AASC</t>
  </si>
  <si>
    <t>240 AASC</t>
  </si>
  <si>
    <t>300 AASC</t>
  </si>
  <si>
    <t>50/30 ACSR</t>
  </si>
  <si>
    <t>95/55 ACSR</t>
  </si>
  <si>
    <t>110/20 ACSR</t>
  </si>
  <si>
    <t>185/60 ACSR</t>
  </si>
  <si>
    <t>250/40 ACSR</t>
  </si>
  <si>
    <t>350/50 ACSR</t>
  </si>
  <si>
    <t>CONDOR ACSR</t>
  </si>
  <si>
    <t>CARDINAL ACSR</t>
  </si>
  <si>
    <t>500/65 ACSR</t>
  </si>
  <si>
    <t>680/85 ACSR</t>
  </si>
  <si>
    <t>120 AlFe 3</t>
  </si>
  <si>
    <t>425/55 ACSS</t>
  </si>
  <si>
    <t>95 AASC</t>
  </si>
  <si>
    <t>120/120 AACSR</t>
  </si>
  <si>
    <t>263/110 AACSR</t>
  </si>
  <si>
    <t>570/120 AACSR</t>
  </si>
  <si>
    <t>375 AASC</t>
  </si>
  <si>
    <t>640 AASC</t>
  </si>
  <si>
    <t>95B40z OPGW</t>
  </si>
  <si>
    <t>AA/St 59/25 OPGW</t>
  </si>
  <si>
    <t>F-501EC-297 OPGW</t>
  </si>
  <si>
    <t>112B56z OPGW</t>
  </si>
  <si>
    <t>MKM</t>
  </si>
  <si>
    <t>ALCATEL</t>
  </si>
  <si>
    <t>FOCAS</t>
  </si>
  <si>
    <t>Δ</t>
  </si>
  <si>
    <r>
      <rPr>
        <sz val="16"/>
        <color theme="0"/>
        <rFont val="Calibri"/>
        <family val="2"/>
        <charset val="238"/>
      </rPr>
      <t>σ</t>
    </r>
    <r>
      <rPr>
        <vertAlign val="subscript"/>
        <sz val="10"/>
        <color theme="0"/>
        <rFont val="Arial"/>
        <family val="2"/>
        <charset val="238"/>
      </rPr>
      <t>k</t>
    </r>
  </si>
  <si>
    <r>
      <t>b'</t>
    </r>
    <r>
      <rPr>
        <b/>
        <i/>
        <vertAlign val="subscript"/>
        <sz val="11"/>
        <color theme="0"/>
        <rFont val="Arial"/>
        <family val="2"/>
        <charset val="238"/>
      </rPr>
      <t>zn</t>
    </r>
    <r>
      <rPr>
        <b/>
        <i/>
        <sz val="11"/>
        <color theme="0"/>
        <rFont val="Arial"/>
        <family val="2"/>
        <charset val="238"/>
      </rPr>
      <t xml:space="preserve"> </t>
    </r>
    <r>
      <rPr>
        <b/>
        <sz val="11"/>
        <color theme="0"/>
        <rFont val="Arial"/>
        <family val="2"/>
        <charset val="238"/>
      </rPr>
      <t>[cm]</t>
    </r>
  </si>
  <si>
    <r>
      <rPr>
        <b/>
        <sz val="11"/>
        <color theme="0"/>
        <rFont val="Calibri"/>
        <family val="2"/>
        <charset val="238"/>
      </rPr>
      <t>σ</t>
    </r>
    <r>
      <rPr>
        <b/>
        <vertAlign val="subscript"/>
        <sz val="11"/>
        <color theme="0"/>
        <rFont val="Arial"/>
        <family val="2"/>
        <charset val="238"/>
      </rPr>
      <t>k</t>
    </r>
    <r>
      <rPr>
        <b/>
        <sz val="11"/>
        <color theme="0"/>
        <rFont val="Arial"/>
        <family val="2"/>
        <charset val="238"/>
      </rPr>
      <t xml:space="preserve"> számítása adott belógásból:</t>
    </r>
  </si>
  <si>
    <t>SFPOC/SFSJ-J-9783 OPGW</t>
  </si>
  <si>
    <t>SFPOC/SFSJ-J-10983 OPGW</t>
  </si>
  <si>
    <t>SFPOC/SFSJ-J-10976 OPGW</t>
  </si>
  <si>
    <t>D1 2015</t>
  </si>
  <si>
    <t>D2 2015</t>
  </si>
  <si>
    <t>D3 2015</t>
  </si>
  <si>
    <t>D4 2015</t>
  </si>
  <si>
    <t>SFPOC/SFSJ-J-10985 OPGW</t>
  </si>
  <si>
    <t>hossza (a)</t>
  </si>
  <si>
    <r>
      <t>σ</t>
    </r>
    <r>
      <rPr>
        <b/>
        <vertAlign val="subscript"/>
        <sz val="14"/>
        <color theme="1"/>
        <rFont val="Calibri"/>
        <family val="2"/>
        <charset val="238"/>
      </rPr>
      <t>max</t>
    </r>
    <r>
      <rPr>
        <b/>
        <sz val="14"/>
        <color theme="1"/>
        <rFont val="Calibri"/>
        <family val="2"/>
        <charset val="238"/>
      </rPr>
      <t>:</t>
    </r>
  </si>
  <si>
    <r>
      <t>σ</t>
    </r>
    <r>
      <rPr>
        <i/>
        <vertAlign val="subscript"/>
        <sz val="14"/>
        <color theme="1"/>
        <rFont val="Calibri"/>
        <family val="2"/>
        <charset val="238"/>
      </rPr>
      <t>H,max</t>
    </r>
    <r>
      <rPr>
        <i/>
        <sz val="14"/>
        <color theme="1"/>
        <rFont val="Calibri"/>
        <family val="2"/>
        <charset val="238"/>
      </rPr>
      <t>:</t>
    </r>
  </si>
  <si>
    <r>
      <t>N/mm</t>
    </r>
    <r>
      <rPr>
        <i/>
        <vertAlign val="superscript"/>
        <sz val="12"/>
        <color theme="1"/>
        <rFont val="Arial"/>
        <family val="2"/>
        <charset val="238"/>
      </rPr>
      <t>2</t>
    </r>
  </si>
  <si>
    <t>a</t>
  </si>
  <si>
    <t>p</t>
  </si>
  <si>
    <t>at</t>
  </si>
  <si>
    <t>ar</t>
  </si>
  <si>
    <t>XA</t>
  </si>
  <si>
    <t>XB</t>
  </si>
  <si>
    <t>a/50</t>
  </si>
  <si>
    <t>F1x</t>
  </si>
  <si>
    <t>F1y</t>
  </si>
  <si>
    <t>F2x</t>
  </si>
  <si>
    <t>F2y</t>
  </si>
  <si>
    <t>x</t>
  </si>
  <si>
    <t>y</t>
  </si>
  <si>
    <t>Hőmérséklet</t>
  </si>
  <si>
    <t>AA/St 125/50</t>
  </si>
  <si>
    <t>Dokumentum azonosító</t>
  </si>
  <si>
    <t>Dokumentum az.:</t>
  </si>
  <si>
    <t>150/25 ACSR new</t>
  </si>
  <si>
    <t>150/25 ACSR old</t>
  </si>
  <si>
    <t>AA/St 88/50 OPGW</t>
  </si>
  <si>
    <t>XOTKtsdD-16 kN ADSS</t>
  </si>
  <si>
    <t>381/87 ACSR</t>
  </si>
  <si>
    <t>OFS</t>
  </si>
  <si>
    <t>AT-27DT-048-CLFE</t>
  </si>
  <si>
    <t>TDS14012_RO FAL4/EKS ADSS</t>
  </si>
  <si>
    <t>Prysmian</t>
  </si>
  <si>
    <t>AL3/A20SA 120/35 1x48 SMF OPGW</t>
  </si>
  <si>
    <t>450 AlFe 8</t>
  </si>
  <si>
    <t>ASLH-Z(S)b 48 SMF (30SA 40)</t>
  </si>
  <si>
    <t>ASLH-D(S)bb 1x48 SMF(AL3/A20SA 88/50)</t>
  </si>
  <si>
    <t>ASLH-D(S)bb 1x48 SMF(AL3/A20SA 120/35)</t>
  </si>
  <si>
    <t>Miskolc Nyugati alállomás - Sajóivánka (Borsodi erőmű) sodrony csere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</si>
</sst>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"/>
    <numFmt numFmtId="165" formatCode="0.000"/>
    <numFmt numFmtId="166" formatCode="0.000E+00"/>
    <numFmt numFmtId="167" formatCode="0.00000000"/>
    <numFmt numFmtId="168" formatCode="0.0000000000"/>
    <numFmt numFmtId="169" formatCode="0.00000"/>
  </numFmts>
  <fonts count="60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u/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vertAlign val="superscript"/>
      <sz val="11"/>
      <color theme="1"/>
      <name val="Arial"/>
      <family val="2"/>
      <charset val="238"/>
    </font>
    <font>
      <vertAlign val="subscript"/>
      <sz val="11"/>
      <color theme="1"/>
      <name val="Arial"/>
      <family val="2"/>
      <charset val="238"/>
    </font>
    <font>
      <sz val="14"/>
      <color theme="1"/>
      <name val="Freestyle Script"/>
      <family val="4"/>
    </font>
    <font>
      <b/>
      <i/>
      <sz val="11"/>
      <color theme="1"/>
      <name val="Arial"/>
      <family val="2"/>
      <charset val="238"/>
    </font>
    <font>
      <b/>
      <vertAlign val="subscript"/>
      <sz val="11"/>
      <color theme="1"/>
      <name val="Arial"/>
      <family val="2"/>
      <charset val="238"/>
    </font>
    <font>
      <i/>
      <sz val="11"/>
      <color theme="1"/>
      <name val="Arial"/>
      <family val="2"/>
      <charset val="238"/>
    </font>
    <font>
      <i/>
      <vertAlign val="subscript"/>
      <sz val="11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4"/>
      <color theme="1"/>
      <name val="Calibri"/>
      <family val="2"/>
      <charset val="238"/>
    </font>
    <font>
      <vertAlign val="subscript"/>
      <sz val="14"/>
      <color theme="1"/>
      <name val="Calibri"/>
      <family val="2"/>
      <charset val="238"/>
    </font>
    <font>
      <b/>
      <sz val="12"/>
      <color theme="1"/>
      <name val="Arial"/>
      <family val="2"/>
      <charset val="238"/>
    </font>
    <font>
      <b/>
      <vertAlign val="superscript"/>
      <sz val="12"/>
      <color theme="1"/>
      <name val="Arial"/>
      <family val="2"/>
      <charset val="238"/>
    </font>
    <font>
      <i/>
      <u/>
      <sz val="12"/>
      <color theme="1"/>
      <name val="Arial"/>
      <family val="2"/>
      <charset val="238"/>
    </font>
    <font>
      <i/>
      <sz val="12"/>
      <color theme="1"/>
      <name val="Arial"/>
      <family val="2"/>
      <charset val="238"/>
    </font>
    <font>
      <b/>
      <i/>
      <sz val="12"/>
      <color theme="1"/>
      <name val="Arial"/>
      <family val="2"/>
      <charset val="238"/>
    </font>
    <font>
      <sz val="11"/>
      <color theme="1"/>
      <name val="Calibri"/>
      <family val="2"/>
      <charset val="238"/>
    </font>
    <font>
      <b/>
      <sz val="12"/>
      <color theme="1"/>
      <name val="Calibri"/>
      <family val="2"/>
      <charset val="238"/>
    </font>
    <font>
      <b/>
      <vertAlign val="subscript"/>
      <sz val="12"/>
      <color theme="1"/>
      <name val="Arial"/>
      <family val="2"/>
      <charset val="238"/>
    </font>
    <font>
      <b/>
      <sz val="14"/>
      <color theme="1"/>
      <name val="Times New Roman"/>
      <family val="1"/>
      <charset val="238"/>
    </font>
    <font>
      <b/>
      <sz val="10.8"/>
      <color theme="1"/>
      <name val="Arial"/>
      <family val="2"/>
      <charset val="238"/>
    </font>
    <font>
      <b/>
      <vertAlign val="subscript"/>
      <sz val="10.8"/>
      <color theme="1"/>
      <name val="Arial"/>
      <family val="2"/>
      <charset val="238"/>
    </font>
    <font>
      <b/>
      <vertAlign val="superscript"/>
      <sz val="11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1"/>
      <color theme="1"/>
      <name val="Calibri"/>
      <family val="2"/>
      <charset val="238"/>
    </font>
    <font>
      <i/>
      <sz val="8"/>
      <color theme="1"/>
      <name val="Arial"/>
      <family val="2"/>
      <charset val="238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u/>
      <sz val="11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theme="0"/>
      <name val="Arial"/>
      <family val="2"/>
      <charset val="238"/>
    </font>
    <font>
      <vertAlign val="superscript"/>
      <sz val="10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i/>
      <sz val="18"/>
      <color theme="1"/>
      <name val="Arial"/>
      <family val="2"/>
      <charset val="238"/>
    </font>
    <font>
      <b/>
      <vertAlign val="superscript"/>
      <sz val="11"/>
      <color theme="1"/>
      <name val="Times New Roman"/>
      <family val="1"/>
      <charset val="238"/>
    </font>
    <font>
      <sz val="10"/>
      <name val="Arial"/>
      <family val="2"/>
      <charset val="238"/>
    </font>
    <font>
      <b/>
      <sz val="11"/>
      <color theme="0"/>
      <name val="Arial"/>
      <family val="2"/>
      <charset val="238"/>
    </font>
    <font>
      <sz val="12"/>
      <color theme="0"/>
      <name val="Calibri"/>
      <family val="2"/>
      <charset val="238"/>
    </font>
    <font>
      <sz val="16"/>
      <color theme="0"/>
      <name val="Calibri"/>
      <family val="2"/>
      <charset val="238"/>
    </font>
    <font>
      <vertAlign val="subscript"/>
      <sz val="10"/>
      <color theme="0"/>
      <name val="Arial"/>
      <family val="2"/>
      <charset val="238"/>
    </font>
    <font>
      <b/>
      <i/>
      <sz val="11"/>
      <color theme="0"/>
      <name val="Arial"/>
      <family val="2"/>
      <charset val="238"/>
    </font>
    <font>
      <b/>
      <i/>
      <vertAlign val="subscript"/>
      <sz val="11"/>
      <color theme="0"/>
      <name val="Arial"/>
      <family val="2"/>
      <charset val="238"/>
    </font>
    <font>
      <i/>
      <sz val="11"/>
      <color theme="0"/>
      <name val="Arial"/>
      <family val="2"/>
      <charset val="238"/>
    </font>
    <font>
      <b/>
      <sz val="11"/>
      <color theme="0"/>
      <name val="Calibri"/>
      <family val="2"/>
      <charset val="238"/>
    </font>
    <font>
      <b/>
      <vertAlign val="subscript"/>
      <sz val="11"/>
      <color theme="0"/>
      <name val="Arial"/>
      <family val="2"/>
      <charset val="238"/>
    </font>
    <font>
      <b/>
      <sz val="20"/>
      <color theme="0"/>
      <name val="Times New Roman"/>
      <family val="1"/>
      <charset val="238"/>
    </font>
    <font>
      <b/>
      <sz val="12"/>
      <color theme="0"/>
      <name val="Arial"/>
      <family val="2"/>
      <charset val="238"/>
    </font>
    <font>
      <i/>
      <sz val="12"/>
      <color theme="0"/>
      <name val="Arial"/>
      <family val="2"/>
      <charset val="238"/>
    </font>
    <font>
      <b/>
      <sz val="14"/>
      <color theme="1"/>
      <name val="Calibri"/>
      <family val="2"/>
      <charset val="238"/>
    </font>
    <font>
      <b/>
      <vertAlign val="subscript"/>
      <sz val="14"/>
      <color theme="1"/>
      <name val="Calibri"/>
      <family val="2"/>
      <charset val="238"/>
    </font>
    <font>
      <i/>
      <sz val="14"/>
      <color theme="1"/>
      <name val="Calibri"/>
      <family val="2"/>
      <charset val="238"/>
    </font>
    <font>
      <i/>
      <vertAlign val="subscript"/>
      <sz val="14"/>
      <color theme="1"/>
      <name val="Calibri"/>
      <family val="2"/>
      <charset val="238"/>
    </font>
    <font>
      <i/>
      <sz val="14"/>
      <color theme="1"/>
      <name val="Arial"/>
      <family val="2"/>
      <charset val="238"/>
    </font>
    <font>
      <i/>
      <vertAlign val="superscript"/>
      <sz val="12"/>
      <color theme="1"/>
      <name val="Arial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3399"/>
        <bgColor auto="1"/>
      </patternFill>
    </fill>
    <fill>
      <patternFill patternType="solid">
        <fgColor rgb="FF003399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81ABFF"/>
        <bgColor indexed="64"/>
      </patternFill>
    </fill>
    <fill>
      <patternFill patternType="solid">
        <fgColor theme="0" tint="-0.34998626667073579"/>
        <bgColor indexed="64"/>
      </patternFill>
    </fill>
  </fills>
  <borders count="5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39" fillId="0" borderId="0"/>
  </cellStyleXfs>
  <cellXfs count="4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9" xfId="0" applyFont="1" applyBorder="1"/>
    <xf numFmtId="0" fontId="1" fillId="0" borderId="0" xfId="0" applyFont="1" applyBorder="1"/>
    <xf numFmtId="0" fontId="1" fillId="0" borderId="6" xfId="0" applyFont="1" applyBorder="1"/>
    <xf numFmtId="0" fontId="7" fillId="2" borderId="19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11" fillId="0" borderId="8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2" fontId="14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1" fillId="0" borderId="9" xfId="0" applyFont="1" applyBorder="1" applyAlignment="1">
      <alignment horizontal="right" vertical="center"/>
    </xf>
    <xf numFmtId="0" fontId="11" fillId="0" borderId="9" xfId="0" applyFont="1" applyBorder="1" applyAlignment="1">
      <alignment vertical="center"/>
    </xf>
    <xf numFmtId="1" fontId="11" fillId="0" borderId="9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vertical="center"/>
    </xf>
    <xf numFmtId="0" fontId="11" fillId="0" borderId="6" xfId="0" applyFont="1" applyBorder="1"/>
    <xf numFmtId="0" fontId="18" fillId="0" borderId="6" xfId="0" applyFont="1" applyBorder="1"/>
    <xf numFmtId="0" fontId="14" fillId="0" borderId="9" xfId="0" applyFont="1" applyBorder="1" applyAlignment="1">
      <alignment horizontal="right"/>
    </xf>
    <xf numFmtId="0" fontId="11" fillId="0" borderId="6" xfId="0" applyFont="1" applyBorder="1" applyAlignment="1">
      <alignment horizontal="center" vertical="center"/>
    </xf>
    <xf numFmtId="1" fontId="11" fillId="0" borderId="6" xfId="0" applyNumberFormat="1" applyFont="1" applyBorder="1" applyAlignment="1">
      <alignment horizontal="right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right"/>
    </xf>
    <xf numFmtId="0" fontId="3" fillId="3" borderId="24" xfId="0" applyFont="1" applyFill="1" applyBorder="1" applyProtection="1">
      <protection locked="0"/>
    </xf>
    <xf numFmtId="0" fontId="3" fillId="3" borderId="16" xfId="0" applyFont="1" applyFill="1" applyBorder="1" applyProtection="1">
      <protection locked="0"/>
    </xf>
    <xf numFmtId="0" fontId="3" fillId="3" borderId="14" xfId="0" applyFont="1" applyFill="1" applyBorder="1" applyProtection="1">
      <protection locked="0"/>
    </xf>
    <xf numFmtId="0" fontId="3" fillId="3" borderId="14" xfId="0" applyFont="1" applyFill="1" applyBorder="1" applyAlignment="1" applyProtection="1">
      <protection locked="0"/>
    </xf>
    <xf numFmtId="2" fontId="3" fillId="3" borderId="25" xfId="0" applyNumberFormat="1" applyFont="1" applyFill="1" applyBorder="1" applyAlignment="1" applyProtection="1">
      <alignment horizontal="left"/>
      <protection locked="0"/>
    </xf>
    <xf numFmtId="2" fontId="3" fillId="3" borderId="4" xfId="0" applyNumberFormat="1" applyFont="1" applyFill="1" applyBorder="1" applyAlignment="1" applyProtection="1">
      <alignment horizontal="left"/>
      <protection locked="0"/>
    </xf>
    <xf numFmtId="2" fontId="3" fillId="3" borderId="3" xfId="0" applyNumberFormat="1" applyFont="1" applyFill="1" applyBorder="1" applyAlignment="1" applyProtection="1">
      <alignment horizontal="left"/>
      <protection locked="0"/>
    </xf>
    <xf numFmtId="0" fontId="14" fillId="0" borderId="0" xfId="0" applyFont="1" applyBorder="1" applyAlignment="1">
      <alignment vertical="center"/>
    </xf>
    <xf numFmtId="0" fontId="14" fillId="0" borderId="11" xfId="0" applyFont="1" applyBorder="1" applyAlignment="1" applyProtection="1">
      <alignment horizontal="right" vertical="center"/>
      <protection locked="0"/>
    </xf>
    <xf numFmtId="0" fontId="7" fillId="2" borderId="23" xfId="0" applyFont="1" applyFill="1" applyBorder="1" applyAlignment="1" applyProtection="1">
      <alignment horizontal="right"/>
      <protection locked="0"/>
    </xf>
    <xf numFmtId="0" fontId="7" fillId="2" borderId="17" xfId="0" applyFont="1" applyFill="1" applyBorder="1" applyAlignment="1" applyProtection="1">
      <alignment horizontal="right"/>
      <protection locked="0"/>
    </xf>
    <xf numFmtId="0" fontId="7" fillId="2" borderId="19" xfId="0" applyFont="1" applyFill="1" applyBorder="1" applyAlignment="1" applyProtection="1">
      <alignment horizontal="left"/>
      <protection locked="0"/>
    </xf>
    <xf numFmtId="0" fontId="7" fillId="2" borderId="0" xfId="0" applyFont="1" applyFill="1" applyBorder="1" applyAlignment="1" applyProtection="1">
      <alignment horizontal="left"/>
      <protection locked="0"/>
    </xf>
    <xf numFmtId="0" fontId="7" fillId="2" borderId="9" xfId="0" applyFont="1" applyFill="1" applyBorder="1" applyAlignment="1" applyProtection="1">
      <alignment horizontal="left"/>
      <protection locked="0"/>
    </xf>
    <xf numFmtId="0" fontId="18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2" borderId="25" xfId="0" applyNumberFormat="1" applyFont="1" applyFill="1" applyBorder="1" applyAlignment="1">
      <alignment horizontal="center"/>
    </xf>
    <xf numFmtId="0" fontId="16" fillId="0" borderId="6" xfId="0" applyFont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2" fontId="11" fillId="0" borderId="6" xfId="0" applyNumberFormat="1" applyFont="1" applyBorder="1" applyAlignment="1">
      <alignment horizontal="left"/>
    </xf>
    <xf numFmtId="2" fontId="11" fillId="0" borderId="0" xfId="0" applyNumberFormat="1" applyFont="1" applyBorder="1" applyAlignment="1">
      <alignment horizontal="left"/>
    </xf>
    <xf numFmtId="0" fontId="14" fillId="0" borderId="11" xfId="0" applyFont="1" applyBorder="1" applyAlignment="1" applyProtection="1">
      <alignment horizontal="center" vertical="center"/>
      <protection locked="0"/>
    </xf>
    <xf numFmtId="0" fontId="17" fillId="0" borderId="42" xfId="0" applyFont="1" applyBorder="1" applyAlignment="1">
      <alignment horizontal="center" vertical="center"/>
    </xf>
    <xf numFmtId="2" fontId="11" fillId="0" borderId="43" xfId="0" applyNumberFormat="1" applyFont="1" applyBorder="1" applyAlignment="1">
      <alignment horizontal="left"/>
    </xf>
    <xf numFmtId="2" fontId="11" fillId="0" borderId="44" xfId="0" applyNumberFormat="1" applyFont="1" applyBorder="1" applyAlignment="1">
      <alignment horizontal="left"/>
    </xf>
    <xf numFmtId="2" fontId="14" fillId="0" borderId="11" xfId="0" applyNumberFormat="1" applyFont="1" applyBorder="1" applyAlignment="1">
      <alignment vertical="center"/>
    </xf>
    <xf numFmtId="0" fontId="14" fillId="0" borderId="11" xfId="0" applyFont="1" applyBorder="1" applyAlignment="1">
      <alignment horizontal="left" vertical="center"/>
    </xf>
    <xf numFmtId="0" fontId="14" fillId="0" borderId="17" xfId="0" applyFont="1" applyBorder="1" applyAlignment="1" applyProtection="1">
      <alignment horizontal="left" vertical="center"/>
      <protection locked="0"/>
    </xf>
    <xf numFmtId="0" fontId="14" fillId="0" borderId="2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8" xfId="0" applyNumberFormat="1" applyFont="1" applyBorder="1" applyAlignment="1">
      <alignment horizontal="center"/>
    </xf>
    <xf numFmtId="0" fontId="11" fillId="0" borderId="1" xfId="0" applyNumberFormat="1" applyFont="1" applyBorder="1" applyAlignment="1">
      <alignment horizontal="center"/>
    </xf>
    <xf numFmtId="164" fontId="11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4" fillId="0" borderId="47" xfId="0" applyFont="1" applyBorder="1" applyAlignment="1">
      <alignment horizontal="right" vertical="center"/>
    </xf>
    <xf numFmtId="0" fontId="11" fillId="0" borderId="31" xfId="0" applyFont="1" applyBorder="1" applyAlignment="1">
      <alignment horizontal="right" vertical="center"/>
    </xf>
    <xf numFmtId="2" fontId="3" fillId="3" borderId="7" xfId="0" applyNumberFormat="1" applyFont="1" applyFill="1" applyBorder="1" applyAlignment="1" applyProtection="1">
      <alignment horizontal="right" vertical="center"/>
      <protection locked="0"/>
    </xf>
    <xf numFmtId="2" fontId="3" fillId="3" borderId="4" xfId="0" applyNumberFormat="1" applyFont="1" applyFill="1" applyBorder="1" applyAlignment="1" applyProtection="1">
      <alignment horizontal="right" vertical="center"/>
      <protection locked="0"/>
    </xf>
    <xf numFmtId="2" fontId="3" fillId="3" borderId="3" xfId="0" applyNumberFormat="1" applyFont="1" applyFill="1" applyBorder="1" applyAlignment="1" applyProtection="1">
      <alignment horizontal="right" vertical="center"/>
      <protection locked="0"/>
    </xf>
    <xf numFmtId="1" fontId="11" fillId="0" borderId="5" xfId="0" applyNumberFormat="1" applyFont="1" applyBorder="1" applyAlignment="1">
      <alignment horizontal="right"/>
    </xf>
    <xf numFmtId="1" fontId="11" fillId="0" borderId="17" xfId="0" applyNumberFormat="1" applyFont="1" applyBorder="1" applyAlignment="1">
      <alignment horizontal="right"/>
    </xf>
    <xf numFmtId="0" fontId="1" fillId="3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31" fillId="6" borderId="10" xfId="0" applyFont="1" applyFill="1" applyBorder="1" applyAlignment="1">
      <alignment vertical="center"/>
    </xf>
    <xf numFmtId="0" fontId="31" fillId="6" borderId="11" xfId="0" applyFont="1" applyFill="1" applyBorder="1" applyAlignment="1">
      <alignment vertical="center"/>
    </xf>
    <xf numFmtId="0" fontId="2" fillId="5" borderId="11" xfId="0" applyFont="1" applyFill="1" applyBorder="1" applyAlignment="1">
      <alignment vertical="top"/>
    </xf>
    <xf numFmtId="0" fontId="31" fillId="5" borderId="10" xfId="0" applyFont="1" applyFill="1" applyBorder="1" applyAlignment="1">
      <alignment vertical="top"/>
    </xf>
    <xf numFmtId="0" fontId="31" fillId="5" borderId="11" xfId="0" applyFont="1" applyFill="1" applyBorder="1" applyAlignment="1">
      <alignment vertical="top"/>
    </xf>
    <xf numFmtId="0" fontId="33" fillId="6" borderId="11" xfId="0" applyFont="1" applyFill="1" applyBorder="1" applyAlignment="1" applyProtection="1">
      <alignment vertical="center" wrapText="1"/>
      <protection locked="0"/>
    </xf>
    <xf numFmtId="0" fontId="1" fillId="6" borderId="11" xfId="0" applyFont="1" applyFill="1" applyBorder="1"/>
    <xf numFmtId="0" fontId="1" fillId="8" borderId="7" xfId="0" applyFont="1" applyFill="1" applyBorder="1" applyAlignment="1"/>
    <xf numFmtId="0" fontId="1" fillId="8" borderId="4" xfId="0" applyFont="1" applyFill="1" applyBorder="1"/>
    <xf numFmtId="0" fontId="1" fillId="8" borderId="17" xfId="0" applyFont="1" applyFill="1" applyBorder="1"/>
    <xf numFmtId="0" fontId="12" fillId="8" borderId="17" xfId="0" applyFont="1" applyFill="1" applyBorder="1" applyAlignment="1">
      <alignment vertical="center"/>
    </xf>
    <xf numFmtId="0" fontId="1" fillId="8" borderId="6" xfId="0" applyFont="1" applyFill="1" applyBorder="1" applyAlignment="1">
      <alignment horizontal="right"/>
    </xf>
    <xf numFmtId="0" fontId="1" fillId="8" borderId="1" xfId="0" applyFont="1" applyFill="1" applyBorder="1"/>
    <xf numFmtId="164" fontId="1" fillId="8" borderId="0" xfId="0" applyNumberFormat="1" applyFont="1" applyFill="1" applyBorder="1" applyAlignment="1">
      <alignment horizontal="right" vertical="center"/>
    </xf>
    <xf numFmtId="0" fontId="1" fillId="8" borderId="1" xfId="0" applyFont="1" applyFill="1" applyBorder="1" applyAlignment="1">
      <alignment vertical="center"/>
    </xf>
    <xf numFmtId="164" fontId="1" fillId="8" borderId="9" xfId="0" applyNumberFormat="1" applyFont="1" applyFill="1" applyBorder="1" applyAlignment="1">
      <alignment horizontal="right" vertical="center"/>
    </xf>
    <xf numFmtId="0" fontId="1" fillId="8" borderId="7" xfId="0" applyFont="1" applyFill="1" applyBorder="1"/>
    <xf numFmtId="0" fontId="1" fillId="8" borderId="17" xfId="0" applyFont="1" applyFill="1" applyBorder="1" applyAlignment="1">
      <alignment horizontal="right"/>
    </xf>
    <xf numFmtId="0" fontId="1" fillId="8" borderId="2" xfId="0" applyFont="1" applyFill="1" applyBorder="1"/>
    <xf numFmtId="0" fontId="1" fillId="8" borderId="9" xfId="0" applyFont="1" applyFill="1" applyBorder="1"/>
    <xf numFmtId="0" fontId="1" fillId="8" borderId="18" xfId="0" applyFont="1" applyFill="1" applyBorder="1"/>
    <xf numFmtId="0" fontId="1" fillId="8" borderId="17" xfId="0" applyFont="1" applyFill="1" applyBorder="1" applyAlignment="1">
      <alignment horizontal="center"/>
    </xf>
    <xf numFmtId="0" fontId="1" fillId="8" borderId="0" xfId="0" applyFont="1" applyFill="1" applyBorder="1"/>
    <xf numFmtId="0" fontId="31" fillId="8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/>
    </xf>
    <xf numFmtId="0" fontId="31" fillId="8" borderId="17" xfId="0" applyFont="1" applyFill="1" applyBorder="1" applyAlignment="1">
      <alignment horizontal="center" vertical="center"/>
    </xf>
    <xf numFmtId="0" fontId="31" fillId="8" borderId="1" xfId="0" applyFont="1" applyFill="1" applyBorder="1" applyAlignment="1">
      <alignment horizontal="center" vertical="center"/>
    </xf>
    <xf numFmtId="2" fontId="3" fillId="8" borderId="3" xfId="0" applyNumberFormat="1" applyFont="1" applyFill="1" applyBorder="1" applyAlignment="1">
      <alignment horizontal="center" vertical="center"/>
    </xf>
    <xf numFmtId="2" fontId="3" fillId="3" borderId="35" xfId="0" applyNumberFormat="1" applyFont="1" applyFill="1" applyBorder="1" applyAlignment="1" applyProtection="1">
      <alignment horizontal="center"/>
      <protection locked="0"/>
    </xf>
    <xf numFmtId="0" fontId="31" fillId="5" borderId="10" xfId="0" applyFont="1" applyFill="1" applyBorder="1" applyAlignment="1">
      <alignment horizontal="left" vertical="center"/>
    </xf>
    <xf numFmtId="0" fontId="31" fillId="5" borderId="11" xfId="0" applyFont="1" applyFill="1" applyBorder="1" applyAlignment="1">
      <alignment horizontal="center" vertical="center"/>
    </xf>
    <xf numFmtId="0" fontId="31" fillId="5" borderId="12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/>
    </xf>
    <xf numFmtId="0" fontId="1" fillId="8" borderId="5" xfId="0" applyFont="1" applyFill="1" applyBorder="1" applyAlignment="1"/>
    <xf numFmtId="0" fontId="1" fillId="8" borderId="0" xfId="0" applyFont="1" applyFill="1"/>
    <xf numFmtId="0" fontId="1" fillId="8" borderId="1" xfId="0" applyFont="1" applyFill="1" applyBorder="1" applyAlignment="1"/>
    <xf numFmtId="0" fontId="1" fillId="8" borderId="8" xfId="0" applyFont="1" applyFill="1" applyBorder="1" applyAlignment="1"/>
    <xf numFmtId="0" fontId="1" fillId="8" borderId="0" xfId="0" applyFont="1" applyFill="1" applyAlignment="1">
      <alignment horizontal="center"/>
    </xf>
    <xf numFmtId="0" fontId="3" fillId="8" borderId="7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165" fontId="1" fillId="2" borderId="25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2" fontId="1" fillId="8" borderId="9" xfId="0" applyNumberFormat="1" applyFont="1" applyFill="1" applyBorder="1"/>
    <xf numFmtId="0" fontId="32" fillId="8" borderId="18" xfId="0" applyFont="1" applyFill="1" applyBorder="1" applyAlignment="1">
      <alignment vertical="center"/>
    </xf>
    <xf numFmtId="2" fontId="1" fillId="8" borderId="9" xfId="0" applyNumberFormat="1" applyFont="1" applyFill="1" applyBorder="1" applyAlignment="1">
      <alignment vertical="center"/>
    </xf>
    <xf numFmtId="0" fontId="1" fillId="8" borderId="17" xfId="0" applyFont="1" applyFill="1" applyBorder="1" applyAlignment="1">
      <alignment vertical="center"/>
    </xf>
    <xf numFmtId="165" fontId="1" fillId="8" borderId="0" xfId="0" applyNumberFormat="1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1" fillId="8" borderId="6" xfId="0" applyFont="1" applyFill="1" applyBorder="1" applyAlignment="1">
      <alignment vertical="center"/>
    </xf>
    <xf numFmtId="0" fontId="1" fillId="8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 applyProtection="1">
      <alignment horizontal="right"/>
      <protection locked="0"/>
    </xf>
    <xf numFmtId="0" fontId="1" fillId="6" borderId="11" xfId="0" applyFont="1" applyFill="1" applyBorder="1" applyAlignment="1">
      <alignment horizontal="right" vertical="center"/>
    </xf>
    <xf numFmtId="0" fontId="1" fillId="6" borderId="12" xfId="0" applyFont="1" applyFill="1" applyBorder="1" applyAlignment="1">
      <alignment horizontal="center" vertical="center"/>
    </xf>
    <xf numFmtId="0" fontId="31" fillId="6" borderId="10" xfId="0" applyFont="1" applyFill="1" applyBorder="1" applyAlignment="1">
      <alignment vertical="top"/>
    </xf>
    <xf numFmtId="0" fontId="31" fillId="6" borderId="11" xfId="0" applyFont="1" applyFill="1" applyBorder="1" applyAlignment="1">
      <alignment vertical="top"/>
    </xf>
    <xf numFmtId="0" fontId="1" fillId="9" borderId="0" xfId="0" applyFont="1" applyFill="1"/>
    <xf numFmtId="0" fontId="1" fillId="9" borderId="0" xfId="0" applyFont="1" applyFill="1" applyAlignment="1">
      <alignment horizontal="right" vertical="center"/>
    </xf>
    <xf numFmtId="0" fontId="1" fillId="9" borderId="0" xfId="0" applyFont="1" applyFill="1" applyAlignment="1">
      <alignment horizontal="center" vertical="center"/>
    </xf>
    <xf numFmtId="0" fontId="1" fillId="9" borderId="5" xfId="0" applyFont="1" applyFill="1" applyBorder="1"/>
    <xf numFmtId="0" fontId="1" fillId="9" borderId="6" xfId="0" applyFont="1" applyFill="1" applyBorder="1"/>
    <xf numFmtId="0" fontId="1" fillId="9" borderId="6" xfId="0" applyFont="1" applyFill="1" applyBorder="1" applyAlignment="1">
      <alignment horizontal="right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17" xfId="0" applyFont="1" applyFill="1" applyBorder="1"/>
    <xf numFmtId="0" fontId="1" fillId="9" borderId="0" xfId="0" applyFont="1" applyFill="1" applyBorder="1"/>
    <xf numFmtId="0" fontId="1" fillId="9" borderId="2" xfId="0" applyFont="1" applyFill="1" applyBorder="1"/>
    <xf numFmtId="0" fontId="1" fillId="9" borderId="9" xfId="0" applyFont="1" applyFill="1" applyBorder="1"/>
    <xf numFmtId="0" fontId="1" fillId="9" borderId="9" xfId="0" applyFont="1" applyFill="1" applyBorder="1" applyAlignment="1">
      <alignment horizontal="right" vertical="center"/>
    </xf>
    <xf numFmtId="0" fontId="1" fillId="9" borderId="1" xfId="0" applyFont="1" applyFill="1" applyBorder="1"/>
    <xf numFmtId="0" fontId="1" fillId="9" borderId="0" xfId="0" applyFont="1" applyFill="1" applyAlignment="1">
      <alignment horizontal="center"/>
    </xf>
    <xf numFmtId="0" fontId="1" fillId="9" borderId="0" xfId="0" applyFont="1" applyFill="1" applyBorder="1" applyAlignment="1" applyProtection="1">
      <alignment vertical="center"/>
      <protection locked="0"/>
    </xf>
    <xf numFmtId="0" fontId="28" fillId="9" borderId="5" xfId="0" applyFont="1" applyFill="1" applyBorder="1" applyAlignment="1">
      <alignment horizontal="left" vertical="top"/>
    </xf>
    <xf numFmtId="0" fontId="1" fillId="3" borderId="6" xfId="0" applyFont="1" applyFill="1" applyBorder="1"/>
    <xf numFmtId="0" fontId="1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vertical="top"/>
    </xf>
    <xf numFmtId="0" fontId="1" fillId="0" borderId="6" xfId="0" applyFont="1" applyFill="1" applyBorder="1" applyAlignment="1">
      <alignment horizontal="center"/>
    </xf>
    <xf numFmtId="0" fontId="1" fillId="9" borderId="8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9" borderId="1" xfId="0" applyFont="1" applyFill="1" applyBorder="1" applyAlignment="1" applyProtection="1">
      <alignment vertical="center"/>
      <protection locked="0"/>
    </xf>
    <xf numFmtId="0" fontId="1" fillId="9" borderId="4" xfId="0" applyFont="1" applyFill="1" applyBorder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1" fontId="1" fillId="3" borderId="0" xfId="0" applyNumberFormat="1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1" fontId="1" fillId="4" borderId="0" xfId="0" applyNumberFormat="1" applyFont="1" applyFill="1" applyBorder="1" applyAlignment="1">
      <alignment horizontal="center"/>
    </xf>
    <xf numFmtId="2" fontId="1" fillId="4" borderId="0" xfId="0" applyNumberFormat="1" applyFont="1" applyFill="1" applyBorder="1" applyAlignment="1">
      <alignment horizontal="center"/>
    </xf>
    <xf numFmtId="165" fontId="1" fillId="4" borderId="0" xfId="0" applyNumberFormat="1" applyFont="1" applyFill="1" applyBorder="1" applyAlignment="1">
      <alignment horizontal="center"/>
    </xf>
    <xf numFmtId="0" fontId="1" fillId="9" borderId="17" xfId="0" applyFont="1" applyFill="1" applyBorder="1" applyAlignment="1"/>
    <xf numFmtId="0" fontId="1" fillId="9" borderId="1" xfId="0" applyFont="1" applyFill="1" applyBorder="1" applyAlignment="1"/>
    <xf numFmtId="0" fontId="1" fillId="9" borderId="9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/>
    </xf>
    <xf numFmtId="0" fontId="1" fillId="9" borderId="18" xfId="0" applyFont="1" applyFill="1" applyBorder="1"/>
    <xf numFmtId="0" fontId="31" fillId="5" borderId="11" xfId="0" applyFont="1" applyFill="1" applyBorder="1" applyAlignment="1">
      <alignment horizontal="left" vertical="center"/>
    </xf>
    <xf numFmtId="0" fontId="31" fillId="5" borderId="12" xfId="0" applyFont="1" applyFill="1" applyBorder="1" applyAlignment="1">
      <alignment horizontal="left" vertical="center"/>
    </xf>
    <xf numFmtId="0" fontId="37" fillId="0" borderId="0" xfId="0" applyFont="1" applyAlignment="1">
      <alignment vertical="center"/>
    </xf>
    <xf numFmtId="0" fontId="29" fillId="2" borderId="49" xfId="0" applyFont="1" applyFill="1" applyBorder="1"/>
    <xf numFmtId="0" fontId="29" fillId="2" borderId="43" xfId="0" applyFont="1" applyFill="1" applyBorder="1" applyAlignment="1">
      <alignment horizontal="center"/>
    </xf>
    <xf numFmtId="0" fontId="29" fillId="2" borderId="51" xfId="0" applyFont="1" applyFill="1" applyBorder="1" applyAlignment="1">
      <alignment horizontal="center"/>
    </xf>
    <xf numFmtId="0" fontId="30" fillId="0" borderId="0" xfId="0" applyFont="1"/>
    <xf numFmtId="0" fontId="29" fillId="2" borderId="52" xfId="0" applyFont="1" applyFill="1" applyBorder="1"/>
    <xf numFmtId="0" fontId="29" fillId="2" borderId="53" xfId="0" applyFont="1" applyFill="1" applyBorder="1" applyAlignment="1">
      <alignment horizontal="center"/>
    </xf>
    <xf numFmtId="0" fontId="29" fillId="2" borderId="54" xfId="0" applyFont="1" applyFill="1" applyBorder="1" applyAlignment="1">
      <alignment horizontal="center"/>
    </xf>
    <xf numFmtId="0" fontId="30" fillId="0" borderId="55" xfId="0" applyFont="1" applyBorder="1"/>
    <xf numFmtId="0" fontId="30" fillId="0" borderId="44" xfId="0" applyFont="1" applyBorder="1"/>
    <xf numFmtId="0" fontId="30" fillId="2" borderId="5" xfId="0" applyFont="1" applyFill="1" applyBorder="1"/>
    <xf numFmtId="0" fontId="30" fillId="2" borderId="6" xfId="0" applyFont="1" applyFill="1" applyBorder="1"/>
    <xf numFmtId="0" fontId="30" fillId="0" borderId="2" xfId="0" applyFont="1" applyBorder="1"/>
    <xf numFmtId="0" fontId="30" fillId="0" borderId="9" xfId="0" applyFont="1" applyBorder="1"/>
    <xf numFmtId="0" fontId="30" fillId="0" borderId="18" xfId="0" applyFont="1" applyBorder="1"/>
    <xf numFmtId="2" fontId="3" fillId="3" borderId="7" xfId="0" applyNumberFormat="1" applyFont="1" applyFill="1" applyBorder="1" applyAlignment="1" applyProtection="1">
      <alignment horizontal="right"/>
    </xf>
    <xf numFmtId="2" fontId="3" fillId="3" borderId="13" xfId="0" applyNumberFormat="1" applyFont="1" applyFill="1" applyBorder="1" applyAlignment="1" applyProtection="1">
      <alignment horizontal="right"/>
    </xf>
    <xf numFmtId="0" fontId="3" fillId="3" borderId="13" xfId="0" applyFont="1" applyFill="1" applyBorder="1" applyAlignment="1" applyProtection="1">
      <alignment horizontal="right"/>
    </xf>
    <xf numFmtId="11" fontId="3" fillId="3" borderId="13" xfId="0" applyNumberFormat="1" applyFont="1" applyFill="1" applyBorder="1" applyAlignment="1" applyProtection="1">
      <alignment horizontal="right"/>
    </xf>
    <xf numFmtId="0" fontId="3" fillId="9" borderId="0" xfId="0" applyFont="1" applyFill="1" applyAlignment="1">
      <alignment vertical="center"/>
    </xf>
    <xf numFmtId="0" fontId="14" fillId="9" borderId="9" xfId="0" applyFont="1" applyFill="1" applyBorder="1" applyAlignment="1">
      <alignment horizontal="right"/>
    </xf>
    <xf numFmtId="164" fontId="14" fillId="9" borderId="11" xfId="0" applyNumberFormat="1" applyFont="1" applyFill="1" applyBorder="1"/>
    <xf numFmtId="0" fontId="1" fillId="9" borderId="18" xfId="0" applyFont="1" applyFill="1" applyBorder="1" applyAlignment="1">
      <alignment vertical="center"/>
    </xf>
    <xf numFmtId="0" fontId="14" fillId="9" borderId="9" xfId="0" applyFont="1" applyFill="1" applyBorder="1" applyAlignment="1">
      <alignment horizontal="right" vertical="center"/>
    </xf>
    <xf numFmtId="0" fontId="11" fillId="9" borderId="18" xfId="0" applyFont="1" applyFill="1" applyBorder="1" applyAlignment="1">
      <alignment vertical="center"/>
    </xf>
    <xf numFmtId="0" fontId="1" fillId="9" borderId="17" xfId="0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19" fillId="9" borderId="27" xfId="0" applyFont="1" applyFill="1" applyBorder="1" applyAlignment="1">
      <alignment vertical="center"/>
    </xf>
    <xf numFmtId="0" fontId="1" fillId="9" borderId="0" xfId="0" applyFont="1" applyFill="1" applyAlignment="1">
      <alignment vertical="center"/>
    </xf>
    <xf numFmtId="11" fontId="1" fillId="9" borderId="0" xfId="0" applyNumberFormat="1" applyFont="1" applyFill="1" applyAlignment="1">
      <alignment horizontal="center"/>
    </xf>
    <xf numFmtId="166" fontId="1" fillId="9" borderId="0" xfId="0" applyNumberFormat="1" applyFont="1" applyFill="1" applyAlignment="1">
      <alignment horizontal="center"/>
    </xf>
    <xf numFmtId="2" fontId="1" fillId="9" borderId="1" xfId="0" applyNumberFormat="1" applyFont="1" applyFill="1" applyBorder="1" applyAlignment="1">
      <alignment horizontal="left"/>
    </xf>
    <xf numFmtId="2" fontId="1" fillId="9" borderId="19" xfId="0" applyNumberFormat="1" applyFont="1" applyFill="1" applyBorder="1" applyAlignment="1">
      <alignment horizontal="left"/>
    </xf>
    <xf numFmtId="0" fontId="1" fillId="9" borderId="19" xfId="0" applyFont="1" applyFill="1" applyBorder="1" applyAlignment="1">
      <alignment horizontal="left"/>
    </xf>
    <xf numFmtId="11" fontId="1" fillId="9" borderId="34" xfId="0" applyNumberFormat="1" applyFont="1" applyFill="1" applyBorder="1" applyAlignment="1">
      <alignment horizontal="left"/>
    </xf>
    <xf numFmtId="2" fontId="1" fillId="9" borderId="34" xfId="0" applyNumberFormat="1" applyFont="1" applyFill="1" applyBorder="1" applyAlignment="1">
      <alignment horizontal="left"/>
    </xf>
    <xf numFmtId="2" fontId="1" fillId="9" borderId="0" xfId="0" applyNumberFormat="1" applyFont="1" applyFill="1" applyBorder="1" applyAlignment="1">
      <alignment horizontal="left"/>
    </xf>
    <xf numFmtId="0" fontId="1" fillId="9" borderId="0" xfId="0" applyFont="1" applyFill="1" applyBorder="1" applyAlignment="1">
      <alignment horizontal="left"/>
    </xf>
    <xf numFmtId="11" fontId="1" fillId="9" borderId="1" xfId="0" applyNumberFormat="1" applyFont="1" applyFill="1" applyBorder="1" applyAlignment="1">
      <alignment horizontal="left"/>
    </xf>
    <xf numFmtId="2" fontId="1" fillId="9" borderId="18" xfId="0" applyNumberFormat="1" applyFont="1" applyFill="1" applyBorder="1" applyAlignment="1">
      <alignment horizontal="left"/>
    </xf>
    <xf numFmtId="11" fontId="1" fillId="9" borderId="2" xfId="0" applyNumberFormat="1" applyFont="1" applyFill="1" applyBorder="1" applyAlignment="1">
      <alignment horizontal="center"/>
    </xf>
    <xf numFmtId="166" fontId="1" fillId="9" borderId="18" xfId="0" applyNumberFormat="1" applyFont="1" applyFill="1" applyBorder="1" applyAlignment="1">
      <alignment horizontal="center"/>
    </xf>
    <xf numFmtId="2" fontId="1" fillId="9" borderId="9" xfId="0" applyNumberFormat="1" applyFont="1" applyFill="1" applyBorder="1" applyAlignment="1">
      <alignment horizontal="left"/>
    </xf>
    <xf numFmtId="0" fontId="1" fillId="9" borderId="9" xfId="0" applyFont="1" applyFill="1" applyBorder="1" applyAlignment="1">
      <alignment horizontal="left"/>
    </xf>
    <xf numFmtId="11" fontId="1" fillId="9" borderId="18" xfId="0" applyNumberFormat="1" applyFont="1" applyFill="1" applyBorder="1" applyAlignment="1">
      <alignment horizontal="left"/>
    </xf>
    <xf numFmtId="0" fontId="33" fillId="7" borderId="5" xfId="0" applyFont="1" applyFill="1" applyBorder="1" applyAlignment="1">
      <alignment horizontal="center" vertical="center"/>
    </xf>
    <xf numFmtId="0" fontId="33" fillId="7" borderId="28" xfId="0" applyFont="1" applyFill="1" applyBorder="1" applyAlignment="1">
      <alignment horizontal="center" vertical="center"/>
    </xf>
    <xf numFmtId="0" fontId="33" fillId="7" borderId="20" xfId="0" applyFont="1" applyFill="1" applyBorder="1" applyAlignment="1">
      <alignment horizontal="center" vertical="center"/>
    </xf>
    <xf numFmtId="0" fontId="33" fillId="7" borderId="20" xfId="0" applyFont="1" applyFill="1" applyBorder="1" applyAlignment="1">
      <alignment vertical="center"/>
    </xf>
    <xf numFmtId="0" fontId="41" fillId="7" borderId="20" xfId="0" applyFont="1" applyFill="1" applyBorder="1" applyAlignment="1">
      <alignment horizontal="center" vertical="center"/>
    </xf>
    <xf numFmtId="0" fontId="44" fillId="7" borderId="5" xfId="0" applyFont="1" applyFill="1" applyBorder="1"/>
    <xf numFmtId="0" fontId="33" fillId="7" borderId="21" xfId="0" applyFont="1" applyFill="1" applyBorder="1" applyAlignment="1">
      <alignment vertical="center"/>
    </xf>
    <xf numFmtId="0" fontId="40" fillId="7" borderId="20" xfId="0" applyFont="1" applyFill="1" applyBorder="1" applyAlignment="1">
      <alignment vertical="center"/>
    </xf>
    <xf numFmtId="49" fontId="46" fillId="7" borderId="21" xfId="0" applyNumberFormat="1" applyFont="1" applyFill="1" applyBorder="1" applyAlignment="1">
      <alignment vertical="center"/>
    </xf>
    <xf numFmtId="0" fontId="1" fillId="7" borderId="48" xfId="0" applyFont="1" applyFill="1" applyBorder="1"/>
    <xf numFmtId="0" fontId="1" fillId="7" borderId="48" xfId="0" applyFont="1" applyFill="1" applyBorder="1" applyAlignment="1">
      <alignment vertical="center"/>
    </xf>
    <xf numFmtId="0" fontId="14" fillId="0" borderId="35" xfId="0" applyFont="1" applyFill="1" applyBorder="1" applyAlignment="1" applyProtection="1">
      <alignment vertical="center"/>
      <protection locked="0"/>
    </xf>
    <xf numFmtId="0" fontId="14" fillId="0" borderId="35" xfId="0" applyFont="1" applyFill="1" applyBorder="1" applyAlignment="1" applyProtection="1">
      <alignment horizontal="center" vertical="center"/>
      <protection locked="0"/>
    </xf>
    <xf numFmtId="2" fontId="1" fillId="8" borderId="0" xfId="0" applyNumberFormat="1" applyFont="1" applyFill="1" applyBorder="1"/>
    <xf numFmtId="0" fontId="9" fillId="8" borderId="17" xfId="0" applyFont="1" applyFill="1" applyBorder="1"/>
    <xf numFmtId="165" fontId="9" fillId="8" borderId="0" xfId="0" applyNumberFormat="1" applyFont="1" applyFill="1" applyBorder="1"/>
    <xf numFmtId="2" fontId="9" fillId="8" borderId="0" xfId="0" applyNumberFormat="1" applyFont="1" applyFill="1" applyBorder="1"/>
    <xf numFmtId="0" fontId="3" fillId="8" borderId="7" xfId="0" applyFont="1" applyFill="1" applyBorder="1" applyAlignment="1">
      <alignment horizontal="center"/>
    </xf>
    <xf numFmtId="165" fontId="3" fillId="8" borderId="17" xfId="0" applyNumberFormat="1" applyFont="1" applyFill="1" applyBorder="1" applyAlignment="1">
      <alignment horizontal="right"/>
    </xf>
    <xf numFmtId="0" fontId="3" fillId="8" borderId="4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165" fontId="3" fillId="8" borderId="2" xfId="0" applyNumberFormat="1" applyFont="1" applyFill="1" applyBorder="1" applyAlignment="1">
      <alignment horizontal="right"/>
    </xf>
    <xf numFmtId="0" fontId="3" fillId="8" borderId="17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left"/>
    </xf>
    <xf numFmtId="2" fontId="1" fillId="8" borderId="1" xfId="0" applyNumberFormat="1" applyFont="1" applyFill="1" applyBorder="1" applyAlignment="1">
      <alignment horizontal="left"/>
    </xf>
    <xf numFmtId="1" fontId="3" fillId="8" borderId="17" xfId="0" applyNumberFormat="1" applyFont="1" applyFill="1" applyBorder="1" applyAlignment="1">
      <alignment horizontal="center"/>
    </xf>
    <xf numFmtId="0" fontId="3" fillId="8" borderId="2" xfId="0" applyFont="1" applyFill="1" applyBorder="1" applyAlignment="1">
      <alignment horizontal="right"/>
    </xf>
    <xf numFmtId="0" fontId="3" fillId="8" borderId="9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left"/>
    </xf>
    <xf numFmtId="2" fontId="1" fillId="8" borderId="18" xfId="0" applyNumberFormat="1" applyFont="1" applyFill="1" applyBorder="1" applyAlignment="1">
      <alignment horizontal="left"/>
    </xf>
    <xf numFmtId="0" fontId="3" fillId="0" borderId="7" xfId="0" applyFont="1" applyFill="1" applyBorder="1" applyProtection="1">
      <protection locked="0"/>
    </xf>
    <xf numFmtId="0" fontId="3" fillId="0" borderId="13" xfId="0" applyFont="1" applyFill="1" applyBorder="1" applyProtection="1">
      <protection locked="0"/>
    </xf>
    <xf numFmtId="0" fontId="3" fillId="0" borderId="14" xfId="0" applyFont="1" applyFill="1" applyBorder="1" applyProtection="1">
      <protection locked="0"/>
    </xf>
    <xf numFmtId="0" fontId="11" fillId="9" borderId="17" xfId="0" applyFont="1" applyFill="1" applyBorder="1" applyAlignment="1">
      <alignment horizontal="left" vertical="top"/>
    </xf>
    <xf numFmtId="0" fontId="11" fillId="9" borderId="0" xfId="0" applyFont="1" applyFill="1" applyBorder="1"/>
    <xf numFmtId="0" fontId="11" fillId="9" borderId="17" xfId="0" applyFont="1" applyFill="1" applyBorder="1"/>
    <xf numFmtId="0" fontId="14" fillId="9" borderId="0" xfId="0" applyFont="1" applyFill="1" applyBorder="1"/>
    <xf numFmtId="0" fontId="14" fillId="9" borderId="0" xfId="0" applyFont="1" applyFill="1" applyBorder="1" applyAlignment="1">
      <alignment horizontal="right"/>
    </xf>
    <xf numFmtId="0" fontId="14" fillId="9" borderId="0" xfId="0" applyFont="1" applyFill="1" applyBorder="1" applyAlignment="1">
      <alignment horizontal="center"/>
    </xf>
    <xf numFmtId="0" fontId="14" fillId="9" borderId="0" xfId="0" applyFont="1" applyFill="1" applyBorder="1" applyAlignment="1">
      <alignment horizontal="left"/>
    </xf>
    <xf numFmtId="0" fontId="14" fillId="9" borderId="0" xfId="0" applyFont="1" applyFill="1" applyAlignment="1"/>
    <xf numFmtId="0" fontId="14" fillId="0" borderId="35" xfId="0" applyFont="1" applyFill="1" applyBorder="1" applyProtection="1">
      <protection locked="0"/>
    </xf>
    <xf numFmtId="0" fontId="33" fillId="7" borderId="36" xfId="0" applyFont="1" applyFill="1" applyBorder="1"/>
    <xf numFmtId="0" fontId="51" fillId="7" borderId="29" xfId="0" applyFont="1" applyFill="1" applyBorder="1" applyAlignment="1">
      <alignment horizontal="left"/>
    </xf>
    <xf numFmtId="0" fontId="40" fillId="7" borderId="15" xfId="0" applyFont="1" applyFill="1" applyBorder="1" applyAlignment="1">
      <alignment horizontal="center"/>
    </xf>
    <xf numFmtId="0" fontId="51" fillId="7" borderId="39" xfId="0" applyFont="1" applyFill="1" applyBorder="1" applyAlignment="1">
      <alignment horizontal="center"/>
    </xf>
    <xf numFmtId="0" fontId="33" fillId="7" borderId="20" xfId="0" applyFont="1" applyFill="1" applyBorder="1"/>
    <xf numFmtId="0" fontId="51" fillId="7" borderId="22" xfId="0" applyFont="1" applyFill="1" applyBorder="1" applyAlignment="1">
      <alignment horizontal="left"/>
    </xf>
    <xf numFmtId="0" fontId="44" fillId="7" borderId="22" xfId="0" applyFont="1" applyFill="1" applyBorder="1" applyAlignment="1">
      <alignment horizontal="center"/>
    </xf>
    <xf numFmtId="0" fontId="14" fillId="8" borderId="10" xfId="0" applyFont="1" applyFill="1" applyBorder="1" applyAlignment="1">
      <alignment horizontal="center" vertical="center"/>
    </xf>
    <xf numFmtId="164" fontId="22" fillId="8" borderId="11" xfId="0" applyNumberFormat="1" applyFont="1" applyFill="1" applyBorder="1" applyAlignment="1">
      <alignment horizontal="right" vertical="center"/>
    </xf>
    <xf numFmtId="0" fontId="22" fillId="8" borderId="12" xfId="0" applyFont="1" applyFill="1" applyBorder="1" applyAlignment="1">
      <alignment vertical="center"/>
    </xf>
    <xf numFmtId="0" fontId="1" fillId="8" borderId="0" xfId="0" applyFont="1" applyFill="1" applyAlignment="1">
      <alignment horizontal="right"/>
    </xf>
    <xf numFmtId="0" fontId="1" fillId="8" borderId="31" xfId="0" applyFont="1" applyFill="1" applyBorder="1" applyAlignment="1">
      <alignment horizontal="left"/>
    </xf>
    <xf numFmtId="2" fontId="1" fillId="8" borderId="33" xfId="0" applyNumberFormat="1" applyFont="1" applyFill="1" applyBorder="1" applyAlignment="1">
      <alignment horizontal="left"/>
    </xf>
    <xf numFmtId="164" fontId="3" fillId="8" borderId="1" xfId="0" applyNumberFormat="1" applyFont="1" applyFill="1" applyBorder="1" applyAlignment="1">
      <alignment horizontal="center"/>
    </xf>
    <xf numFmtId="0" fontId="1" fillId="8" borderId="9" xfId="0" applyFont="1" applyFill="1" applyBorder="1" applyAlignment="1">
      <alignment horizontal="right"/>
    </xf>
    <xf numFmtId="0" fontId="1" fillId="8" borderId="37" xfId="0" applyFont="1" applyFill="1" applyBorder="1" applyAlignment="1">
      <alignment horizontal="left"/>
    </xf>
    <xf numFmtId="2" fontId="1" fillId="8" borderId="38" xfId="0" applyNumberFormat="1" applyFont="1" applyFill="1" applyBorder="1" applyAlignment="1">
      <alignment horizontal="left"/>
    </xf>
    <xf numFmtId="0" fontId="30" fillId="0" borderId="56" xfId="0" applyFont="1" applyBorder="1"/>
    <xf numFmtId="0" fontId="30" fillId="0" borderId="57" xfId="0" applyFont="1" applyBorder="1"/>
    <xf numFmtId="2" fontId="14" fillId="0" borderId="0" xfId="0" applyNumberFormat="1" applyFont="1" applyBorder="1" applyAlignment="1">
      <alignment vertical="center"/>
    </xf>
    <xf numFmtId="2" fontId="17" fillId="0" borderId="9" xfId="0" applyNumberFormat="1" applyFont="1" applyBorder="1" applyAlignment="1">
      <alignment vertical="center"/>
    </xf>
    <xf numFmtId="1" fontId="3" fillId="8" borderId="58" xfId="0" applyNumberFormat="1" applyFont="1" applyFill="1" applyBorder="1" applyAlignment="1">
      <alignment horizontal="center"/>
    </xf>
    <xf numFmtId="0" fontId="3" fillId="3" borderId="15" xfId="0" applyNumberFormat="1" applyFont="1" applyFill="1" applyBorder="1" applyAlignment="1" applyProtection="1">
      <protection locked="0"/>
    </xf>
    <xf numFmtId="0" fontId="1" fillId="0" borderId="0" xfId="0" applyFont="1" applyFill="1" applyAlignment="1">
      <alignment horizontal="left"/>
    </xf>
    <xf numFmtId="0" fontId="1" fillId="2" borderId="0" xfId="0" applyNumberFormat="1" applyFont="1" applyFill="1"/>
    <xf numFmtId="1" fontId="1" fillId="2" borderId="0" xfId="0" applyNumberFormat="1" applyFont="1" applyFill="1" applyAlignment="1">
      <alignment vertical="center"/>
    </xf>
    <xf numFmtId="2" fontId="1" fillId="2" borderId="17" xfId="0" applyNumberFormat="1" applyFont="1" applyFill="1" applyBorder="1"/>
    <xf numFmtId="1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7" xfId="0" applyFont="1" applyFill="1" applyBorder="1"/>
    <xf numFmtId="0" fontId="1" fillId="2" borderId="17" xfId="0" applyFont="1" applyFill="1" applyBorder="1" applyAlignment="1">
      <alignment vertical="center"/>
    </xf>
    <xf numFmtId="2" fontId="1" fillId="2" borderId="17" xfId="0" applyNumberFormat="1" applyFont="1" applyFill="1" applyBorder="1" applyAlignment="1">
      <alignment vertical="center"/>
    </xf>
    <xf numFmtId="1" fontId="1" fillId="2" borderId="17" xfId="0" applyNumberFormat="1" applyFont="1" applyFill="1" applyBorder="1" applyAlignment="1">
      <alignment vertical="center"/>
    </xf>
    <xf numFmtId="165" fontId="1" fillId="2" borderId="17" xfId="0" applyNumberFormat="1" applyFont="1" applyFill="1" applyBorder="1"/>
    <xf numFmtId="165" fontId="1" fillId="2" borderId="1" xfId="0" applyNumberFormat="1" applyFont="1" applyFill="1" applyBorder="1"/>
    <xf numFmtId="165" fontId="1" fillId="2" borderId="2" xfId="0" applyNumberFormat="1" applyFont="1" applyFill="1" applyBorder="1" applyAlignment="1">
      <alignment vertical="center"/>
    </xf>
    <xf numFmtId="165" fontId="1" fillId="2" borderId="18" xfId="0" applyNumberFormat="1" applyFont="1" applyFill="1" applyBorder="1" applyAlignment="1">
      <alignment vertical="center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8" borderId="35" xfId="0" applyFont="1" applyFill="1" applyBorder="1" applyAlignment="1">
      <alignment horizontal="left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1" fillId="5" borderId="1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2" fontId="11" fillId="3" borderId="44" xfId="0" applyNumberFormat="1" applyFont="1" applyFill="1" applyBorder="1" applyAlignment="1">
      <alignment horizontal="left"/>
    </xf>
    <xf numFmtId="2" fontId="11" fillId="3" borderId="0" xfId="0" applyNumberFormat="1" applyFont="1" applyFill="1" applyBorder="1" applyAlignment="1">
      <alignment horizontal="left"/>
    </xf>
    <xf numFmtId="0" fontId="11" fillId="3" borderId="1" xfId="0" applyNumberFormat="1" applyFont="1" applyFill="1" applyBorder="1" applyAlignment="1">
      <alignment horizontal="center"/>
    </xf>
    <xf numFmtId="1" fontId="11" fillId="3" borderId="17" xfId="0" applyNumberFormat="1" applyFont="1" applyFill="1" applyBorder="1" applyAlignment="1">
      <alignment horizontal="right"/>
    </xf>
    <xf numFmtId="1" fontId="11" fillId="3" borderId="0" xfId="0" applyNumberFormat="1" applyFont="1" applyFill="1" applyBorder="1" applyAlignment="1">
      <alignment horizontal="right"/>
    </xf>
    <xf numFmtId="1" fontId="11" fillId="0" borderId="0" xfId="0" applyNumberFormat="1" applyFont="1" applyFill="1" applyBorder="1" applyAlignment="1">
      <alignment horizontal="right"/>
    </xf>
    <xf numFmtId="0" fontId="11" fillId="0" borderId="6" xfId="0" applyFont="1" applyBorder="1" applyAlignment="1" applyProtection="1">
      <alignment horizontal="right"/>
      <protection locked="0"/>
    </xf>
    <xf numFmtId="0" fontId="11" fillId="3" borderId="0" xfId="0" applyFont="1" applyFill="1" applyBorder="1" applyAlignment="1" applyProtection="1">
      <alignment horizontal="right"/>
      <protection locked="0"/>
    </xf>
    <xf numFmtId="0" fontId="11" fillId="0" borderId="0" xfId="0" applyFont="1" applyBorder="1" applyAlignment="1" applyProtection="1">
      <alignment horizontal="right"/>
      <protection locked="0"/>
    </xf>
    <xf numFmtId="0" fontId="11" fillId="0" borderId="32" xfId="0" applyFont="1" applyBorder="1" applyAlignment="1" applyProtection="1">
      <alignment horizontal="left"/>
      <protection locked="0"/>
    </xf>
    <xf numFmtId="0" fontId="11" fillId="3" borderId="31" xfId="0" applyFont="1" applyFill="1" applyBorder="1" applyAlignment="1" applyProtection="1">
      <alignment horizontal="left"/>
      <protection locked="0"/>
    </xf>
    <xf numFmtId="0" fontId="11" fillId="0" borderId="31" xfId="0" applyFont="1" applyBorder="1" applyAlignment="1" applyProtection="1">
      <alignment horizontal="left"/>
      <protection locked="0"/>
    </xf>
    <xf numFmtId="0" fontId="3" fillId="2" borderId="0" xfId="0" applyNumberFormat="1" applyFont="1" applyFill="1" applyBorder="1" applyAlignment="1">
      <alignment horizontal="left" vertical="center"/>
    </xf>
    <xf numFmtId="1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164" fontId="3" fillId="8" borderId="3" xfId="0" applyNumberFormat="1" applyFont="1" applyFill="1" applyBorder="1" applyAlignment="1">
      <alignment horizontal="center"/>
    </xf>
    <xf numFmtId="0" fontId="1" fillId="0" borderId="7" xfId="0" applyFont="1" applyFill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0" fontId="1" fillId="0" borderId="3" xfId="0" applyFont="1" applyFill="1" applyBorder="1" applyAlignment="1" applyProtection="1">
      <alignment horizontal="left"/>
    </xf>
    <xf numFmtId="167" fontId="30" fillId="0" borderId="33" xfId="0" applyNumberFormat="1" applyFont="1" applyBorder="1"/>
    <xf numFmtId="167" fontId="30" fillId="0" borderId="1" xfId="0" applyNumberFormat="1" applyFont="1" applyBorder="1"/>
    <xf numFmtId="168" fontId="30" fillId="2" borderId="8" xfId="0" applyNumberFormat="1" applyFont="1" applyFill="1" applyBorder="1"/>
    <xf numFmtId="0" fontId="35" fillId="8" borderId="7" xfId="0" applyFont="1" applyFill="1" applyBorder="1" applyAlignment="1">
      <alignment horizontal="center" vertical="center" wrapText="1"/>
    </xf>
    <xf numFmtId="0" fontId="35" fillId="8" borderId="4" xfId="0" applyFont="1" applyFill="1" applyBorder="1" applyAlignment="1">
      <alignment horizontal="center" vertical="center" wrapText="1"/>
    </xf>
    <xf numFmtId="0" fontId="35" fillId="8" borderId="3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 applyProtection="1">
      <alignment horizontal="center" vertical="center" wrapText="1"/>
      <protection locked="0"/>
    </xf>
    <xf numFmtId="0" fontId="3" fillId="3" borderId="11" xfId="0" applyFont="1" applyFill="1" applyBorder="1" applyAlignment="1" applyProtection="1">
      <alignment horizontal="center" vertical="center"/>
      <protection locked="0"/>
    </xf>
    <xf numFmtId="0" fontId="3" fillId="3" borderId="12" xfId="0" applyFont="1" applyFill="1" applyBorder="1" applyAlignment="1" applyProtection="1">
      <alignment horizontal="center" vertical="center"/>
      <protection locked="0"/>
    </xf>
    <xf numFmtId="0" fontId="3" fillId="3" borderId="11" xfId="0" applyFont="1" applyFill="1" applyBorder="1" applyAlignment="1" applyProtection="1">
      <alignment horizontal="center" vertical="center" wrapText="1"/>
      <protection locked="0"/>
    </xf>
    <xf numFmtId="0" fontId="3" fillId="3" borderId="12" xfId="0" applyFont="1" applyFill="1" applyBorder="1" applyAlignment="1" applyProtection="1">
      <alignment horizontal="center" vertical="center" wrapText="1"/>
      <protection locked="0"/>
    </xf>
    <xf numFmtId="0" fontId="3" fillId="3" borderId="10" xfId="0" applyFont="1" applyFill="1" applyBorder="1" applyAlignment="1" applyProtection="1">
      <alignment horizontal="center" vertical="center"/>
      <protection locked="0"/>
    </xf>
    <xf numFmtId="0" fontId="31" fillId="5" borderId="2" xfId="0" applyFont="1" applyFill="1" applyBorder="1" applyAlignment="1">
      <alignment horizontal="left" vertical="top"/>
    </xf>
    <xf numFmtId="0" fontId="31" fillId="5" borderId="9" xfId="0" applyFont="1" applyFill="1" applyBorder="1" applyAlignment="1">
      <alignment horizontal="left" vertical="top"/>
    </xf>
    <xf numFmtId="0" fontId="31" fillId="5" borderId="18" xfId="0" applyFont="1" applyFill="1" applyBorder="1" applyAlignment="1">
      <alignment horizontal="left" vertical="top"/>
    </xf>
    <xf numFmtId="0" fontId="3" fillId="3" borderId="10" xfId="0" applyFont="1" applyFill="1" applyBorder="1" applyAlignment="1" applyProtection="1">
      <alignment horizontal="left"/>
      <protection locked="0"/>
    </xf>
    <xf numFmtId="0" fontId="3" fillId="3" borderId="12" xfId="0" applyFont="1" applyFill="1" applyBorder="1" applyAlignment="1" applyProtection="1">
      <alignment horizontal="left"/>
      <protection locked="0"/>
    </xf>
    <xf numFmtId="0" fontId="17" fillId="0" borderId="9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52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7" fillId="0" borderId="46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0" xfId="0" applyFont="1" applyBorder="1" applyAlignment="1">
      <alignment horizontal="left" vertical="center"/>
    </xf>
    <xf numFmtId="0" fontId="17" fillId="0" borderId="30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2" fontId="14" fillId="0" borderId="10" xfId="0" applyNumberFormat="1" applyFont="1" applyBorder="1" applyAlignment="1">
      <alignment horizontal="right" vertical="center"/>
    </xf>
    <xf numFmtId="2" fontId="14" fillId="0" borderId="11" xfId="0" applyNumberFormat="1" applyFont="1" applyBorder="1" applyAlignment="1">
      <alignment horizontal="right" vertical="center"/>
    </xf>
    <xf numFmtId="0" fontId="54" fillId="0" borderId="9" xfId="0" applyFont="1" applyBorder="1" applyAlignment="1">
      <alignment horizontal="left" vertical="center"/>
    </xf>
    <xf numFmtId="0" fontId="56" fillId="0" borderId="9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33" fillId="7" borderId="28" xfId="0" applyFont="1" applyFill="1" applyBorder="1" applyAlignment="1">
      <alignment horizontal="center" vertical="center"/>
    </xf>
    <xf numFmtId="0" fontId="33" fillId="7" borderId="27" xfId="0" applyFont="1" applyFill="1" applyBorder="1" applyAlignment="1">
      <alignment horizontal="center" vertical="center"/>
    </xf>
    <xf numFmtId="0" fontId="40" fillId="7" borderId="28" xfId="0" applyFont="1" applyFill="1" applyBorder="1" applyAlignment="1">
      <alignment horizontal="left" vertical="center"/>
    </xf>
    <xf numFmtId="0" fontId="40" fillId="7" borderId="26" xfId="0" applyFont="1" applyFill="1" applyBorder="1" applyAlignment="1">
      <alignment horizontal="left" vertical="center"/>
    </xf>
    <xf numFmtId="0" fontId="40" fillId="7" borderId="27" xfId="0" applyFont="1" applyFill="1" applyBorder="1" applyAlignment="1">
      <alignment horizontal="left" vertical="center"/>
    </xf>
    <xf numFmtId="0" fontId="44" fillId="7" borderId="5" xfId="0" applyFont="1" applyFill="1" applyBorder="1" applyAlignment="1">
      <alignment horizontal="center"/>
    </xf>
    <xf numFmtId="0" fontId="44" fillId="7" borderId="6" xfId="0" applyFont="1" applyFill="1" applyBorder="1" applyAlignment="1">
      <alignment horizontal="center"/>
    </xf>
    <xf numFmtId="0" fontId="14" fillId="9" borderId="5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14" fillId="9" borderId="5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2" fontId="26" fillId="8" borderId="25" xfId="0" applyNumberFormat="1" applyFont="1" applyFill="1" applyBorder="1" applyAlignment="1">
      <alignment horizontal="center" vertical="center"/>
    </xf>
    <xf numFmtId="2" fontId="26" fillId="8" borderId="3" xfId="0" applyNumberFormat="1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14" fillId="9" borderId="6" xfId="0" applyFont="1" applyFill="1" applyBorder="1" applyAlignment="1">
      <alignment horizontal="center" vertical="center" wrapText="1"/>
    </xf>
    <xf numFmtId="0" fontId="51" fillId="7" borderId="36" xfId="0" applyFont="1" applyFill="1" applyBorder="1" applyAlignment="1">
      <alignment horizontal="center"/>
    </xf>
    <xf numFmtId="0" fontId="51" fillId="7" borderId="30" xfId="0" applyFont="1" applyFill="1" applyBorder="1" applyAlignment="1">
      <alignment horizontal="center"/>
    </xf>
    <xf numFmtId="0" fontId="51" fillId="7" borderId="29" xfId="0" applyFont="1" applyFill="1" applyBorder="1" applyAlignment="1">
      <alignment horizontal="center"/>
    </xf>
    <xf numFmtId="0" fontId="51" fillId="7" borderId="40" xfId="0" applyFont="1" applyFill="1" applyBorder="1" applyAlignment="1">
      <alignment horizontal="center"/>
    </xf>
    <xf numFmtId="0" fontId="51" fillId="7" borderId="41" xfId="0" applyFont="1" applyFill="1" applyBorder="1" applyAlignment="1">
      <alignment horizontal="center"/>
    </xf>
    <xf numFmtId="0" fontId="49" fillId="7" borderId="10" xfId="0" applyFont="1" applyFill="1" applyBorder="1" applyAlignment="1">
      <alignment horizontal="center" vertical="center"/>
    </xf>
    <xf numFmtId="0" fontId="49" fillId="7" borderId="11" xfId="0" applyFont="1" applyFill="1" applyBorder="1" applyAlignment="1">
      <alignment horizontal="center" vertical="center"/>
    </xf>
    <xf numFmtId="0" fontId="49" fillId="7" borderId="12" xfId="0" applyFont="1" applyFill="1" applyBorder="1" applyAlignment="1">
      <alignment horizontal="center" vertical="center"/>
    </xf>
    <xf numFmtId="0" fontId="50" fillId="7" borderId="10" xfId="0" applyFont="1" applyFill="1" applyBorder="1" applyAlignment="1">
      <alignment horizontal="left" vertical="center"/>
    </xf>
    <xf numFmtId="0" fontId="50" fillId="7" borderId="11" xfId="0" applyFont="1" applyFill="1" applyBorder="1" applyAlignment="1">
      <alignment horizontal="left" vertical="center"/>
    </xf>
    <xf numFmtId="0" fontId="50" fillId="7" borderId="12" xfId="0" applyFont="1" applyFill="1" applyBorder="1" applyAlignment="1">
      <alignment horizontal="left" vertical="center"/>
    </xf>
    <xf numFmtId="0" fontId="14" fillId="9" borderId="0" xfId="0" applyFont="1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left" vertical="top" wrapText="1"/>
    </xf>
    <xf numFmtId="0" fontId="29" fillId="2" borderId="50" xfId="0" applyFont="1" applyFill="1" applyBorder="1" applyAlignment="1">
      <alignment horizontal="center"/>
    </xf>
    <xf numFmtId="169" fontId="30" fillId="0" borderId="44" xfId="0" applyNumberFormat="1" applyFont="1" applyBorder="1"/>
    <xf numFmtId="169" fontId="30" fillId="0" borderId="57" xfId="0" applyNumberFormat="1" applyFont="1" applyBorder="1"/>
    <xf numFmtId="169" fontId="30" fillId="2" borderId="6" xfId="0" applyNumberFormat="1" applyFont="1" applyFill="1" applyBorder="1"/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colors>
    <mruColors>
      <color rgb="FF81ABFF"/>
      <color rgb="FF99CCFF"/>
      <color rgb="FF0033CC"/>
      <color rgb="FF2DAAFF"/>
      <color rgb="FF003399"/>
      <color rgb="FF34B6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28573</xdr:colOff>
      <xdr:row>21</xdr:row>
      <xdr:rowOff>159327</xdr:rowOff>
    </xdr:from>
    <xdr:to>
      <xdr:col>3</xdr:col>
      <xdr:colOff>1599910</xdr:colOff>
      <xdr:row>36</xdr:row>
      <xdr:rowOff>101311</xdr:rowOff>
    </xdr:to>
    <xdr:pic>
      <xdr:nvPicPr>
        <xdr:cNvPr id="9" name="Kép 8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698" y="6474402"/>
          <a:ext cx="4124037" cy="2799484"/>
        </a:xfrm>
        <a:prstGeom prst="rect">
          <a:avLst/>
        </a:prstGeom>
        <a:noFill/>
        <a:ln w="28575">
          <a:solidFill>
            <a:schemeClr val="tx2"/>
          </a:solidFill>
        </a:ln>
      </xdr:spPr>
    </xdr:pic>
    <xdr:clientData/>
  </xdr:twoCellAnchor>
  <xdr:twoCellAnchor editAs="oneCell">
    <xdr:from>
      <xdr:col>20</xdr:col>
      <xdr:colOff>275697</xdr:colOff>
      <xdr:row>0</xdr:row>
      <xdr:rowOff>222249</xdr:rowOff>
    </xdr:from>
    <xdr:to>
      <xdr:col>22</xdr:col>
      <xdr:colOff>180830</xdr:colOff>
      <xdr:row>3</xdr:row>
      <xdr:rowOff>213107</xdr:rowOff>
    </xdr:to>
    <xdr:pic>
      <xdr:nvPicPr>
        <xdr:cNvPr id="4" name="Kép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3197" y="222249"/>
          <a:ext cx="1124333" cy="1124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6</xdr:row>
      <xdr:rowOff>290512</xdr:rowOff>
    </xdr:from>
    <xdr:ext cx="914400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Szövegdoboz 1"/>
            <xdr:cNvSpPr txBox="1"/>
          </xdr:nvSpPr>
          <xdr:spPr>
            <a:xfrm>
              <a:off x="285750" y="1776412"/>
              <a:ext cx="91440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u-H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i="1">
                            <a:latin typeface="Cambria Math"/>
                            <a:ea typeface="Cambria Math"/>
                          </a:rPr>
                          <m:t>𝜎</m:t>
                        </m:r>
                      </m:e>
                      <m:sub>
                        <m:r>
                          <a:rPr lang="hu-HU" sz="1200" b="0" i="1">
                            <a:latin typeface="Cambria Math"/>
                            <a:ea typeface="Cambria Math"/>
                          </a:rPr>
                          <m:t>𝑘</m:t>
                        </m:r>
                        <m:r>
                          <a:rPr lang="hu-HU" sz="1200" b="0" i="1">
                            <a:latin typeface="Cambria Math"/>
                          </a:rPr>
                          <m:t>𝑧</m:t>
                        </m:r>
                      </m:sub>
                    </m:sSub>
                  </m:oMath>
                </m:oMathPara>
              </a14:m>
              <a:endParaRPr lang="hu-HU" sz="1200"/>
            </a:p>
          </xdr:txBody>
        </xdr:sp>
      </mc:Choice>
      <mc:Fallback xmlns="">
        <xdr:sp macro="" textlink="">
          <xdr:nvSpPr>
            <xdr:cNvPr id="2" name="Szövegdoboz 1"/>
            <xdr:cNvSpPr txBox="1"/>
          </xdr:nvSpPr>
          <xdr:spPr>
            <a:xfrm>
              <a:off x="285750" y="1776412"/>
              <a:ext cx="91440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hu-HU" sz="1200" i="0">
                  <a:latin typeface="Cambria Math"/>
                  <a:ea typeface="Cambria Math"/>
                </a:rPr>
                <a:t>𝜎_</a:t>
              </a:r>
              <a:r>
                <a:rPr lang="hu-HU" sz="1200" b="0" i="0">
                  <a:latin typeface="Cambria Math"/>
                  <a:ea typeface="Cambria Math"/>
                </a:rPr>
                <a:t>𝑘</a:t>
              </a:r>
              <a:r>
                <a:rPr lang="hu-HU" sz="1200" b="0" i="0">
                  <a:latin typeface="Cambria Math"/>
                </a:rPr>
                <a:t>𝑧</a:t>
              </a:r>
              <a:endParaRPr lang="hu-HU" sz="1200"/>
            </a:p>
          </xdr:txBody>
        </xdr:sp>
      </mc:Fallback>
    </mc:AlternateContent>
    <xdr:clientData/>
  </xdr:oneCellAnchor>
  <xdr:oneCellAnchor>
    <xdr:from>
      <xdr:col>5</xdr:col>
      <xdr:colOff>1</xdr:colOff>
      <xdr:row>2</xdr:row>
      <xdr:rowOff>23812</xdr:rowOff>
    </xdr:from>
    <xdr:ext cx="1038224" cy="461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Szövegdoboz 2"/>
            <xdr:cNvSpPr txBox="1"/>
          </xdr:nvSpPr>
          <xdr:spPr>
            <a:xfrm>
              <a:off x="3495676" y="528637"/>
              <a:ext cx="1038224" cy="461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/>
                      </a:rPr>
                      <m:t>𝐺</m:t>
                    </m:r>
                    <m:r>
                      <a:rPr lang="hu-HU" sz="12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hu-HU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hu-HU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hu-HU" sz="1200" b="0" i="1">
                                    <a:latin typeface="Cambria Math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hu-HU" sz="1200" b="0" i="1">
                                    <a:latin typeface="Cambria Math"/>
                                  </a:rPr>
                                  <m:t>𝑘</m:t>
                                </m:r>
                              </m:sub>
                            </m:sSub>
                          </m:e>
                          <m:sup>
                            <m:r>
                              <a:rPr lang="hu-HU" sz="12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r>
                          <a:rPr lang="hu-HU" sz="1200" b="0" i="1">
                            <a:latin typeface="Cambria Math"/>
                            <a:ea typeface="Cambria Math"/>
                          </a:rPr>
                          <m:t>∙</m:t>
                        </m:r>
                        <m:sSubSup>
                          <m:sSubSupPr>
                            <m:ctrlPr>
                              <a:rPr lang="hu-HU" sz="12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hu-HU" sz="1200" b="0" i="1">
                                <a:latin typeface="Cambria Math"/>
                                <a:ea typeface="Cambria Math"/>
                              </a:rPr>
                              <m:t>𝛾</m:t>
                            </m:r>
                          </m:e>
                          <m:sub/>
                          <m:sup>
                            <m:r>
                              <a:rPr lang="hu-HU" sz="1200" b="0" i="1">
                                <a:latin typeface="Cambria Math"/>
                              </a:rPr>
                              <m:t>2</m:t>
                            </m:r>
                          </m:sup>
                        </m:sSubSup>
                      </m:num>
                      <m:den>
                        <m:r>
                          <a:rPr lang="hu-HU" sz="1200" b="0" i="1">
                            <a:latin typeface="Cambria Math"/>
                          </a:rPr>
                          <m:t>24</m:t>
                        </m:r>
                      </m:den>
                    </m:f>
                  </m:oMath>
                </m:oMathPara>
              </a14:m>
              <a:endParaRPr lang="hu-HU" sz="1200"/>
            </a:p>
          </xdr:txBody>
        </xdr:sp>
      </mc:Choice>
      <mc:Fallback xmlns="">
        <xdr:sp macro="" textlink="">
          <xdr:nvSpPr>
            <xdr:cNvPr id="3" name="Szövegdoboz 2"/>
            <xdr:cNvSpPr txBox="1"/>
          </xdr:nvSpPr>
          <xdr:spPr>
            <a:xfrm>
              <a:off x="3495676" y="528637"/>
              <a:ext cx="1038224" cy="461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hu-HU" sz="1200" b="0" i="0">
                  <a:latin typeface="Cambria Math"/>
                </a:rPr>
                <a:t>𝐺=(〖𝑎_𝑘〗^2</a:t>
              </a:r>
              <a:r>
                <a:rPr lang="hu-HU" sz="1200" b="0" i="0">
                  <a:latin typeface="Cambria Math"/>
                  <a:ea typeface="Cambria Math"/>
                </a:rPr>
                <a:t>∙𝛾_^</a:t>
              </a:r>
              <a:r>
                <a:rPr lang="hu-HU" sz="1200" b="0" i="0">
                  <a:latin typeface="Cambria Math"/>
                </a:rPr>
                <a:t>2)/24</a:t>
              </a:r>
              <a:endParaRPr lang="hu-HU" sz="1200"/>
            </a:p>
          </xdr:txBody>
        </xdr:sp>
      </mc:Fallback>
    </mc:AlternateContent>
    <xdr:clientData/>
  </xdr:oneCellAnchor>
  <xdr:oneCellAnchor>
    <xdr:from>
      <xdr:col>5</xdr:col>
      <xdr:colOff>0</xdr:colOff>
      <xdr:row>4</xdr:row>
      <xdr:rowOff>9525</xdr:rowOff>
    </xdr:from>
    <xdr:ext cx="1143000" cy="4692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3"/>
            <xdr:cNvSpPr txBox="1"/>
          </xdr:nvSpPr>
          <xdr:spPr>
            <a:xfrm>
              <a:off x="3495675" y="1009650"/>
              <a:ext cx="1143000" cy="4692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/>
                          </a:rPr>
                          <m:t>𝐺</m:t>
                        </m:r>
                      </m:e>
                      <m:sub>
                        <m:r>
                          <a:rPr lang="hu-HU" sz="1200" b="0" i="1">
                            <a:latin typeface="Cambria Math"/>
                          </a:rPr>
                          <m:t>𝑧</m:t>
                        </m:r>
                      </m:sub>
                    </m:sSub>
                    <m:r>
                      <a:rPr lang="hu-HU" sz="12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hu-HU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hu-HU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hu-HU" sz="1200" b="0" i="1">
                                    <a:latin typeface="Cambria Math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hu-HU" sz="1200" b="0" i="1">
                                    <a:latin typeface="Cambria Math"/>
                                  </a:rPr>
                                  <m:t>𝑘</m:t>
                                </m:r>
                              </m:sub>
                            </m:sSub>
                          </m:e>
                          <m:sup>
                            <m:r>
                              <a:rPr lang="hu-HU" sz="12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r>
                          <a:rPr lang="hu-HU" sz="1200" b="0" i="1">
                            <a:latin typeface="Cambria Math"/>
                            <a:ea typeface="Cambria Math"/>
                          </a:rPr>
                          <m:t>∙</m:t>
                        </m:r>
                        <m:sSubSup>
                          <m:sSubSupPr>
                            <m:ctrlPr>
                              <a:rPr lang="hu-HU" sz="12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sSub>
                              <m:sSubPr>
                                <m:ctrlPr>
                                  <a:rPr lang="hu-HU" sz="12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sSubPr>
                              <m:e>
                                <m:r>
                                  <a:rPr lang="hu-HU" sz="1200" b="0" i="1">
                                    <a:latin typeface="Cambria Math"/>
                                    <a:ea typeface="Cambria Math"/>
                                  </a:rPr>
                                  <m:t>𝛾</m:t>
                                </m:r>
                              </m:e>
                              <m:sub>
                                <m:r>
                                  <a:rPr lang="hu-HU" sz="1200" b="0" i="1">
                                    <a:latin typeface="Cambria Math"/>
                                    <a:ea typeface="Cambria Math"/>
                                  </a:rPr>
                                  <m:t>𝑧</m:t>
                                </m:r>
                              </m:sub>
                            </m:sSub>
                          </m:e>
                          <m:sub/>
                          <m:sup>
                            <m:r>
                              <a:rPr lang="hu-HU" sz="1200" b="0" i="1">
                                <a:latin typeface="Cambria Math"/>
                              </a:rPr>
                              <m:t>2</m:t>
                            </m:r>
                          </m:sup>
                        </m:sSubSup>
                      </m:num>
                      <m:den>
                        <m:r>
                          <a:rPr lang="hu-HU" sz="1200" b="0" i="1">
                            <a:latin typeface="Cambria Math"/>
                          </a:rPr>
                          <m:t>24</m:t>
                        </m:r>
                      </m:den>
                    </m:f>
                  </m:oMath>
                </m:oMathPara>
              </a14:m>
              <a:endParaRPr lang="hu-HU" sz="1200"/>
            </a:p>
          </xdr:txBody>
        </xdr:sp>
      </mc:Choice>
      <mc:Fallback xmlns="">
        <xdr:sp macro="" textlink="">
          <xdr:nvSpPr>
            <xdr:cNvPr id="4" name="Szövegdoboz 3"/>
            <xdr:cNvSpPr txBox="1"/>
          </xdr:nvSpPr>
          <xdr:spPr>
            <a:xfrm>
              <a:off x="3495675" y="1009650"/>
              <a:ext cx="1143000" cy="4692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hu-HU" sz="1200" b="0" i="0">
                  <a:latin typeface="Cambria Math"/>
                </a:rPr>
                <a:t>𝐺_𝑧=(〖𝑎_𝑘〗^2</a:t>
              </a:r>
              <a:r>
                <a:rPr lang="hu-HU" sz="1200" b="0" i="0">
                  <a:latin typeface="Cambria Math"/>
                  <a:ea typeface="Cambria Math"/>
                </a:rPr>
                <a:t>∙〖𝛾_𝑧〗_^</a:t>
              </a:r>
              <a:r>
                <a:rPr lang="hu-HU" sz="1200" b="0" i="0">
                  <a:latin typeface="Cambria Math"/>
                </a:rPr>
                <a:t>2)/24</a:t>
              </a:r>
              <a:endParaRPr lang="hu-HU" sz="1200"/>
            </a:p>
          </xdr:txBody>
        </xdr:sp>
      </mc:Fallback>
    </mc:AlternateContent>
    <xdr:clientData/>
  </xdr:oneCellAnchor>
  <xdr:oneCellAnchor>
    <xdr:from>
      <xdr:col>0</xdr:col>
      <xdr:colOff>247650</xdr:colOff>
      <xdr:row>14</xdr:row>
      <xdr:rowOff>42862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Szövegdoboz 6"/>
            <xdr:cNvSpPr txBox="1"/>
          </xdr:nvSpPr>
          <xdr:spPr>
            <a:xfrm>
              <a:off x="247650" y="357663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i="1">
                        <a:latin typeface="Cambria Math"/>
                        <a:ea typeface="Cambria Math"/>
                      </a:rPr>
                      <m:t>∆</m:t>
                    </m:r>
                    <m:r>
                      <a:rPr lang="hu-HU" sz="1100" b="0" i="1">
                        <a:latin typeface="Cambria Math"/>
                        <a:ea typeface="Cambria Math"/>
                      </a:rPr>
                      <m:t>𝑡</m:t>
                    </m:r>
                  </m:oMath>
                </m:oMathPara>
              </a14:m>
              <a:endParaRPr lang="hu-HU" sz="1100"/>
            </a:p>
          </xdr:txBody>
        </xdr:sp>
      </mc:Choice>
      <mc:Fallback xmlns="">
        <xdr:sp macro="" textlink="">
          <xdr:nvSpPr>
            <xdr:cNvPr id="7" name="Szövegdoboz 6"/>
            <xdr:cNvSpPr txBox="1"/>
          </xdr:nvSpPr>
          <xdr:spPr>
            <a:xfrm>
              <a:off x="247650" y="357663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hu-HU" sz="1100" i="0">
                  <a:latin typeface="Cambria Math"/>
                  <a:ea typeface="Cambria Math"/>
                </a:rPr>
                <a:t>∆</a:t>
              </a:r>
              <a:r>
                <a:rPr lang="hu-HU" sz="1100" b="0" i="0">
                  <a:latin typeface="Cambria Math"/>
                  <a:ea typeface="Cambria Math"/>
                </a:rPr>
                <a:t>𝑡</a:t>
              </a:r>
              <a:endParaRPr lang="hu-HU" sz="1100"/>
            </a:p>
          </xdr:txBody>
        </xdr:sp>
      </mc:Fallback>
    </mc:AlternateContent>
    <xdr:clientData/>
  </xdr:oneCellAnchor>
  <xdr:oneCellAnchor>
    <xdr:from>
      <xdr:col>5</xdr:col>
      <xdr:colOff>9525</xdr:colOff>
      <xdr:row>6</xdr:row>
      <xdr:rowOff>23812</xdr:rowOff>
    </xdr:from>
    <xdr:ext cx="11811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Szövegdoboz 7"/>
            <xdr:cNvSpPr txBox="1"/>
          </xdr:nvSpPr>
          <xdr:spPr>
            <a:xfrm>
              <a:off x="3505200" y="1519237"/>
              <a:ext cx="11811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b="0" i="1">
                        <a:latin typeface="Cambria Math"/>
                      </a:rPr>
                      <m:t>𝑇</m:t>
                    </m:r>
                    <m:r>
                      <a:rPr lang="hu-HU" sz="1100" b="0" i="1">
                        <a:latin typeface="Cambria Math"/>
                      </a:rPr>
                      <m:t>=</m:t>
                    </m:r>
                    <m:r>
                      <a:rPr lang="hu-HU" sz="1100" b="0" i="1">
                        <a:latin typeface="Cambria Math"/>
                        <a:ea typeface="Cambria Math"/>
                      </a:rPr>
                      <m:t>𝛼</m:t>
                    </m:r>
                    <m:r>
                      <a:rPr lang="hu-HU" sz="1100" b="0" i="1">
                        <a:latin typeface="Cambria Math"/>
                        <a:ea typeface="Cambria Math"/>
                      </a:rPr>
                      <m:t>∙(</m:t>
                    </m:r>
                    <m:r>
                      <a:rPr lang="hu-HU" sz="1100" b="0" i="1">
                        <a:latin typeface="Cambria Math"/>
                        <a:ea typeface="Cambria Math"/>
                      </a:rPr>
                      <m:t>𝑡</m:t>
                    </m:r>
                    <m:r>
                      <a:rPr lang="hu-HU" sz="1100" b="0" i="1">
                        <a:latin typeface="Cambria Math"/>
                        <a:ea typeface="Cambria Math"/>
                      </a:rPr>
                      <m:t>−</m:t>
                    </m:r>
                    <m:sSub>
                      <m:sSubPr>
                        <m:ctrlPr>
                          <a:rPr lang="hu-HU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bPr>
                      <m:e>
                        <m:r>
                          <a:rPr lang="hu-HU" sz="1100" b="0" i="1">
                            <a:latin typeface="Cambria Math"/>
                            <a:ea typeface="Cambria Math"/>
                          </a:rPr>
                          <m:t>𝑡</m:t>
                        </m:r>
                      </m:e>
                      <m:sub>
                        <m:r>
                          <a:rPr lang="hu-HU" sz="1100" b="0" i="1">
                            <a:latin typeface="Cambria Math"/>
                            <a:ea typeface="Cambria Math"/>
                          </a:rPr>
                          <m:t>0</m:t>
                        </m:r>
                      </m:sub>
                    </m:sSub>
                    <m:r>
                      <a:rPr lang="hu-HU" sz="1100" b="0" i="1">
                        <a:latin typeface="Cambria Math"/>
                        <a:ea typeface="Cambria Math"/>
                      </a:rPr>
                      <m:t>)</m:t>
                    </m:r>
                  </m:oMath>
                </m:oMathPara>
              </a14:m>
              <a:endParaRPr lang="hu-HU" sz="1100"/>
            </a:p>
          </xdr:txBody>
        </xdr:sp>
      </mc:Choice>
      <mc:Fallback xmlns="">
        <xdr:sp macro="" textlink="">
          <xdr:nvSpPr>
            <xdr:cNvPr id="8" name="Szövegdoboz 7"/>
            <xdr:cNvSpPr txBox="1"/>
          </xdr:nvSpPr>
          <xdr:spPr>
            <a:xfrm>
              <a:off x="3505200" y="1519237"/>
              <a:ext cx="11811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hu-HU" sz="1100" b="0" i="0">
                  <a:latin typeface="Cambria Math"/>
                </a:rPr>
                <a:t>𝑇=</a:t>
              </a:r>
              <a:r>
                <a:rPr lang="hu-HU" sz="1100" b="0" i="0">
                  <a:latin typeface="Cambria Math"/>
                  <a:ea typeface="Cambria Math"/>
                </a:rPr>
                <a:t>𝛼∙(𝑡−𝑡_0)</a:t>
              </a:r>
              <a:endParaRPr lang="hu-HU" sz="1100"/>
            </a:p>
          </xdr:txBody>
        </xdr:sp>
      </mc:Fallback>
    </mc:AlternateContent>
    <xdr:clientData/>
  </xdr:oneCellAnchor>
  <xdr:oneCellAnchor>
    <xdr:from>
      <xdr:col>5</xdr:col>
      <xdr:colOff>28574</xdr:colOff>
      <xdr:row>7</xdr:row>
      <xdr:rowOff>14287</xdr:rowOff>
    </xdr:from>
    <xdr:ext cx="1714499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Szövegdoboz 8"/>
            <xdr:cNvSpPr txBox="1"/>
          </xdr:nvSpPr>
          <xdr:spPr>
            <a:xfrm>
              <a:off x="3524249" y="1824037"/>
              <a:ext cx="1714499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b="0" i="1">
                        <a:latin typeface="Cambria Math"/>
                      </a:rPr>
                      <m:t>𝑏</m:t>
                    </m:r>
                    <m:r>
                      <a:rPr lang="hu-HU" sz="1100" b="0" i="1">
                        <a:latin typeface="Cambria Math"/>
                      </a:rPr>
                      <m:t>=</m:t>
                    </m:r>
                    <m:r>
                      <a:rPr lang="hu-HU" sz="1100" b="0" i="1">
                        <a:latin typeface="Cambria Math"/>
                      </a:rPr>
                      <m:t>𝐸</m:t>
                    </m:r>
                    <m:r>
                      <a:rPr lang="hu-HU" sz="1100" b="0" i="1">
                        <a:latin typeface="Cambria Math"/>
                        <a:ea typeface="Cambria Math"/>
                      </a:rPr>
                      <m:t>∙</m:t>
                    </m:r>
                    <m:d>
                      <m:dPr>
                        <m:ctrlPr>
                          <a:rPr lang="hu-HU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dPr>
                      <m:e>
                        <m:r>
                          <a:rPr lang="hu-HU" sz="1100" b="0" i="1">
                            <a:latin typeface="Cambria Math"/>
                            <a:ea typeface="Cambria Math"/>
                          </a:rPr>
                          <m:t>𝑇</m:t>
                        </m:r>
                        <m:r>
                          <a:rPr lang="hu-HU" sz="1100" b="0" i="1">
                            <a:latin typeface="Cambria Math"/>
                            <a:ea typeface="Cambria Math"/>
                          </a:rPr>
                          <m:t>−</m:t>
                        </m:r>
                        <m:f>
                          <m:fPr>
                            <m:ctrlPr>
                              <a:rPr lang="hu-HU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hu-HU" sz="11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sSubPr>
                              <m:e>
                                <m:r>
                                  <a:rPr lang="hu-HU" sz="1100" b="0" i="1">
                                    <a:latin typeface="Cambria Math"/>
                                    <a:ea typeface="Cambria Math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hu-HU" sz="1100" b="0" i="1">
                                    <a:latin typeface="Cambria Math"/>
                                    <a:ea typeface="Cambria Math"/>
                                  </a:rPr>
                                  <m:t>𝑘𝑧</m:t>
                                </m:r>
                              </m:sub>
                            </m:sSub>
                          </m:num>
                          <m:den>
                            <m:r>
                              <a:rPr lang="hu-HU" sz="1100" b="0" i="1">
                                <a:latin typeface="Cambria Math"/>
                                <a:ea typeface="Cambria Math"/>
                              </a:rPr>
                              <m:t>𝐸</m:t>
                            </m:r>
                          </m:den>
                        </m:f>
                        <m:r>
                          <a:rPr lang="hu-HU" sz="1100" b="0" i="1">
                            <a:latin typeface="Cambria Math"/>
                            <a:ea typeface="Cambria Math"/>
                          </a:rPr>
                          <m:t>+</m:t>
                        </m:r>
                        <m:f>
                          <m:fPr>
                            <m:ctrlPr>
                              <a:rPr lang="hu-HU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hu-HU" sz="11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sSubPr>
                              <m:e>
                                <m:r>
                                  <a:rPr lang="hu-HU" sz="1100" b="0" i="1">
                                    <a:latin typeface="Cambria Math"/>
                                    <a:ea typeface="Cambria Math"/>
                                  </a:rPr>
                                  <m:t>𝐺</m:t>
                                </m:r>
                              </m:e>
                              <m:sub>
                                <m:r>
                                  <a:rPr lang="hu-HU" sz="1100" b="0" i="1">
                                    <a:latin typeface="Cambria Math"/>
                                    <a:ea typeface="Cambria Math"/>
                                  </a:rPr>
                                  <m:t>𝑧</m:t>
                                </m:r>
                              </m:sub>
                            </m:sSub>
                          </m:num>
                          <m:den>
                            <m:sSup>
                              <m:sSupPr>
                                <m:ctrlPr>
                                  <a:rPr lang="hu-HU" sz="11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hu-HU" sz="1100" b="0" i="1">
                                        <a:latin typeface="Cambria Math" panose="02040503050406030204" pitchFamily="18" charset="0"/>
                                        <a:ea typeface="Cambria Math"/>
                                      </a:rPr>
                                    </m:ctrlPr>
                                  </m:sSubPr>
                                  <m:e>
                                    <m:r>
                                      <a:rPr lang="hu-HU" sz="1100" b="0" i="1">
                                        <a:latin typeface="Cambria Math"/>
                                        <a:ea typeface="Cambria Math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hu-HU" sz="1100" b="0" i="1">
                                        <a:latin typeface="Cambria Math"/>
                                        <a:ea typeface="Cambria Math"/>
                                      </a:rPr>
                                      <m:t>𝑘𝑧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hu-HU" sz="1100" b="0" i="1">
                                    <a:latin typeface="Cambria Math"/>
                                    <a:ea typeface="Cambria Math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</m:oMath>
                </m:oMathPara>
              </a14:m>
              <a:endParaRPr lang="hu-HU" sz="1100"/>
            </a:p>
          </xdr:txBody>
        </xdr:sp>
      </mc:Choice>
      <mc:Fallback xmlns="">
        <xdr:sp macro="" textlink="">
          <xdr:nvSpPr>
            <xdr:cNvPr id="9" name="Szövegdoboz 8"/>
            <xdr:cNvSpPr txBox="1"/>
          </xdr:nvSpPr>
          <xdr:spPr>
            <a:xfrm>
              <a:off x="3524249" y="1824037"/>
              <a:ext cx="1714499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hu-HU" sz="1100" b="0" i="0">
                  <a:latin typeface="Cambria Math"/>
                </a:rPr>
                <a:t>𝑏=𝐸</a:t>
              </a:r>
              <a:r>
                <a:rPr lang="hu-HU" sz="1100" b="0" i="0">
                  <a:latin typeface="Cambria Math"/>
                  <a:ea typeface="Cambria Math"/>
                </a:rPr>
                <a:t>∙(𝑇−𝜎_𝑘𝑧/𝐸+𝐺_𝑧/〖𝜎_𝑘𝑧〗^2 )</a:t>
              </a:r>
              <a:endParaRPr lang="hu-HU" sz="1100"/>
            </a:p>
          </xdr:txBody>
        </xdr:sp>
      </mc:Fallback>
    </mc:AlternateContent>
    <xdr:clientData/>
  </xdr:oneCellAnchor>
  <xdr:oneCellAnchor>
    <xdr:from>
      <xdr:col>4</xdr:col>
      <xdr:colOff>542925</xdr:colOff>
      <xdr:row>9</xdr:row>
      <xdr:rowOff>4762</xdr:rowOff>
    </xdr:from>
    <xdr:ext cx="116205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Szövegdoboz 11"/>
            <xdr:cNvSpPr txBox="1"/>
          </xdr:nvSpPr>
          <xdr:spPr>
            <a:xfrm>
              <a:off x="3429000" y="2309812"/>
              <a:ext cx="11620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b="0" i="1">
                        <a:latin typeface="Cambria Math"/>
                      </a:rPr>
                      <m:t>𝑑</m:t>
                    </m:r>
                    <m:r>
                      <a:rPr lang="hu-HU" sz="1100" b="0" i="1">
                        <a:latin typeface="Cambria Math"/>
                      </a:rPr>
                      <m:t>=−(</m:t>
                    </m:r>
                    <m:r>
                      <a:rPr lang="hu-HU" sz="1100" b="0" i="1">
                        <a:latin typeface="Cambria Math"/>
                      </a:rPr>
                      <m:t>𝐸</m:t>
                    </m:r>
                    <m:r>
                      <a:rPr lang="hu-HU" sz="1100" b="0" i="1">
                        <a:latin typeface="Cambria Math"/>
                        <a:ea typeface="Cambria Math"/>
                      </a:rPr>
                      <m:t>∙</m:t>
                    </m:r>
                    <m:r>
                      <a:rPr lang="hu-HU" sz="1100" b="0" i="1">
                        <a:latin typeface="Cambria Math"/>
                        <a:ea typeface="Cambria Math"/>
                      </a:rPr>
                      <m:t>𝐺</m:t>
                    </m:r>
                    <m:r>
                      <a:rPr lang="hu-HU" sz="1100" b="0" i="1">
                        <a:latin typeface="Cambria Math"/>
                        <a:ea typeface="Cambria Math"/>
                      </a:rPr>
                      <m:t>)</m:t>
                    </m:r>
                  </m:oMath>
                </m:oMathPara>
              </a14:m>
              <a:endParaRPr lang="hu-HU" sz="1100"/>
            </a:p>
          </xdr:txBody>
        </xdr:sp>
      </mc:Choice>
      <mc:Fallback xmlns="">
        <xdr:sp macro="" textlink="">
          <xdr:nvSpPr>
            <xdr:cNvPr id="12" name="Szövegdoboz 11"/>
            <xdr:cNvSpPr txBox="1"/>
          </xdr:nvSpPr>
          <xdr:spPr>
            <a:xfrm>
              <a:off x="3429000" y="2309812"/>
              <a:ext cx="11620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hu-HU" sz="1100" b="0" i="0">
                  <a:latin typeface="Cambria Math"/>
                </a:rPr>
                <a:t>𝑑=−(𝐸</a:t>
              </a:r>
              <a:r>
                <a:rPr lang="hu-HU" sz="1100" b="0" i="0">
                  <a:latin typeface="Cambria Math"/>
                  <a:ea typeface="Cambria Math"/>
                </a:rPr>
                <a:t>∙𝐺)</a:t>
              </a:r>
              <a:endParaRPr lang="hu-HU" sz="1100"/>
            </a:p>
          </xdr:txBody>
        </xdr:sp>
      </mc:Fallback>
    </mc:AlternateContent>
    <xdr:clientData/>
  </xdr:oneCellAnchor>
  <xdr:oneCellAnchor>
    <xdr:from>
      <xdr:col>9</xdr:col>
      <xdr:colOff>19050</xdr:colOff>
      <xdr:row>2</xdr:row>
      <xdr:rowOff>23812</xdr:rowOff>
    </xdr:from>
    <xdr:ext cx="914400" cy="4458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Szövegdoboz 12"/>
            <xdr:cNvSpPr txBox="1"/>
          </xdr:nvSpPr>
          <xdr:spPr>
            <a:xfrm>
              <a:off x="6448425" y="528637"/>
              <a:ext cx="914400" cy="445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b="0" i="1">
                        <a:latin typeface="Cambria Math"/>
                      </a:rPr>
                      <m:t>𝐴</m:t>
                    </m:r>
                    <m:r>
                      <a:rPr lang="hu-HU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hu-HU" sz="1100" b="0" i="1">
                            <a:latin typeface="Cambria Math"/>
                          </a:rPr>
                          <m:t>−9</m:t>
                        </m:r>
                        <m:r>
                          <a:rPr lang="hu-HU" sz="1100" b="0" i="1">
                            <a:latin typeface="Cambria Math"/>
                            <a:ea typeface="Cambria Math"/>
                          </a:rPr>
                          <m:t>∙</m:t>
                        </m:r>
                        <m:sSup>
                          <m:sSupPr>
                            <m:ctrlPr>
                              <a:rPr lang="hu-HU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pPr>
                          <m:e>
                            <m:r>
                              <a:rPr lang="hu-HU" sz="1100" b="0" i="1">
                                <a:latin typeface="Cambria Math"/>
                                <a:ea typeface="Cambria Math"/>
                              </a:rPr>
                              <m:t>𝑏</m:t>
                            </m:r>
                          </m:e>
                          <m:sup>
                            <m:r>
                              <a:rPr lang="hu-HU" sz="1100" b="0" i="1">
                                <a:latin typeface="Cambria Math"/>
                                <a:ea typeface="Cambria Math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hu-HU" sz="1100" b="0" i="1">
                            <a:latin typeface="Cambria Math"/>
                          </a:rPr>
                          <m:t>27</m:t>
                        </m:r>
                      </m:den>
                    </m:f>
                  </m:oMath>
                </m:oMathPara>
              </a14:m>
              <a:endParaRPr lang="hu-HU" sz="1100"/>
            </a:p>
          </xdr:txBody>
        </xdr:sp>
      </mc:Choice>
      <mc:Fallback xmlns="">
        <xdr:sp macro="" textlink="">
          <xdr:nvSpPr>
            <xdr:cNvPr id="13" name="Szövegdoboz 12"/>
            <xdr:cNvSpPr txBox="1"/>
          </xdr:nvSpPr>
          <xdr:spPr>
            <a:xfrm>
              <a:off x="6448425" y="528637"/>
              <a:ext cx="914400" cy="445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hu-HU" sz="1100" b="0" i="0">
                  <a:latin typeface="Cambria Math"/>
                </a:rPr>
                <a:t>𝐴=(−9</a:t>
              </a:r>
              <a:r>
                <a:rPr lang="hu-HU" sz="1100" b="0" i="0">
                  <a:latin typeface="Cambria Math"/>
                  <a:ea typeface="Cambria Math"/>
                </a:rPr>
                <a:t>∙𝑏^2)/</a:t>
              </a:r>
              <a:r>
                <a:rPr lang="hu-HU" sz="1100" b="0" i="0">
                  <a:latin typeface="Cambria Math"/>
                </a:rPr>
                <a:t>27</a:t>
              </a:r>
              <a:endParaRPr lang="hu-HU" sz="1100"/>
            </a:p>
          </xdr:txBody>
        </xdr:sp>
      </mc:Fallback>
    </mc:AlternateContent>
    <xdr:clientData/>
  </xdr:oneCellAnchor>
  <xdr:oneCellAnchor>
    <xdr:from>
      <xdr:col>10</xdr:col>
      <xdr:colOff>200025</xdr:colOff>
      <xdr:row>2</xdr:row>
      <xdr:rowOff>42862</xdr:rowOff>
    </xdr:from>
    <xdr:ext cx="1619250" cy="4309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Szövegdoboz 13"/>
            <xdr:cNvSpPr txBox="1"/>
          </xdr:nvSpPr>
          <xdr:spPr>
            <a:xfrm>
              <a:off x="7239000" y="547687"/>
              <a:ext cx="1619250" cy="430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b="0" i="1">
                        <a:latin typeface="Cambria Math"/>
                      </a:rPr>
                      <m:t>𝐵</m:t>
                    </m:r>
                    <m:r>
                      <a:rPr lang="hu-HU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hu-HU" sz="1100" b="0" i="1">
                            <a:latin typeface="Cambria Math"/>
                          </a:rPr>
                          <m:t>2</m:t>
                        </m:r>
                        <m:r>
                          <a:rPr lang="hu-HU" sz="1100" b="0" i="1">
                            <a:latin typeface="Cambria Math"/>
                            <a:ea typeface="Cambria Math"/>
                          </a:rPr>
                          <m:t>∙</m:t>
                        </m:r>
                        <m:sSup>
                          <m:sSupPr>
                            <m:ctrlPr>
                              <a:rPr lang="hu-HU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pPr>
                          <m:e>
                            <m:r>
                              <a:rPr lang="hu-HU" sz="1100" b="0" i="1">
                                <a:latin typeface="Cambria Math"/>
                                <a:ea typeface="Cambria Math"/>
                              </a:rPr>
                              <m:t>𝑏</m:t>
                            </m:r>
                          </m:e>
                          <m:sup>
                            <m:r>
                              <a:rPr lang="hu-HU" sz="1100" b="0" i="1">
                                <a:latin typeface="Cambria Math"/>
                                <a:ea typeface="Cambria Math"/>
                              </a:rPr>
                              <m:t>3</m:t>
                            </m:r>
                          </m:sup>
                        </m:sSup>
                        <m:r>
                          <a:rPr lang="hu-HU" sz="1100" b="0" i="1">
                            <a:latin typeface="Cambria Math"/>
                            <a:ea typeface="Cambria Math"/>
                          </a:rPr>
                          <m:t>+27∙</m:t>
                        </m:r>
                        <m:r>
                          <a:rPr lang="hu-HU" sz="1100" b="0" i="1">
                            <a:latin typeface="Cambria Math"/>
                            <a:ea typeface="Cambria Math"/>
                          </a:rPr>
                          <m:t>𝑑</m:t>
                        </m:r>
                      </m:num>
                      <m:den>
                        <m:r>
                          <a:rPr lang="hu-HU" sz="1100" b="0" i="1">
                            <a:latin typeface="Cambria Math"/>
                          </a:rPr>
                          <m:t>27</m:t>
                        </m:r>
                      </m:den>
                    </m:f>
                  </m:oMath>
                </m:oMathPara>
              </a14:m>
              <a:endParaRPr lang="hu-HU" sz="1100"/>
            </a:p>
          </xdr:txBody>
        </xdr:sp>
      </mc:Choice>
      <mc:Fallback xmlns="">
        <xdr:sp macro="" textlink="">
          <xdr:nvSpPr>
            <xdr:cNvPr id="14" name="Szövegdoboz 13"/>
            <xdr:cNvSpPr txBox="1"/>
          </xdr:nvSpPr>
          <xdr:spPr>
            <a:xfrm>
              <a:off x="7239000" y="547687"/>
              <a:ext cx="1619250" cy="430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hu-HU" sz="1100" b="0" i="0">
                  <a:latin typeface="Cambria Math"/>
                </a:rPr>
                <a:t>𝐵=(2</a:t>
              </a:r>
              <a:r>
                <a:rPr lang="hu-HU" sz="1100" b="0" i="0">
                  <a:latin typeface="Cambria Math"/>
                  <a:ea typeface="Cambria Math"/>
                </a:rPr>
                <a:t>∙𝑏^3+27∙𝑑)/</a:t>
              </a:r>
              <a:r>
                <a:rPr lang="hu-HU" sz="1100" b="0" i="0">
                  <a:latin typeface="Cambria Math"/>
                </a:rPr>
                <a:t>27</a:t>
              </a:r>
              <a:endParaRPr lang="hu-HU" sz="1100"/>
            </a:p>
          </xdr:txBody>
        </xdr:sp>
      </mc:Fallback>
    </mc:AlternateContent>
    <xdr:clientData/>
  </xdr:oneCellAnchor>
  <xdr:oneCellAnchor>
    <xdr:from>
      <xdr:col>8</xdr:col>
      <xdr:colOff>495299</xdr:colOff>
      <xdr:row>3</xdr:row>
      <xdr:rowOff>214312</xdr:rowOff>
    </xdr:from>
    <xdr:ext cx="1514475" cy="5211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Szövegdoboz 14"/>
            <xdr:cNvSpPr txBox="1"/>
          </xdr:nvSpPr>
          <xdr:spPr>
            <a:xfrm>
              <a:off x="6315074" y="966787"/>
              <a:ext cx="1514475" cy="5211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i="1">
                        <a:latin typeface="Cambria Math"/>
                        <a:ea typeface="Cambria Math"/>
                      </a:rPr>
                      <m:t>∆</m:t>
                    </m:r>
                    <m:r>
                      <a:rPr lang="hu-HU" sz="1100" b="0" i="1">
                        <a:latin typeface="Cambria Math"/>
                        <a:ea typeface="Cambria Math"/>
                      </a:rPr>
                      <m:t>=</m:t>
                    </m:r>
                    <m:sSup>
                      <m:sSupPr>
                        <m:ctrlPr>
                          <a:rPr lang="hu-HU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hu-HU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hu-HU" sz="11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hu-HU" sz="1100" b="0" i="1">
                                    <a:latin typeface="Cambria Math"/>
                                    <a:ea typeface="Cambria Math"/>
                                  </a:rPr>
                                  <m:t>𝐵</m:t>
                                </m:r>
                              </m:num>
                              <m:den>
                                <m:r>
                                  <a:rPr lang="hu-HU" sz="1100" b="0" i="1">
                                    <a:latin typeface="Cambria Math"/>
                                    <a:ea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hu-HU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p>
                    </m:sSup>
                    <m:r>
                      <a:rPr lang="hu-HU" sz="1100" b="0" i="1">
                        <a:latin typeface="Cambria Math"/>
                        <a:ea typeface="Cambria Math"/>
                      </a:rPr>
                      <m:t>+</m:t>
                    </m:r>
                    <m:sSup>
                      <m:sSupPr>
                        <m:ctrlPr>
                          <a:rPr lang="hu-HU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hu-HU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hu-HU" sz="11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hu-HU" sz="1100" b="0" i="1">
                                    <a:latin typeface="Cambria Math"/>
                                    <a:ea typeface="Cambria Math"/>
                                  </a:rPr>
                                  <m:t>𝐴</m:t>
                                </m:r>
                              </m:num>
                              <m:den>
                                <m:r>
                                  <a:rPr lang="hu-HU" sz="1100" b="0" i="1">
                                    <a:latin typeface="Cambria Math"/>
                                    <a:ea typeface="Cambria Math"/>
                                  </a:rPr>
                                  <m:t>3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hu-HU" sz="1100" b="0" i="1">
                            <a:latin typeface="Cambria Math"/>
                            <a:ea typeface="Cambria Math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hu-HU" sz="1100"/>
            </a:p>
          </xdr:txBody>
        </xdr:sp>
      </mc:Choice>
      <mc:Fallback xmlns="">
        <xdr:sp macro="" textlink="">
          <xdr:nvSpPr>
            <xdr:cNvPr id="15" name="Szövegdoboz 14"/>
            <xdr:cNvSpPr txBox="1"/>
          </xdr:nvSpPr>
          <xdr:spPr>
            <a:xfrm>
              <a:off x="6315074" y="966787"/>
              <a:ext cx="1514475" cy="5211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hu-HU" sz="1100" i="0">
                  <a:latin typeface="Cambria Math"/>
                  <a:ea typeface="Cambria Math"/>
                </a:rPr>
                <a:t>∆</a:t>
              </a:r>
              <a:r>
                <a:rPr lang="hu-HU" sz="1100" b="0" i="0">
                  <a:latin typeface="Cambria Math"/>
                  <a:ea typeface="Cambria Math"/>
                </a:rPr>
                <a:t>=(𝐵/2)^2+(𝐴/3)^3</a:t>
              </a:r>
              <a:endParaRPr lang="hu-HU" sz="1100"/>
            </a:p>
          </xdr:txBody>
        </xdr:sp>
      </mc:Fallback>
    </mc:AlternateContent>
    <xdr:clientData/>
  </xdr:oneCellAnchor>
  <xdr:oneCellAnchor>
    <xdr:from>
      <xdr:col>8</xdr:col>
      <xdr:colOff>552450</xdr:colOff>
      <xdr:row>5</xdr:row>
      <xdr:rowOff>214312</xdr:rowOff>
    </xdr:from>
    <xdr:ext cx="3295650" cy="5924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Szövegdoboz 17"/>
            <xdr:cNvSpPr txBox="1"/>
          </xdr:nvSpPr>
          <xdr:spPr>
            <a:xfrm>
              <a:off x="6372225" y="1462087"/>
              <a:ext cx="3295650" cy="592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u-H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100" i="1">
                            <a:latin typeface="Cambria Math"/>
                            <a:ea typeface="Cambria Math"/>
                          </a:rPr>
                          <m:t>𝜎</m:t>
                        </m:r>
                      </m:e>
                      <m:sub>
                        <m:r>
                          <a:rPr lang="hu-HU" sz="1100" b="0" i="1">
                            <a:latin typeface="Cambria Math"/>
                            <a:ea typeface="Cambria Math"/>
                          </a:rPr>
                          <m:t>𝑘</m:t>
                        </m:r>
                      </m:sub>
                    </m:sSub>
                    <m:r>
                      <a:rPr lang="hu-HU" sz="1100" b="0" i="1">
                        <a:latin typeface="Cambria Math"/>
                      </a:rPr>
                      <m:t>=−</m:t>
                    </m:r>
                    <m:f>
                      <m:f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hu-HU" sz="1100" b="0" i="1">
                            <a:latin typeface="Cambria Math"/>
                          </a:rPr>
                          <m:t>𝑏</m:t>
                        </m:r>
                      </m:num>
                      <m:den>
                        <m:r>
                          <a:rPr lang="hu-HU" sz="1100" b="0" i="1">
                            <a:latin typeface="Cambria Math"/>
                          </a:rPr>
                          <m:t>3</m:t>
                        </m:r>
                      </m:den>
                    </m:f>
                    <m:r>
                      <a:rPr lang="hu-HU" sz="1100" b="0" i="1">
                        <a:latin typeface="Cambria Math"/>
                      </a:rPr>
                      <m:t>+</m:t>
                    </m:r>
                    <m:rad>
                      <m:rad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hu-HU" sz="1100" b="0" i="1">
                            <a:latin typeface="Cambria Math"/>
                          </a:rPr>
                          <m:t>3</m:t>
                        </m:r>
                      </m:deg>
                      <m:e>
                        <m:r>
                          <a:rPr lang="hu-HU" sz="1100" b="0" i="1">
                            <a:latin typeface="Cambria Math"/>
                          </a:rPr>
                          <m:t>−</m:t>
                        </m:r>
                        <m:f>
                          <m:fPr>
                            <m:ctrlPr>
                              <a:rPr lang="hu-HU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hu-HU" sz="1100" b="0" i="1">
                                <a:latin typeface="Cambria Math"/>
                              </a:rPr>
                              <m:t>𝐵</m:t>
                            </m:r>
                          </m:num>
                          <m:den>
                            <m:r>
                              <a:rPr lang="hu-HU" sz="1100" b="0" i="1">
                                <a:latin typeface="Cambria Math"/>
                              </a:rPr>
                              <m:t>2</m:t>
                            </m:r>
                          </m:den>
                        </m:f>
                        <m:r>
                          <a:rPr lang="hu-HU" sz="1100" b="0" i="1">
                            <a:latin typeface="Cambria Math"/>
                          </a:rPr>
                          <m:t>+</m:t>
                        </m:r>
                        <m:rad>
                          <m:radPr>
                            <m:degHide m:val="on"/>
                            <m:ctrlPr>
                              <a:rPr lang="hu-HU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hu-HU" sz="1100" b="0" i="1">
                                <a:latin typeface="Cambria Math"/>
                                <a:ea typeface="Cambria Math"/>
                              </a:rPr>
                              <m:t>∆</m:t>
                            </m:r>
                          </m:e>
                        </m:rad>
                      </m:e>
                    </m:rad>
                    <m:r>
                      <a:rPr lang="hu-HU" sz="1100" b="0" i="1">
                        <a:latin typeface="Cambria Math"/>
                      </a:rPr>
                      <m:t>+</m:t>
                    </m:r>
                    <m:rad>
                      <m:rad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hu-HU" sz="1100" b="0" i="1">
                            <a:latin typeface="Cambria Math"/>
                          </a:rPr>
                          <m:t>3</m:t>
                        </m:r>
                      </m:deg>
                      <m:e>
                        <m:r>
                          <a:rPr lang="hu-HU" sz="1100" b="0" i="1">
                            <a:latin typeface="Cambria Math"/>
                          </a:rPr>
                          <m:t>−</m:t>
                        </m:r>
                        <m:f>
                          <m:fPr>
                            <m:ctrlPr>
                              <a:rPr lang="hu-HU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hu-HU" sz="1100" b="0" i="1">
                                <a:latin typeface="Cambria Math"/>
                              </a:rPr>
                              <m:t>𝐵</m:t>
                            </m:r>
                          </m:num>
                          <m:den>
                            <m:r>
                              <a:rPr lang="hu-HU" sz="1100" b="0" i="1">
                                <a:latin typeface="Cambria Math"/>
                              </a:rPr>
                              <m:t>2</m:t>
                            </m:r>
                          </m:den>
                        </m:f>
                        <m:r>
                          <a:rPr lang="hu-HU" sz="1100" b="0" i="1">
                            <a:latin typeface="Cambria Math"/>
                          </a:rPr>
                          <m:t>−</m:t>
                        </m:r>
                        <m:rad>
                          <m:radPr>
                            <m:degHide m:val="on"/>
                            <m:ctrlPr>
                              <a:rPr lang="hu-HU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hu-HU" sz="1100" b="0" i="1">
                                <a:latin typeface="Cambria Math"/>
                                <a:ea typeface="Cambria Math"/>
                              </a:rPr>
                              <m:t>∆</m:t>
                            </m:r>
                          </m:e>
                        </m:rad>
                      </m:e>
                    </m:rad>
                    <m:r>
                      <a:rPr lang="hu-HU" sz="1100" b="0" i="1">
                        <a:latin typeface="Cambria Math"/>
                      </a:rPr>
                      <m:t>       </m:t>
                    </m:r>
                    <m:r>
                      <a:rPr lang="hu-HU" sz="1100" b="0" i="1">
                        <a:latin typeface="Cambria Math"/>
                      </a:rPr>
                      <m:t>h𝑎</m:t>
                    </m:r>
                    <m:r>
                      <a:rPr lang="hu-HU" sz="1100" b="0" i="1">
                        <a:latin typeface="Cambria Math"/>
                      </a:rPr>
                      <m:t> ∆≥0</m:t>
                    </m:r>
                  </m:oMath>
                </m:oMathPara>
              </a14:m>
              <a:endParaRPr lang="hu-HU" sz="1100"/>
            </a:p>
          </xdr:txBody>
        </xdr:sp>
      </mc:Choice>
      <mc:Fallback xmlns="">
        <xdr:sp macro="" textlink="">
          <xdr:nvSpPr>
            <xdr:cNvPr id="18" name="Szövegdoboz 17"/>
            <xdr:cNvSpPr txBox="1"/>
          </xdr:nvSpPr>
          <xdr:spPr>
            <a:xfrm>
              <a:off x="6372225" y="1462087"/>
              <a:ext cx="3295650" cy="592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hu-HU" sz="1100" i="0">
                  <a:latin typeface="Cambria Math"/>
                  <a:ea typeface="Cambria Math"/>
                </a:rPr>
                <a:t>𝜎_</a:t>
              </a:r>
              <a:r>
                <a:rPr lang="hu-HU" sz="1100" b="0" i="0">
                  <a:latin typeface="Cambria Math"/>
                  <a:ea typeface="Cambria Math"/>
                </a:rPr>
                <a:t>𝑘</a:t>
              </a:r>
              <a:r>
                <a:rPr lang="hu-HU" sz="1100" b="0" i="0">
                  <a:latin typeface="Cambria Math"/>
                </a:rPr>
                <a:t>=−𝑏/3+∛(−𝐵/2+√</a:t>
              </a:r>
              <a:r>
                <a:rPr lang="hu-HU" sz="1100" b="0" i="0">
                  <a:latin typeface="Cambria Math"/>
                  <a:ea typeface="Cambria Math"/>
                </a:rPr>
                <a:t>∆) </a:t>
              </a:r>
              <a:r>
                <a:rPr lang="hu-HU" sz="1100" b="0" i="0">
                  <a:latin typeface="Cambria Math"/>
                </a:rPr>
                <a:t>+∛(−𝐵/2−√</a:t>
              </a:r>
              <a:r>
                <a:rPr lang="hu-HU" sz="1100" b="0" i="0">
                  <a:latin typeface="Cambria Math"/>
                  <a:ea typeface="Cambria Math"/>
                </a:rPr>
                <a:t>∆)  </a:t>
              </a:r>
              <a:r>
                <a:rPr lang="hu-HU" sz="1100" b="0" i="0">
                  <a:latin typeface="Cambria Math"/>
                </a:rPr>
                <a:t>       ℎ𝑎 ∆≥0</a:t>
              </a:r>
              <a:endParaRPr lang="hu-HU" sz="1100"/>
            </a:p>
          </xdr:txBody>
        </xdr:sp>
      </mc:Fallback>
    </mc:AlternateContent>
    <xdr:clientData/>
  </xdr:oneCellAnchor>
  <xdr:oneCellAnchor>
    <xdr:from>
      <xdr:col>8</xdr:col>
      <xdr:colOff>523874</xdr:colOff>
      <xdr:row>8</xdr:row>
      <xdr:rowOff>14287</xdr:rowOff>
    </xdr:from>
    <xdr:ext cx="4486276" cy="5298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Szövegdoboz 19"/>
            <xdr:cNvSpPr txBox="1"/>
          </xdr:nvSpPr>
          <xdr:spPr>
            <a:xfrm>
              <a:off x="6343649" y="2071687"/>
              <a:ext cx="4486276" cy="529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u-H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100" i="1">
                            <a:latin typeface="Cambria Math"/>
                            <a:ea typeface="Cambria Math"/>
                          </a:rPr>
                          <m:t>𝜎</m:t>
                        </m:r>
                      </m:e>
                      <m:sub>
                        <m:r>
                          <a:rPr lang="hu-HU" sz="1100" b="0" i="1">
                            <a:latin typeface="Cambria Math"/>
                            <a:ea typeface="Cambria Math"/>
                          </a:rPr>
                          <m:t>𝑘</m:t>
                        </m:r>
                      </m:sub>
                    </m:sSub>
                    <m:r>
                      <a:rPr lang="hu-HU" sz="1100" b="0" i="1">
                        <a:latin typeface="Cambria Math"/>
                      </a:rPr>
                      <m:t>=−</m:t>
                    </m:r>
                    <m:f>
                      <m:f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hu-HU" sz="1100" b="0" i="1">
                            <a:latin typeface="Cambria Math"/>
                          </a:rPr>
                          <m:t>𝑏</m:t>
                        </m:r>
                      </m:num>
                      <m:den>
                        <m:r>
                          <a:rPr lang="hu-HU" sz="1100" b="0" i="1">
                            <a:latin typeface="Cambria Math"/>
                          </a:rPr>
                          <m:t>3</m:t>
                        </m:r>
                      </m:den>
                    </m:f>
                    <m:r>
                      <a:rPr lang="hu-HU" sz="1100" b="0" i="1">
                        <a:latin typeface="Cambria Math"/>
                      </a:rPr>
                      <m:t>−2</m:t>
                    </m:r>
                    <m:r>
                      <a:rPr lang="hu-HU" sz="1100" b="0" i="1">
                        <a:latin typeface="Cambria Math"/>
                        <a:ea typeface="Cambria Math"/>
                      </a:rPr>
                      <m:t>∙</m:t>
                    </m:r>
                    <m:rad>
                      <m:radPr>
                        <m:degHide m:val="on"/>
                        <m:ctrlPr>
                          <a:rPr lang="hu-HU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radPr>
                      <m:deg/>
                      <m:e>
                        <m:f>
                          <m:fPr>
                            <m:type m:val="lin"/>
                            <m:ctrlPr>
                              <a:rPr lang="hu-HU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r>
                              <a:rPr lang="hu-HU" sz="1100" b="0" i="1">
                                <a:latin typeface="Cambria Math"/>
                                <a:ea typeface="Cambria Math"/>
                              </a:rPr>
                              <m:t>−</m:t>
                            </m:r>
                            <m:r>
                              <a:rPr lang="hu-HU" sz="1100" b="0" i="1">
                                <a:latin typeface="Cambria Math"/>
                                <a:ea typeface="Cambria Math"/>
                              </a:rPr>
                              <m:t>𝐴</m:t>
                            </m:r>
                          </m:num>
                          <m:den>
                            <m:r>
                              <a:rPr lang="hu-HU" sz="1100" b="0" i="1">
                                <a:latin typeface="Cambria Math"/>
                                <a:ea typeface="Cambria Math"/>
                              </a:rPr>
                              <m:t>3</m:t>
                            </m:r>
                          </m:den>
                        </m:f>
                      </m:e>
                    </m:rad>
                    <m:r>
                      <a:rPr lang="hu-HU" sz="1100" b="0" i="1">
                        <a:latin typeface="Cambria Math"/>
                        <a:ea typeface="Cambria Math"/>
                      </a:rPr>
                      <m:t>∙</m:t>
                    </m:r>
                    <m:r>
                      <a:rPr lang="hu-HU" sz="1100" b="0" i="1">
                        <a:latin typeface="Cambria Math"/>
                        <a:ea typeface="Cambria Math"/>
                      </a:rPr>
                      <m:t>𝑐𝑜𝑠</m:t>
                    </m:r>
                    <m:d>
                      <m:dPr>
                        <m:ctrlPr>
                          <a:rPr lang="hu-HU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hu-HU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r>
                              <a:rPr lang="hu-HU" sz="1100" b="0" i="1">
                                <a:latin typeface="Cambria Math"/>
                                <a:ea typeface="Cambria Math"/>
                              </a:rPr>
                              <m:t>2</m:t>
                            </m:r>
                            <m:r>
                              <a:rPr lang="hu-HU" sz="1100" b="0" i="1">
                                <a:latin typeface="Cambria Math"/>
                                <a:ea typeface="Cambria Math"/>
                              </a:rPr>
                              <m:t>𝜋</m:t>
                            </m:r>
                          </m:num>
                          <m:den>
                            <m:r>
                              <a:rPr lang="hu-HU" sz="1100" b="0" i="1">
                                <a:latin typeface="Cambria Math"/>
                                <a:ea typeface="Cambria Math"/>
                              </a:rPr>
                              <m:t>3</m:t>
                            </m:r>
                          </m:den>
                        </m:f>
                        <m:r>
                          <a:rPr lang="hu-HU" sz="1100" b="0" i="1">
                            <a:latin typeface="Cambria Math"/>
                            <a:ea typeface="Cambria Math"/>
                          </a:rPr>
                          <m:t>+</m:t>
                        </m:r>
                        <m:f>
                          <m:fPr>
                            <m:ctrlPr>
                              <a:rPr lang="hu-HU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r>
                              <a:rPr lang="hu-HU" sz="1100" b="0" i="1">
                                <a:latin typeface="Cambria Math"/>
                                <a:ea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hu-HU" sz="1100" b="0" i="1">
                                <a:latin typeface="Cambria Math"/>
                                <a:ea typeface="Cambria Math"/>
                              </a:rPr>
                              <m:t>3</m:t>
                            </m:r>
                          </m:den>
                        </m:f>
                        <m:r>
                          <a:rPr lang="hu-HU" sz="1100" b="0" i="1">
                            <a:latin typeface="Cambria Math"/>
                            <a:ea typeface="Cambria Math"/>
                          </a:rPr>
                          <m:t>∙</m:t>
                        </m:r>
                        <m:r>
                          <a:rPr lang="hu-HU" sz="1100" b="0" i="1">
                            <a:latin typeface="Cambria Math"/>
                            <a:ea typeface="Cambria Math"/>
                          </a:rPr>
                          <m:t>𝑎𝑟𝑐𝑐𝑜𝑠</m:t>
                        </m:r>
                        <m:f>
                          <m:fPr>
                            <m:ctrlPr>
                              <a:rPr lang="hu-HU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f>
                              <m:fPr>
                                <m:type m:val="lin"/>
                                <m:ctrlPr>
                                  <a:rPr lang="hu-HU" sz="11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hu-HU" sz="1100" b="0" i="1">
                                    <a:latin typeface="Cambria Math"/>
                                    <a:ea typeface="Cambria Math"/>
                                  </a:rPr>
                                  <m:t>𝐵</m:t>
                                </m:r>
                              </m:num>
                              <m:den>
                                <m:r>
                                  <a:rPr lang="hu-HU" sz="1100" b="0" i="1">
                                    <a:latin typeface="Cambria Math"/>
                                    <a:ea typeface="Cambria Math"/>
                                  </a:rPr>
                                  <m:t>2</m:t>
                                </m:r>
                              </m:den>
                            </m:f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hu-HU" sz="11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radPr>
                              <m:deg/>
                              <m:e>
                                <m:sSup>
                                  <m:sSupPr>
                                    <m:ctrlPr>
                                      <a:rPr lang="hu-HU" sz="1100" b="0" i="1">
                                        <a:latin typeface="Cambria Math" panose="02040503050406030204" pitchFamily="18" charset="0"/>
                                        <a:ea typeface="Cambria Math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hu-HU" sz="1100" b="0" i="1">
                                            <a:latin typeface="Cambria Math" panose="02040503050406030204" pitchFamily="18" charset="0"/>
                                            <a:ea typeface="Cambria Math"/>
                                          </a:rPr>
                                        </m:ctrlPr>
                                      </m:dPr>
                                      <m:e>
                                        <m:f>
                                          <m:fPr>
                                            <m:type m:val="lin"/>
                                            <m:ctrlPr>
                                              <a:rPr lang="hu-HU" sz="1100" b="0" i="1">
                                                <a:latin typeface="Cambria Math" panose="02040503050406030204" pitchFamily="18" charset="0"/>
                                                <a:ea typeface="Cambria Math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hu-HU" sz="1100" b="0" i="1">
                                                <a:latin typeface="Cambria Math"/>
                                                <a:ea typeface="Cambria Math"/>
                                              </a:rPr>
                                              <m:t>−</m:t>
                                            </m:r>
                                            <m:r>
                                              <a:rPr lang="hu-HU" sz="1100" b="0" i="1">
                                                <a:latin typeface="Cambria Math"/>
                                                <a:ea typeface="Cambria Math"/>
                                              </a:rPr>
                                              <m:t>𝐴</m:t>
                                            </m:r>
                                          </m:num>
                                          <m:den>
                                            <m:r>
                                              <a:rPr lang="hu-HU" sz="1100" b="0" i="1">
                                                <a:latin typeface="Cambria Math"/>
                                                <a:ea typeface="Cambria Math"/>
                                              </a:rPr>
                                              <m:t>3</m:t>
                                            </m:r>
                                          </m:den>
                                        </m:f>
                                      </m:e>
                                    </m:d>
                                  </m:e>
                                  <m:sup>
                                    <m:r>
                                      <a:rPr lang="hu-HU" sz="1100" b="0" i="1">
                                        <a:latin typeface="Cambria Math"/>
                                        <a:ea typeface="Cambria Math"/>
                                      </a:rPr>
                                      <m:t>3</m:t>
                                    </m:r>
                                  </m:sup>
                                </m:sSup>
                              </m:e>
                            </m:rad>
                          </m:den>
                        </m:f>
                      </m:e>
                    </m:d>
                    <m:r>
                      <a:rPr lang="hu-HU" sz="1100" b="0" i="1">
                        <a:latin typeface="Cambria Math"/>
                        <a:ea typeface="Cambria Math"/>
                      </a:rPr>
                      <m:t>    </m:t>
                    </m:r>
                    <m:r>
                      <a:rPr lang="hu-HU" sz="1100" b="0" i="1">
                        <a:latin typeface="Cambria Math"/>
                        <a:ea typeface="Cambria Math"/>
                      </a:rPr>
                      <m:t>h𝑎</m:t>
                    </m:r>
                    <m:r>
                      <a:rPr lang="hu-HU" sz="1100" b="0" i="1">
                        <a:latin typeface="Cambria Math"/>
                        <a:ea typeface="Cambria Math"/>
                      </a:rPr>
                      <m:t> ∆&lt;0</m:t>
                    </m:r>
                  </m:oMath>
                </m:oMathPara>
              </a14:m>
              <a:endParaRPr lang="hu-HU" sz="1100"/>
            </a:p>
          </xdr:txBody>
        </xdr:sp>
      </mc:Choice>
      <mc:Fallback xmlns="">
        <xdr:sp macro="" textlink="">
          <xdr:nvSpPr>
            <xdr:cNvPr id="20" name="Szövegdoboz 19"/>
            <xdr:cNvSpPr txBox="1"/>
          </xdr:nvSpPr>
          <xdr:spPr>
            <a:xfrm>
              <a:off x="6343649" y="2071687"/>
              <a:ext cx="4486276" cy="529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hu-HU" sz="1100" i="0">
                  <a:latin typeface="Cambria Math"/>
                  <a:ea typeface="Cambria Math"/>
                </a:rPr>
                <a:t>𝜎_</a:t>
              </a:r>
              <a:r>
                <a:rPr lang="hu-HU" sz="1100" b="0" i="0">
                  <a:latin typeface="Cambria Math"/>
                  <a:ea typeface="Cambria Math"/>
                </a:rPr>
                <a:t>𝑘</a:t>
              </a:r>
              <a:r>
                <a:rPr lang="hu-HU" sz="1100" b="0" i="0">
                  <a:latin typeface="Cambria Math"/>
                </a:rPr>
                <a:t>=−𝑏/3−2</a:t>
              </a:r>
              <a:r>
                <a:rPr lang="hu-HU" sz="1100" b="0" i="0">
                  <a:latin typeface="Cambria Math"/>
                  <a:ea typeface="Cambria Math"/>
                </a:rPr>
                <a:t>∙√(〖−𝐴〗∕3)∙𝑐𝑜𝑠(2𝜋/3+1/3∙𝑎𝑟𝑐𝑐𝑜𝑠 (𝐵∕2)/√((〖−𝐴〗∕3)^3 ))     ℎ𝑎 ∆&lt;0</a:t>
              </a:r>
              <a:endParaRPr lang="hu-HU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vmh.local\DFS\_munka_\b4201\P&#233;cs%20vezet&#233;krendez&#233;s\Terhek_Tartooszlopon_MSZEN5034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atok"/>
      <sheetName val="Sodronyok"/>
      <sheetName val="Csomóponti terhek"/>
      <sheetName val="Teherkombinációk"/>
      <sheetName val="Fázis_adatok"/>
      <sheetName val="Belogas_Phase"/>
      <sheetName val="Húzóerők_Fázis"/>
      <sheetName val="Védő_adatok"/>
      <sheetName val="Húzóerők_Védő"/>
      <sheetName val="Egyéb_adatok"/>
      <sheetName val="Húzóerők_Egyéb"/>
      <sheetName val="Belogas_EW"/>
    </sheetNames>
    <sheetDataSet>
      <sheetData sheetId="0"/>
      <sheetData sheetId="1"/>
      <sheetData sheetId="2">
        <row r="15">
          <cell r="B15" t="str">
            <v>névleges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33CC"/>
    <pageSetUpPr fitToPage="1"/>
  </sheetPr>
  <dimension ref="A1:U102"/>
  <sheetViews>
    <sheetView showGridLines="0" topLeftCell="A10" zoomScale="107" zoomScaleNormal="100" workbookViewId="0">
      <selection activeCell="C10" sqref="C10"/>
    </sheetView>
  </sheetViews>
  <sheetFormatPr defaultColWidth="9.109375" defaultRowHeight="13.8" x14ac:dyDescent="0.25"/>
  <cols>
    <col min="1" max="1" width="7.109375" style="1" customWidth="1"/>
    <col min="2" max="2" width="25.5546875" style="1" customWidth="1"/>
    <col min="3" max="3" width="12.6640625" style="1" customWidth="1"/>
    <col min="4" max="4" width="25.6640625" style="1" customWidth="1"/>
    <col min="5" max="5" width="16" style="1" customWidth="1"/>
    <col min="6" max="8" width="8.6640625" style="1" customWidth="1"/>
    <col min="9" max="9" width="12.6640625" style="52" customWidth="1"/>
    <col min="10" max="10" width="17.21875" style="50" bestFit="1" customWidth="1"/>
    <col min="11" max="11" width="3.21875" style="49" bestFit="1" customWidth="1"/>
    <col min="12" max="12" width="13.33203125" style="51" bestFit="1" customWidth="1"/>
    <col min="13" max="13" width="9.88671875" style="53" bestFit="1" customWidth="1"/>
    <col min="14" max="15" width="6.5546875" style="53" bestFit="1" customWidth="1"/>
    <col min="16" max="17" width="7.109375" style="53" bestFit="1" customWidth="1"/>
    <col min="18" max="18" width="7.109375" style="58" bestFit="1" customWidth="1"/>
    <col min="19" max="16384" width="9.109375" style="1"/>
  </cols>
  <sheetData>
    <row r="1" spans="1:21" ht="25.2" customHeight="1" thickBot="1" x14ac:dyDescent="0.3">
      <c r="A1" s="160" t="s">
        <v>96</v>
      </c>
      <c r="B1" s="84" t="s">
        <v>61</v>
      </c>
      <c r="C1" s="85"/>
      <c r="D1" s="85"/>
      <c r="E1" s="90"/>
      <c r="F1" s="90"/>
      <c r="G1" s="90"/>
      <c r="H1" s="90"/>
      <c r="I1" s="141"/>
      <c r="J1" s="142"/>
      <c r="K1" s="161"/>
      <c r="L1" s="162"/>
      <c r="M1" s="163"/>
      <c r="N1" s="164"/>
      <c r="O1" s="163"/>
      <c r="P1" s="163"/>
      <c r="Q1" s="163"/>
      <c r="R1" s="165"/>
      <c r="S1" s="149"/>
      <c r="T1" s="166"/>
    </row>
    <row r="2" spans="1:21" ht="40.200000000000003" customHeight="1" thickBot="1" x14ac:dyDescent="0.3">
      <c r="A2" s="152"/>
      <c r="B2" s="358" t="s">
        <v>192</v>
      </c>
      <c r="C2" s="359"/>
      <c r="D2" s="359"/>
      <c r="E2" s="359"/>
      <c r="F2" s="359"/>
      <c r="G2" s="359"/>
      <c r="H2" s="359"/>
      <c r="I2" s="359"/>
      <c r="J2" s="360"/>
      <c r="K2" s="167"/>
      <c r="L2" s="168"/>
      <c r="M2" s="169"/>
      <c r="N2" s="83"/>
      <c r="O2" s="169"/>
      <c r="P2" s="169"/>
      <c r="Q2" s="169"/>
      <c r="R2" s="170"/>
      <c r="S2" s="153"/>
      <c r="T2" s="157"/>
    </row>
    <row r="3" spans="1:21" ht="25.2" customHeight="1" thickBot="1" x14ac:dyDescent="0.3">
      <c r="A3" s="152"/>
      <c r="B3" s="87" t="s">
        <v>0</v>
      </c>
      <c r="C3" s="88"/>
      <c r="D3" s="88"/>
      <c r="E3" s="89"/>
      <c r="F3" s="89"/>
      <c r="G3" s="89"/>
      <c r="H3" s="90"/>
      <c r="I3" s="141"/>
      <c r="J3" s="142"/>
      <c r="K3" s="167"/>
      <c r="L3" s="168"/>
      <c r="M3" s="169"/>
      <c r="N3" s="83"/>
      <c r="O3" s="169"/>
      <c r="P3" s="169"/>
      <c r="Q3" s="169"/>
      <c r="R3" s="170"/>
      <c r="S3" s="159"/>
      <c r="T3" s="171"/>
      <c r="U3" s="82"/>
    </row>
    <row r="4" spans="1:21" ht="40.200000000000003" customHeight="1" thickBot="1" x14ac:dyDescent="0.3">
      <c r="A4" s="152"/>
      <c r="B4" s="358"/>
      <c r="C4" s="361"/>
      <c r="D4" s="361"/>
      <c r="E4" s="361"/>
      <c r="F4" s="361"/>
      <c r="G4" s="361"/>
      <c r="H4" s="361"/>
      <c r="I4" s="361"/>
      <c r="J4" s="362"/>
      <c r="K4" s="167"/>
      <c r="L4" s="168"/>
      <c r="M4" s="169"/>
      <c r="N4" s="83"/>
      <c r="O4" s="169"/>
      <c r="P4" s="169"/>
      <c r="Q4" s="169"/>
      <c r="R4" s="170"/>
      <c r="S4" s="159"/>
      <c r="T4" s="171"/>
      <c r="U4" s="82"/>
    </row>
    <row r="5" spans="1:21" ht="25.2" customHeight="1" thickBot="1" x14ac:dyDescent="0.3">
      <c r="A5" s="172"/>
      <c r="B5" s="364" t="s">
        <v>19</v>
      </c>
      <c r="C5" s="365"/>
      <c r="D5" s="366"/>
      <c r="E5" s="143" t="s">
        <v>176</v>
      </c>
      <c r="F5" s="144"/>
      <c r="G5" s="144"/>
      <c r="H5" s="90"/>
      <c r="I5" s="141"/>
      <c r="J5" s="142"/>
      <c r="K5" s="167"/>
      <c r="L5" s="168"/>
      <c r="M5" s="169"/>
      <c r="N5" s="169"/>
      <c r="O5" s="169"/>
      <c r="P5" s="169"/>
      <c r="Q5" s="169"/>
      <c r="R5" s="170"/>
      <c r="S5" s="153"/>
      <c r="T5" s="157"/>
    </row>
    <row r="6" spans="1:21" ht="20.100000000000001" customHeight="1" thickBot="1" x14ac:dyDescent="0.3">
      <c r="A6" s="172"/>
      <c r="B6" s="91" t="s">
        <v>1</v>
      </c>
      <c r="C6" s="367" t="s">
        <v>124</v>
      </c>
      <c r="D6" s="368"/>
      <c r="E6" s="363"/>
      <c r="F6" s="359"/>
      <c r="G6" s="359"/>
      <c r="H6" s="359"/>
      <c r="I6" s="359"/>
      <c r="J6" s="360"/>
      <c r="K6" s="167"/>
      <c r="L6" s="168"/>
      <c r="M6" s="169"/>
      <c r="N6" s="169"/>
      <c r="O6" s="169"/>
      <c r="P6" s="169"/>
      <c r="Q6" s="169"/>
      <c r="R6" s="170"/>
      <c r="S6" s="153"/>
      <c r="T6" s="157"/>
    </row>
    <row r="7" spans="1:21" ht="20.100000000000001" customHeight="1" thickBot="1" x14ac:dyDescent="0.3">
      <c r="A7" s="172"/>
      <c r="B7" s="92" t="s">
        <v>2</v>
      </c>
      <c r="C7" s="204">
        <f>VLOOKUP(C6,Sodronyok!$A$3:$H$48,3,FALSE)</f>
        <v>22.4</v>
      </c>
      <c r="D7" s="100" t="s">
        <v>3</v>
      </c>
      <c r="E7" s="148"/>
      <c r="F7" s="149"/>
      <c r="G7" s="149"/>
      <c r="H7" s="149"/>
      <c r="I7" s="150"/>
      <c r="J7" s="151"/>
      <c r="K7" s="167"/>
      <c r="L7" s="168"/>
      <c r="M7" s="169"/>
      <c r="N7" s="169"/>
      <c r="O7" s="169"/>
      <c r="P7" s="169"/>
      <c r="Q7" s="169"/>
      <c r="R7" s="170"/>
      <c r="S7" s="153"/>
      <c r="T7" s="157"/>
    </row>
    <row r="8" spans="1:21" ht="20.100000000000001" customHeight="1" thickBot="1" x14ac:dyDescent="0.3">
      <c r="A8" s="172"/>
      <c r="B8" s="92" t="s">
        <v>11</v>
      </c>
      <c r="C8" s="205">
        <f>VLOOKUP(C6,Sodronyok!$A$3:$H$48,2,FALSE)</f>
        <v>293.20999999999998</v>
      </c>
      <c r="D8" s="92" t="s">
        <v>4</v>
      </c>
      <c r="E8" s="113" t="s">
        <v>20</v>
      </c>
      <c r="F8" s="187"/>
      <c r="G8" s="188"/>
      <c r="H8" s="113" t="s">
        <v>29</v>
      </c>
      <c r="I8" s="114"/>
      <c r="J8" s="115"/>
      <c r="K8" s="167"/>
      <c r="L8" s="168"/>
      <c r="M8" s="169"/>
      <c r="N8" s="169"/>
      <c r="O8" s="169"/>
      <c r="P8" s="169"/>
      <c r="Q8" s="169"/>
      <c r="R8" s="170"/>
      <c r="S8" s="153"/>
      <c r="T8" s="157"/>
    </row>
    <row r="9" spans="1:21" ht="20.100000000000001" customHeight="1" thickBot="1" x14ac:dyDescent="0.3">
      <c r="A9" s="172"/>
      <c r="B9" s="92" t="s">
        <v>5</v>
      </c>
      <c r="C9" s="206">
        <f>VLOOKUP(C6,Sodronyok!$A$3:$H$48,4,FALSE)</f>
        <v>1.0389999999999999</v>
      </c>
      <c r="D9" s="92" t="s">
        <v>10</v>
      </c>
      <c r="E9" s="93"/>
      <c r="F9" s="34">
        <v>40</v>
      </c>
      <c r="G9" s="96" t="s">
        <v>13</v>
      </c>
      <c r="H9" s="109"/>
      <c r="I9" s="107"/>
      <c r="J9" s="110"/>
      <c r="K9" s="167"/>
      <c r="L9" s="168"/>
      <c r="M9" s="169"/>
      <c r="N9" s="169"/>
      <c r="O9" s="169"/>
      <c r="P9" s="169"/>
      <c r="Q9" s="169"/>
      <c r="R9" s="170"/>
      <c r="S9" s="153"/>
      <c r="T9" s="157"/>
    </row>
    <row r="10" spans="1:21" ht="20.100000000000001" customHeight="1" thickBot="1" x14ac:dyDescent="0.5">
      <c r="A10" s="172"/>
      <c r="B10" s="92" t="s">
        <v>28</v>
      </c>
      <c r="C10" s="207">
        <f>VLOOKUP(C6,Sodronyok!$A$3:$H$48,8,FALSE)</f>
        <v>1.9300000000000002E-5</v>
      </c>
      <c r="D10" s="92" t="s">
        <v>7</v>
      </c>
      <c r="E10" s="93"/>
      <c r="F10" s="35">
        <v>-10</v>
      </c>
      <c r="G10" s="96" t="s">
        <v>14</v>
      </c>
      <c r="H10" s="105" t="s">
        <v>98</v>
      </c>
      <c r="I10" s="112">
        <v>10</v>
      </c>
      <c r="J10" s="98" t="s">
        <v>8</v>
      </c>
      <c r="K10" s="167"/>
      <c r="L10" s="168"/>
      <c r="M10" s="169"/>
      <c r="N10" s="169"/>
      <c r="O10" s="169"/>
      <c r="P10" s="169"/>
      <c r="Q10" s="169"/>
      <c r="R10" s="170"/>
      <c r="S10" s="153"/>
      <c r="T10" s="157"/>
    </row>
    <row r="11" spans="1:21" ht="20.100000000000001" customHeight="1" thickBot="1" x14ac:dyDescent="0.4">
      <c r="A11" s="172"/>
      <c r="B11" s="92" t="s">
        <v>12</v>
      </c>
      <c r="C11" s="206">
        <f>VLOOKUP(C6,Sodronyok!$A$3:$H$48,7,FALSE)</f>
        <v>72200</v>
      </c>
      <c r="D11" s="92" t="s">
        <v>8</v>
      </c>
      <c r="E11" s="101" t="s">
        <v>15</v>
      </c>
      <c r="F11" s="36">
        <v>-5</v>
      </c>
      <c r="G11" s="96" t="s">
        <v>16</v>
      </c>
      <c r="H11" s="105" t="s">
        <v>99</v>
      </c>
      <c r="I11" s="111">
        <f>MIN(S19:S58)</f>
        <v>6.9210146099330219</v>
      </c>
      <c r="J11" s="98" t="s">
        <v>8</v>
      </c>
      <c r="K11" s="167"/>
      <c r="L11" s="168"/>
      <c r="M11" s="169"/>
      <c r="N11" s="169"/>
      <c r="O11" s="169"/>
      <c r="P11" s="169"/>
      <c r="Q11" s="169"/>
      <c r="R11" s="170"/>
      <c r="S11" s="153"/>
      <c r="T11" s="157"/>
    </row>
    <row r="12" spans="1:21" ht="20.100000000000001" customHeight="1" thickBot="1" x14ac:dyDescent="0.3">
      <c r="A12" s="172"/>
      <c r="B12" s="93" t="s">
        <v>9</v>
      </c>
      <c r="C12" s="95">
        <f>3.25+0.25*C7</f>
        <v>8.85</v>
      </c>
      <c r="D12" s="96" t="s">
        <v>6</v>
      </c>
      <c r="E12" s="102"/>
      <c r="F12" s="103"/>
      <c r="G12" s="104"/>
      <c r="H12" s="102"/>
      <c r="I12" s="103"/>
      <c r="J12" s="104"/>
      <c r="K12" s="167"/>
      <c r="L12" s="168"/>
      <c r="M12" s="169"/>
      <c r="N12" s="169"/>
      <c r="O12" s="169"/>
      <c r="P12" s="169"/>
      <c r="Q12" s="169"/>
      <c r="R12" s="170"/>
      <c r="S12" s="153"/>
      <c r="T12" s="157"/>
    </row>
    <row r="13" spans="1:21" ht="20.100000000000001" customHeight="1" x14ac:dyDescent="0.25">
      <c r="A13" s="172"/>
      <c r="B13" s="94" t="s">
        <v>100</v>
      </c>
      <c r="C13" s="97">
        <f>9.81*C9/C8</f>
        <v>3.4762081784386618E-2</v>
      </c>
      <c r="D13" s="98" t="s">
        <v>97</v>
      </c>
      <c r="E13" s="145"/>
      <c r="F13" s="145"/>
      <c r="G13" s="145"/>
      <c r="H13" s="145"/>
      <c r="I13" s="146"/>
      <c r="J13" s="147"/>
      <c r="K13" s="167"/>
      <c r="L13" s="168"/>
      <c r="M13" s="169"/>
      <c r="N13" s="169"/>
      <c r="O13" s="169"/>
      <c r="P13" s="169"/>
      <c r="Q13" s="169"/>
      <c r="R13" s="170"/>
      <c r="S13" s="153"/>
      <c r="T13" s="157"/>
    </row>
    <row r="14" spans="1:21" ht="20.100000000000001" customHeight="1" thickBot="1" x14ac:dyDescent="0.3">
      <c r="A14" s="172"/>
      <c r="B14" s="94" t="s">
        <v>101</v>
      </c>
      <c r="C14" s="99">
        <f>((9.81*C9)+C12)/C8</f>
        <v>6.4945226970430744E-2</v>
      </c>
      <c r="D14" s="98" t="s">
        <v>97</v>
      </c>
      <c r="E14" s="145"/>
      <c r="F14" s="145"/>
      <c r="G14" s="145"/>
      <c r="H14" s="145"/>
      <c r="I14" s="146"/>
      <c r="J14" s="147"/>
      <c r="K14" s="167"/>
      <c r="L14" s="168"/>
      <c r="M14" s="169"/>
      <c r="N14" s="169"/>
      <c r="O14" s="169"/>
      <c r="P14" s="169"/>
      <c r="Q14" s="169"/>
      <c r="R14" s="170"/>
      <c r="S14" s="153"/>
      <c r="T14" s="157"/>
    </row>
    <row r="15" spans="1:21" ht="20.100000000000001" customHeight="1" thickBot="1" x14ac:dyDescent="0.3">
      <c r="A15" s="152"/>
      <c r="B15" s="87" t="s">
        <v>21</v>
      </c>
      <c r="C15" s="86"/>
      <c r="D15" s="86"/>
      <c r="E15" s="86"/>
      <c r="F15" s="86"/>
      <c r="G15" s="86"/>
      <c r="H15" s="86"/>
      <c r="I15" s="86"/>
      <c r="J15" s="86"/>
      <c r="K15" s="173"/>
      <c r="L15" s="174"/>
      <c r="M15" s="175"/>
      <c r="N15" s="169"/>
      <c r="O15" s="169"/>
      <c r="P15" s="169"/>
      <c r="Q15" s="169"/>
      <c r="R15" s="169"/>
      <c r="S15" s="116"/>
      <c r="T15" s="157"/>
    </row>
    <row r="16" spans="1:21" ht="20.100000000000001" customHeight="1" thickBot="1" x14ac:dyDescent="0.3">
      <c r="A16" s="152"/>
      <c r="B16" s="117" t="s">
        <v>18</v>
      </c>
      <c r="C16" s="301">
        <v>15</v>
      </c>
      <c r="D16" s="120"/>
      <c r="E16" s="349" t="s">
        <v>103</v>
      </c>
      <c r="F16" s="352" t="s">
        <v>23</v>
      </c>
      <c r="G16" s="353"/>
      <c r="H16" s="353"/>
      <c r="I16" s="354"/>
      <c r="J16" s="349" t="s">
        <v>104</v>
      </c>
      <c r="K16" s="176"/>
      <c r="L16" s="177"/>
      <c r="M16" s="108"/>
      <c r="N16" s="108"/>
      <c r="O16" s="108"/>
      <c r="P16" s="108"/>
      <c r="Q16" s="108"/>
      <c r="R16" s="108"/>
      <c r="S16" s="122" t="s">
        <v>86</v>
      </c>
      <c r="T16" s="157"/>
    </row>
    <row r="17" spans="1:20" ht="20.100000000000001" customHeight="1" thickBot="1" x14ac:dyDescent="0.3">
      <c r="A17" s="152"/>
      <c r="B17" s="92" t="s">
        <v>17</v>
      </c>
      <c r="C17" s="37">
        <v>23</v>
      </c>
      <c r="D17" s="119"/>
      <c r="E17" s="350"/>
      <c r="F17" s="355" t="s">
        <v>24</v>
      </c>
      <c r="G17" s="356"/>
      <c r="H17" s="357"/>
      <c r="I17" s="139" t="s">
        <v>75</v>
      </c>
      <c r="J17" s="350"/>
      <c r="K17" s="176">
        <v>0</v>
      </c>
      <c r="L17" s="177"/>
      <c r="M17" s="108"/>
      <c r="N17" s="108"/>
      <c r="O17" s="108"/>
      <c r="P17" s="108"/>
      <c r="Q17" s="108"/>
      <c r="R17" s="108"/>
      <c r="S17" s="123"/>
      <c r="T17" s="157"/>
    </row>
    <row r="18" spans="1:20" ht="20.100000000000001" customHeight="1" thickBot="1" x14ac:dyDescent="0.3">
      <c r="A18" s="152"/>
      <c r="B18" s="134" t="s">
        <v>88</v>
      </c>
      <c r="C18" s="138">
        <f>SUM(I19:I58)</f>
        <v>1675.3500000000001</v>
      </c>
      <c r="D18" s="98" t="s">
        <v>22</v>
      </c>
      <c r="E18" s="351"/>
      <c r="F18" s="124"/>
      <c r="G18" s="125"/>
      <c r="H18" s="126"/>
      <c r="I18" s="126" t="s">
        <v>26</v>
      </c>
      <c r="J18" s="127" t="s">
        <v>26</v>
      </c>
      <c r="K18" s="176" t="s">
        <v>27</v>
      </c>
      <c r="L18" s="176" t="s">
        <v>30</v>
      </c>
      <c r="M18" s="176" t="s">
        <v>77</v>
      </c>
      <c r="N18" s="176" t="s">
        <v>78</v>
      </c>
      <c r="O18" s="176" t="s">
        <v>79</v>
      </c>
      <c r="P18" s="176" t="s">
        <v>82</v>
      </c>
      <c r="Q18" s="176" t="s">
        <v>83</v>
      </c>
      <c r="R18" s="176" t="s">
        <v>80</v>
      </c>
      <c r="S18" s="127" t="s">
        <v>87</v>
      </c>
      <c r="T18" s="157"/>
    </row>
    <row r="19" spans="1:20" ht="20.100000000000001" customHeight="1" thickTop="1" x14ac:dyDescent="0.25">
      <c r="A19" s="152"/>
      <c r="B19" s="134" t="s">
        <v>76</v>
      </c>
      <c r="C19" s="135">
        <f>C20*SQRT(SUM(L19:L58)/SUM(Q19:Q58))</f>
        <v>209.93787253710997</v>
      </c>
      <c r="D19" s="98" t="s">
        <v>22</v>
      </c>
      <c r="E19" s="77">
        <v>12.8</v>
      </c>
      <c r="F19" s="43">
        <f>C16</f>
        <v>15</v>
      </c>
      <c r="G19" s="8" t="s">
        <v>27</v>
      </c>
      <c r="H19" s="45">
        <f>F19+K19</f>
        <v>16</v>
      </c>
      <c r="I19" s="38">
        <v>224.28</v>
      </c>
      <c r="J19" s="56">
        <f>SQRT(I19^2+E19^2)</f>
        <v>224.64496077143596</v>
      </c>
      <c r="K19" s="168">
        <v>1</v>
      </c>
      <c r="L19" s="178">
        <f>I19^3</f>
        <v>11281624.546752</v>
      </c>
      <c r="M19" s="175">
        <f>J19^3</f>
        <v>11336788.458084457</v>
      </c>
      <c r="N19" s="179">
        <f>I19^2</f>
        <v>50301.518400000001</v>
      </c>
      <c r="O19" s="179">
        <f>J19^2</f>
        <v>50465.358400000005</v>
      </c>
      <c r="P19" s="180">
        <f>M19/N19</f>
        <v>225.37666493352725</v>
      </c>
      <c r="Q19" s="180">
        <f>O19/I19</f>
        <v>225.01051542714467</v>
      </c>
      <c r="R19" s="181">
        <f>((I19^2)*$C$14)/(8*$I$10)</f>
        <v>40.835544118066231</v>
      </c>
      <c r="S19" s="128">
        <f>(I19/J19)*($I$10-($C$14*(ABS(E19)/2+R19)))</f>
        <v>6.9210146099330219</v>
      </c>
      <c r="T19" s="157"/>
    </row>
    <row r="20" spans="1:20" ht="20.100000000000001" customHeight="1" x14ac:dyDescent="0.25">
      <c r="A20" s="152"/>
      <c r="B20" s="134" t="s">
        <v>81</v>
      </c>
      <c r="C20" s="136">
        <f>SUM(P19:P58)/SUM(Q19:Q58)</f>
        <v>1.0002184557979241</v>
      </c>
      <c r="D20" s="98"/>
      <c r="E20" s="78"/>
      <c r="F20" s="44">
        <f t="shared" ref="F20:F58" si="0">IF($C$16+K19&gt;$C$17-1,$K$18,H19)</f>
        <v>16</v>
      </c>
      <c r="G20" s="9" t="s">
        <v>27</v>
      </c>
      <c r="H20" s="46">
        <f t="shared" ref="H20:H58" si="1">IF($C$16+K20&lt;$C$17+1,$C$16+K20,$K$18)</f>
        <v>17</v>
      </c>
      <c r="I20" s="39">
        <v>213.32</v>
      </c>
      <c r="J20" s="54">
        <f t="shared" ref="J20:J58" si="2">IF($C$16+K20&lt;$C$17+1,SQRT(I20^2+E20^2),$K$18)</f>
        <v>213.32</v>
      </c>
      <c r="K20" s="173">
        <v>2</v>
      </c>
      <c r="L20" s="178">
        <f t="shared" ref="L20:L58" si="3">I20^3</f>
        <v>9707216.7063679993</v>
      </c>
      <c r="M20" s="175">
        <f t="shared" ref="M20:M58" si="4">IF($C$16+K20&lt;$C$17+1,J20^3,$K$17)</f>
        <v>9707216.7063679993</v>
      </c>
      <c r="N20" s="179">
        <f t="shared" ref="N20:N58" si="5">I20^2</f>
        <v>45505.422399999996</v>
      </c>
      <c r="O20" s="179">
        <f t="shared" ref="O20:O58" si="6">IF($C$16+K20&lt;$C$17+1,J20^2,$K$17)</f>
        <v>45505.422399999996</v>
      </c>
      <c r="P20" s="180">
        <f t="shared" ref="P20:P58" si="7">IF($C$16+K20&lt;$C$17+1,M20/N20,$K$17)</f>
        <v>213.32</v>
      </c>
      <c r="Q20" s="180">
        <f t="shared" ref="Q20:Q58" si="8">IF($C$16+K20&lt;$C$17+1,O20/I20,$K$17)</f>
        <v>213.32</v>
      </c>
      <c r="R20" s="181">
        <f t="shared" ref="R20:R58" si="9">IF($C$16+K20&lt;$C$17+1,((I20^2)*$C$14)/(8*$I$10),$K$17)</f>
        <v>36.941999826916536</v>
      </c>
      <c r="S20" s="129">
        <f t="shared" ref="S20:S58" si="10">IF($C$16+K20&lt;$C$17+1,(I20/J20)*($I$10-($C$14*(ABS(E20)/2+R20))),$K$18)</f>
        <v>7.6007934364992922</v>
      </c>
      <c r="T20" s="157"/>
    </row>
    <row r="21" spans="1:20" s="3" customFormat="1" ht="20.100000000000001" customHeight="1" thickBot="1" x14ac:dyDescent="0.3">
      <c r="A21" s="182"/>
      <c r="B21" s="137" t="s">
        <v>84</v>
      </c>
      <c r="C21" s="133">
        <f>C20*I11</f>
        <v>6.9225265457020795</v>
      </c>
      <c r="D21" s="132" t="s">
        <v>102</v>
      </c>
      <c r="E21" s="78"/>
      <c r="F21" s="44">
        <f t="shared" si="0"/>
        <v>17</v>
      </c>
      <c r="G21" s="9" t="s">
        <v>27</v>
      </c>
      <c r="H21" s="46">
        <f t="shared" si="1"/>
        <v>18</v>
      </c>
      <c r="I21" s="39">
        <v>214.95</v>
      </c>
      <c r="J21" s="54">
        <f t="shared" si="2"/>
        <v>214.95</v>
      </c>
      <c r="K21" s="173">
        <v>3</v>
      </c>
      <c r="L21" s="178">
        <f t="shared" si="3"/>
        <v>9931442.8623749986</v>
      </c>
      <c r="M21" s="175">
        <f t="shared" si="4"/>
        <v>9931442.8623749986</v>
      </c>
      <c r="N21" s="179">
        <f t="shared" si="5"/>
        <v>46203.502499999995</v>
      </c>
      <c r="O21" s="179">
        <f t="shared" si="6"/>
        <v>46203.502499999995</v>
      </c>
      <c r="P21" s="180">
        <f t="shared" si="7"/>
        <v>214.95</v>
      </c>
      <c r="Q21" s="180">
        <f t="shared" si="8"/>
        <v>214.95</v>
      </c>
      <c r="R21" s="181">
        <f t="shared" si="9"/>
        <v>37.508711958642053</v>
      </c>
      <c r="S21" s="129">
        <f t="shared" si="10"/>
        <v>7.5639881884774818</v>
      </c>
      <c r="T21" s="183"/>
    </row>
    <row r="22" spans="1:20" ht="15" customHeight="1" x14ac:dyDescent="0.25">
      <c r="A22" s="152"/>
      <c r="B22" s="153"/>
      <c r="C22" s="153"/>
      <c r="D22" s="153"/>
      <c r="E22" s="78"/>
      <c r="F22" s="44">
        <f t="shared" si="0"/>
        <v>18</v>
      </c>
      <c r="G22" s="9" t="s">
        <v>27</v>
      </c>
      <c r="H22" s="46">
        <f t="shared" si="1"/>
        <v>19</v>
      </c>
      <c r="I22" s="39">
        <v>193.4</v>
      </c>
      <c r="J22" s="54">
        <f t="shared" si="2"/>
        <v>193.4</v>
      </c>
      <c r="K22" s="173">
        <v>4</v>
      </c>
      <c r="L22" s="178">
        <f t="shared" si="3"/>
        <v>7233848.5040000016</v>
      </c>
      <c r="M22" s="175">
        <f t="shared" si="4"/>
        <v>7233848.5040000016</v>
      </c>
      <c r="N22" s="179">
        <f t="shared" si="5"/>
        <v>37403.560000000005</v>
      </c>
      <c r="O22" s="179">
        <f t="shared" si="6"/>
        <v>37403.560000000005</v>
      </c>
      <c r="P22" s="180">
        <f t="shared" si="7"/>
        <v>193.4</v>
      </c>
      <c r="Q22" s="180">
        <f t="shared" si="8"/>
        <v>193.40000000000003</v>
      </c>
      <c r="R22" s="181">
        <f t="shared" si="9"/>
        <v>30.364783671276562</v>
      </c>
      <c r="S22" s="129">
        <f t="shared" si="10"/>
        <v>8.0279522325609136</v>
      </c>
      <c r="T22" s="157"/>
    </row>
    <row r="23" spans="1:20" ht="15" customHeight="1" x14ac:dyDescent="0.25">
      <c r="A23" s="152"/>
      <c r="B23" s="153"/>
      <c r="C23" s="153"/>
      <c r="D23" s="153"/>
      <c r="E23" s="78"/>
      <c r="F23" s="44">
        <f t="shared" si="0"/>
        <v>19</v>
      </c>
      <c r="G23" s="9" t="s">
        <v>27</v>
      </c>
      <c r="H23" s="46">
        <f t="shared" si="1"/>
        <v>20</v>
      </c>
      <c r="I23" s="39">
        <v>201.79</v>
      </c>
      <c r="J23" s="54">
        <f t="shared" si="2"/>
        <v>201.79</v>
      </c>
      <c r="K23" s="173">
        <v>5</v>
      </c>
      <c r="L23" s="178">
        <f t="shared" si="3"/>
        <v>8216728.1953389989</v>
      </c>
      <c r="M23" s="175">
        <f t="shared" si="4"/>
        <v>8216728.1953389989</v>
      </c>
      <c r="N23" s="179">
        <f t="shared" si="5"/>
        <v>40719.204099999995</v>
      </c>
      <c r="O23" s="179">
        <f t="shared" si="6"/>
        <v>40719.204099999995</v>
      </c>
      <c r="P23" s="180">
        <f t="shared" si="7"/>
        <v>201.79</v>
      </c>
      <c r="Q23" s="180">
        <f t="shared" si="8"/>
        <v>201.79</v>
      </c>
      <c r="R23" s="181">
        <f t="shared" si="9"/>
        <v>33.056474404122426</v>
      </c>
      <c r="S23" s="129">
        <f t="shared" si="10"/>
        <v>7.8531397669820349</v>
      </c>
      <c r="T23" s="157"/>
    </row>
    <row r="24" spans="1:20" ht="15" customHeight="1" x14ac:dyDescent="0.25">
      <c r="A24" s="152"/>
      <c r="B24" s="153"/>
      <c r="C24" s="153"/>
      <c r="D24" s="153"/>
      <c r="E24" s="78"/>
      <c r="F24" s="44">
        <f t="shared" si="0"/>
        <v>20</v>
      </c>
      <c r="G24" s="9" t="s">
        <v>27</v>
      </c>
      <c r="H24" s="46">
        <f t="shared" si="1"/>
        <v>21</v>
      </c>
      <c r="I24" s="39">
        <v>209.18</v>
      </c>
      <c r="J24" s="54">
        <f t="shared" si="2"/>
        <v>209.18</v>
      </c>
      <c r="K24" s="173">
        <v>6</v>
      </c>
      <c r="L24" s="178">
        <f t="shared" si="3"/>
        <v>9152937.0606319997</v>
      </c>
      <c r="M24" s="175">
        <f t="shared" si="4"/>
        <v>9152937.0606319997</v>
      </c>
      <c r="N24" s="179">
        <f t="shared" si="5"/>
        <v>43756.272400000002</v>
      </c>
      <c r="O24" s="179">
        <f t="shared" si="6"/>
        <v>43756.272400000002</v>
      </c>
      <c r="P24" s="180">
        <f t="shared" si="7"/>
        <v>209.17999999999998</v>
      </c>
      <c r="Q24" s="180">
        <f t="shared" si="8"/>
        <v>209.18</v>
      </c>
      <c r="R24" s="181">
        <f t="shared" si="9"/>
        <v>35.522013029974929</v>
      </c>
      <c r="S24" s="129">
        <f t="shared" si="10"/>
        <v>7.6930148013216799</v>
      </c>
      <c r="T24" s="157"/>
    </row>
    <row r="25" spans="1:20" ht="15" customHeight="1" x14ac:dyDescent="0.25">
      <c r="A25" s="152"/>
      <c r="B25" s="153"/>
      <c r="C25" s="153"/>
      <c r="D25" s="153"/>
      <c r="E25" s="78"/>
      <c r="F25" s="44">
        <f t="shared" si="0"/>
        <v>21</v>
      </c>
      <c r="G25" s="9" t="s">
        <v>27</v>
      </c>
      <c r="H25" s="46">
        <f t="shared" si="1"/>
        <v>22</v>
      </c>
      <c r="I25" s="39">
        <v>209.7</v>
      </c>
      <c r="J25" s="54">
        <f t="shared" si="2"/>
        <v>209.7</v>
      </c>
      <c r="K25" s="173">
        <v>7</v>
      </c>
      <c r="L25" s="178">
        <f t="shared" si="3"/>
        <v>9221366.6729999986</v>
      </c>
      <c r="M25" s="175">
        <f t="shared" si="4"/>
        <v>9221366.6729999986</v>
      </c>
      <c r="N25" s="179">
        <f t="shared" si="5"/>
        <v>43974.09</v>
      </c>
      <c r="O25" s="179">
        <f t="shared" si="6"/>
        <v>43974.09</v>
      </c>
      <c r="P25" s="180">
        <f t="shared" si="7"/>
        <v>209.7</v>
      </c>
      <c r="Q25" s="180">
        <f t="shared" si="8"/>
        <v>209.7</v>
      </c>
      <c r="R25" s="181">
        <f t="shared" si="9"/>
        <v>35.698840698351859</v>
      </c>
      <c r="S25" s="129">
        <f t="shared" si="10"/>
        <v>7.6815306882642886</v>
      </c>
      <c r="T25" s="157"/>
    </row>
    <row r="26" spans="1:20" ht="15" customHeight="1" x14ac:dyDescent="0.25">
      <c r="A26" s="152"/>
      <c r="B26" s="153"/>
      <c r="C26" s="153"/>
      <c r="D26" s="153"/>
      <c r="E26" s="78"/>
      <c r="F26" s="44">
        <f t="shared" si="0"/>
        <v>22</v>
      </c>
      <c r="G26" s="9" t="s">
        <v>27</v>
      </c>
      <c r="H26" s="46">
        <f t="shared" si="1"/>
        <v>23</v>
      </c>
      <c r="I26" s="39">
        <v>208.73</v>
      </c>
      <c r="J26" s="54">
        <f t="shared" si="2"/>
        <v>208.73</v>
      </c>
      <c r="K26" s="173">
        <v>8</v>
      </c>
      <c r="L26" s="178">
        <f t="shared" si="3"/>
        <v>9093993.0786169991</v>
      </c>
      <c r="M26" s="175">
        <f t="shared" si="4"/>
        <v>9093993.0786169991</v>
      </c>
      <c r="N26" s="179">
        <f t="shared" si="5"/>
        <v>43568.212899999999</v>
      </c>
      <c r="O26" s="179">
        <f t="shared" si="6"/>
        <v>43568.212899999999</v>
      </c>
      <c r="P26" s="180">
        <f t="shared" si="7"/>
        <v>208.73</v>
      </c>
      <c r="Q26" s="180">
        <f t="shared" si="8"/>
        <v>208.73</v>
      </c>
      <c r="R26" s="181">
        <f t="shared" si="9"/>
        <v>35.369343443581855</v>
      </c>
      <c r="S26" s="129">
        <f t="shared" si="10"/>
        <v>7.70292996226146</v>
      </c>
      <c r="T26" s="157"/>
    </row>
    <row r="27" spans="1:20" ht="15" customHeight="1" x14ac:dyDescent="0.25">
      <c r="A27" s="152"/>
      <c r="B27" s="153"/>
      <c r="C27" s="153"/>
      <c r="D27" s="153"/>
      <c r="E27" s="78"/>
      <c r="F27" s="44" t="str">
        <f t="shared" si="0"/>
        <v>-</v>
      </c>
      <c r="G27" s="9" t="s">
        <v>27</v>
      </c>
      <c r="H27" s="46" t="str">
        <f t="shared" si="1"/>
        <v>-</v>
      </c>
      <c r="I27" s="39"/>
      <c r="J27" s="54" t="str">
        <f t="shared" si="2"/>
        <v>-</v>
      </c>
      <c r="K27" s="173">
        <v>9</v>
      </c>
      <c r="L27" s="178">
        <f t="shared" si="3"/>
        <v>0</v>
      </c>
      <c r="M27" s="175">
        <f t="shared" si="4"/>
        <v>0</v>
      </c>
      <c r="N27" s="179">
        <f t="shared" si="5"/>
        <v>0</v>
      </c>
      <c r="O27" s="179">
        <f t="shared" si="6"/>
        <v>0</v>
      </c>
      <c r="P27" s="180">
        <f t="shared" si="7"/>
        <v>0</v>
      </c>
      <c r="Q27" s="180">
        <f t="shared" si="8"/>
        <v>0</v>
      </c>
      <c r="R27" s="181">
        <f t="shared" si="9"/>
        <v>0</v>
      </c>
      <c r="S27" s="129" t="str">
        <f t="shared" si="10"/>
        <v>-</v>
      </c>
      <c r="T27" s="157"/>
    </row>
    <row r="28" spans="1:20" ht="15" customHeight="1" x14ac:dyDescent="0.25">
      <c r="A28" s="152"/>
      <c r="B28" s="153"/>
      <c r="C28" s="153"/>
      <c r="D28" s="153"/>
      <c r="E28" s="78"/>
      <c r="F28" s="44" t="str">
        <f t="shared" si="0"/>
        <v>-</v>
      </c>
      <c r="G28" s="9" t="s">
        <v>27</v>
      </c>
      <c r="H28" s="46" t="str">
        <f t="shared" si="1"/>
        <v>-</v>
      </c>
      <c r="I28" s="39"/>
      <c r="J28" s="54" t="str">
        <f t="shared" si="2"/>
        <v>-</v>
      </c>
      <c r="K28" s="173">
        <v>10</v>
      </c>
      <c r="L28" s="178">
        <f t="shared" si="3"/>
        <v>0</v>
      </c>
      <c r="M28" s="175">
        <f t="shared" si="4"/>
        <v>0</v>
      </c>
      <c r="N28" s="179">
        <f t="shared" si="5"/>
        <v>0</v>
      </c>
      <c r="O28" s="179">
        <f t="shared" si="6"/>
        <v>0</v>
      </c>
      <c r="P28" s="180">
        <f t="shared" si="7"/>
        <v>0</v>
      </c>
      <c r="Q28" s="180">
        <f t="shared" si="8"/>
        <v>0</v>
      </c>
      <c r="R28" s="181">
        <f t="shared" si="9"/>
        <v>0</v>
      </c>
      <c r="S28" s="129" t="str">
        <f t="shared" si="10"/>
        <v>-</v>
      </c>
      <c r="T28" s="157"/>
    </row>
    <row r="29" spans="1:20" ht="15" customHeight="1" x14ac:dyDescent="0.25">
      <c r="A29" s="152"/>
      <c r="B29" s="153"/>
      <c r="C29" s="153"/>
      <c r="D29" s="153"/>
      <c r="E29" s="78"/>
      <c r="F29" s="44" t="str">
        <f t="shared" si="0"/>
        <v>-</v>
      </c>
      <c r="G29" s="9" t="s">
        <v>27</v>
      </c>
      <c r="H29" s="46" t="str">
        <f t="shared" si="1"/>
        <v>-</v>
      </c>
      <c r="I29" s="39"/>
      <c r="J29" s="54" t="str">
        <f t="shared" si="2"/>
        <v>-</v>
      </c>
      <c r="K29" s="173">
        <v>11</v>
      </c>
      <c r="L29" s="178">
        <f t="shared" si="3"/>
        <v>0</v>
      </c>
      <c r="M29" s="175">
        <f t="shared" si="4"/>
        <v>0</v>
      </c>
      <c r="N29" s="179">
        <f t="shared" si="5"/>
        <v>0</v>
      </c>
      <c r="O29" s="179">
        <f t="shared" si="6"/>
        <v>0</v>
      </c>
      <c r="P29" s="180">
        <f t="shared" si="7"/>
        <v>0</v>
      </c>
      <c r="Q29" s="180">
        <f t="shared" si="8"/>
        <v>0</v>
      </c>
      <c r="R29" s="181">
        <f t="shared" si="9"/>
        <v>0</v>
      </c>
      <c r="S29" s="129" t="str">
        <f t="shared" si="10"/>
        <v>-</v>
      </c>
      <c r="T29" s="157"/>
    </row>
    <row r="30" spans="1:20" ht="15" customHeight="1" x14ac:dyDescent="0.25">
      <c r="A30" s="152"/>
      <c r="B30" s="153"/>
      <c r="C30" s="153"/>
      <c r="D30" s="153"/>
      <c r="E30" s="78"/>
      <c r="F30" s="44" t="str">
        <f t="shared" si="0"/>
        <v>-</v>
      </c>
      <c r="G30" s="9" t="s">
        <v>27</v>
      </c>
      <c r="H30" s="46" t="str">
        <f t="shared" si="1"/>
        <v>-</v>
      </c>
      <c r="I30" s="39"/>
      <c r="J30" s="54" t="str">
        <f t="shared" si="2"/>
        <v>-</v>
      </c>
      <c r="K30" s="173">
        <v>12</v>
      </c>
      <c r="L30" s="178">
        <f t="shared" si="3"/>
        <v>0</v>
      </c>
      <c r="M30" s="175">
        <f t="shared" si="4"/>
        <v>0</v>
      </c>
      <c r="N30" s="179">
        <f t="shared" si="5"/>
        <v>0</v>
      </c>
      <c r="O30" s="179">
        <f t="shared" si="6"/>
        <v>0</v>
      </c>
      <c r="P30" s="180">
        <f t="shared" si="7"/>
        <v>0</v>
      </c>
      <c r="Q30" s="180">
        <f t="shared" si="8"/>
        <v>0</v>
      </c>
      <c r="R30" s="181">
        <f t="shared" si="9"/>
        <v>0</v>
      </c>
      <c r="S30" s="129" t="str">
        <f t="shared" si="10"/>
        <v>-</v>
      </c>
      <c r="T30" s="157"/>
    </row>
    <row r="31" spans="1:20" ht="15" customHeight="1" x14ac:dyDescent="0.25">
      <c r="A31" s="152"/>
      <c r="B31" s="153"/>
      <c r="C31" s="153"/>
      <c r="D31" s="153"/>
      <c r="E31" s="78"/>
      <c r="F31" s="44" t="str">
        <f t="shared" si="0"/>
        <v>-</v>
      </c>
      <c r="G31" s="9" t="s">
        <v>27</v>
      </c>
      <c r="H31" s="46" t="str">
        <f t="shared" si="1"/>
        <v>-</v>
      </c>
      <c r="I31" s="39"/>
      <c r="J31" s="54" t="str">
        <f t="shared" si="2"/>
        <v>-</v>
      </c>
      <c r="K31" s="173">
        <v>13</v>
      </c>
      <c r="L31" s="178">
        <f t="shared" si="3"/>
        <v>0</v>
      </c>
      <c r="M31" s="175">
        <f t="shared" si="4"/>
        <v>0</v>
      </c>
      <c r="N31" s="179">
        <f t="shared" si="5"/>
        <v>0</v>
      </c>
      <c r="O31" s="179">
        <f t="shared" si="6"/>
        <v>0</v>
      </c>
      <c r="P31" s="180">
        <f t="shared" si="7"/>
        <v>0</v>
      </c>
      <c r="Q31" s="180">
        <f t="shared" si="8"/>
        <v>0</v>
      </c>
      <c r="R31" s="181">
        <f t="shared" si="9"/>
        <v>0</v>
      </c>
      <c r="S31" s="129" t="str">
        <f t="shared" si="10"/>
        <v>-</v>
      </c>
      <c r="T31" s="157"/>
    </row>
    <row r="32" spans="1:20" ht="15" customHeight="1" x14ac:dyDescent="0.25">
      <c r="A32" s="152"/>
      <c r="B32" s="153"/>
      <c r="C32" s="153"/>
      <c r="D32" s="153"/>
      <c r="E32" s="78"/>
      <c r="F32" s="44" t="str">
        <f t="shared" si="0"/>
        <v>-</v>
      </c>
      <c r="G32" s="9" t="s">
        <v>27</v>
      </c>
      <c r="H32" s="46" t="str">
        <f t="shared" si="1"/>
        <v>-</v>
      </c>
      <c r="I32" s="39"/>
      <c r="J32" s="54" t="str">
        <f t="shared" si="2"/>
        <v>-</v>
      </c>
      <c r="K32" s="173">
        <v>14</v>
      </c>
      <c r="L32" s="178">
        <f t="shared" si="3"/>
        <v>0</v>
      </c>
      <c r="M32" s="175">
        <f t="shared" si="4"/>
        <v>0</v>
      </c>
      <c r="N32" s="179">
        <f t="shared" si="5"/>
        <v>0</v>
      </c>
      <c r="O32" s="179">
        <f t="shared" si="6"/>
        <v>0</v>
      </c>
      <c r="P32" s="180">
        <f t="shared" si="7"/>
        <v>0</v>
      </c>
      <c r="Q32" s="180">
        <f t="shared" si="8"/>
        <v>0</v>
      </c>
      <c r="R32" s="181">
        <f t="shared" si="9"/>
        <v>0</v>
      </c>
      <c r="S32" s="129" t="str">
        <f t="shared" si="10"/>
        <v>-</v>
      </c>
      <c r="T32" s="157"/>
    </row>
    <row r="33" spans="1:20" ht="15" customHeight="1" x14ac:dyDescent="0.25">
      <c r="A33" s="152"/>
      <c r="B33" s="153"/>
      <c r="C33" s="153"/>
      <c r="D33" s="153"/>
      <c r="E33" s="78"/>
      <c r="F33" s="44" t="str">
        <f t="shared" si="0"/>
        <v>-</v>
      </c>
      <c r="G33" s="9" t="s">
        <v>27</v>
      </c>
      <c r="H33" s="46" t="str">
        <f t="shared" si="1"/>
        <v>-</v>
      </c>
      <c r="I33" s="39"/>
      <c r="J33" s="54" t="str">
        <f t="shared" si="2"/>
        <v>-</v>
      </c>
      <c r="K33" s="173">
        <v>15</v>
      </c>
      <c r="L33" s="178">
        <f t="shared" si="3"/>
        <v>0</v>
      </c>
      <c r="M33" s="175">
        <f t="shared" si="4"/>
        <v>0</v>
      </c>
      <c r="N33" s="179">
        <f t="shared" si="5"/>
        <v>0</v>
      </c>
      <c r="O33" s="179">
        <f t="shared" si="6"/>
        <v>0</v>
      </c>
      <c r="P33" s="180">
        <f t="shared" si="7"/>
        <v>0</v>
      </c>
      <c r="Q33" s="180">
        <f t="shared" si="8"/>
        <v>0</v>
      </c>
      <c r="R33" s="181">
        <f t="shared" si="9"/>
        <v>0</v>
      </c>
      <c r="S33" s="129" t="str">
        <f t="shared" si="10"/>
        <v>-</v>
      </c>
      <c r="T33" s="157"/>
    </row>
    <row r="34" spans="1:20" ht="15" customHeight="1" x14ac:dyDescent="0.25">
      <c r="A34" s="152"/>
      <c r="B34" s="153"/>
      <c r="C34" s="153"/>
      <c r="D34" s="153"/>
      <c r="E34" s="78"/>
      <c r="F34" s="44" t="str">
        <f t="shared" si="0"/>
        <v>-</v>
      </c>
      <c r="G34" s="9" t="s">
        <v>27</v>
      </c>
      <c r="H34" s="46" t="str">
        <f t="shared" si="1"/>
        <v>-</v>
      </c>
      <c r="I34" s="39"/>
      <c r="J34" s="54" t="str">
        <f t="shared" si="2"/>
        <v>-</v>
      </c>
      <c r="K34" s="173">
        <v>16</v>
      </c>
      <c r="L34" s="178">
        <f t="shared" si="3"/>
        <v>0</v>
      </c>
      <c r="M34" s="175">
        <f t="shared" si="4"/>
        <v>0</v>
      </c>
      <c r="N34" s="179">
        <f t="shared" si="5"/>
        <v>0</v>
      </c>
      <c r="O34" s="179">
        <f t="shared" si="6"/>
        <v>0</v>
      </c>
      <c r="P34" s="180">
        <f t="shared" si="7"/>
        <v>0</v>
      </c>
      <c r="Q34" s="180">
        <f t="shared" si="8"/>
        <v>0</v>
      </c>
      <c r="R34" s="181">
        <f t="shared" si="9"/>
        <v>0</v>
      </c>
      <c r="S34" s="129" t="str">
        <f t="shared" si="10"/>
        <v>-</v>
      </c>
      <c r="T34" s="157"/>
    </row>
    <row r="35" spans="1:20" ht="15" customHeight="1" x14ac:dyDescent="0.25">
      <c r="A35" s="152"/>
      <c r="B35" s="153"/>
      <c r="C35" s="153"/>
      <c r="D35" s="153"/>
      <c r="E35" s="78"/>
      <c r="F35" s="44" t="str">
        <f t="shared" si="0"/>
        <v>-</v>
      </c>
      <c r="G35" s="9" t="s">
        <v>27</v>
      </c>
      <c r="H35" s="46" t="str">
        <f t="shared" si="1"/>
        <v>-</v>
      </c>
      <c r="I35" s="39"/>
      <c r="J35" s="54" t="str">
        <f t="shared" si="2"/>
        <v>-</v>
      </c>
      <c r="K35" s="173">
        <v>17</v>
      </c>
      <c r="L35" s="178">
        <f t="shared" si="3"/>
        <v>0</v>
      </c>
      <c r="M35" s="175">
        <f t="shared" si="4"/>
        <v>0</v>
      </c>
      <c r="N35" s="179">
        <f t="shared" si="5"/>
        <v>0</v>
      </c>
      <c r="O35" s="179">
        <f t="shared" si="6"/>
        <v>0</v>
      </c>
      <c r="P35" s="180">
        <f t="shared" si="7"/>
        <v>0</v>
      </c>
      <c r="Q35" s="180">
        <f t="shared" si="8"/>
        <v>0</v>
      </c>
      <c r="R35" s="181">
        <f t="shared" si="9"/>
        <v>0</v>
      </c>
      <c r="S35" s="129" t="str">
        <f t="shared" si="10"/>
        <v>-</v>
      </c>
      <c r="T35" s="157"/>
    </row>
    <row r="36" spans="1:20" ht="15" customHeight="1" x14ac:dyDescent="0.25">
      <c r="A36" s="152"/>
      <c r="B36" s="153"/>
      <c r="C36" s="153"/>
      <c r="D36" s="153"/>
      <c r="E36" s="78"/>
      <c r="F36" s="44" t="str">
        <f t="shared" si="0"/>
        <v>-</v>
      </c>
      <c r="G36" s="9" t="s">
        <v>27</v>
      </c>
      <c r="H36" s="46" t="str">
        <f t="shared" si="1"/>
        <v>-</v>
      </c>
      <c r="I36" s="39"/>
      <c r="J36" s="54" t="str">
        <f t="shared" si="2"/>
        <v>-</v>
      </c>
      <c r="K36" s="173">
        <v>18</v>
      </c>
      <c r="L36" s="178">
        <f t="shared" si="3"/>
        <v>0</v>
      </c>
      <c r="M36" s="175">
        <f t="shared" si="4"/>
        <v>0</v>
      </c>
      <c r="N36" s="179">
        <f t="shared" si="5"/>
        <v>0</v>
      </c>
      <c r="O36" s="179">
        <f t="shared" si="6"/>
        <v>0</v>
      </c>
      <c r="P36" s="180">
        <f t="shared" si="7"/>
        <v>0</v>
      </c>
      <c r="Q36" s="180">
        <f t="shared" si="8"/>
        <v>0</v>
      </c>
      <c r="R36" s="181">
        <f t="shared" si="9"/>
        <v>0</v>
      </c>
      <c r="S36" s="129" t="str">
        <f t="shared" si="10"/>
        <v>-</v>
      </c>
      <c r="T36" s="157"/>
    </row>
    <row r="37" spans="1:20" ht="15" customHeight="1" x14ac:dyDescent="0.25">
      <c r="A37" s="152"/>
      <c r="B37" s="153"/>
      <c r="C37" s="153"/>
      <c r="D37" s="153"/>
      <c r="E37" s="78"/>
      <c r="F37" s="44" t="str">
        <f t="shared" si="0"/>
        <v>-</v>
      </c>
      <c r="G37" s="9" t="s">
        <v>27</v>
      </c>
      <c r="H37" s="46" t="str">
        <f t="shared" si="1"/>
        <v>-</v>
      </c>
      <c r="I37" s="39"/>
      <c r="J37" s="54" t="str">
        <f t="shared" si="2"/>
        <v>-</v>
      </c>
      <c r="K37" s="173">
        <v>19</v>
      </c>
      <c r="L37" s="178">
        <f t="shared" si="3"/>
        <v>0</v>
      </c>
      <c r="M37" s="175">
        <f t="shared" si="4"/>
        <v>0</v>
      </c>
      <c r="N37" s="179">
        <f t="shared" si="5"/>
        <v>0</v>
      </c>
      <c r="O37" s="179">
        <f t="shared" si="6"/>
        <v>0</v>
      </c>
      <c r="P37" s="180">
        <f t="shared" si="7"/>
        <v>0</v>
      </c>
      <c r="Q37" s="180">
        <f t="shared" si="8"/>
        <v>0</v>
      </c>
      <c r="R37" s="181">
        <f t="shared" si="9"/>
        <v>0</v>
      </c>
      <c r="S37" s="129" t="str">
        <f t="shared" si="10"/>
        <v>-</v>
      </c>
      <c r="T37" s="157"/>
    </row>
    <row r="38" spans="1:20" ht="15" customHeight="1" x14ac:dyDescent="0.25">
      <c r="A38" s="152"/>
      <c r="B38" s="153"/>
      <c r="C38" s="153"/>
      <c r="D38" s="153"/>
      <c r="E38" s="78"/>
      <c r="F38" s="44" t="str">
        <f t="shared" si="0"/>
        <v>-</v>
      </c>
      <c r="G38" s="9" t="s">
        <v>27</v>
      </c>
      <c r="H38" s="46" t="str">
        <f t="shared" si="1"/>
        <v>-</v>
      </c>
      <c r="I38" s="39"/>
      <c r="J38" s="54" t="str">
        <f t="shared" si="2"/>
        <v>-</v>
      </c>
      <c r="K38" s="173">
        <v>20</v>
      </c>
      <c r="L38" s="178">
        <f t="shared" si="3"/>
        <v>0</v>
      </c>
      <c r="M38" s="175">
        <f t="shared" si="4"/>
        <v>0</v>
      </c>
      <c r="N38" s="179">
        <f t="shared" si="5"/>
        <v>0</v>
      </c>
      <c r="O38" s="179">
        <f t="shared" si="6"/>
        <v>0</v>
      </c>
      <c r="P38" s="180">
        <f t="shared" si="7"/>
        <v>0</v>
      </c>
      <c r="Q38" s="180">
        <f t="shared" si="8"/>
        <v>0</v>
      </c>
      <c r="R38" s="181">
        <f t="shared" si="9"/>
        <v>0</v>
      </c>
      <c r="S38" s="129" t="str">
        <f t="shared" si="10"/>
        <v>-</v>
      </c>
      <c r="T38" s="157"/>
    </row>
    <row r="39" spans="1:20" ht="15" customHeight="1" x14ac:dyDescent="0.25">
      <c r="A39" s="152"/>
      <c r="B39" s="153"/>
      <c r="C39" s="153"/>
      <c r="D39" s="153"/>
      <c r="E39" s="78"/>
      <c r="F39" s="44" t="str">
        <f t="shared" si="0"/>
        <v>-</v>
      </c>
      <c r="G39" s="9" t="s">
        <v>27</v>
      </c>
      <c r="H39" s="46" t="str">
        <f t="shared" si="1"/>
        <v>-</v>
      </c>
      <c r="I39" s="39"/>
      <c r="J39" s="54" t="str">
        <f t="shared" si="2"/>
        <v>-</v>
      </c>
      <c r="K39" s="173">
        <v>21</v>
      </c>
      <c r="L39" s="178">
        <f t="shared" si="3"/>
        <v>0</v>
      </c>
      <c r="M39" s="175">
        <f t="shared" si="4"/>
        <v>0</v>
      </c>
      <c r="N39" s="179">
        <f t="shared" si="5"/>
        <v>0</v>
      </c>
      <c r="O39" s="179">
        <f t="shared" si="6"/>
        <v>0</v>
      </c>
      <c r="P39" s="180">
        <f t="shared" si="7"/>
        <v>0</v>
      </c>
      <c r="Q39" s="180">
        <f t="shared" si="8"/>
        <v>0</v>
      </c>
      <c r="R39" s="181">
        <f t="shared" si="9"/>
        <v>0</v>
      </c>
      <c r="S39" s="129" t="str">
        <f t="shared" si="10"/>
        <v>-</v>
      </c>
      <c r="T39" s="157"/>
    </row>
    <row r="40" spans="1:20" ht="15" customHeight="1" x14ac:dyDescent="0.25">
      <c r="A40" s="152"/>
      <c r="B40" s="153"/>
      <c r="C40" s="153"/>
      <c r="D40" s="153"/>
      <c r="E40" s="78"/>
      <c r="F40" s="44" t="str">
        <f t="shared" si="0"/>
        <v>-</v>
      </c>
      <c r="G40" s="9" t="s">
        <v>27</v>
      </c>
      <c r="H40" s="46" t="str">
        <f t="shared" si="1"/>
        <v>-</v>
      </c>
      <c r="I40" s="39"/>
      <c r="J40" s="54" t="str">
        <f t="shared" si="2"/>
        <v>-</v>
      </c>
      <c r="K40" s="173">
        <v>22</v>
      </c>
      <c r="L40" s="178">
        <f t="shared" si="3"/>
        <v>0</v>
      </c>
      <c r="M40" s="175">
        <f t="shared" si="4"/>
        <v>0</v>
      </c>
      <c r="N40" s="179">
        <f t="shared" si="5"/>
        <v>0</v>
      </c>
      <c r="O40" s="179">
        <f t="shared" si="6"/>
        <v>0</v>
      </c>
      <c r="P40" s="180">
        <f t="shared" si="7"/>
        <v>0</v>
      </c>
      <c r="Q40" s="180">
        <f t="shared" si="8"/>
        <v>0</v>
      </c>
      <c r="R40" s="181">
        <f t="shared" si="9"/>
        <v>0</v>
      </c>
      <c r="S40" s="129" t="str">
        <f t="shared" si="10"/>
        <v>-</v>
      </c>
      <c r="T40" s="157"/>
    </row>
    <row r="41" spans="1:20" ht="15" customHeight="1" x14ac:dyDescent="0.25">
      <c r="A41" s="152"/>
      <c r="B41" s="153"/>
      <c r="C41" s="153"/>
      <c r="D41" s="153"/>
      <c r="E41" s="78"/>
      <c r="F41" s="44" t="str">
        <f t="shared" si="0"/>
        <v>-</v>
      </c>
      <c r="G41" s="9" t="s">
        <v>27</v>
      </c>
      <c r="H41" s="46" t="str">
        <f t="shared" si="1"/>
        <v>-</v>
      </c>
      <c r="I41" s="39"/>
      <c r="J41" s="54" t="str">
        <f t="shared" si="2"/>
        <v>-</v>
      </c>
      <c r="K41" s="173">
        <v>23</v>
      </c>
      <c r="L41" s="178">
        <f t="shared" si="3"/>
        <v>0</v>
      </c>
      <c r="M41" s="175">
        <f t="shared" si="4"/>
        <v>0</v>
      </c>
      <c r="N41" s="179">
        <f t="shared" si="5"/>
        <v>0</v>
      </c>
      <c r="O41" s="179">
        <f t="shared" si="6"/>
        <v>0</v>
      </c>
      <c r="P41" s="180">
        <f t="shared" si="7"/>
        <v>0</v>
      </c>
      <c r="Q41" s="180">
        <f t="shared" si="8"/>
        <v>0</v>
      </c>
      <c r="R41" s="181">
        <f t="shared" si="9"/>
        <v>0</v>
      </c>
      <c r="S41" s="129" t="str">
        <f t="shared" si="10"/>
        <v>-</v>
      </c>
      <c r="T41" s="157"/>
    </row>
    <row r="42" spans="1:20" ht="15" customHeight="1" x14ac:dyDescent="0.25">
      <c r="A42" s="152"/>
      <c r="B42" s="153"/>
      <c r="C42" s="153"/>
      <c r="D42" s="153"/>
      <c r="E42" s="78"/>
      <c r="F42" s="44" t="str">
        <f t="shared" si="0"/>
        <v>-</v>
      </c>
      <c r="G42" s="9" t="s">
        <v>27</v>
      </c>
      <c r="H42" s="46" t="str">
        <f t="shared" si="1"/>
        <v>-</v>
      </c>
      <c r="I42" s="39"/>
      <c r="J42" s="54" t="str">
        <f t="shared" si="2"/>
        <v>-</v>
      </c>
      <c r="K42" s="173">
        <v>24</v>
      </c>
      <c r="L42" s="178">
        <f t="shared" si="3"/>
        <v>0</v>
      </c>
      <c r="M42" s="175">
        <f t="shared" si="4"/>
        <v>0</v>
      </c>
      <c r="N42" s="179">
        <f t="shared" si="5"/>
        <v>0</v>
      </c>
      <c r="O42" s="179">
        <f t="shared" si="6"/>
        <v>0</v>
      </c>
      <c r="P42" s="180">
        <f t="shared" si="7"/>
        <v>0</v>
      </c>
      <c r="Q42" s="180">
        <f t="shared" si="8"/>
        <v>0</v>
      </c>
      <c r="R42" s="181">
        <f t="shared" si="9"/>
        <v>0</v>
      </c>
      <c r="S42" s="129" t="str">
        <f t="shared" si="10"/>
        <v>-</v>
      </c>
      <c r="T42" s="157"/>
    </row>
    <row r="43" spans="1:20" ht="15" customHeight="1" x14ac:dyDescent="0.25">
      <c r="A43" s="152"/>
      <c r="B43" s="153"/>
      <c r="C43" s="153"/>
      <c r="D43" s="153"/>
      <c r="E43" s="78"/>
      <c r="F43" s="44" t="str">
        <f t="shared" si="0"/>
        <v>-</v>
      </c>
      <c r="G43" s="9" t="s">
        <v>27</v>
      </c>
      <c r="H43" s="46" t="str">
        <f t="shared" si="1"/>
        <v>-</v>
      </c>
      <c r="I43" s="39"/>
      <c r="J43" s="54" t="str">
        <f t="shared" si="2"/>
        <v>-</v>
      </c>
      <c r="K43" s="173">
        <v>25</v>
      </c>
      <c r="L43" s="178">
        <f t="shared" si="3"/>
        <v>0</v>
      </c>
      <c r="M43" s="175">
        <f t="shared" si="4"/>
        <v>0</v>
      </c>
      <c r="N43" s="179">
        <f t="shared" si="5"/>
        <v>0</v>
      </c>
      <c r="O43" s="179">
        <f t="shared" si="6"/>
        <v>0</v>
      </c>
      <c r="P43" s="180">
        <f t="shared" si="7"/>
        <v>0</v>
      </c>
      <c r="Q43" s="180">
        <f t="shared" si="8"/>
        <v>0</v>
      </c>
      <c r="R43" s="181">
        <f t="shared" si="9"/>
        <v>0</v>
      </c>
      <c r="S43" s="129" t="str">
        <f t="shared" si="10"/>
        <v>-</v>
      </c>
      <c r="T43" s="157"/>
    </row>
    <row r="44" spans="1:20" ht="15" customHeight="1" x14ac:dyDescent="0.25">
      <c r="A44" s="152"/>
      <c r="B44" s="153"/>
      <c r="C44" s="153"/>
      <c r="D44" s="153"/>
      <c r="E44" s="78"/>
      <c r="F44" s="44" t="str">
        <f t="shared" si="0"/>
        <v>-</v>
      </c>
      <c r="G44" s="9" t="s">
        <v>27</v>
      </c>
      <c r="H44" s="46" t="str">
        <f t="shared" si="1"/>
        <v>-</v>
      </c>
      <c r="I44" s="39"/>
      <c r="J44" s="54" t="str">
        <f t="shared" si="2"/>
        <v>-</v>
      </c>
      <c r="K44" s="173">
        <v>26</v>
      </c>
      <c r="L44" s="178">
        <f t="shared" si="3"/>
        <v>0</v>
      </c>
      <c r="M44" s="175">
        <f t="shared" si="4"/>
        <v>0</v>
      </c>
      <c r="N44" s="179">
        <f t="shared" si="5"/>
        <v>0</v>
      </c>
      <c r="O44" s="179">
        <f t="shared" si="6"/>
        <v>0</v>
      </c>
      <c r="P44" s="180">
        <f t="shared" si="7"/>
        <v>0</v>
      </c>
      <c r="Q44" s="180">
        <f t="shared" si="8"/>
        <v>0</v>
      </c>
      <c r="R44" s="181">
        <f t="shared" si="9"/>
        <v>0</v>
      </c>
      <c r="S44" s="129" t="str">
        <f t="shared" si="10"/>
        <v>-</v>
      </c>
      <c r="T44" s="157"/>
    </row>
    <row r="45" spans="1:20" ht="15" customHeight="1" x14ac:dyDescent="0.25">
      <c r="A45" s="152"/>
      <c r="B45" s="153"/>
      <c r="C45" s="153"/>
      <c r="D45" s="153"/>
      <c r="E45" s="78"/>
      <c r="F45" s="44" t="str">
        <f t="shared" si="0"/>
        <v>-</v>
      </c>
      <c r="G45" s="9" t="s">
        <v>27</v>
      </c>
      <c r="H45" s="46" t="str">
        <f t="shared" si="1"/>
        <v>-</v>
      </c>
      <c r="I45" s="39"/>
      <c r="J45" s="54" t="str">
        <f t="shared" si="2"/>
        <v>-</v>
      </c>
      <c r="K45" s="173">
        <v>27</v>
      </c>
      <c r="L45" s="178">
        <f t="shared" si="3"/>
        <v>0</v>
      </c>
      <c r="M45" s="175">
        <f t="shared" si="4"/>
        <v>0</v>
      </c>
      <c r="N45" s="179">
        <f t="shared" si="5"/>
        <v>0</v>
      </c>
      <c r="O45" s="179">
        <f t="shared" si="6"/>
        <v>0</v>
      </c>
      <c r="P45" s="180">
        <f t="shared" si="7"/>
        <v>0</v>
      </c>
      <c r="Q45" s="180">
        <f t="shared" si="8"/>
        <v>0</v>
      </c>
      <c r="R45" s="181">
        <f t="shared" si="9"/>
        <v>0</v>
      </c>
      <c r="S45" s="129" t="str">
        <f t="shared" si="10"/>
        <v>-</v>
      </c>
      <c r="T45" s="157"/>
    </row>
    <row r="46" spans="1:20" ht="15" customHeight="1" x14ac:dyDescent="0.25">
      <c r="A46" s="152"/>
      <c r="B46" s="153"/>
      <c r="C46" s="153"/>
      <c r="D46" s="153"/>
      <c r="E46" s="78"/>
      <c r="F46" s="44" t="str">
        <f t="shared" si="0"/>
        <v>-</v>
      </c>
      <c r="G46" s="9" t="s">
        <v>27</v>
      </c>
      <c r="H46" s="46" t="str">
        <f t="shared" si="1"/>
        <v>-</v>
      </c>
      <c r="I46" s="39"/>
      <c r="J46" s="54" t="str">
        <f t="shared" si="2"/>
        <v>-</v>
      </c>
      <c r="K46" s="173">
        <v>28</v>
      </c>
      <c r="L46" s="178">
        <f t="shared" si="3"/>
        <v>0</v>
      </c>
      <c r="M46" s="175">
        <f t="shared" si="4"/>
        <v>0</v>
      </c>
      <c r="N46" s="179">
        <f t="shared" si="5"/>
        <v>0</v>
      </c>
      <c r="O46" s="179">
        <f t="shared" si="6"/>
        <v>0</v>
      </c>
      <c r="P46" s="180">
        <f t="shared" si="7"/>
        <v>0</v>
      </c>
      <c r="Q46" s="180">
        <f t="shared" si="8"/>
        <v>0</v>
      </c>
      <c r="R46" s="181">
        <f t="shared" si="9"/>
        <v>0</v>
      </c>
      <c r="S46" s="129" t="str">
        <f t="shared" si="10"/>
        <v>-</v>
      </c>
      <c r="T46" s="157"/>
    </row>
    <row r="47" spans="1:20" ht="15" customHeight="1" x14ac:dyDescent="0.25">
      <c r="A47" s="152"/>
      <c r="B47" s="153"/>
      <c r="C47" s="153"/>
      <c r="D47" s="153"/>
      <c r="E47" s="78"/>
      <c r="F47" s="44" t="str">
        <f t="shared" si="0"/>
        <v>-</v>
      </c>
      <c r="G47" s="9" t="s">
        <v>27</v>
      </c>
      <c r="H47" s="46" t="str">
        <f t="shared" si="1"/>
        <v>-</v>
      </c>
      <c r="I47" s="39"/>
      <c r="J47" s="54" t="str">
        <f t="shared" si="2"/>
        <v>-</v>
      </c>
      <c r="K47" s="173">
        <v>29</v>
      </c>
      <c r="L47" s="178">
        <f t="shared" si="3"/>
        <v>0</v>
      </c>
      <c r="M47" s="175">
        <f t="shared" si="4"/>
        <v>0</v>
      </c>
      <c r="N47" s="179">
        <f t="shared" si="5"/>
        <v>0</v>
      </c>
      <c r="O47" s="179">
        <f t="shared" si="6"/>
        <v>0</v>
      </c>
      <c r="P47" s="180">
        <f t="shared" si="7"/>
        <v>0</v>
      </c>
      <c r="Q47" s="180">
        <f t="shared" si="8"/>
        <v>0</v>
      </c>
      <c r="R47" s="181">
        <f t="shared" si="9"/>
        <v>0</v>
      </c>
      <c r="S47" s="129" t="str">
        <f t="shared" si="10"/>
        <v>-</v>
      </c>
      <c r="T47" s="157"/>
    </row>
    <row r="48" spans="1:20" ht="15" customHeight="1" x14ac:dyDescent="0.25">
      <c r="A48" s="152"/>
      <c r="B48" s="153"/>
      <c r="C48" s="153"/>
      <c r="D48" s="153"/>
      <c r="E48" s="78"/>
      <c r="F48" s="44" t="str">
        <f t="shared" si="0"/>
        <v>-</v>
      </c>
      <c r="G48" s="9" t="s">
        <v>27</v>
      </c>
      <c r="H48" s="46" t="str">
        <f t="shared" si="1"/>
        <v>-</v>
      </c>
      <c r="I48" s="39"/>
      <c r="J48" s="54" t="str">
        <f t="shared" si="2"/>
        <v>-</v>
      </c>
      <c r="K48" s="173">
        <v>30</v>
      </c>
      <c r="L48" s="178">
        <f t="shared" si="3"/>
        <v>0</v>
      </c>
      <c r="M48" s="175">
        <f t="shared" si="4"/>
        <v>0</v>
      </c>
      <c r="N48" s="179">
        <f t="shared" si="5"/>
        <v>0</v>
      </c>
      <c r="O48" s="179">
        <f t="shared" si="6"/>
        <v>0</v>
      </c>
      <c r="P48" s="180">
        <f t="shared" si="7"/>
        <v>0</v>
      </c>
      <c r="Q48" s="180">
        <f t="shared" si="8"/>
        <v>0</v>
      </c>
      <c r="R48" s="181">
        <f t="shared" si="9"/>
        <v>0</v>
      </c>
      <c r="S48" s="129" t="str">
        <f t="shared" si="10"/>
        <v>-</v>
      </c>
      <c r="T48" s="157"/>
    </row>
    <row r="49" spans="1:20" ht="15" customHeight="1" x14ac:dyDescent="0.25">
      <c r="A49" s="152"/>
      <c r="B49" s="153"/>
      <c r="C49" s="153"/>
      <c r="D49" s="153"/>
      <c r="E49" s="78"/>
      <c r="F49" s="44" t="str">
        <f t="shared" si="0"/>
        <v>-</v>
      </c>
      <c r="G49" s="9" t="s">
        <v>27</v>
      </c>
      <c r="H49" s="46" t="str">
        <f t="shared" si="1"/>
        <v>-</v>
      </c>
      <c r="I49" s="39"/>
      <c r="J49" s="54" t="str">
        <f t="shared" si="2"/>
        <v>-</v>
      </c>
      <c r="K49" s="173">
        <v>31</v>
      </c>
      <c r="L49" s="178">
        <f t="shared" si="3"/>
        <v>0</v>
      </c>
      <c r="M49" s="175">
        <f t="shared" si="4"/>
        <v>0</v>
      </c>
      <c r="N49" s="179">
        <f t="shared" si="5"/>
        <v>0</v>
      </c>
      <c r="O49" s="179">
        <f t="shared" si="6"/>
        <v>0</v>
      </c>
      <c r="P49" s="180">
        <f t="shared" si="7"/>
        <v>0</v>
      </c>
      <c r="Q49" s="180">
        <f t="shared" si="8"/>
        <v>0</v>
      </c>
      <c r="R49" s="181">
        <f t="shared" si="9"/>
        <v>0</v>
      </c>
      <c r="S49" s="129" t="str">
        <f t="shared" si="10"/>
        <v>-</v>
      </c>
      <c r="T49" s="157"/>
    </row>
    <row r="50" spans="1:20" ht="15" customHeight="1" x14ac:dyDescent="0.25">
      <c r="A50" s="152"/>
      <c r="B50" s="153"/>
      <c r="C50" s="153"/>
      <c r="D50" s="153"/>
      <c r="E50" s="78"/>
      <c r="F50" s="44" t="str">
        <f t="shared" si="0"/>
        <v>-</v>
      </c>
      <c r="G50" s="9" t="s">
        <v>27</v>
      </c>
      <c r="H50" s="46" t="str">
        <f t="shared" si="1"/>
        <v>-</v>
      </c>
      <c r="I50" s="39"/>
      <c r="J50" s="54" t="str">
        <f t="shared" si="2"/>
        <v>-</v>
      </c>
      <c r="K50" s="173">
        <v>32</v>
      </c>
      <c r="L50" s="178">
        <f t="shared" si="3"/>
        <v>0</v>
      </c>
      <c r="M50" s="175">
        <f t="shared" si="4"/>
        <v>0</v>
      </c>
      <c r="N50" s="179">
        <f t="shared" si="5"/>
        <v>0</v>
      </c>
      <c r="O50" s="179">
        <f t="shared" si="6"/>
        <v>0</v>
      </c>
      <c r="P50" s="180">
        <f t="shared" si="7"/>
        <v>0</v>
      </c>
      <c r="Q50" s="180">
        <f t="shared" si="8"/>
        <v>0</v>
      </c>
      <c r="R50" s="181">
        <f t="shared" si="9"/>
        <v>0</v>
      </c>
      <c r="S50" s="129" t="str">
        <f t="shared" si="10"/>
        <v>-</v>
      </c>
      <c r="T50" s="157"/>
    </row>
    <row r="51" spans="1:20" ht="15" customHeight="1" x14ac:dyDescent="0.25">
      <c r="A51" s="152"/>
      <c r="B51" s="153"/>
      <c r="C51" s="153"/>
      <c r="D51" s="153"/>
      <c r="E51" s="78"/>
      <c r="F51" s="44" t="str">
        <f t="shared" si="0"/>
        <v>-</v>
      </c>
      <c r="G51" s="9" t="s">
        <v>27</v>
      </c>
      <c r="H51" s="46" t="str">
        <f t="shared" si="1"/>
        <v>-</v>
      </c>
      <c r="I51" s="39"/>
      <c r="J51" s="54" t="str">
        <f t="shared" si="2"/>
        <v>-</v>
      </c>
      <c r="K51" s="173">
        <v>33</v>
      </c>
      <c r="L51" s="178">
        <f t="shared" si="3"/>
        <v>0</v>
      </c>
      <c r="M51" s="175">
        <f t="shared" si="4"/>
        <v>0</v>
      </c>
      <c r="N51" s="179">
        <f t="shared" si="5"/>
        <v>0</v>
      </c>
      <c r="O51" s="179">
        <f t="shared" si="6"/>
        <v>0</v>
      </c>
      <c r="P51" s="180">
        <f t="shared" si="7"/>
        <v>0</v>
      </c>
      <c r="Q51" s="180">
        <f t="shared" si="8"/>
        <v>0</v>
      </c>
      <c r="R51" s="181">
        <f t="shared" si="9"/>
        <v>0</v>
      </c>
      <c r="S51" s="129" t="str">
        <f t="shared" si="10"/>
        <v>-</v>
      </c>
      <c r="T51" s="157"/>
    </row>
    <row r="52" spans="1:20" ht="15" customHeight="1" x14ac:dyDescent="0.25">
      <c r="A52" s="152"/>
      <c r="B52" s="153"/>
      <c r="C52" s="153"/>
      <c r="D52" s="153"/>
      <c r="E52" s="78"/>
      <c r="F52" s="44" t="str">
        <f t="shared" si="0"/>
        <v>-</v>
      </c>
      <c r="G52" s="9" t="s">
        <v>27</v>
      </c>
      <c r="H52" s="46" t="str">
        <f t="shared" si="1"/>
        <v>-</v>
      </c>
      <c r="I52" s="39"/>
      <c r="J52" s="54" t="str">
        <f t="shared" si="2"/>
        <v>-</v>
      </c>
      <c r="K52" s="173">
        <v>34</v>
      </c>
      <c r="L52" s="178">
        <f t="shared" si="3"/>
        <v>0</v>
      </c>
      <c r="M52" s="175">
        <f t="shared" si="4"/>
        <v>0</v>
      </c>
      <c r="N52" s="179">
        <f t="shared" si="5"/>
        <v>0</v>
      </c>
      <c r="O52" s="179">
        <f t="shared" si="6"/>
        <v>0</v>
      </c>
      <c r="P52" s="180">
        <f t="shared" si="7"/>
        <v>0</v>
      </c>
      <c r="Q52" s="180">
        <f t="shared" si="8"/>
        <v>0</v>
      </c>
      <c r="R52" s="181">
        <f t="shared" si="9"/>
        <v>0</v>
      </c>
      <c r="S52" s="129" t="str">
        <f t="shared" si="10"/>
        <v>-</v>
      </c>
      <c r="T52" s="157"/>
    </row>
    <row r="53" spans="1:20" ht="15" customHeight="1" x14ac:dyDescent="0.25">
      <c r="A53" s="152"/>
      <c r="B53" s="153"/>
      <c r="C53" s="153"/>
      <c r="D53" s="153"/>
      <c r="E53" s="78"/>
      <c r="F53" s="44" t="str">
        <f t="shared" si="0"/>
        <v>-</v>
      </c>
      <c r="G53" s="9" t="s">
        <v>27</v>
      </c>
      <c r="H53" s="46" t="str">
        <f t="shared" si="1"/>
        <v>-</v>
      </c>
      <c r="I53" s="39"/>
      <c r="J53" s="54" t="str">
        <f t="shared" si="2"/>
        <v>-</v>
      </c>
      <c r="K53" s="173">
        <v>35</v>
      </c>
      <c r="L53" s="178">
        <f t="shared" si="3"/>
        <v>0</v>
      </c>
      <c r="M53" s="175">
        <f t="shared" si="4"/>
        <v>0</v>
      </c>
      <c r="N53" s="179">
        <f t="shared" si="5"/>
        <v>0</v>
      </c>
      <c r="O53" s="179">
        <f t="shared" si="6"/>
        <v>0</v>
      </c>
      <c r="P53" s="180">
        <f t="shared" si="7"/>
        <v>0</v>
      </c>
      <c r="Q53" s="180">
        <f t="shared" si="8"/>
        <v>0</v>
      </c>
      <c r="R53" s="181">
        <f t="shared" si="9"/>
        <v>0</v>
      </c>
      <c r="S53" s="129" t="str">
        <f t="shared" si="10"/>
        <v>-</v>
      </c>
      <c r="T53" s="157"/>
    </row>
    <row r="54" spans="1:20" ht="15" customHeight="1" x14ac:dyDescent="0.25">
      <c r="A54" s="152"/>
      <c r="B54" s="153"/>
      <c r="C54" s="153"/>
      <c r="D54" s="153"/>
      <c r="E54" s="78"/>
      <c r="F54" s="44" t="str">
        <f t="shared" si="0"/>
        <v>-</v>
      </c>
      <c r="G54" s="9" t="s">
        <v>27</v>
      </c>
      <c r="H54" s="46" t="str">
        <f t="shared" si="1"/>
        <v>-</v>
      </c>
      <c r="I54" s="39"/>
      <c r="J54" s="54" t="str">
        <f t="shared" si="2"/>
        <v>-</v>
      </c>
      <c r="K54" s="173">
        <v>36</v>
      </c>
      <c r="L54" s="178">
        <f t="shared" si="3"/>
        <v>0</v>
      </c>
      <c r="M54" s="175">
        <f t="shared" si="4"/>
        <v>0</v>
      </c>
      <c r="N54" s="179">
        <f t="shared" si="5"/>
        <v>0</v>
      </c>
      <c r="O54" s="179">
        <f t="shared" si="6"/>
        <v>0</v>
      </c>
      <c r="P54" s="180">
        <f t="shared" si="7"/>
        <v>0</v>
      </c>
      <c r="Q54" s="180">
        <f t="shared" si="8"/>
        <v>0</v>
      </c>
      <c r="R54" s="181">
        <f t="shared" si="9"/>
        <v>0</v>
      </c>
      <c r="S54" s="129" t="str">
        <f t="shared" si="10"/>
        <v>-</v>
      </c>
      <c r="T54" s="157"/>
    </row>
    <row r="55" spans="1:20" ht="15" customHeight="1" x14ac:dyDescent="0.25">
      <c r="A55" s="152"/>
      <c r="B55" s="153"/>
      <c r="C55" s="153"/>
      <c r="D55" s="153"/>
      <c r="E55" s="78"/>
      <c r="F55" s="44" t="str">
        <f t="shared" si="0"/>
        <v>-</v>
      </c>
      <c r="G55" s="9" t="s">
        <v>27</v>
      </c>
      <c r="H55" s="46" t="str">
        <f t="shared" si="1"/>
        <v>-</v>
      </c>
      <c r="I55" s="39"/>
      <c r="J55" s="54" t="str">
        <f t="shared" si="2"/>
        <v>-</v>
      </c>
      <c r="K55" s="173">
        <v>37</v>
      </c>
      <c r="L55" s="178">
        <f t="shared" si="3"/>
        <v>0</v>
      </c>
      <c r="M55" s="175">
        <f t="shared" si="4"/>
        <v>0</v>
      </c>
      <c r="N55" s="179">
        <f t="shared" si="5"/>
        <v>0</v>
      </c>
      <c r="O55" s="179">
        <f t="shared" si="6"/>
        <v>0</v>
      </c>
      <c r="P55" s="180">
        <f t="shared" si="7"/>
        <v>0</v>
      </c>
      <c r="Q55" s="180">
        <f t="shared" si="8"/>
        <v>0</v>
      </c>
      <c r="R55" s="181">
        <f t="shared" si="9"/>
        <v>0</v>
      </c>
      <c r="S55" s="129" t="str">
        <f t="shared" si="10"/>
        <v>-</v>
      </c>
      <c r="T55" s="157"/>
    </row>
    <row r="56" spans="1:20" ht="15" customHeight="1" x14ac:dyDescent="0.25">
      <c r="A56" s="152"/>
      <c r="B56" s="153"/>
      <c r="C56" s="153"/>
      <c r="D56" s="153"/>
      <c r="E56" s="78"/>
      <c r="F56" s="44" t="str">
        <f t="shared" si="0"/>
        <v>-</v>
      </c>
      <c r="G56" s="9" t="s">
        <v>27</v>
      </c>
      <c r="H56" s="46" t="str">
        <f t="shared" si="1"/>
        <v>-</v>
      </c>
      <c r="I56" s="39"/>
      <c r="J56" s="54" t="str">
        <f t="shared" si="2"/>
        <v>-</v>
      </c>
      <c r="K56" s="173">
        <v>38</v>
      </c>
      <c r="L56" s="178">
        <f t="shared" si="3"/>
        <v>0</v>
      </c>
      <c r="M56" s="175">
        <f t="shared" si="4"/>
        <v>0</v>
      </c>
      <c r="N56" s="179">
        <f t="shared" si="5"/>
        <v>0</v>
      </c>
      <c r="O56" s="179">
        <f t="shared" si="6"/>
        <v>0</v>
      </c>
      <c r="P56" s="180">
        <f t="shared" si="7"/>
        <v>0</v>
      </c>
      <c r="Q56" s="180">
        <f t="shared" si="8"/>
        <v>0</v>
      </c>
      <c r="R56" s="181">
        <f t="shared" si="9"/>
        <v>0</v>
      </c>
      <c r="S56" s="129" t="str">
        <f t="shared" si="10"/>
        <v>-</v>
      </c>
      <c r="T56" s="157"/>
    </row>
    <row r="57" spans="1:20" ht="15" customHeight="1" x14ac:dyDescent="0.25">
      <c r="A57" s="152"/>
      <c r="B57" s="153"/>
      <c r="C57" s="153"/>
      <c r="D57" s="153"/>
      <c r="E57" s="78"/>
      <c r="F57" s="44" t="str">
        <f t="shared" si="0"/>
        <v>-</v>
      </c>
      <c r="G57" s="9" t="s">
        <v>27</v>
      </c>
      <c r="H57" s="46" t="str">
        <f t="shared" si="1"/>
        <v>-</v>
      </c>
      <c r="I57" s="39"/>
      <c r="J57" s="54" t="str">
        <f t="shared" si="2"/>
        <v>-</v>
      </c>
      <c r="K57" s="173">
        <v>39</v>
      </c>
      <c r="L57" s="178">
        <f t="shared" si="3"/>
        <v>0</v>
      </c>
      <c r="M57" s="175">
        <f t="shared" si="4"/>
        <v>0</v>
      </c>
      <c r="N57" s="179">
        <f t="shared" si="5"/>
        <v>0</v>
      </c>
      <c r="O57" s="179">
        <f t="shared" si="6"/>
        <v>0</v>
      </c>
      <c r="P57" s="180">
        <f t="shared" si="7"/>
        <v>0</v>
      </c>
      <c r="Q57" s="180">
        <f t="shared" si="8"/>
        <v>0</v>
      </c>
      <c r="R57" s="181">
        <f t="shared" si="9"/>
        <v>0</v>
      </c>
      <c r="S57" s="129" t="str">
        <f t="shared" si="10"/>
        <v>-</v>
      </c>
      <c r="T57" s="157"/>
    </row>
    <row r="58" spans="1:20" ht="15" customHeight="1" thickBot="1" x14ac:dyDescent="0.3">
      <c r="A58" s="152"/>
      <c r="B58" s="153"/>
      <c r="C58" s="153"/>
      <c r="D58" s="153"/>
      <c r="E58" s="79"/>
      <c r="F58" s="140" t="str">
        <f t="shared" si="0"/>
        <v>-</v>
      </c>
      <c r="G58" s="10" t="s">
        <v>27</v>
      </c>
      <c r="H58" s="47" t="str">
        <f t="shared" si="1"/>
        <v>-</v>
      </c>
      <c r="I58" s="40"/>
      <c r="J58" s="55" t="str">
        <f t="shared" si="2"/>
        <v>-</v>
      </c>
      <c r="K58" s="173">
        <v>40</v>
      </c>
      <c r="L58" s="178">
        <f t="shared" si="3"/>
        <v>0</v>
      </c>
      <c r="M58" s="175">
        <f t="shared" si="4"/>
        <v>0</v>
      </c>
      <c r="N58" s="179">
        <f t="shared" si="5"/>
        <v>0</v>
      </c>
      <c r="O58" s="179">
        <f t="shared" si="6"/>
        <v>0</v>
      </c>
      <c r="P58" s="180">
        <f t="shared" si="7"/>
        <v>0</v>
      </c>
      <c r="Q58" s="180">
        <f t="shared" si="8"/>
        <v>0</v>
      </c>
      <c r="R58" s="181">
        <f t="shared" si="9"/>
        <v>0</v>
      </c>
      <c r="S58" s="130" t="str">
        <f t="shared" si="10"/>
        <v>-</v>
      </c>
      <c r="T58" s="157"/>
    </row>
    <row r="59" spans="1:20" ht="20.100000000000001" customHeight="1" thickBot="1" x14ac:dyDescent="0.3">
      <c r="A59" s="154"/>
      <c r="B59" s="155"/>
      <c r="C59" s="155"/>
      <c r="D59" s="155"/>
      <c r="E59" s="155"/>
      <c r="F59" s="155"/>
      <c r="G59" s="155"/>
      <c r="H59" s="155"/>
      <c r="I59" s="156"/>
      <c r="J59" s="184"/>
      <c r="K59" s="155"/>
      <c r="L59" s="185"/>
      <c r="M59" s="185"/>
      <c r="N59" s="185"/>
      <c r="O59" s="185"/>
      <c r="P59" s="185"/>
      <c r="Q59" s="185"/>
      <c r="R59" s="185"/>
      <c r="S59" s="155"/>
      <c r="T59" s="186"/>
    </row>
    <row r="60" spans="1:20" ht="20.100000000000001" customHeight="1" x14ac:dyDescent="0.25">
      <c r="E60" s="6"/>
    </row>
    <row r="61" spans="1:20" ht="20.100000000000001" customHeight="1" x14ac:dyDescent="0.25">
      <c r="E61" s="6"/>
      <c r="F61" s="2"/>
    </row>
    <row r="62" spans="1:20" ht="20.100000000000001" customHeight="1" x14ac:dyDescent="0.25">
      <c r="F62" s="2"/>
    </row>
    <row r="63" spans="1:20" ht="20.100000000000001" customHeight="1" x14ac:dyDescent="0.25">
      <c r="F63" s="2"/>
    </row>
    <row r="64" spans="1:20" ht="20.100000000000001" customHeight="1" x14ac:dyDescent="0.25">
      <c r="F64" s="2"/>
    </row>
    <row r="65" spans="6:6" ht="20.100000000000001" customHeight="1" x14ac:dyDescent="0.25">
      <c r="F65" s="2"/>
    </row>
    <row r="66" spans="6:6" ht="20.100000000000001" customHeight="1" x14ac:dyDescent="0.25">
      <c r="F66" s="2"/>
    </row>
    <row r="67" spans="6:6" ht="20.100000000000001" customHeight="1" x14ac:dyDescent="0.25">
      <c r="F67" s="2"/>
    </row>
    <row r="68" spans="6:6" ht="20.100000000000001" customHeight="1" x14ac:dyDescent="0.25">
      <c r="F68" s="2"/>
    </row>
    <row r="69" spans="6:6" ht="20.100000000000001" customHeight="1" x14ac:dyDescent="0.25">
      <c r="F69" s="2"/>
    </row>
    <row r="70" spans="6:6" ht="20.100000000000001" customHeight="1" x14ac:dyDescent="0.25">
      <c r="F70" s="2"/>
    </row>
    <row r="71" spans="6:6" ht="20.100000000000001" customHeight="1" x14ac:dyDescent="0.25">
      <c r="F71" s="2"/>
    </row>
    <row r="72" spans="6:6" ht="20.100000000000001" customHeight="1" x14ac:dyDescent="0.25">
      <c r="F72" s="2"/>
    </row>
    <row r="73" spans="6:6" ht="20.100000000000001" customHeight="1" x14ac:dyDescent="0.25">
      <c r="F73" s="2"/>
    </row>
    <row r="74" spans="6:6" ht="20.100000000000001" customHeight="1" x14ac:dyDescent="0.25">
      <c r="F74" s="2"/>
    </row>
    <row r="75" spans="6:6" ht="20.100000000000001" customHeight="1" x14ac:dyDescent="0.25">
      <c r="F75" s="2"/>
    </row>
    <row r="76" spans="6:6" ht="20.100000000000001" customHeight="1" x14ac:dyDescent="0.25">
      <c r="F76" s="2"/>
    </row>
    <row r="77" spans="6:6" ht="20.100000000000001" customHeight="1" x14ac:dyDescent="0.25">
      <c r="F77" s="2"/>
    </row>
    <row r="78" spans="6:6" ht="20.100000000000001" customHeight="1" x14ac:dyDescent="0.25">
      <c r="F78" s="2"/>
    </row>
    <row r="79" spans="6:6" ht="20.100000000000001" customHeight="1" x14ac:dyDescent="0.25">
      <c r="F79" s="2"/>
    </row>
    <row r="80" spans="6:6" ht="20.100000000000001" customHeight="1" x14ac:dyDescent="0.25">
      <c r="F80" s="2"/>
    </row>
    <row r="81" spans="6:6" ht="20.100000000000001" customHeight="1" x14ac:dyDescent="0.25">
      <c r="F81" s="2"/>
    </row>
    <row r="82" spans="6:6" ht="20.100000000000001" customHeight="1" x14ac:dyDescent="0.25">
      <c r="F82" s="2"/>
    </row>
    <row r="83" spans="6:6" ht="20.100000000000001" customHeight="1" x14ac:dyDescent="0.25">
      <c r="F83" s="2"/>
    </row>
    <row r="84" spans="6:6" ht="20.100000000000001" customHeight="1" x14ac:dyDescent="0.25">
      <c r="F84" s="2"/>
    </row>
    <row r="85" spans="6:6" ht="20.100000000000001" customHeight="1" x14ac:dyDescent="0.25">
      <c r="F85" s="2"/>
    </row>
    <row r="86" spans="6:6" ht="20.100000000000001" customHeight="1" x14ac:dyDescent="0.25">
      <c r="F86" s="2"/>
    </row>
    <row r="87" spans="6:6" ht="20.100000000000001" customHeight="1" x14ac:dyDescent="0.25">
      <c r="F87" s="2"/>
    </row>
    <row r="88" spans="6:6" ht="20.100000000000001" customHeight="1" x14ac:dyDescent="0.25">
      <c r="F88" s="2"/>
    </row>
    <row r="89" spans="6:6" ht="20.100000000000001" customHeight="1" x14ac:dyDescent="0.25">
      <c r="F89" s="2"/>
    </row>
    <row r="90" spans="6:6" ht="20.100000000000001" customHeight="1" x14ac:dyDescent="0.25">
      <c r="F90" s="2"/>
    </row>
    <row r="91" spans="6:6" ht="20.100000000000001" customHeight="1" x14ac:dyDescent="0.25">
      <c r="F91" s="2"/>
    </row>
    <row r="92" spans="6:6" ht="20.100000000000001" customHeight="1" x14ac:dyDescent="0.25">
      <c r="F92" s="2"/>
    </row>
    <row r="93" spans="6:6" ht="20.100000000000001" customHeight="1" x14ac:dyDescent="0.25">
      <c r="F93" s="2"/>
    </row>
    <row r="94" spans="6:6" ht="20.100000000000001" customHeight="1" x14ac:dyDescent="0.25">
      <c r="F94" s="2"/>
    </row>
    <row r="95" spans="6:6" ht="20.100000000000001" customHeight="1" x14ac:dyDescent="0.25">
      <c r="F95" s="2"/>
    </row>
    <row r="96" spans="6:6" ht="20.100000000000001" customHeight="1" x14ac:dyDescent="0.25">
      <c r="F96" s="2"/>
    </row>
    <row r="97" spans="6:6" ht="20.100000000000001" customHeight="1" x14ac:dyDescent="0.25">
      <c r="F97" s="2"/>
    </row>
    <row r="98" spans="6:6" ht="20.100000000000001" customHeight="1" x14ac:dyDescent="0.25">
      <c r="F98" s="2"/>
    </row>
    <row r="99" spans="6:6" ht="20.100000000000001" customHeight="1" x14ac:dyDescent="0.25">
      <c r="F99" s="2"/>
    </row>
    <row r="100" spans="6:6" ht="20.100000000000001" customHeight="1" x14ac:dyDescent="0.25">
      <c r="F100" s="2"/>
    </row>
    <row r="101" spans="6:6" x14ac:dyDescent="0.25">
      <c r="F101" s="2"/>
    </row>
    <row r="102" spans="6:6" x14ac:dyDescent="0.25">
      <c r="F102" s="2"/>
    </row>
  </sheetData>
  <protectedRanges>
    <protectedRange password="C2AE" sqref="H19:H58" name="Oszlopszám2"/>
    <protectedRange password="C32E" sqref="F19:F58" name="Oszlopszám1"/>
  </protectedRanges>
  <mergeCells count="9">
    <mergeCell ref="E16:E18"/>
    <mergeCell ref="F16:I16"/>
    <mergeCell ref="F17:H17"/>
    <mergeCell ref="J16:J17"/>
    <mergeCell ref="B2:J2"/>
    <mergeCell ref="B4:J4"/>
    <mergeCell ref="E6:J6"/>
    <mergeCell ref="B5:D5"/>
    <mergeCell ref="C6:D6"/>
  </mergeCells>
  <pageMargins left="0.70866141732283472" right="0.70866141732283472" top="0.74803149606299213" bottom="0.74803149606299213" header="0.31496062992125984" footer="0.31496062992125984"/>
  <pageSetup paperSize="9" scale="47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Sodronyok!$A$3:$A$47</xm:f>
          </x14:formula1>
          <xm:sqref>C6:D6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2:BA74"/>
  <sheetViews>
    <sheetView showGridLines="0" topLeftCell="A6" zoomScale="90" zoomScaleNormal="90" workbookViewId="0">
      <selection activeCell="F20" sqref="F20"/>
    </sheetView>
  </sheetViews>
  <sheetFormatPr defaultColWidth="9.109375" defaultRowHeight="13.8" x14ac:dyDescent="0.25"/>
  <cols>
    <col min="1" max="1" width="2.6640625" style="1" customWidth="1"/>
    <col min="2" max="2" width="3.6640625" style="1" hidden="1" customWidth="1"/>
    <col min="3" max="3" width="7.6640625" style="1" customWidth="1"/>
    <col min="4" max="4" width="3.6640625" style="1" customWidth="1"/>
    <col min="5" max="5" width="8.6640625" style="1" customWidth="1"/>
    <col min="6" max="6" width="10" style="1" customWidth="1"/>
    <col min="7" max="7" width="1.6640625" style="1" customWidth="1"/>
    <col min="8" max="8" width="10.6640625" style="1" customWidth="1"/>
    <col min="9" max="53" width="8.33203125" style="1" customWidth="1"/>
    <col min="54" max="16384" width="9.109375" style="1"/>
  </cols>
  <sheetData>
    <row r="2" spans="1:53" ht="40.200000000000003" customHeight="1" x14ac:dyDescent="0.25">
      <c r="C2" s="189" t="s">
        <v>50</v>
      </c>
    </row>
    <row r="3" spans="1:53" ht="20.100000000000001" customHeight="1" x14ac:dyDescent="0.3">
      <c r="C3" s="381" t="s">
        <v>56</v>
      </c>
      <c r="D3" s="381"/>
      <c r="E3" s="381"/>
      <c r="F3" s="48" t="str">
        <f>Adatok!B2</f>
        <v>Miskolc Nyugati alállomás - Sajóivánka (Borsodi erőmű) sodrony csere</v>
      </c>
      <c r="G3" s="48"/>
    </row>
    <row r="4" spans="1:53" ht="20.100000000000001" customHeight="1" x14ac:dyDescent="0.3">
      <c r="C4" s="381" t="s">
        <v>177</v>
      </c>
      <c r="D4" s="381"/>
      <c r="E4" s="381"/>
      <c r="F4" s="48">
        <f>Adatok!E6</f>
        <v>0</v>
      </c>
      <c r="G4" s="48"/>
    </row>
    <row r="5" spans="1:53" ht="20.100000000000001" customHeight="1" x14ac:dyDescent="0.3">
      <c r="C5" s="381" t="s">
        <v>57</v>
      </c>
      <c r="D5" s="381"/>
      <c r="E5" s="381"/>
      <c r="F5" s="48">
        <f>Adatok!B4</f>
        <v>0</v>
      </c>
      <c r="G5" s="48"/>
    </row>
    <row r="6" spans="1:53" ht="10.199999999999999" customHeight="1" x14ac:dyDescent="0.25"/>
    <row r="7" spans="1:53" ht="20.100000000000001" customHeight="1" x14ac:dyDescent="0.25">
      <c r="C7" s="382" t="s">
        <v>105</v>
      </c>
      <c r="D7" s="382"/>
      <c r="E7" s="382"/>
      <c r="F7" s="41" t="str">
        <f>Adatok!C6</f>
        <v>250/40 ACSR</v>
      </c>
      <c r="G7" s="41"/>
      <c r="H7" s="41"/>
      <c r="I7" s="41"/>
    </row>
    <row r="8" spans="1:53" s="3" customFormat="1" ht="25.2" customHeight="1" x14ac:dyDescent="0.25">
      <c r="C8" s="371" t="s">
        <v>158</v>
      </c>
      <c r="D8" s="372"/>
      <c r="E8" s="372"/>
      <c r="F8" s="298">
        <f>Adatok!I10</f>
        <v>10</v>
      </c>
      <c r="G8" s="298"/>
      <c r="H8" s="374" t="s">
        <v>62</v>
      </c>
      <c r="I8" s="374"/>
    </row>
    <row r="9" spans="1:53" s="3" customFormat="1" ht="22.2" customHeight="1" thickBot="1" x14ac:dyDescent="0.3">
      <c r="C9" s="387" t="s">
        <v>159</v>
      </c>
      <c r="D9" s="388"/>
      <c r="E9" s="388"/>
      <c r="F9" s="299">
        <f>Adatok!I11</f>
        <v>6.9210146099330219</v>
      </c>
      <c r="G9" s="299"/>
      <c r="H9" s="389" t="s">
        <v>160</v>
      </c>
      <c r="I9" s="389"/>
    </row>
    <row r="10" spans="1:53" ht="20.100000000000001" customHeight="1" thickBot="1" x14ac:dyDescent="0.3">
      <c r="C10" s="375" t="s">
        <v>51</v>
      </c>
      <c r="D10" s="376"/>
      <c r="E10" s="16" t="s">
        <v>24</v>
      </c>
      <c r="F10" s="42">
        <f>Adatok!C16</f>
        <v>15</v>
      </c>
      <c r="G10" s="61" t="s">
        <v>27</v>
      </c>
      <c r="H10" s="66">
        <f>Adatok!C17</f>
        <v>23</v>
      </c>
      <c r="I10" s="67"/>
      <c r="J10" s="14"/>
    </row>
    <row r="11" spans="1:53" s="5" customFormat="1" ht="20.100000000000001" customHeight="1" thickBot="1" x14ac:dyDescent="0.3">
      <c r="A11" s="6"/>
      <c r="C11" s="377"/>
      <c r="D11" s="378"/>
      <c r="E11" s="17" t="s">
        <v>25</v>
      </c>
      <c r="F11" s="385">
        <f>Adatok!C18</f>
        <v>1675.3500000000001</v>
      </c>
      <c r="G11" s="386"/>
      <c r="H11" s="65" t="s">
        <v>22</v>
      </c>
      <c r="I11" s="68"/>
      <c r="J11" s="12"/>
    </row>
    <row r="12" spans="1:53" s="11" customFormat="1" ht="20.100000000000001" customHeight="1" x14ac:dyDescent="0.3">
      <c r="A12" s="13"/>
      <c r="C12" s="373" t="s">
        <v>53</v>
      </c>
      <c r="D12" s="373"/>
      <c r="E12" s="373"/>
      <c r="F12" s="373"/>
      <c r="G12" s="57"/>
      <c r="I12" s="13"/>
    </row>
    <row r="13" spans="1:53" s="4" customFormat="1" ht="20.100000000000001" customHeight="1" x14ac:dyDescent="0.3">
      <c r="A13" s="13"/>
      <c r="C13" s="18"/>
      <c r="D13" s="19" t="s">
        <v>27</v>
      </c>
      <c r="E13" s="69" t="s">
        <v>157</v>
      </c>
      <c r="F13" s="19"/>
      <c r="G13" s="19"/>
      <c r="H13" s="18" t="s">
        <v>26</v>
      </c>
      <c r="I13" s="20">
        <f>Adatok!C19</f>
        <v>209.93787253710997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</row>
    <row r="14" spans="1:53" s="4" customFormat="1" ht="20.100000000000001" customHeight="1" x14ac:dyDescent="0.3">
      <c r="A14" s="13"/>
      <c r="C14" s="18"/>
      <c r="D14" s="19" t="s">
        <v>27</v>
      </c>
      <c r="E14" s="69" t="s">
        <v>94</v>
      </c>
      <c r="F14" s="19"/>
      <c r="G14" s="19"/>
      <c r="H14" s="76"/>
      <c r="I14" s="73">
        <f>Adatok!C20</f>
        <v>1.0002184557979241</v>
      </c>
      <c r="J14" s="75">
        <f>ACOS(1/I14)*180/PI()</f>
        <v>1.1975120464178912</v>
      </c>
      <c r="K14" s="74" t="s">
        <v>89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</row>
    <row r="15" spans="1:53" s="4" customFormat="1" ht="20.100000000000001" customHeight="1" x14ac:dyDescent="0.3">
      <c r="A15" s="13"/>
      <c r="C15" s="18"/>
      <c r="D15" s="19" t="s">
        <v>27</v>
      </c>
      <c r="E15" s="69" t="s">
        <v>95</v>
      </c>
      <c r="F15" s="19"/>
      <c r="G15" s="19"/>
      <c r="H15" s="18" t="s">
        <v>59</v>
      </c>
      <c r="I15" s="21">
        <f>(VLOOKUP(I19,Számítás!$B$19:$H$63,7,FALSE))*Adatok!$C$8/Adatok!C20</f>
        <v>1083.4357269445256</v>
      </c>
      <c r="J15" s="21">
        <f>IF($I$19+I17*Adatok!$F$11&gt;Adatok!$F$10-0.01,(VLOOKUP(J19,Számítás!$B$19:$H$63,7,FALSE))*Adatok!$C$8/Adatok!$C$20,$B$19)</f>
        <v>1083.7575982351932</v>
      </c>
      <c r="K15" s="21">
        <f>IF($I$19+J17*Adatok!$F$11&gt;Adatok!$F$10-0.01,(VLOOKUP(K19,Számítás!$B$19:$H$63,7,FALSE))*Adatok!$C$8/Adatok!$C$20,$B$19)</f>
        <v>1084.0797565099217</v>
      </c>
      <c r="L15" s="21">
        <f>IF($I$19+K17*Adatok!$F$11&gt;Adatok!$F$10-0.01,(VLOOKUP(L19,Számítás!$B$19:$H$63,7,FALSE))*Adatok!$C$8/Adatok!$C$20,$B$19)</f>
        <v>1084.4022021099779</v>
      </c>
      <c r="M15" s="21">
        <f>IF($I$19+L17*Adatok!$F$11&gt;Adatok!$F$10-0.01,(VLOOKUP(M19,Számítás!$B$19:$H$63,7,FALSE))*Adatok!$C$8/Adatok!$C$20,$B$19)</f>
        <v>1084.7249354880735</v>
      </c>
      <c r="N15" s="21">
        <f>IF($I$19+M17*Adatok!$F$11&gt;Adatok!$F$10-0.01,(VLOOKUP(N19,Számítás!$B$19:$H$63,7,FALSE))*Adatok!$C$8/Adatok!$C$20,$B$19)</f>
        <v>1085.0479572504905</v>
      </c>
      <c r="O15" s="21">
        <f>IF($I$19+N17*Adatok!$F$11&gt;Adatok!$F$10-0.01,(VLOOKUP(O19,Számítás!$B$19:$H$63,7,FALSE))*Adatok!$C$8/Adatok!$C$20,$B$19)</f>
        <v>1085.3712676226514</v>
      </c>
      <c r="P15" s="21">
        <f>IF($I$19+O17*Adatok!$F$11&gt;Adatok!$F$10-0.01,(VLOOKUP(P19,Számítás!$B$19:$H$63,7,FALSE))*Adatok!$C$8/Adatok!$C$20,$B$19)</f>
        <v>1085.6948672084388</v>
      </c>
      <c r="Q15" s="21">
        <f>IF($I$19+P17*Adatok!$F$11&gt;Adatok!$F$10-0.01,(VLOOKUP(Q19,Számítás!$B$19:$H$63,7,FALSE))*Adatok!$C$8/Adatok!$C$20,$B$19)</f>
        <v>1086.0187563639163</v>
      </c>
      <c r="R15" s="21">
        <f>IF($I$19+Q17*Adatok!$F$11&gt;Adatok!$F$10-0.01,(VLOOKUP(R19,Számítás!$B$19:$H$63,7,FALSE))*Adatok!$C$8/Adatok!$C$20,$B$19)</f>
        <v>1086.3429355112685</v>
      </c>
      <c r="S15" s="21">
        <f>IF($I$19+R17*Adatok!$F$11&gt;Adatok!$F$10-0.01,(VLOOKUP(S19,Számítás!$B$19:$H$63,7,FALSE))*Adatok!$C$8/Adatok!$C$20,$B$19)</f>
        <v>1086.6674050046929</v>
      </c>
      <c r="T15" s="21" t="str">
        <f>IF($I$19+S17*Adatok!$F$11&gt;Adatok!$F$10-0.01,(VLOOKUP(T19,Számítás!$B$19:$H$63,7,FALSE))*Adatok!$C$8/Adatok!$C$20,$B$19)</f>
        <v>-</v>
      </c>
      <c r="U15" s="21" t="str">
        <f>IF($I$19+T17*Adatok!$F$11&gt;Adatok!$F$10-0.01,(VLOOKUP(U19,Számítás!$B$19:$H$63,7,FALSE))*Adatok!$C$8/Adatok!$C$20,$B$19)</f>
        <v>-</v>
      </c>
      <c r="V15" s="21" t="str">
        <f>IF($I$19+U17*Adatok!$F$11&gt;Adatok!$F$10-0.01,(VLOOKUP(V19,Számítás!$B$19:$H$63,7,FALSE))*Adatok!$C$8/Adatok!$C$20,$B$19)</f>
        <v>-</v>
      </c>
      <c r="W15" s="21" t="str">
        <f>IF($I$19+V17*Adatok!$F$11&gt;Adatok!$F$10-0.01,(VLOOKUP(W19,Számítás!$B$19:$H$63,7,FALSE))*Adatok!$C$8/Adatok!$C$20,$B$19)</f>
        <v>-</v>
      </c>
      <c r="X15" s="21" t="str">
        <f>IF($I$19+W17*Adatok!$F$11&gt;Adatok!$F$10-0.01,(VLOOKUP(X19,Számítás!$B$19:$H$63,7,FALSE))*Adatok!$C$8/Adatok!$C$20,$B$19)</f>
        <v>-</v>
      </c>
      <c r="Y15" s="21" t="str">
        <f>IF($I$19+X17*Adatok!$F$11&gt;Adatok!$F$10-0.01,(VLOOKUP(Y19,Számítás!$B$19:$H$63,7,FALSE))*Adatok!$C$8/Adatok!$C$20,$B$19)</f>
        <v>-</v>
      </c>
      <c r="Z15" s="21" t="str">
        <f>IF($I$19+Y17*Adatok!$F$11&gt;Adatok!$F$10-0.01,(VLOOKUP(Z19,Számítás!$B$19:$H$63,7,FALSE))*Adatok!$C$8/Adatok!$C$20,$B$19)</f>
        <v>-</v>
      </c>
      <c r="AA15" s="21" t="str">
        <f>IF($I$19+Z17*Adatok!$F$11&gt;Adatok!$F$10-0.01,(VLOOKUP(AA19,Számítás!$B$19:$H$63,7,FALSE))*Adatok!$C$8/Adatok!$C$20,$B$19)</f>
        <v>-</v>
      </c>
      <c r="AB15" s="21" t="str">
        <f>IF($I$19+AA17*Adatok!$F$11&gt;Adatok!$F$10-0.01,(VLOOKUP(AB19,Számítás!$B$19:$H$63,7,FALSE))*Adatok!$C$8/Adatok!$C$20,$B$19)</f>
        <v>-</v>
      </c>
      <c r="AC15" s="21" t="str">
        <f>IF($I$19+AB17*Adatok!$F$11&gt;Adatok!$F$10-0.01,(VLOOKUP(AC19,Számítás!$B$19:$H$63,7,FALSE))*Adatok!$C$8/Adatok!$C$20,$B$19)</f>
        <v>-</v>
      </c>
      <c r="AD15" s="21" t="str">
        <f>IF($I$19+AC17*Adatok!$F$11&gt;Adatok!$F$10-0.01,(VLOOKUP(AD19,Számítás!$B$19:$H$63,7,FALSE))*Adatok!$C$8/Adatok!$C$20,$B$19)</f>
        <v>-</v>
      </c>
      <c r="AE15" s="21" t="str">
        <f>IF($I$19+AD17*Adatok!$F$11&gt;Adatok!$F$10-0.01,(VLOOKUP(AE19,Számítás!$B$19:$H$63,7,FALSE))*Adatok!$C$8/Adatok!$C$20,$B$19)</f>
        <v>-</v>
      </c>
      <c r="AF15" s="21" t="str">
        <f>IF($I$19+AE17*Adatok!$F$11&gt;Adatok!$F$10-0.01,(VLOOKUP(AF19,Számítás!$B$19:$H$63,7,FALSE))*Adatok!$C$8/Adatok!$C$20,$B$19)</f>
        <v>-</v>
      </c>
      <c r="AG15" s="21" t="str">
        <f>IF($I$19+AF17*Adatok!$F$11&gt;Adatok!$F$10-0.01,(VLOOKUP(AG19,Számítás!$B$19:$H$63,7,FALSE))*Adatok!$C$8/Adatok!$C$20,$B$19)</f>
        <v>-</v>
      </c>
      <c r="AH15" s="21" t="str">
        <f>IF($I$19+AG17*Adatok!$F$11&gt;Adatok!$F$10-0.01,(VLOOKUP(AH19,Számítás!$B$19:$H$63,7,FALSE))*Adatok!$C$8/Adatok!$C$20,$B$19)</f>
        <v>-</v>
      </c>
      <c r="AI15" s="21" t="str">
        <f>IF($I$19+AH17*Adatok!$F$11&gt;Adatok!$F$10-0.01,(VLOOKUP(AI19,Számítás!$B$19:$H$63,7,FALSE))*Adatok!$C$8/Adatok!$C$20,$B$19)</f>
        <v>-</v>
      </c>
      <c r="AJ15" s="21" t="str">
        <f>IF($I$19+AI17*Adatok!$F$11&gt;Adatok!$F$10-0.01,(VLOOKUP(AJ19,Számítás!$B$19:$H$63,7,FALSE))*Adatok!$C$8/Adatok!$C$20,$B$19)</f>
        <v>-</v>
      </c>
      <c r="AK15" s="21" t="str">
        <f>IF($I$19+AJ17*Adatok!$F$11&gt;Adatok!$F$10-0.01,(VLOOKUP(AK19,Számítás!$B$19:$H$63,7,FALSE))*Adatok!$C$8/Adatok!$C$20,$B$19)</f>
        <v>-</v>
      </c>
      <c r="AL15" s="21" t="str">
        <f>IF($I$19+AK17*Adatok!$F$11&gt;Adatok!$F$10-0.01,(VLOOKUP(AL19,Számítás!$B$19:$H$63,7,FALSE))*Adatok!$C$8/Adatok!$C$20,$B$19)</f>
        <v>-</v>
      </c>
      <c r="AM15" s="21" t="str">
        <f>IF($I$19+AL17*Adatok!$F$11&gt;Adatok!$F$10-0.01,(VLOOKUP(AM19,Számítás!$B$19:$H$63,7,FALSE))*Adatok!$C$8/Adatok!$C$20,$B$19)</f>
        <v>-</v>
      </c>
      <c r="AN15" s="21" t="str">
        <f>IF($I$19+AM17*Adatok!$F$11&gt;Adatok!$F$10-0.01,(VLOOKUP(AN19,Számítás!$B$19:$H$63,7,FALSE))*Adatok!$C$8/Adatok!$C$20,$B$19)</f>
        <v>-</v>
      </c>
      <c r="AO15" s="21" t="str">
        <f>IF($I$19+AN17*Adatok!$F$11&gt;Adatok!$F$10-0.01,(VLOOKUP(AO19,Számítás!$B$19:$H$63,7,FALSE))*Adatok!$C$8/Adatok!$C$20,$B$19)</f>
        <v>-</v>
      </c>
      <c r="AP15" s="21" t="str">
        <f>IF($I$19+AO17*Adatok!$F$11&gt;Adatok!$F$10-0.01,(VLOOKUP(AP19,Számítás!$B$19:$H$63,7,FALSE))*Adatok!$C$8/Adatok!$C$20,$B$19)</f>
        <v>-</v>
      </c>
      <c r="AQ15" s="21" t="str">
        <f>IF($I$19+AP17*Adatok!$F$11&gt;Adatok!$F$10-0.01,(VLOOKUP(AQ19,Számítás!$B$19:$H$63,7,FALSE))*Adatok!$C$8/Adatok!$C$20,$B$19)</f>
        <v>-</v>
      </c>
      <c r="AR15" s="21" t="str">
        <f>IF($I$19+AQ17*Adatok!$F$11&gt;Adatok!$F$10-0.01,(VLOOKUP(AR19,Számítás!$B$19:$H$63,7,FALSE))*Adatok!$C$8/Adatok!$C$20,$B$19)</f>
        <v>-</v>
      </c>
      <c r="AS15" s="21" t="str">
        <f>IF($I$19+AR17*Adatok!$F$11&gt;Adatok!$F$10-0.01,(VLOOKUP(AS19,Számítás!$B$19:$H$63,7,FALSE))*Adatok!$C$8/Adatok!$C$20,$B$19)</f>
        <v>-</v>
      </c>
      <c r="AT15" s="21" t="str">
        <f>IF($I$19+AS17*Adatok!$F$11&gt;Adatok!$F$10-0.01,(VLOOKUP(AT19,Számítás!$B$19:$H$63,7,FALSE))*Adatok!$C$8/Adatok!$C$20,$B$19)</f>
        <v>-</v>
      </c>
      <c r="AU15" s="21" t="str">
        <f>IF($I$19+AT17*Adatok!$F$11&gt;Adatok!$F$10-0.01,(VLOOKUP(AU19,Számítás!$B$19:$H$63,7,FALSE))*Adatok!$C$8/Adatok!$C$20,$B$19)</f>
        <v>-</v>
      </c>
      <c r="AV15" s="21" t="str">
        <f>IF($I$19+AU17*Adatok!$F$11&gt;Adatok!$F$10-0.01,(VLOOKUP(AV19,Számítás!$B$19:$H$63,7,FALSE))*Adatok!$C$8/Adatok!$C$20,$B$19)</f>
        <v>-</v>
      </c>
      <c r="AW15" s="21" t="str">
        <f>IF($I$19+AV17*Adatok!$F$11&gt;Adatok!$F$10-0.01,(VLOOKUP(AW19,Számítás!$B$19:$H$63,7,FALSE))*Adatok!$C$8/Adatok!$C$20,$B$19)</f>
        <v>-</v>
      </c>
      <c r="AX15" s="21" t="str">
        <f>IF($I$19+AW17*Adatok!$F$11&gt;Adatok!$F$10-0.01,(VLOOKUP(AX19,Számítás!$B$19:$H$63,7,FALSE))*Adatok!$C$8/Adatok!$C$20,$B$19)</f>
        <v>-</v>
      </c>
      <c r="AY15" s="21" t="str">
        <f>IF($I$19+AX17*Adatok!$F$11&gt;Adatok!$F$10-0.01,(VLOOKUP(AY19,Számítás!$B$19:$H$63,7,FALSE))*Adatok!$C$8/Adatok!$C$20,$B$19)</f>
        <v>-</v>
      </c>
      <c r="AZ15" s="21" t="str">
        <f>IF($I$19+AY17*Adatok!$F$11&gt;Adatok!$F$10-0.01,(VLOOKUP(AZ19,Számítás!$B$19:$H$63,7,FALSE))*Adatok!$C$8/Adatok!$C$20,$B$19)</f>
        <v>-</v>
      </c>
      <c r="BA15" s="21" t="str">
        <f>IF($I$19+AZ17*Adatok!$F$11&gt;Adatok!$F$10-0.01,(VLOOKUP(BA19,Számítás!$B$19:$H$63,7,FALSE))*Adatok!$C$8/Adatok!$C$20,$B$19)</f>
        <v>-</v>
      </c>
    </row>
    <row r="16" spans="1:53" s="12" customFormat="1" ht="20.100000000000001" customHeight="1" thickBot="1" x14ac:dyDescent="0.35">
      <c r="A16" s="13"/>
      <c r="C16" s="22"/>
      <c r="D16" s="23" t="s">
        <v>27</v>
      </c>
      <c r="E16" s="70" t="s">
        <v>54</v>
      </c>
      <c r="F16" s="23"/>
      <c r="G16" s="23"/>
      <c r="H16" s="22" t="s">
        <v>60</v>
      </c>
      <c r="I16" s="24">
        <f>(($I13*($I13*$I14)*Adatok!$C$13*Adatok!$C$20)/(8*(VLOOKUP(I19,Számítás!$B$19:$H$63,7,FALSE)))+($I13^3*($I13*$I14)*Adatok!$C$13^3*Adatok!$C$20^3)/(384*(VLOOKUP(I19,Számítás!$B$19:$H$63,7,FALSE))^3))*100</f>
        <v>5605.3144244774185</v>
      </c>
      <c r="J16" s="24">
        <f>IF($I$19+I17*Adatok!$F$11&gt;Adatok!$F$10-0.01,(($I$13*($I$13*$I$14)*Adatok!$C$13*Adatok!$C$20)/(8*(VLOOKUP(J19,Számítás!$B$19:$H$63,7,FALSE)))+($I$13^3*($I$13*$I$14)*Adatok!$C$13^3*Adatok!$C$20^3)/(384*(VLOOKUP(J19,Számítás!$B$19:$H$63,7,FALSE))^3))*100,$B$19)</f>
        <v>5603.3995452001773</v>
      </c>
      <c r="K16" s="24">
        <f>IF($I$19+J17*Adatok!$F$11&gt;Adatok!$F$10-0.01,(($I$13*($I$13*$I$14)*Adatok!$C$13*Adatok!$C$20)/(8*(VLOOKUP(K19,Számítás!$B$19:$H$63,7,FALSE)))+($I$13^3*($I$13*$I$14)*Adatok!$C$13^3*Adatok!$C$20^3)/(384*(VLOOKUP(K19,Számítás!$B$19:$H$63,7,FALSE))^3))*100,$B$19)</f>
        <v>5601.4843201906342</v>
      </c>
      <c r="L16" s="24">
        <f>IF($I$19+K17*Adatok!$F$11&gt;Adatok!$F$10-0.01,(($I$13*($I$13*$I$14)*Adatok!$C$13*Adatok!$C$20)/(8*(VLOOKUP(L19,Számítás!$B$19:$H$63,7,FALSE)))+($I$13^3*($I$13*$I$14)*Adatok!$C$13^3*Adatok!$C$20^3)/(384*(VLOOKUP(L19,Számítás!$B$19:$H$63,7,FALSE))^3))*100,$B$19)</f>
        <v>5599.5687495815173</v>
      </c>
      <c r="M16" s="24">
        <f>IF($I$19+L17*Adatok!$F$11&gt;Adatok!$F$10-0.01,(($I$13*($I$13*$I$14)*Adatok!$C$13*Adatok!$C$20)/(8*(VLOOKUP(M19,Számítás!$B$19:$H$63,7,FALSE)))+($I$13^3*($I$13*$I$14)*Adatok!$C$13^3*Adatok!$C$20^3)/(384*(VLOOKUP(M19,Számítás!$B$19:$H$63,7,FALSE))^3))*100,$B$19)</f>
        <v>5597.652832847446</v>
      </c>
      <c r="N16" s="24">
        <f>IF($I$19+M17*Adatok!$F$11&gt;Adatok!$F$10-0.01,(($I$13*($I$13*$I$14)*Adatok!$C$13*Adatok!$C$20)/(8*(VLOOKUP(N19,Számítás!$B$19:$H$63,7,FALSE)))+($I$13^3*($I$13*$I$14)*Adatok!$C$13^3*Adatok!$C$20^3)/(384*(VLOOKUP(N19,Számítás!$B$19:$H$63,7,FALSE))^3))*100,$B$19)</f>
        <v>5595.7365685574714</v>
      </c>
      <c r="O16" s="24">
        <f>IF($I$19+N17*Adatok!$F$11&gt;Adatok!$F$10-0.01,(($I$13*($I$13*$I$14)*Adatok!$C$13*Adatok!$C$20)/(8*(VLOOKUP(O19,Számítás!$B$19:$H$63,7,FALSE)))+($I$13^3*($I$13*$I$14)*Adatok!$C$13^3*Adatok!$C$20^3)/(384*(VLOOKUP(O19,Számítás!$B$19:$H$63,7,FALSE))^3))*100,$B$19)</f>
        <v>5593.8199575453264</v>
      </c>
      <c r="P16" s="24">
        <f>IF($I$19+O17*Adatok!$F$11&gt;Adatok!$F$10-0.01,(($I$13*($I$13*$I$14)*Adatok!$C$13*Adatok!$C$20)/(8*(VLOOKUP(P19,Számítás!$B$19:$H$63,7,FALSE)))+($I$13^3*($I$13*$I$14)*Adatok!$C$13^3*Adatok!$C$20^3)/(384*(VLOOKUP(P19,Számítás!$B$19:$H$63,7,FALSE))^3))*100,$B$19)</f>
        <v>5591.9029984048766</v>
      </c>
      <c r="Q16" s="24">
        <f>IF($I$19+P17*Adatok!$F$11&gt;Adatok!$F$10-0.01,(($I$13*($I$13*$I$14)*Adatok!$C$13*Adatok!$C$20)/(8*(VLOOKUP(Q19,Számítás!$B$19:$H$63,7,FALSE)))+($I$13^3*($I$13*$I$14)*Adatok!$C$13^3*Adatok!$C$20^3)/(384*(VLOOKUP(Q19,Számítás!$B$19:$H$63,7,FALSE))^3))*100,$B$19)</f>
        <v>5589.9856912041269</v>
      </c>
      <c r="R16" s="24">
        <f>IF($I$19+Q17*Adatok!$F$11&gt;Adatok!$F$10-0.01,(($I$13*($I$13*$I$14)*Adatok!$C$13*Adatok!$C$20)/(8*(VLOOKUP(R19,Számítás!$B$19:$H$63,7,FALSE)))+($I$13^3*($I$13*$I$14)*Adatok!$C$13^3*Adatok!$C$20^3)/(384*(VLOOKUP(R19,Számítás!$B$19:$H$63,7,FALSE))^3))*100,$B$19)</f>
        <v>5588.0680356235698</v>
      </c>
      <c r="S16" s="24">
        <f>IF($I$19+R17*Adatok!$F$11&gt;Adatok!$F$10-0.01,(($I$13*($I$13*$I$14)*Adatok!$C$13*Adatok!$C$20)/(8*(VLOOKUP(S19,Számítás!$B$19:$H$63,7,FALSE)))+($I$13^3*($I$13*$I$14)*Adatok!$C$13^3*Adatok!$C$20^3)/(384*(VLOOKUP(S19,Számítás!$B$19:$H$63,7,FALSE))^3))*100,$B$19)</f>
        <v>5586.1500317500186</v>
      </c>
      <c r="T16" s="24" t="str">
        <f>IF($I$19+S17*Adatok!$F$11&gt;Adatok!$F$10-0.01,(($I$13*($I$13*$I$14)*Adatok!$C$13*Adatok!$C$20)/(8*(VLOOKUP(T19,Számítás!$B$19:$H$63,7,FALSE)))+($I$13^3*($I$13*$I$14)*Adatok!$C$13^3*Adatok!$C$20^3)/(384*(VLOOKUP(T19,Számítás!$B$19:$H$63,7,FALSE))^3))*100,$B$19)</f>
        <v>-</v>
      </c>
      <c r="U16" s="24" t="str">
        <f>IF($I$19+T17*Adatok!$F$11&gt;Adatok!$F$10-0.01,(($I$13*($I$13*$I$14)*Adatok!$C$13*Adatok!$C$20)/(8*(VLOOKUP(U19,Számítás!$B$19:$H$63,7,FALSE)))+($I$13^3*($I$13*$I$14)*Adatok!$C$13^3*Adatok!$C$20^3)/(384*(VLOOKUP(U19,Számítás!$B$19:$H$63,7,FALSE))^3))*100,$B$19)</f>
        <v>-</v>
      </c>
      <c r="V16" s="24" t="str">
        <f>IF($I$19+U17*Adatok!$F$11&gt;Adatok!$F$10-0.01,(($I$13*($I$13*$I$14)*Adatok!$C$13*Adatok!$C$20)/(8*(VLOOKUP(V19,Számítás!$B$19:$H$63,7,FALSE)))+($I$13^3*($I$13*$I$14)*Adatok!$C$13^3*Adatok!$C$20^3)/(384*(VLOOKUP(V19,Számítás!$B$19:$H$63,7,FALSE))^3))*100,$B$19)</f>
        <v>-</v>
      </c>
      <c r="W16" s="24" t="str">
        <f>IF($I$19+V17*Adatok!$F$11&gt;Adatok!$F$10-0.01,(($I$13*($I$13*$I$14)*Adatok!$C$13*Adatok!$C$20)/(8*(VLOOKUP(W19,Számítás!$B$19:$H$63,7,FALSE)))+($I$13^3*($I$13*$I$14)*Adatok!$C$13^3*Adatok!$C$20^3)/(384*(VLOOKUP(W19,Számítás!$B$19:$H$63,7,FALSE))^3))*100,$B$19)</f>
        <v>-</v>
      </c>
      <c r="X16" s="24" t="str">
        <f>IF($I$19+W17*Adatok!$F$11&gt;Adatok!$F$10-0.01,(($I$13*($I$13*$I$14)*Adatok!$C$13*Adatok!$C$20)/(8*(VLOOKUP(X19,Számítás!$B$19:$H$63,7,FALSE)))+($I$13^3*($I$13*$I$14)*Adatok!$C$13^3*Adatok!$C$20^3)/(384*(VLOOKUP(X19,Számítás!$B$19:$H$63,7,FALSE))^3))*100,$B$19)</f>
        <v>-</v>
      </c>
      <c r="Y16" s="24" t="str">
        <f>IF($I$19+X17*Adatok!$F$11&gt;Adatok!$F$10-0.01,(($I$13*($I$13*$I$14)*Adatok!$C$13*Adatok!$C$20)/(8*(VLOOKUP(Y19,Számítás!$B$19:$H$63,7,FALSE)))+($I$13^3*($I$13*$I$14)*Adatok!$C$13^3*Adatok!$C$20^3)/(384*(VLOOKUP(Y19,Számítás!$B$19:$H$63,7,FALSE))^3))*100,$B$19)</f>
        <v>-</v>
      </c>
      <c r="Z16" s="24" t="str">
        <f>IF($I$19+Y17*Adatok!$F$11&gt;Adatok!$F$10-0.01,(($I$13*($I$13*$I$14)*Adatok!$C$13*Adatok!$C$20)/(8*(VLOOKUP(Z19,Számítás!$B$19:$H$63,7,FALSE)))+($I$13^3*($I$13*$I$14)*Adatok!$C$13^3*Adatok!$C$20^3)/(384*(VLOOKUP(Z19,Számítás!$B$19:$H$63,7,FALSE))^3))*100,$B$19)</f>
        <v>-</v>
      </c>
      <c r="AA16" s="24" t="str">
        <f>IF($I$19+Z17*Adatok!$F$11&gt;Adatok!$F$10-0.01,(($I$13*($I$13*$I$14)*Adatok!$C$13*Adatok!$C$20)/(8*(VLOOKUP(AA19,Számítás!$B$19:$H$63,7,FALSE)))+($I$13^3*($I$13*$I$14)*Adatok!$C$13^3*Adatok!$C$20^3)/(384*(VLOOKUP(AA19,Számítás!$B$19:$H$63,7,FALSE))^3))*100,$B$19)</f>
        <v>-</v>
      </c>
      <c r="AB16" s="24" t="str">
        <f>IF($I$19+AA17*Adatok!$F$11&gt;Adatok!$F$10-0.01,(($I$13*($I$13*$I$14)*Adatok!$C$13*Adatok!$C$20)/(8*(VLOOKUP(AB19,Számítás!$B$19:$H$63,7,FALSE)))+($I$13^3*($I$13*$I$14)*Adatok!$C$13^3*Adatok!$C$20^3)/(384*(VLOOKUP(AB19,Számítás!$B$19:$H$63,7,FALSE))^3))*100,$B$19)</f>
        <v>-</v>
      </c>
      <c r="AC16" s="24" t="str">
        <f>IF($I$19+AB17*Adatok!$F$11&gt;Adatok!$F$10-0.01,(($I$13*($I$13*$I$14)*Adatok!$C$13*Adatok!$C$20)/(8*(VLOOKUP(AC19,Számítás!$B$19:$H$63,7,FALSE)))+($I$13^3*($I$13*$I$14)*Adatok!$C$13^3*Adatok!$C$20^3)/(384*(VLOOKUP(AC19,Számítás!$B$19:$H$63,7,FALSE))^3))*100,$B$19)</f>
        <v>-</v>
      </c>
      <c r="AD16" s="24" t="str">
        <f>IF($I$19+AC17*Adatok!$F$11&gt;Adatok!$F$10-0.01,(($I$13*($I$13*$I$14)*Adatok!$C$13*Adatok!$C$20)/(8*(VLOOKUP(AD19,Számítás!$B$19:$H$63,7,FALSE)))+($I$13^3*($I$13*$I$14)*Adatok!$C$13^3*Adatok!$C$20^3)/(384*(VLOOKUP(AD19,Számítás!$B$19:$H$63,7,FALSE))^3))*100,$B$19)</f>
        <v>-</v>
      </c>
      <c r="AE16" s="24" t="str">
        <f>IF($I$19+AD17*Adatok!$F$11&gt;Adatok!$F$10-0.01,(($I$13*($I$13*$I$14)*Adatok!$C$13*Adatok!$C$20)/(8*(VLOOKUP(AE19,Számítás!$B$19:$H$63,7,FALSE)))+($I$13^3*($I$13*$I$14)*Adatok!$C$13^3*Adatok!$C$20^3)/(384*(VLOOKUP(AE19,Számítás!$B$19:$H$63,7,FALSE))^3))*100,$B$19)</f>
        <v>-</v>
      </c>
      <c r="AF16" s="24" t="str">
        <f>IF($I$19+AE17*Adatok!$F$11&gt;Adatok!$F$10-0.01,(($I$13*($I$13*$I$14)*Adatok!$C$13*Adatok!$C$20)/(8*(VLOOKUP(AF19,Számítás!$B$19:$H$63,7,FALSE)))+($I$13^3*($I$13*$I$14)*Adatok!$C$13^3*Adatok!$C$20^3)/(384*(VLOOKUP(AF19,Számítás!$B$19:$H$63,7,FALSE))^3))*100,$B$19)</f>
        <v>-</v>
      </c>
      <c r="AG16" s="24" t="str">
        <f>IF($I$19+AF17*Adatok!$F$11&gt;Adatok!$F$10-0.01,(($I$13*($I$13*$I$14)*Adatok!$C$13*Adatok!$C$20)/(8*(VLOOKUP(AG19,Számítás!$B$19:$H$63,7,FALSE)))+($I$13^3*($I$13*$I$14)*Adatok!$C$13^3*Adatok!$C$20^3)/(384*(VLOOKUP(AG19,Számítás!$B$19:$H$63,7,FALSE))^3))*100,$B$19)</f>
        <v>-</v>
      </c>
      <c r="AH16" s="24" t="str">
        <f>IF($I$19+AG17*Adatok!$F$11&gt;Adatok!$F$10-0.01,(($I$13*($I$13*$I$14)*Adatok!$C$13*Adatok!$C$20)/(8*(VLOOKUP(AH19,Számítás!$B$19:$H$63,7,FALSE)))+($I$13^3*($I$13*$I$14)*Adatok!$C$13^3*Adatok!$C$20^3)/(384*(VLOOKUP(AH19,Számítás!$B$19:$H$63,7,FALSE))^3))*100,$B$19)</f>
        <v>-</v>
      </c>
      <c r="AI16" s="24" t="str">
        <f>IF($I$19+AH17*Adatok!$F$11&gt;Adatok!$F$10-0.01,(($I$13*($I$13*$I$14)*Adatok!$C$13*Adatok!$C$20)/(8*(VLOOKUP(AI19,Számítás!$B$19:$H$63,7,FALSE)))+($I$13^3*($I$13*$I$14)*Adatok!$C$13^3*Adatok!$C$20^3)/(384*(VLOOKUP(AI19,Számítás!$B$19:$H$63,7,FALSE))^3))*100,$B$19)</f>
        <v>-</v>
      </c>
      <c r="AJ16" s="24" t="str">
        <f>IF($I$19+AI17*Adatok!$F$11&gt;Adatok!$F$10-0.01,(($I$13*($I$13*$I$14)*Adatok!$C$13*Adatok!$C$20)/(8*(VLOOKUP(AJ19,Számítás!$B$19:$H$63,7,FALSE)))+($I$13^3*($I$13*$I$14)*Adatok!$C$13^3*Adatok!$C$20^3)/(384*(VLOOKUP(AJ19,Számítás!$B$19:$H$63,7,FALSE))^3))*100,$B$19)</f>
        <v>-</v>
      </c>
      <c r="AK16" s="24" t="str">
        <f>IF($I$19+AJ17*Adatok!$F$11&gt;Adatok!$F$10-0.01,(($I$13*($I$13*$I$14)*Adatok!$C$13*Adatok!$C$20)/(8*(VLOOKUP(AK19,Számítás!$B$19:$H$63,7,FALSE)))+($I$13^3*($I$13*$I$14)*Adatok!$C$13^3*Adatok!$C$20^3)/(384*(VLOOKUP(AK19,Számítás!$B$19:$H$63,7,FALSE))^3))*100,$B$19)</f>
        <v>-</v>
      </c>
      <c r="AL16" s="24" t="str">
        <f>IF($I$19+AK17*Adatok!$F$11&gt;Adatok!$F$10-0.01,(($I$13*($I$13*$I$14)*Adatok!$C$13*Adatok!$C$20)/(8*(VLOOKUP(AL19,Számítás!$B$19:$H$63,7,FALSE)))+($I$13^3*($I$13*$I$14)*Adatok!$C$13^3*Adatok!$C$20^3)/(384*(VLOOKUP(AL19,Számítás!$B$19:$H$63,7,FALSE))^3))*100,$B$19)</f>
        <v>-</v>
      </c>
      <c r="AM16" s="24" t="str">
        <f>IF($I$19+AL17*Adatok!$F$11&gt;Adatok!$F$10-0.01,(($I$13*($I$13*$I$14)*Adatok!$C$13*Adatok!$C$20)/(8*(VLOOKUP(AM19,Számítás!$B$19:$H$63,7,FALSE)))+($I$13^3*($I$13*$I$14)*Adatok!$C$13^3*Adatok!$C$20^3)/(384*(VLOOKUP(AM19,Számítás!$B$19:$H$63,7,FALSE))^3))*100,$B$19)</f>
        <v>-</v>
      </c>
      <c r="AN16" s="24" t="str">
        <f>IF($I$19+AM17*Adatok!$F$11&gt;Adatok!$F$10-0.01,(($I$13*($I$13*$I$14)*Adatok!$C$13*Adatok!$C$20)/(8*(VLOOKUP(AN19,Számítás!$B$19:$H$63,7,FALSE)))+($I$13^3*($I$13*$I$14)*Adatok!$C$13^3*Adatok!$C$20^3)/(384*(VLOOKUP(AN19,Számítás!$B$19:$H$63,7,FALSE))^3))*100,$B$19)</f>
        <v>-</v>
      </c>
      <c r="AO16" s="24" t="str">
        <f>IF($I$19+AN17*Adatok!$F$11&gt;Adatok!$F$10-0.01,(($I$13*($I$13*$I$14)*Adatok!$C$13*Adatok!$C$20)/(8*(VLOOKUP(AO19,Számítás!$B$19:$H$63,7,FALSE)))+($I$13^3*($I$13*$I$14)*Adatok!$C$13^3*Adatok!$C$20^3)/(384*(VLOOKUP(AO19,Számítás!$B$19:$H$63,7,FALSE))^3))*100,$B$19)</f>
        <v>-</v>
      </c>
      <c r="AP16" s="24" t="str">
        <f>IF($I$19+AO17*Adatok!$F$11&gt;Adatok!$F$10-0.01,(($I$13*($I$13*$I$14)*Adatok!$C$13*Adatok!$C$20)/(8*(VLOOKUP(AP19,Számítás!$B$19:$H$63,7,FALSE)))+($I$13^3*($I$13*$I$14)*Adatok!$C$13^3*Adatok!$C$20^3)/(384*(VLOOKUP(AP19,Számítás!$B$19:$H$63,7,FALSE))^3))*100,$B$19)</f>
        <v>-</v>
      </c>
      <c r="AQ16" s="24" t="str">
        <f>IF($I$19+AP17*Adatok!$F$11&gt;Adatok!$F$10-0.01,(($I$13*($I$13*$I$14)*Adatok!$C$13*Adatok!$C$20)/(8*(VLOOKUP(AQ19,Számítás!$B$19:$H$63,7,FALSE)))+($I$13^3*($I$13*$I$14)*Adatok!$C$13^3*Adatok!$C$20^3)/(384*(VLOOKUP(AQ19,Számítás!$B$19:$H$63,7,FALSE))^3))*100,$B$19)</f>
        <v>-</v>
      </c>
      <c r="AR16" s="24" t="str">
        <f>IF($I$19+AQ17*Adatok!$F$11&gt;Adatok!$F$10-0.01,(($I$13*($I$13*$I$14)*Adatok!$C$13*Adatok!$C$20)/(8*(VLOOKUP(AR19,Számítás!$B$19:$H$63,7,FALSE)))+($I$13^3*($I$13*$I$14)*Adatok!$C$13^3*Adatok!$C$20^3)/(384*(VLOOKUP(AR19,Számítás!$B$19:$H$63,7,FALSE))^3))*100,$B$19)</f>
        <v>-</v>
      </c>
      <c r="AS16" s="24" t="str">
        <f>IF($I$19+AR17*Adatok!$F$11&gt;Adatok!$F$10-0.01,(($I$13*($I$13*$I$14)*Adatok!$C$13*Adatok!$C$20)/(8*(VLOOKUP(AS19,Számítás!$B$19:$H$63,7,FALSE)))+($I$13^3*($I$13*$I$14)*Adatok!$C$13^3*Adatok!$C$20^3)/(384*(VLOOKUP(AS19,Számítás!$B$19:$H$63,7,FALSE))^3))*100,$B$19)</f>
        <v>-</v>
      </c>
      <c r="AT16" s="24" t="str">
        <f>IF($I$19+AS17*Adatok!$F$11&gt;Adatok!$F$10-0.01,(($I$13*($I$13*$I$14)*Adatok!$C$13*Adatok!$C$20)/(8*(VLOOKUP(AT19,Számítás!$B$19:$H$63,7,FALSE)))+($I$13^3*($I$13*$I$14)*Adatok!$C$13^3*Adatok!$C$20^3)/(384*(VLOOKUP(AT19,Számítás!$B$19:$H$63,7,FALSE))^3))*100,$B$19)</f>
        <v>-</v>
      </c>
      <c r="AU16" s="24" t="str">
        <f>IF($I$19+AT17*Adatok!$F$11&gt;Adatok!$F$10-0.01,(($I$13*($I$13*$I$14)*Adatok!$C$13*Adatok!$C$20)/(8*(VLOOKUP(AU19,Számítás!$B$19:$H$63,7,FALSE)))+($I$13^3*($I$13*$I$14)*Adatok!$C$13^3*Adatok!$C$20^3)/(384*(VLOOKUP(AU19,Számítás!$B$19:$H$63,7,FALSE))^3))*100,$B$19)</f>
        <v>-</v>
      </c>
      <c r="AV16" s="24" t="str">
        <f>IF($I$19+AU17*Adatok!$F$11&gt;Adatok!$F$10-0.01,(($I$13*($I$13*$I$14)*Adatok!$C$13*Adatok!$C$20)/(8*(VLOOKUP(AV19,Számítás!$B$19:$H$63,7,FALSE)))+($I$13^3*($I$13*$I$14)*Adatok!$C$13^3*Adatok!$C$20^3)/(384*(VLOOKUP(AV19,Számítás!$B$19:$H$63,7,FALSE))^3))*100,$B$19)</f>
        <v>-</v>
      </c>
      <c r="AW16" s="24" t="str">
        <f>IF($I$19+AV17*Adatok!$F$11&gt;Adatok!$F$10-0.01,(($I$13*($I$13*$I$14)*Adatok!$C$13*Adatok!$C$20)/(8*(VLOOKUP(AW19,Számítás!$B$19:$H$63,7,FALSE)))+($I$13^3*($I$13*$I$14)*Adatok!$C$13^3*Adatok!$C$20^3)/(384*(VLOOKUP(AW19,Számítás!$B$19:$H$63,7,FALSE))^3))*100,$B$19)</f>
        <v>-</v>
      </c>
      <c r="AX16" s="24" t="str">
        <f>IF($I$19+AW17*Adatok!$F$11&gt;Adatok!$F$10-0.01,(($I$13*($I$13*$I$14)*Adatok!$C$13*Adatok!$C$20)/(8*(VLOOKUP(AX19,Számítás!$B$19:$H$63,7,FALSE)))+($I$13^3*($I$13*$I$14)*Adatok!$C$13^3*Adatok!$C$20^3)/(384*(VLOOKUP(AX19,Számítás!$B$19:$H$63,7,FALSE))^3))*100,$B$19)</f>
        <v>-</v>
      </c>
      <c r="AY16" s="24" t="str">
        <f>IF($I$19+AX17*Adatok!$F$11&gt;Adatok!$F$10-0.01,(($I$13*($I$13*$I$14)*Adatok!$C$13*Adatok!$C$20)/(8*(VLOOKUP(AY19,Számítás!$B$19:$H$63,7,FALSE)))+($I$13^3*($I$13*$I$14)*Adatok!$C$13^3*Adatok!$C$20^3)/(384*(VLOOKUP(AY19,Számítás!$B$19:$H$63,7,FALSE))^3))*100,$B$19)</f>
        <v>-</v>
      </c>
      <c r="AZ16" s="24" t="str">
        <f>IF($I$19+AY17*Adatok!$F$11&gt;Adatok!$F$10-0.01,(($I$13*($I$13*$I$14)*Adatok!$C$13*Adatok!$C$20)/(8*(VLOOKUP(AZ19,Számítás!$B$19:$H$63,7,FALSE)))+($I$13^3*($I$13*$I$14)*Adatok!$C$13^3*Adatok!$C$20^3)/(384*(VLOOKUP(AZ19,Számítás!$B$19:$H$63,7,FALSE))^3))*100,$B$19)</f>
        <v>-</v>
      </c>
      <c r="BA16" s="24" t="str">
        <f>IF($I$19+AZ17*Adatok!$F$11&gt;Adatok!$F$10-0.01,(($I$13*($I$13*$I$14)*Adatok!$C$13*Adatok!$C$20)/(8*(VLOOKUP(BA19,Számítás!$B$19:$H$63,7,FALSE)))+($I$13^3*($I$13*$I$14)*Adatok!$C$13^3*Adatok!$C$20^3)/(384*(VLOOKUP(BA19,Számítás!$B$19:$H$63,7,FALSE))^3))*100,$B$19)</f>
        <v>-</v>
      </c>
    </row>
    <row r="17" spans="1:53" s="13" customFormat="1" ht="20.100000000000001" hidden="1" customHeight="1" thickBot="1" x14ac:dyDescent="0.35">
      <c r="C17" s="25"/>
      <c r="D17" s="26"/>
      <c r="E17" s="26"/>
      <c r="F17" s="25"/>
      <c r="G17" s="25"/>
      <c r="H17" s="26"/>
      <c r="I17" s="26">
        <v>1</v>
      </c>
      <c r="J17" s="26">
        <v>2</v>
      </c>
      <c r="K17" s="26">
        <v>3</v>
      </c>
      <c r="L17" s="26">
        <v>4</v>
      </c>
      <c r="M17" s="26">
        <v>5</v>
      </c>
      <c r="N17" s="26">
        <v>6</v>
      </c>
      <c r="O17" s="26">
        <v>7</v>
      </c>
      <c r="P17" s="26">
        <v>8</v>
      </c>
      <c r="Q17" s="26">
        <v>9</v>
      </c>
      <c r="R17" s="26">
        <v>10</v>
      </c>
      <c r="S17" s="26">
        <v>11</v>
      </c>
      <c r="T17" s="26">
        <v>12</v>
      </c>
      <c r="U17" s="26">
        <v>13</v>
      </c>
      <c r="V17" s="26">
        <v>14</v>
      </c>
      <c r="W17" s="26">
        <v>15</v>
      </c>
      <c r="X17" s="26">
        <v>16</v>
      </c>
      <c r="Y17" s="26">
        <v>17</v>
      </c>
      <c r="Z17" s="26">
        <v>18</v>
      </c>
      <c r="AA17" s="26">
        <v>19</v>
      </c>
      <c r="AB17" s="26">
        <v>20</v>
      </c>
      <c r="AC17" s="26">
        <v>21</v>
      </c>
      <c r="AD17" s="26">
        <v>22</v>
      </c>
      <c r="AE17" s="26">
        <v>23</v>
      </c>
      <c r="AF17" s="26">
        <v>24</v>
      </c>
      <c r="AG17" s="26">
        <v>25</v>
      </c>
      <c r="AH17" s="26">
        <v>26</v>
      </c>
      <c r="AI17" s="26">
        <v>27</v>
      </c>
      <c r="AJ17" s="26">
        <v>28</v>
      </c>
      <c r="AK17" s="26">
        <v>29</v>
      </c>
      <c r="AL17" s="26">
        <v>30</v>
      </c>
      <c r="AM17" s="26">
        <v>31</v>
      </c>
      <c r="AN17" s="26">
        <v>32</v>
      </c>
      <c r="AO17" s="26">
        <v>33</v>
      </c>
      <c r="AP17" s="26">
        <v>34</v>
      </c>
      <c r="AQ17" s="26">
        <v>35</v>
      </c>
      <c r="AR17" s="26">
        <v>36</v>
      </c>
      <c r="AS17" s="26">
        <v>37</v>
      </c>
      <c r="AT17" s="26">
        <v>38</v>
      </c>
      <c r="AU17" s="26">
        <v>39</v>
      </c>
      <c r="AV17" s="26">
        <v>40</v>
      </c>
      <c r="AW17" s="26">
        <v>41</v>
      </c>
      <c r="AX17" s="26">
        <v>42</v>
      </c>
      <c r="AY17" s="26">
        <v>43</v>
      </c>
      <c r="AZ17" s="26">
        <v>44</v>
      </c>
      <c r="BA17" s="26">
        <v>45</v>
      </c>
    </row>
    <row r="18" spans="1:53" s="7" customFormat="1" ht="20.100000000000001" customHeight="1" x14ac:dyDescent="0.3">
      <c r="A18" s="6"/>
      <c r="C18" s="383" t="s">
        <v>23</v>
      </c>
      <c r="D18" s="383"/>
      <c r="E18" s="383"/>
      <c r="F18" s="383"/>
      <c r="G18" s="383"/>
      <c r="H18" s="384"/>
      <c r="I18" s="28" t="s">
        <v>55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</row>
    <row r="19" spans="1:53" s="5" customFormat="1" ht="20.100000000000001" customHeight="1" thickBot="1" x14ac:dyDescent="0.35">
      <c r="A19" s="6"/>
      <c r="B19" s="15" t="s">
        <v>27</v>
      </c>
      <c r="C19" s="369" t="s">
        <v>52</v>
      </c>
      <c r="D19" s="369"/>
      <c r="E19" s="370"/>
      <c r="F19" s="62" t="s">
        <v>26</v>
      </c>
      <c r="G19" s="379" t="s">
        <v>85</v>
      </c>
      <c r="H19" s="380"/>
      <c r="I19" s="29">
        <f>Adatok!F9</f>
        <v>40</v>
      </c>
      <c r="J19" s="29">
        <f>IF($I$19+I17*Adatok!$F$11&lt;Adatok!$F$10,$B$19,$I$19+I17*Adatok!$F$11)</f>
        <v>35</v>
      </c>
      <c r="K19" s="29">
        <f>IF($I$19+J17*Adatok!$F$11&lt;Adatok!$F$10,$B$19,$I$19+J17*Adatok!$F$11)</f>
        <v>30</v>
      </c>
      <c r="L19" s="29">
        <f>IF($I$19+K17*Adatok!$F$11&lt;Adatok!$F$10,$B$19,$I$19+K17*Adatok!$F$11)</f>
        <v>25</v>
      </c>
      <c r="M19" s="29">
        <f>IF($I$19+L17*Adatok!$F$11&lt;Adatok!$F$10,$B$19,$I$19+L17*Adatok!$F$11)</f>
        <v>20</v>
      </c>
      <c r="N19" s="29">
        <f>IF($I$19+M17*Adatok!$F$11&lt;Adatok!$F$10,$B$19,$I$19+M17*Adatok!$F$11)</f>
        <v>15</v>
      </c>
      <c r="O19" s="29">
        <f>IF($I$19+N17*Adatok!$F$11&lt;Adatok!$F$10,$B$19,$I$19+N17*Adatok!$F$11)</f>
        <v>10</v>
      </c>
      <c r="P19" s="29">
        <f>IF($I$19+O17*Adatok!$F$11&lt;Adatok!$F$10,$B$19,$I$19+O17*Adatok!$F$11)</f>
        <v>5</v>
      </c>
      <c r="Q19" s="29">
        <f>IF($I$19+P17*Adatok!$F$11&lt;Adatok!$F$10,$B$19,$I$19+P17*Adatok!$F$11)</f>
        <v>0</v>
      </c>
      <c r="R19" s="29">
        <f>IF($I$19+Q17*Adatok!$F$11&lt;Adatok!$F$10,$B$19,$I$19+Q17*Adatok!$F$11)</f>
        <v>-5</v>
      </c>
      <c r="S19" s="29">
        <f>IF($I$19+R17*Adatok!$F$11&lt;Adatok!$F$10,$B$19,$I$19+R17*Adatok!$F$11)</f>
        <v>-10</v>
      </c>
      <c r="T19" s="29" t="str">
        <f>IF($I$19+S17*Adatok!$F$11&lt;Adatok!$F$10,$B$19,$I$19+S17*Adatok!$F$11)</f>
        <v>-</v>
      </c>
      <c r="U19" s="29" t="str">
        <f>IF($I$19+T17*Adatok!$F$11&lt;Adatok!$F$10,$B$19,$I$19+T17*Adatok!$F$11)</f>
        <v>-</v>
      </c>
      <c r="V19" s="29" t="str">
        <f>IF($I$19+U17*Adatok!$F$11&lt;Adatok!$F$10,$B$19,$I$19+U17*Adatok!$F$11)</f>
        <v>-</v>
      </c>
      <c r="W19" s="29" t="str">
        <f>IF($I$19+V17*Adatok!$F$11&lt;Adatok!$F$10,$B$19,$I$19+V17*Adatok!$F$11)</f>
        <v>-</v>
      </c>
      <c r="X19" s="29" t="str">
        <f>IF($I$19+W17*Adatok!$F$11&lt;Adatok!$F$10,$B$19,$I$19+W17*Adatok!$F$11)</f>
        <v>-</v>
      </c>
      <c r="Y19" s="29" t="str">
        <f>IF($I$19+X17*Adatok!$F$11&lt;Adatok!$F$10,$B$19,$I$19+X17*Adatok!$F$11)</f>
        <v>-</v>
      </c>
      <c r="Z19" s="29" t="str">
        <f>IF($I$19+Y17*Adatok!$F$11&lt;Adatok!$F$10,$B$19,$I$19+Y17*Adatok!$F$11)</f>
        <v>-</v>
      </c>
      <c r="AA19" s="29" t="str">
        <f>IF($I$19+Z17*Adatok!$F$11&lt;Adatok!$F$10,$B$19,$I$19+Z17*Adatok!$F$11)</f>
        <v>-</v>
      </c>
      <c r="AB19" s="29" t="str">
        <f>IF($I$19+AA17*Adatok!$F$11&lt;Adatok!$F$10,$B$19,$I$19+AA17*Adatok!$F$11)</f>
        <v>-</v>
      </c>
      <c r="AC19" s="29" t="str">
        <f>IF($I$19+AB17*Adatok!$F$11&lt;Adatok!$F$10,$B$19,$I$19+AB17*Adatok!$F$11)</f>
        <v>-</v>
      </c>
      <c r="AD19" s="29" t="str">
        <f>IF($I$19+AC17*Adatok!$F$11&lt;Adatok!$F$10,$B$19,$I$19+AC17*Adatok!$F$11)</f>
        <v>-</v>
      </c>
      <c r="AE19" s="29" t="str">
        <f>IF($I$19+AD17*Adatok!$F$11&lt;Adatok!$F$10,$B$19,$I$19+AD17*Adatok!$F$11)</f>
        <v>-</v>
      </c>
      <c r="AF19" s="29" t="str">
        <f>IF($I$19+AE17*Adatok!$F$11&lt;Adatok!$F$10,$B$19,$I$19+AE17*Adatok!$F$11)</f>
        <v>-</v>
      </c>
      <c r="AG19" s="29" t="str">
        <f>IF($I$19+AF17*Adatok!$F$11&lt;Adatok!$F$10,$B$19,$I$19+AF17*Adatok!$F$11)</f>
        <v>-</v>
      </c>
      <c r="AH19" s="29" t="str">
        <f>IF($I$19+AG17*Adatok!$F$11&lt;Adatok!$F$10,$B$19,$I$19+AG17*Adatok!$F$11)</f>
        <v>-</v>
      </c>
      <c r="AI19" s="29" t="str">
        <f>IF($I$19+AH17*Adatok!$F$11&lt;Adatok!$F$10,$B$19,$I$19+AH17*Adatok!$F$11)</f>
        <v>-</v>
      </c>
      <c r="AJ19" s="29" t="str">
        <f>IF($I$19+AI17*Adatok!$F$11&lt;Adatok!$F$10,$B$19,$I$19+AI17*Adatok!$F$11)</f>
        <v>-</v>
      </c>
      <c r="AK19" s="29" t="str">
        <f>IF($I$19+AJ17*Adatok!$F$11&lt;Adatok!$F$10,$B$19,$I$19+AJ17*Adatok!$F$11)</f>
        <v>-</v>
      </c>
      <c r="AL19" s="29" t="str">
        <f>IF($I$19+AK17*Adatok!$F$11&lt;Adatok!$F$10,$B$19,$I$19+AK17*Adatok!$F$11)</f>
        <v>-</v>
      </c>
      <c r="AM19" s="29" t="str">
        <f>IF($I$19+AL17*Adatok!$F$11&lt;Adatok!$F$10,$B$19,$I$19+AL17*Adatok!$F$11)</f>
        <v>-</v>
      </c>
      <c r="AN19" s="29" t="str">
        <f>IF($I$19+AM17*Adatok!$F$11&lt;Adatok!$F$10,$B$19,$I$19+AM17*Adatok!$F$11)</f>
        <v>-</v>
      </c>
      <c r="AO19" s="29" t="str">
        <f>IF($I$19+AN17*Adatok!$F$11&lt;Adatok!$F$10,$B$19,$I$19+AN17*Adatok!$F$11)</f>
        <v>-</v>
      </c>
      <c r="AP19" s="29" t="str">
        <f>IF($I$19+AO17*Adatok!$F$11&lt;Adatok!$F$10,$B$19,$I$19+AO17*Adatok!$F$11)</f>
        <v>-</v>
      </c>
      <c r="AQ19" s="29" t="str">
        <f>IF($I$19+AP17*Adatok!$F$11&lt;Adatok!$F$10,$B$19,$I$19+AP17*Adatok!$F$11)</f>
        <v>-</v>
      </c>
      <c r="AR19" s="29" t="str">
        <f>IF($I$19+AQ17*Adatok!$F$11&lt;Adatok!$F$10,$B$19,$I$19+AQ17*Adatok!$F$11)</f>
        <v>-</v>
      </c>
      <c r="AS19" s="29" t="str">
        <f>IF($I$19+AR17*Adatok!$F$11&lt;Adatok!$F$10,$B$19,$I$19+AR17*Adatok!$F$11)</f>
        <v>-</v>
      </c>
      <c r="AT19" s="29" t="str">
        <f>IF($I$19+AS17*Adatok!$F$11&lt;Adatok!$F$10,$B$19,$I$19+AS17*Adatok!$F$11)</f>
        <v>-</v>
      </c>
      <c r="AU19" s="29" t="str">
        <f>IF($I$19+AT17*Adatok!$F$11&lt;Adatok!$F$10,$B$19,$I$19+AT17*Adatok!$F$11)</f>
        <v>-</v>
      </c>
      <c r="AV19" s="29" t="str">
        <f>IF($I$19+AU17*Adatok!$F$11&lt;Adatok!$F$10,$B$19,$I$19+AU17*Adatok!$F$11)</f>
        <v>-</v>
      </c>
      <c r="AW19" s="29" t="str">
        <f>IF($I$19+AV17*Adatok!$F$11&lt;Adatok!$F$10,$B$19,$I$19+AV17*Adatok!$F$11)</f>
        <v>-</v>
      </c>
      <c r="AX19" s="29" t="str">
        <f>IF($I$19+AW17*Adatok!$F$11&lt;Adatok!$F$10,$B$19,$I$19+AW17*Adatok!$F$11)</f>
        <v>-</v>
      </c>
      <c r="AY19" s="29" t="str">
        <f>IF($I$19+AX17*Adatok!$F$11&lt;Adatok!$F$10,$B$19,$I$19+AX17*Adatok!$F$11)</f>
        <v>-</v>
      </c>
      <c r="AZ19" s="29" t="str">
        <f>IF($I$19+AY17*Adatok!$F$11&lt;Adatok!$F$10,$B$19,$I$19+AY17*Adatok!$F$11)</f>
        <v>-</v>
      </c>
      <c r="BA19" s="29" t="str">
        <f>IF($I$19+AZ17*Adatok!$F$11&lt;Adatok!$F$10,$B$19,$I$19+AZ17*Adatok!$F$11)</f>
        <v>-</v>
      </c>
    </row>
    <row r="20" spans="1:53" s="7" customFormat="1" ht="18" customHeight="1" x14ac:dyDescent="0.25">
      <c r="A20" s="6"/>
      <c r="B20" s="7">
        <v>1</v>
      </c>
      <c r="C20" s="331">
        <f>Adatok!F19</f>
        <v>15</v>
      </c>
      <c r="D20" s="30" t="s">
        <v>27</v>
      </c>
      <c r="E20" s="334">
        <f>Adatok!H19</f>
        <v>16</v>
      </c>
      <c r="F20" s="63">
        <f>IF(Adatok!$C$16+B20&gt;Adatok!$C$17,$B$19,Adatok!I19)</f>
        <v>224.28</v>
      </c>
      <c r="G20" s="59"/>
      <c r="H20" s="71">
        <f>Adatok!J19/Adatok!I19</f>
        <v>1.0016272550893346</v>
      </c>
      <c r="I20" s="80">
        <f>IF(Adatok!$C$16+$B20&lt;Adatok!$C$17+1,((((Adatok!$C$13*Adatok!$C$20*Adatok!$I19*Adatok!$J19)/(8*(VLOOKUP(I$19,Számítás!$B$19:$H$63,7,FALSE))))+((Adatok!$C$13^3*Adatok!$C$20^3*Adatok!$I19^3*Adatok!$J19)/(384*(VLOOKUP(I$19,Számítás!$B$19:$H$63,7,FALSE))^3)))*100),$B$19)</f>
        <v>6474.3847360760255</v>
      </c>
      <c r="J20" s="31">
        <f>IF(AND($I$19+I$17*Adatok!$F$11&gt;Adatok!$F$10-0.01,Adatok!$C$16+$B20&lt;Adatok!$C$17+1),((Adatok!$C$13*Adatok!$C$20*Adatok!$I19*Adatok!$J19)/(8*(VLOOKUP(J$19,Számítás!$B$19:$H$63,7,FALSE)))+(Adatok!$C$13^3*Adatok!$C$20^3*Adatok!$I19^3*Adatok!$J19)/(384*(VLOOKUP(J$19,Számítás!$B$19:$H$63,7,FALSE))^3))*100,$B$19)</f>
        <v>6472.1356089354831</v>
      </c>
      <c r="K20" s="31">
        <f>IF(AND($I$19+J$17*Adatok!$F$11&gt;Adatok!$F$10-0.01,Adatok!$C$16+$B20&lt;Adatok!$C$17+1),((Adatok!$C$13*Adatok!$C$20*Adatok!$I19*Adatok!$J19)/(8*(VLOOKUP(K$19,Számítás!$B$19:$H$63,7,FALSE)))+(Adatok!$C$13^3*Adatok!$C$20^3*Adatok!$I19^3*Adatok!$J19)/(384*(VLOOKUP(K$19,Számítás!$B$19:$H$63,7,FALSE))^3))*100,$B$19)</f>
        <v>6469.8861046683942</v>
      </c>
      <c r="L20" s="31">
        <f>IF(AND($I$19+K$17*Adatok!$F$11&gt;Adatok!$F$10-0.01,Adatok!$C$16+$B20&lt;Adatok!$C$17+1),((Adatok!$C$13*Adatok!$C$20*Adatok!$I19*Adatok!$J19)/(8*(VLOOKUP(L$19,Számítás!$B$19:$H$63,7,FALSE)))+(Adatok!$C$13^3*Adatok!$C$20^3*Adatok!$I19^3*Adatok!$J19)/(384*(VLOOKUP(L$19,Számítás!$B$19:$H$63,7,FALSE))^3))*100,$B$19)</f>
        <v>6467.6362234478393</v>
      </c>
      <c r="M20" s="31">
        <f>IF(AND($I$19+L$17*Adatok!$F$11&gt;Adatok!$F$10-0.01,Adatok!$C$16+$B20&lt;Adatok!$C$17+1),((Adatok!$C$13*Adatok!$C$20*Adatok!$I19*Adatok!$J19)/(8*(VLOOKUP(M$19,Számítás!$B$19:$H$63,7,FALSE)))+(Adatok!$C$13^3*Adatok!$C$20^3*Adatok!$I19^3*Adatok!$J19)/(384*(VLOOKUP(M$19,Számítás!$B$19:$H$63,7,FALSE))^3))*100,$B$19)</f>
        <v>6465.3859646739438</v>
      </c>
      <c r="N20" s="31">
        <f>IF(AND($I$19+M$17*Adatok!$F$11&gt;Adatok!$F$10-0.01,Adatok!$C$16+$B20&lt;Adatok!$C$17+1),((Adatok!$C$13*Adatok!$C$20*Adatok!$I19*Adatok!$J19)/(8*(VLOOKUP(N$19,Számítás!$B$19:$H$63,7,FALSE)))+(Adatok!$C$13^3*Adatok!$C$20^3*Adatok!$I19^3*Adatok!$J19)/(384*(VLOOKUP(N$19,Számítás!$B$19:$H$63,7,FALSE))^3))*100,$B$19)</f>
        <v>6463.1353266832903</v>
      </c>
      <c r="O20" s="31">
        <f>IF(AND($I$19+N$17*Adatok!$F$11&gt;Adatok!$F$10-0.01,Adatok!$C$16+$B20&lt;Adatok!$C$17+1),((Adatok!$C$13*Adatok!$C$20*Adatok!$I19*Adatok!$J19)/(8*(VLOOKUP(O$19,Számítás!$B$19:$H$63,7,FALSE)))+(Adatok!$C$13^3*Adatok!$C$20^3*Adatok!$I19^3*Adatok!$J19)/(384*(VLOOKUP(O$19,Számítás!$B$19:$H$63,7,FALSE))^3))*100,$B$19)</f>
        <v>6460.8843104723437</v>
      </c>
      <c r="P20" s="31">
        <f>IF(AND($I$19+O$17*Adatok!$F$11&gt;Adatok!$F$10-0.01,Adatok!$C$16+$B20&lt;Adatok!$C$17+1),((Adatok!$C$13*Adatok!$C$20*Adatok!$I19*Adatok!$J19)/(8*(VLOOKUP(P$19,Számítás!$B$19:$H$63,7,FALSE)))+(Adatok!$C$13^3*Adatok!$C$20^3*Adatok!$I19^3*Adatok!$J19)/(384*(VLOOKUP(P$19,Számítás!$B$19:$H$63,7,FALSE))^3))*100,$B$19)</f>
        <v>6458.6329144068995</v>
      </c>
      <c r="Q20" s="31">
        <f>IF(AND($I$19+P$17*Adatok!$F$11&gt;Adatok!$F$10-0.01,Adatok!$C$16+$B20&lt;Adatok!$C$17+1),((Adatok!$C$13*Adatok!$C$20*Adatok!$I19*Adatok!$J19)/(8*(VLOOKUP(Q$19,Számítás!$B$19:$H$63,7,FALSE)))+(Adatok!$C$13^3*Adatok!$C$20^3*Adatok!$I19^3*Adatok!$J19)/(384*(VLOOKUP(Q$19,Számítás!$B$19:$H$63,7,FALSE))^3))*100,$B$19)</f>
        <v>6456.3811385841291</v>
      </c>
      <c r="R20" s="31">
        <f>IF(AND($I$19+Q$17*Adatok!$F$11&gt;Adatok!$F$10-0.01,Adatok!$C$16+$B20&lt;Adatok!$C$17+1),((Adatok!$C$13*Adatok!$C$20*Adatok!$I19*Adatok!$J19)/(8*(VLOOKUP(R$19,Számítás!$B$19:$H$63,7,FALSE)))+(Adatok!$C$13^3*Adatok!$C$20^3*Adatok!$I19^3*Adatok!$J19)/(384*(VLOOKUP(R$19,Számítás!$B$19:$H$63,7,FALSE))^3))*100,$B$19)</f>
        <v>6454.1289826460907</v>
      </c>
      <c r="S20" s="31">
        <f>IF(AND($I$19+R$17*Adatok!$F$11&gt;Adatok!$F$10-0.01,Adatok!$C$16+$B20&lt;Adatok!$C$17+1),((Adatok!$C$13*Adatok!$C$20*Adatok!$I19*Adatok!$J19)/(8*(VLOOKUP(S$19,Számítás!$B$19:$H$63,7,FALSE)))+(Adatok!$C$13^3*Adatok!$C$20^3*Adatok!$I19^3*Adatok!$J19)/(384*(VLOOKUP(S$19,Számítás!$B$19:$H$63,7,FALSE))^3))*100,$B$19)</f>
        <v>6451.8764467120518</v>
      </c>
      <c r="T20" s="31" t="str">
        <f>IF(AND($I$19+S$17*Adatok!$F$11&gt;Adatok!$F$10-0.01,Adatok!$C$16+$B20&lt;Adatok!$C$17+1),((Adatok!$C$13*Adatok!$C$20*Adatok!$I19*Adatok!$J19)/(8*(VLOOKUP(T$19,Számítás!$B$19:$H$63,7,FALSE)))+(Adatok!$C$13^3*Adatok!$C$20^3*Adatok!$I19^3*Adatok!$J19)/(384*(VLOOKUP(T$19,Számítás!$B$19:$H$63,7,FALSE))^3))*100,$B$19)</f>
        <v>-</v>
      </c>
      <c r="U20" s="31" t="str">
        <f>IF(AND($I$19+T$17*Adatok!$F$11&gt;Adatok!$F$10-0.01,Adatok!$C$16+$B20&lt;Adatok!$C$17+1),((Adatok!$C$13*Adatok!$C$20*Adatok!$I19*Adatok!$J19)/(8*(VLOOKUP(U$19,Számítás!$B$19:$H$63,7,FALSE)))+(Adatok!$C$13^3*Adatok!$C$20^3*Adatok!$I19^3*Adatok!$J19)/(384*(VLOOKUP(U$19,Számítás!$B$19:$H$63,7,FALSE))^3))*100,$B$19)</f>
        <v>-</v>
      </c>
      <c r="V20" s="31" t="str">
        <f>IF(AND($I$19+U$17*Adatok!$F$11&gt;Adatok!$F$10-0.01,Adatok!$C$16+$B20&lt;Adatok!$C$17+1),((Adatok!$C$13*Adatok!$C$20*Adatok!$I19*Adatok!$J19)/(8*(VLOOKUP(V$19,Számítás!$B$19:$H$63,7,FALSE)))+(Adatok!$C$13^3*Adatok!$C$20^3*Adatok!$I19^3*Adatok!$J19)/(384*(VLOOKUP(V$19,Számítás!$B$19:$H$63,7,FALSE))^3))*100,$B$19)</f>
        <v>-</v>
      </c>
      <c r="W20" s="31" t="str">
        <f>IF(AND($I$19+V$17*Adatok!$F$11&gt;Adatok!$F$10-0.01,Adatok!$C$16+$B20&lt;Adatok!$C$17+1),((Adatok!$C$13*Adatok!$C$20*Adatok!$I19*Adatok!$J19)/(8*(VLOOKUP(W$19,Számítás!$B$19:$H$63,7,FALSE)))+(Adatok!$C$13^3*Adatok!$C$20^3*Adatok!$I19^3*Adatok!$J19)/(384*(VLOOKUP(W$19,Számítás!$B$19:$H$63,7,FALSE))^3))*100,$B$19)</f>
        <v>-</v>
      </c>
      <c r="X20" s="31" t="str">
        <f>IF(AND($I$19+W$17*Adatok!$F$11&gt;Adatok!$F$10-0.01,Adatok!$C$16+$B20&lt;Adatok!$C$17+1),((Adatok!$C$13*Adatok!$C$20*Adatok!$I19*Adatok!$J19)/(8*(VLOOKUP(X$19,Számítás!$B$19:$H$63,7,FALSE)))+(Adatok!$C$13^3*Adatok!$C$20^3*Adatok!$I19^3*Adatok!$J19)/(384*(VLOOKUP(X$19,Számítás!$B$19:$H$63,7,FALSE))^3))*100,$B$19)</f>
        <v>-</v>
      </c>
      <c r="Y20" s="31" t="str">
        <f>IF(AND($I$19+X$17*Adatok!$F$11&gt;Adatok!$F$10-0.01,Adatok!$C$16+$B20&lt;Adatok!$C$17+1),((Adatok!$C$13*Adatok!$C$20*Adatok!$I19*Adatok!$J19)/(8*(VLOOKUP(Y$19,Számítás!$B$19:$H$63,7,FALSE)))+(Adatok!$C$13^3*Adatok!$C$20^3*Adatok!$I19^3*Adatok!$J19)/(384*(VLOOKUP(Y$19,Számítás!$B$19:$H$63,7,FALSE))^3))*100,$B$19)</f>
        <v>-</v>
      </c>
      <c r="Z20" s="31" t="str">
        <f>IF(AND($I$19+Y$17*Adatok!$F$11&gt;Adatok!$F$10-0.01,Adatok!$C$16+$B20&lt;Adatok!$C$17+1),((Adatok!$C$13*Adatok!$C$20*Adatok!$I19*Adatok!$J19)/(8*(VLOOKUP(Z$19,Számítás!$B$19:$H$63,7,FALSE)))+(Adatok!$C$13^3*Adatok!$C$20^3*Adatok!$I19^3*Adatok!$J19)/(384*(VLOOKUP(Z$19,Számítás!$B$19:$H$63,7,FALSE))^3))*100,$B$19)</f>
        <v>-</v>
      </c>
      <c r="AA20" s="31" t="str">
        <f>IF(AND($I$19+Z$17*Adatok!$F$11&gt;Adatok!$F$10-0.01,Adatok!$C$16+$B20&lt;Adatok!$C$17+1),((Adatok!$C$13*Adatok!$C$20*Adatok!$I19*Adatok!$J19)/(8*(VLOOKUP(AA$19,Számítás!$B$19:$H$63,7,FALSE)))+(Adatok!$C$13^3*Adatok!$C$20^3*Adatok!$I19^3*Adatok!$J19)/(384*(VLOOKUP(AA$19,Számítás!$B$19:$H$63,7,FALSE))^3))*100,$B$19)</f>
        <v>-</v>
      </c>
      <c r="AB20" s="31" t="str">
        <f>IF(AND($I$19+AA$17*Adatok!$F$11&gt;Adatok!$F$10-0.01,Adatok!$C$16+$B20&lt;Adatok!$C$17+1),((Adatok!$C$13*Adatok!$C$20*Adatok!$I19*Adatok!$J19)/(8*(VLOOKUP(AB$19,Számítás!$B$19:$H$63,7,FALSE)))+(Adatok!$C$13^3*Adatok!$C$20^3*Adatok!$I19^3*Adatok!$J19)/(384*(VLOOKUP(AB$19,Számítás!$B$19:$H$63,7,FALSE))^3))*100,$B$19)</f>
        <v>-</v>
      </c>
      <c r="AC20" s="31" t="str">
        <f>IF(AND($I$19+AB$17*Adatok!$F$11&gt;Adatok!$F$10-0.01,Adatok!$C$16+$B20&lt;Adatok!$C$17+1),((Adatok!$C$13*Adatok!$C$20*Adatok!$I19*Adatok!$J19)/(8*(VLOOKUP(AC$19,Számítás!$B$19:$H$63,7,FALSE)))+(Adatok!$C$13^3*Adatok!$C$20^3*Adatok!$I19^3*Adatok!$J19)/(384*(VLOOKUP(AC$19,Számítás!$B$19:$H$63,7,FALSE))^3))*100,$B$19)</f>
        <v>-</v>
      </c>
      <c r="AD20" s="31" t="str">
        <f>IF(AND($I$19+AC$17*Adatok!$F$11&gt;Adatok!$F$10-0.01,Adatok!$C$16+$B20&lt;Adatok!$C$17+1),((Adatok!$C$13*Adatok!$C$20*Adatok!$I19*Adatok!$J19)/(8*(VLOOKUP(AD$19,Számítás!$B$19:$H$63,7,FALSE)))+(Adatok!$C$13^3*Adatok!$C$20^3*Adatok!$I19^3*Adatok!$J19)/(384*(VLOOKUP(AD$19,Számítás!$B$19:$H$63,7,FALSE))^3))*100,$B$19)</f>
        <v>-</v>
      </c>
      <c r="AE20" s="31" t="str">
        <f>IF(AND($I$19+AD$17*Adatok!$F$11&gt;Adatok!$F$10-0.01,Adatok!$C$16+$B20&lt;Adatok!$C$17+1),((Adatok!$C$13*Adatok!$C$20*Adatok!$I19*Adatok!$J19)/(8*(VLOOKUP(AE$19,Számítás!$B$19:$H$63,7,FALSE)))+(Adatok!$C$13^3*Adatok!$C$20^3*Adatok!$I19^3*Adatok!$J19)/(384*(VLOOKUP(AE$19,Számítás!$B$19:$H$63,7,FALSE))^3))*100,$B$19)</f>
        <v>-</v>
      </c>
      <c r="AF20" s="31" t="str">
        <f>IF(AND($I$19+AE$17*Adatok!$F$11&gt;Adatok!$F$10-0.01,Adatok!$C$16+$B20&lt;Adatok!$C$17+1),((Adatok!$C$13*Adatok!$C$20*Adatok!$I19*Adatok!$J19)/(8*(VLOOKUP(AF$19,Számítás!$B$19:$H$63,7,FALSE)))+(Adatok!$C$13^3*Adatok!$C$20^3*Adatok!$I19^3*Adatok!$J19)/(384*(VLOOKUP(AF$19,Számítás!$B$19:$H$63,7,FALSE))^3))*100,$B$19)</f>
        <v>-</v>
      </c>
      <c r="AG20" s="31" t="str">
        <f>IF(AND($I$19+AF$17*Adatok!$F$11&gt;Adatok!$F$10-0.01,Adatok!$C$16+$B20&lt;Adatok!$C$17+1),((Adatok!$C$13*Adatok!$C$20*Adatok!$I19*Adatok!$J19)/(8*(VLOOKUP(AG$19,Számítás!$B$19:$H$63,7,FALSE)))+(Adatok!$C$13^3*Adatok!$C$20^3*Adatok!$I19^3*Adatok!$J19)/(384*(VLOOKUP(AG$19,Számítás!$B$19:$H$63,7,FALSE))^3))*100,$B$19)</f>
        <v>-</v>
      </c>
      <c r="AH20" s="31" t="str">
        <f>IF(AND($I$19+AG$17*Adatok!$F$11&gt;Adatok!$F$10-0.01,Adatok!$C$16+$B20&lt;Adatok!$C$17+1),((Adatok!$C$13*Adatok!$C$20*Adatok!$I19*Adatok!$J19)/(8*(VLOOKUP(AH$19,Számítás!$B$19:$H$63,7,FALSE)))+(Adatok!$C$13^3*Adatok!$C$20^3*Adatok!$I19^3*Adatok!$J19)/(384*(VLOOKUP(AH$19,Számítás!$B$19:$H$63,7,FALSE))^3))*100,$B$19)</f>
        <v>-</v>
      </c>
      <c r="AI20" s="31" t="str">
        <f>IF(AND($I$19+AH$17*Adatok!$F$11&gt;Adatok!$F$10-0.01,Adatok!$C$16+$B20&lt;Adatok!$C$17+1),((Adatok!$C$13*Adatok!$C$20*Adatok!$I19*Adatok!$J19)/(8*(VLOOKUP(AI$19,Számítás!$B$19:$H$63,7,FALSE)))+(Adatok!$C$13^3*Adatok!$C$20^3*Adatok!$I19^3*Adatok!$J19)/(384*(VLOOKUP(AI$19,Számítás!$B$19:$H$63,7,FALSE))^3))*100,$B$19)</f>
        <v>-</v>
      </c>
      <c r="AJ20" s="31" t="str">
        <f>IF(AND($I$19+AI$17*Adatok!$F$11&gt;Adatok!$F$10-0.01,Adatok!$C$16+$B20&lt;Adatok!$C$17+1),((Adatok!$C$13*Adatok!$C$20*Adatok!$I19*Adatok!$J19)/(8*(VLOOKUP(AJ$19,Számítás!$B$19:$H$63,7,FALSE)))+(Adatok!$C$13^3*Adatok!$C$20^3*Adatok!$I19^3*Adatok!$J19)/(384*(VLOOKUP(AJ$19,Számítás!$B$19:$H$63,7,FALSE))^3))*100,$B$19)</f>
        <v>-</v>
      </c>
      <c r="AK20" s="31" t="str">
        <f>IF(AND($I$19+AJ$17*Adatok!$F$11&gt;Adatok!$F$10-0.01,Adatok!$C$16+$B20&lt;Adatok!$C$17+1),((Adatok!$C$13*Adatok!$C$20*Adatok!$I19*Adatok!$J19)/(8*(VLOOKUP(AK$19,Számítás!$B$19:$H$63,7,FALSE)))+(Adatok!$C$13^3*Adatok!$C$20^3*Adatok!$I19^3*Adatok!$J19)/(384*(VLOOKUP(AK$19,Számítás!$B$19:$H$63,7,FALSE))^3))*100,$B$19)</f>
        <v>-</v>
      </c>
      <c r="AL20" s="31" t="str">
        <f>IF(AND($I$19+AK$17*Adatok!$F$11&gt;Adatok!$F$10-0.01,Adatok!$C$16+$B20&lt;Adatok!$C$17+1),((Adatok!$C$13*Adatok!$C$20*Adatok!$I19*Adatok!$J19)/(8*(VLOOKUP(AL$19,Számítás!$B$19:$H$63,7,FALSE)))+(Adatok!$C$13^3*Adatok!$C$20^3*Adatok!$I19^3*Adatok!$J19)/(384*(VLOOKUP(AL$19,Számítás!$B$19:$H$63,7,FALSE))^3))*100,$B$19)</f>
        <v>-</v>
      </c>
      <c r="AM20" s="31" t="str">
        <f>IF(AND($I$19+AL$17*Adatok!$F$11&gt;Adatok!$F$10-0.01,Adatok!$C$16+$B20&lt;Adatok!$C$17+1),((Adatok!$C$13*Adatok!$C$20*Adatok!$I19*Adatok!$J19)/(8*(VLOOKUP(AM$19,Számítás!$B$19:$H$63,7,FALSE)))+(Adatok!$C$13^3*Adatok!$C$20^3*Adatok!$I19^3*Adatok!$J19)/(384*(VLOOKUP(AM$19,Számítás!$B$19:$H$63,7,FALSE))^3))*100,$B$19)</f>
        <v>-</v>
      </c>
      <c r="AN20" s="31" t="str">
        <f>IF(AND($I$19+AM$17*Adatok!$F$11&gt;Adatok!$F$10-0.01,Adatok!$C$16+$B20&lt;Adatok!$C$17+1),((Adatok!$C$13*Adatok!$C$20*Adatok!$I19*Adatok!$J19)/(8*(VLOOKUP(AN$19,Számítás!$B$19:$H$63,7,FALSE)))+(Adatok!$C$13^3*Adatok!$C$20^3*Adatok!$I19^3*Adatok!$J19)/(384*(VLOOKUP(AN$19,Számítás!$B$19:$H$63,7,FALSE))^3))*100,$B$19)</f>
        <v>-</v>
      </c>
      <c r="AO20" s="31" t="str">
        <f>IF(AND($I$19+AN$17*Adatok!$F$11&gt;Adatok!$F$10-0.01,Adatok!$C$16+$B20&lt;Adatok!$C$17+1),((Adatok!$C$13*Adatok!$C$20*Adatok!$I19*Adatok!$J19)/(8*(VLOOKUP(AO$19,Számítás!$B$19:$H$63,7,FALSE)))+(Adatok!$C$13^3*Adatok!$C$20^3*Adatok!$I19^3*Adatok!$J19)/(384*(VLOOKUP(AO$19,Számítás!$B$19:$H$63,7,FALSE))^3))*100,$B$19)</f>
        <v>-</v>
      </c>
      <c r="AP20" s="31" t="str">
        <f>IF(AND($I$19+AO$17*Adatok!$F$11&gt;Adatok!$F$10-0.01,Adatok!$C$16+$B20&lt;Adatok!$C$17+1),((Adatok!$C$13*Adatok!$C$20*Adatok!$I19*Adatok!$J19)/(8*(VLOOKUP(AP$19,Számítás!$B$19:$H$63,7,FALSE)))+(Adatok!$C$13^3*Adatok!$C$20^3*Adatok!$I19^3*Adatok!$J19)/(384*(VLOOKUP(AP$19,Számítás!$B$19:$H$63,7,FALSE))^3))*100,$B$19)</f>
        <v>-</v>
      </c>
      <c r="AQ20" s="31" t="str">
        <f>IF(AND($I$19+AP$17*Adatok!$F$11&gt;Adatok!$F$10-0.01,Adatok!$C$16+$B20&lt;Adatok!$C$17+1),((Adatok!$C$13*Adatok!$C$20*Adatok!$I19*Adatok!$J19)/(8*(VLOOKUP(AQ$19,Számítás!$B$19:$H$63,7,FALSE)))+(Adatok!$C$13^3*Adatok!$C$20^3*Adatok!$I19^3*Adatok!$J19)/(384*(VLOOKUP(AQ$19,Számítás!$B$19:$H$63,7,FALSE))^3))*100,$B$19)</f>
        <v>-</v>
      </c>
      <c r="AR20" s="31" t="str">
        <f>IF(AND($I$19+AQ$17*Adatok!$F$11&gt;Adatok!$F$10-0.01,Adatok!$C$16+$B20&lt;Adatok!$C$17+1),((Adatok!$C$13*Adatok!$C$20*Adatok!$I19*Adatok!$J19)/(8*(VLOOKUP(AR$19,Számítás!$B$19:$H$63,7,FALSE)))+(Adatok!$C$13^3*Adatok!$C$20^3*Adatok!$I19^3*Adatok!$J19)/(384*(VLOOKUP(AR$19,Számítás!$B$19:$H$63,7,FALSE))^3))*100,$B$19)</f>
        <v>-</v>
      </c>
      <c r="AS20" s="31" t="str">
        <f>IF(AND($I$19+AR$17*Adatok!$F$11&gt;Adatok!$F$10-0.01,Adatok!$C$16+$B20&lt;Adatok!$C$17+1),((Adatok!$C$13*Adatok!$C$20*Adatok!$I19*Adatok!$J19)/(8*(VLOOKUP(AS$19,Számítás!$B$19:$H$63,7,FALSE)))+(Adatok!$C$13^3*Adatok!$C$20^3*Adatok!$I19^3*Adatok!$J19)/(384*(VLOOKUP(AS$19,Számítás!$B$19:$H$63,7,FALSE))^3))*100,$B$19)</f>
        <v>-</v>
      </c>
      <c r="AT20" s="31" t="str">
        <f>IF(AND($I$19+AS$17*Adatok!$F$11&gt;Adatok!$F$10-0.01,Adatok!$C$16+$B20&lt;Adatok!$C$17+1),((Adatok!$C$13*Adatok!$C$20*Adatok!$I19*Adatok!$J19)/(8*(VLOOKUP(AT$19,Számítás!$B$19:$H$63,7,FALSE)))+(Adatok!$C$13^3*Adatok!$C$20^3*Adatok!$I19^3*Adatok!$J19)/(384*(VLOOKUP(AT$19,Számítás!$B$19:$H$63,7,FALSE))^3))*100,$B$19)</f>
        <v>-</v>
      </c>
      <c r="AU20" s="31" t="str">
        <f>IF(AND($I$19+AT$17*Adatok!$F$11&gt;Adatok!$F$10-0.01,Adatok!$C$16+$B20&lt;Adatok!$C$17+1),((Adatok!$C$13*Adatok!$C$20*Adatok!$I19*Adatok!$J19)/(8*(VLOOKUP(AU$19,Számítás!$B$19:$H$63,7,FALSE)))+(Adatok!$C$13^3*Adatok!$C$20^3*Adatok!$I19^3*Adatok!$J19)/(384*(VLOOKUP(AU$19,Számítás!$B$19:$H$63,7,FALSE))^3))*100,$B$19)</f>
        <v>-</v>
      </c>
      <c r="AV20" s="31" t="str">
        <f>IF(AND($I$19+AU$17*Adatok!$F$11&gt;Adatok!$F$10-0.01,Adatok!$C$16+$B20&lt;Adatok!$C$17+1),((Adatok!$C$13*Adatok!$C$20*Adatok!$I19*Adatok!$J19)/(8*(VLOOKUP(AV$19,Számítás!$B$19:$H$63,7,FALSE)))+(Adatok!$C$13^3*Adatok!$C$20^3*Adatok!$I19^3*Adatok!$J19)/(384*(VLOOKUP(AV$19,Számítás!$B$19:$H$63,7,FALSE))^3))*100,$B$19)</f>
        <v>-</v>
      </c>
      <c r="AW20" s="31" t="str">
        <f>IF(AND($I$19+AV$17*Adatok!$F$11&gt;Adatok!$F$10-0.01,Adatok!$C$16+$B20&lt;Adatok!$C$17+1),((Adatok!$C$13*Adatok!$C$20*Adatok!$I19*Adatok!$J19)/(8*(VLOOKUP(AW$19,Számítás!$B$19:$H$63,7,FALSE)))+(Adatok!$C$13^3*Adatok!$C$20^3*Adatok!$I19^3*Adatok!$J19)/(384*(VLOOKUP(AW$19,Számítás!$B$19:$H$63,7,FALSE))^3))*100,$B$19)</f>
        <v>-</v>
      </c>
      <c r="AX20" s="31" t="str">
        <f>IF(AND($I$19+AW$17*Adatok!$F$11&gt;Adatok!$F$10-0.01,Adatok!$C$16+$B20&lt;Adatok!$C$17+1),((Adatok!$C$13*Adatok!$C$20*Adatok!$I19*Adatok!$J19)/(8*(VLOOKUP(AX$19,Számítás!$B$19:$H$63,7,FALSE)))+(Adatok!$C$13^3*Adatok!$C$20^3*Adatok!$I19^3*Adatok!$J19)/(384*(VLOOKUP(AX$19,Számítás!$B$19:$H$63,7,FALSE))^3))*100,$B$19)</f>
        <v>-</v>
      </c>
      <c r="AY20" s="31" t="str">
        <f>IF(AND($I$19+AX$17*Adatok!$F$11&gt;Adatok!$F$10-0.01,Adatok!$C$16+$B20&lt;Adatok!$C$17+1),((Adatok!$C$13*Adatok!$C$20*Adatok!$I19*Adatok!$J19)/(8*(VLOOKUP(AY$19,Számítás!$B$19:$H$63,7,FALSE)))+(Adatok!$C$13^3*Adatok!$C$20^3*Adatok!$I19^3*Adatok!$J19)/(384*(VLOOKUP(AY$19,Számítás!$B$19:$H$63,7,FALSE))^3))*100,$B$19)</f>
        <v>-</v>
      </c>
      <c r="AZ20" s="31" t="str">
        <f>IF(AND($I$19+AY$17*Adatok!$F$11&gt;Adatok!$F$10-0.01,Adatok!$C$16+$B20&lt;Adatok!$C$17+1),((Adatok!$C$13*Adatok!$C$20*Adatok!$I19*Adatok!$J19)/(8*(VLOOKUP(AZ$19,Számítás!$B$19:$H$63,7,FALSE)))+(Adatok!$C$13^3*Adatok!$C$20^3*Adatok!$I19^3*Adatok!$J19)/(384*(VLOOKUP(AZ$19,Számítás!$B$19:$H$63,7,FALSE))^3))*100,$B$19)</f>
        <v>-</v>
      </c>
      <c r="BA20" s="31" t="str">
        <f>IF(AND($I$19+AZ$17*Adatok!$F$11&gt;Adatok!$F$10-0.01,Adatok!$C$16+$B20&lt;Adatok!$C$17+1),((Adatok!$C$13*Adatok!$C$20*Adatok!$I19*Adatok!$J19)/(8*(VLOOKUP(BA$19,Számítás!$B$19:$H$63,7,FALSE)))+(Adatok!$C$13^3*Adatok!$C$20^3*Adatok!$I19^3*Adatok!$J19)/(384*(VLOOKUP(BA$19,Számítás!$B$19:$H$63,7,FALSE))^3))*100,$B$19)</f>
        <v>-</v>
      </c>
    </row>
    <row r="21" spans="1:53" ht="18" customHeight="1" x14ac:dyDescent="0.25">
      <c r="B21" s="1">
        <v>2</v>
      </c>
      <c r="C21" s="332">
        <f>Adatok!F20</f>
        <v>16</v>
      </c>
      <c r="D21" s="324" t="s">
        <v>27</v>
      </c>
      <c r="E21" s="335">
        <f>Adatok!H20</f>
        <v>17</v>
      </c>
      <c r="F21" s="325">
        <f>IF(Adatok!$C$16+B21&gt;Adatok!$C$17,$B$19,Adatok!I20)</f>
        <v>213.32</v>
      </c>
      <c r="G21" s="326"/>
      <c r="H21" s="327">
        <f>IF(Adatok!$C$16+B21&gt;Adatok!$C$17,$B$19,Adatok!J20/Adatok!I20)</f>
        <v>1</v>
      </c>
      <c r="I21" s="328">
        <f>IF(Adatok!$C$16+$B21&lt;Adatok!$C$17+1,((((Adatok!$C$13*Adatok!$C$20*Adatok!$I20*Adatok!$J20)/(8*(VLOOKUP(I$19,Számítás!$B$19:$H$63,7,FALSE))))+((Adatok!$C$13^3*Adatok!$C$20^3*Adatok!$I20^3*Adatok!$J20)/(384*(VLOOKUP(I$19,Számítás!$B$19:$H$63,7,FALSE))^3)))*100),$B$19)</f>
        <v>5800.2343795993347</v>
      </c>
      <c r="J21" s="329">
        <f>IF(AND($I$19+I$17*Adatok!$F$11&gt;Adatok!$F$10-0.01,Adatok!$C$16+$B21&lt;Adatok!$C$17+1),((Adatok!$C$13*Adatok!$C$20*Adatok!$I20*Adatok!$J20)/(8*(VLOOKUP(J$19,Számítás!$B$19:$H$63,7,FALSE)))+(Adatok!$C$13^3*Adatok!$C$20^3*Adatok!$I20^3*Adatok!$J20)/(384*(VLOOKUP(J$19,Számítás!$B$19:$H$63,7,FALSE))^3))*100,$B$19)</f>
        <v>5798.2451562710612</v>
      </c>
      <c r="K21" s="329">
        <f>IF(AND($I$19+J$17*Adatok!$F$11&gt;Adatok!$F$10-0.01,Adatok!$C$16+$B21&lt;Adatok!$C$17+1),((Adatok!$C$13*Adatok!$C$20*Adatok!$I20*Adatok!$J20)/(8*(VLOOKUP(K$19,Számítás!$B$19:$H$63,7,FALSE)))+(Adatok!$C$13^3*Adatok!$C$20^3*Adatok!$I20^3*Adatok!$J20)/(384*(VLOOKUP(K$19,Számítás!$B$19:$H$63,7,FALSE))^3))*100,$B$19)</f>
        <v>5796.255579798868</v>
      </c>
      <c r="L21" s="329">
        <f>IF(AND($I$19+K$17*Adatok!$F$11&gt;Adatok!$F$10-0.01,Adatok!$C$16+$B21&lt;Adatok!$C$17+1),((Adatok!$C$13*Adatok!$C$20*Adatok!$I20*Adatok!$J20)/(8*(VLOOKUP(L$19,Számítás!$B$19:$H$63,7,FALSE)))+(Adatok!$C$13^3*Adatok!$C$20^3*Adatok!$I20^3*Adatok!$J20)/(384*(VLOOKUP(L$19,Számítás!$B$19:$H$63,7,FALSE))^3))*100,$B$19)</f>
        <v>5794.2656503242024</v>
      </c>
      <c r="M21" s="329">
        <f>IF(AND($I$19+L$17*Adatok!$F$11&gt;Adatok!$F$10-0.01,Adatok!$C$16+$B21&lt;Adatok!$C$17+1),((Adatok!$C$13*Adatok!$C$20*Adatok!$I20*Adatok!$J20)/(8*(VLOOKUP(M$19,Számítás!$B$19:$H$63,7,FALSE)))+(Adatok!$C$13^3*Adatok!$C$20^3*Adatok!$I20^3*Adatok!$J20)/(384*(VLOOKUP(M$19,Számítás!$B$19:$H$63,7,FALSE))^3))*100,$B$19)</f>
        <v>5792.2753673048601</v>
      </c>
      <c r="N21" s="329">
        <f>IF(AND($I$19+M$17*Adatok!$F$11&gt;Adatok!$F$10-0.01,Adatok!$C$16+$B21&lt;Adatok!$C$17+1),((Adatok!$C$13*Adatok!$C$20*Adatok!$I20*Adatok!$J20)/(8*(VLOOKUP(N$19,Számítás!$B$19:$H$63,7,FALSE)))+(Adatok!$C$13^3*Adatok!$C$20^3*Adatok!$I20^3*Adatok!$J20)/(384*(VLOOKUP(N$19,Számítás!$B$19:$H$63,7,FALSE))^3))*100,$B$19)</f>
        <v>5790.2847292579327</v>
      </c>
      <c r="O21" s="329">
        <f>IF(AND($I$19+N$17*Adatok!$F$11&gt;Adatok!$F$10-0.01,Adatok!$C$16+$B21&lt;Adatok!$C$17+1),((Adatok!$C$13*Adatok!$C$20*Adatok!$I20*Adatok!$J20)/(8*(VLOOKUP(O$19,Számítás!$B$19:$H$63,7,FALSE)))+(Adatok!$C$13^3*Adatok!$C$20^3*Adatok!$I20^3*Adatok!$J20)/(384*(VLOOKUP(O$19,Számítás!$B$19:$H$63,7,FALSE))^3))*100,$B$19)</f>
        <v>5788.2937370530899</v>
      </c>
      <c r="P21" s="329">
        <f>IF(AND($I$19+O$17*Adatok!$F$11&gt;Adatok!$F$10-0.01,Adatok!$C$16+$B21&lt;Adatok!$C$17+1),((Adatok!$C$13*Adatok!$C$20*Adatok!$I20*Adatok!$J20)/(8*(VLOOKUP(P$19,Számítás!$B$19:$H$63,7,FALSE)))+(Adatok!$C$13^3*Adatok!$C$20^3*Adatok!$I20^3*Adatok!$J20)/(384*(VLOOKUP(P$19,Számítás!$B$19:$H$63,7,FALSE))^3))*100,$B$19)</f>
        <v>5786.302389233213</v>
      </c>
      <c r="Q21" s="329">
        <f>IF(AND($I$19+P$17*Adatok!$F$11&gt;Adatok!$F$10-0.01,Adatok!$C$16+$B21&lt;Adatok!$C$17+1),((Adatok!$C$13*Adatok!$C$20*Adatok!$I20*Adatok!$J20)/(8*(VLOOKUP(Q$19,Számítás!$B$19:$H$63,7,FALSE)))+(Adatok!$C$13^3*Adatok!$C$20^3*Adatok!$I20^3*Adatok!$J20)/(384*(VLOOKUP(Q$19,Számítás!$B$19:$H$63,7,FALSE))^3))*100,$B$19)</f>
        <v>5784.3106858725396</v>
      </c>
      <c r="R21" s="329">
        <f>IF(AND($I$19+Q$17*Adatok!$F$11&gt;Adatok!$F$10-0.01,Adatok!$C$16+$B21&lt;Adatok!$C$17+1),((Adatok!$C$13*Adatok!$C$20*Adatok!$I20*Adatok!$J20)/(8*(VLOOKUP(R$19,Számítás!$B$19:$H$63,7,FALSE)))+(Adatok!$C$13^3*Adatok!$C$20^3*Adatok!$I20^3*Adatok!$J20)/(384*(VLOOKUP(R$19,Számítás!$B$19:$H$63,7,FALSE))^3))*100,$B$19)</f>
        <v>5782.3186266427547</v>
      </c>
      <c r="S21" s="329">
        <f>IF(AND($I$19+R$17*Adatok!$F$11&gt;Adatok!$F$10-0.01,Adatok!$C$16+$B21&lt;Adatok!$C$17+1),((Adatok!$C$13*Adatok!$C$20*Adatok!$I20*Adatok!$J20)/(8*(VLOOKUP(S$19,Számítás!$B$19:$H$63,7,FALSE)))+(Adatok!$C$13^3*Adatok!$C$20^3*Adatok!$I20^3*Adatok!$J20)/(384*(VLOOKUP(S$19,Számítás!$B$19:$H$63,7,FALSE))^3))*100,$B$19)</f>
        <v>5780.3262116376363</v>
      </c>
      <c r="T21" s="330" t="str">
        <f>IF(AND($I$19+S$17*Adatok!$F$11&gt;Adatok!$F$10-0.01,Adatok!$C$16+$B21&lt;Adatok!$C$17+1),((Adatok!$C$13*Adatok!$C$20*Adatok!$I20*Adatok!$J20)/(8*(VLOOKUP(T$19,Számítás!$B$19:$H$63,7,FALSE)))+(Adatok!$C$13^3*Adatok!$C$20^3*Adatok!$I20^3*Adatok!$J20)/(384*(VLOOKUP(T$19,Számítás!$B$19:$H$63,7,FALSE))^3))*100,$B$19)</f>
        <v>-</v>
      </c>
      <c r="U21" s="330" t="str">
        <f>IF(AND($I$19+T$17*Adatok!$F$11&gt;Adatok!$F$10-0.01,Adatok!$C$16+$B21&lt;Adatok!$C$17+1),((Adatok!$C$13*Adatok!$C$20*Adatok!$I20*Adatok!$J20)/(8*(VLOOKUP(U$19,Számítás!$B$19:$H$63,7,FALSE)))+(Adatok!$C$13^3*Adatok!$C$20^3*Adatok!$I20^3*Adatok!$J20)/(384*(VLOOKUP(U$19,Számítás!$B$19:$H$63,7,FALSE))^3))*100,$B$19)</f>
        <v>-</v>
      </c>
      <c r="V21" s="33" t="str">
        <f>IF(AND($I$19+U$17*Adatok!$F$11&gt;Adatok!$F$10-0.01,Adatok!$C$16+$B21&lt;Adatok!$C$17+1),((Adatok!$C$13*Adatok!$C$20*Adatok!$I20*Adatok!$J20)/(8*(VLOOKUP(V$19,Számítás!$B$19:$H$63,7,FALSE)))+(Adatok!$C$13^3*Adatok!$C$20^3*Adatok!$I20^3*Adatok!$J20)/(384*(VLOOKUP(V$19,Számítás!$B$19:$H$63,7,FALSE))^3))*100,$B$19)</f>
        <v>-</v>
      </c>
      <c r="W21" s="33" t="str">
        <f>IF(AND($I$19+V$17*Adatok!$F$11&gt;Adatok!$F$10-0.01,Adatok!$C$16+$B21&lt;Adatok!$C$17+1),((Adatok!$C$13*Adatok!$C$20*Adatok!$I20*Adatok!$J20)/(8*(VLOOKUP(W$19,Számítás!$B$19:$H$63,7,FALSE)))+(Adatok!$C$13^3*Adatok!$C$20^3*Adatok!$I20^3*Adatok!$J20)/(384*(VLOOKUP(W$19,Számítás!$B$19:$H$63,7,FALSE))^3))*100,$B$19)</f>
        <v>-</v>
      </c>
      <c r="X21" s="33" t="str">
        <f>IF(AND($I$19+W$17*Adatok!$F$11&gt;Adatok!$F$10-0.01,Adatok!$C$16+$B21&lt;Adatok!$C$17+1),((Adatok!$C$13*Adatok!$C$20*Adatok!$I20*Adatok!$J20)/(8*(VLOOKUP(X$19,Számítás!$B$19:$H$63,7,FALSE)))+(Adatok!$C$13^3*Adatok!$C$20^3*Adatok!$I20^3*Adatok!$J20)/(384*(VLOOKUP(X$19,Számítás!$B$19:$H$63,7,FALSE))^3))*100,$B$19)</f>
        <v>-</v>
      </c>
      <c r="Y21" s="33" t="str">
        <f>IF(AND($I$19+X$17*Adatok!$F$11&gt;Adatok!$F$10-0.01,Adatok!$C$16+$B21&lt;Adatok!$C$17+1),((Adatok!$C$13*Adatok!$C$20*Adatok!$I20*Adatok!$J20)/(8*(VLOOKUP(Y$19,Számítás!$B$19:$H$63,7,FALSE)))+(Adatok!$C$13^3*Adatok!$C$20^3*Adatok!$I20^3*Adatok!$J20)/(384*(VLOOKUP(Y$19,Számítás!$B$19:$H$63,7,FALSE))^3))*100,$B$19)</f>
        <v>-</v>
      </c>
      <c r="Z21" s="33" t="str">
        <f>IF(AND($I$19+Y$17*Adatok!$F$11&gt;Adatok!$F$10-0.01,Adatok!$C$16+$B21&lt;Adatok!$C$17+1),((Adatok!$C$13*Adatok!$C$20*Adatok!$I20*Adatok!$J20)/(8*(VLOOKUP(Z$19,Számítás!$B$19:$H$63,7,FALSE)))+(Adatok!$C$13^3*Adatok!$C$20^3*Adatok!$I20^3*Adatok!$J20)/(384*(VLOOKUP(Z$19,Számítás!$B$19:$H$63,7,FALSE))^3))*100,$B$19)</f>
        <v>-</v>
      </c>
      <c r="AA21" s="33" t="str">
        <f>IF(AND($I$19+Z$17*Adatok!$F$11&gt;Adatok!$F$10-0.01,Adatok!$C$16+$B21&lt;Adatok!$C$17+1),((Adatok!$C$13*Adatok!$C$20*Adatok!$I20*Adatok!$J20)/(8*(VLOOKUP(AA$19,Számítás!$B$19:$H$63,7,FALSE)))+(Adatok!$C$13^3*Adatok!$C$20^3*Adatok!$I20^3*Adatok!$J20)/(384*(VLOOKUP(AA$19,Számítás!$B$19:$H$63,7,FALSE))^3))*100,$B$19)</f>
        <v>-</v>
      </c>
      <c r="AB21" s="33" t="str">
        <f>IF(AND($I$19+AA$17*Adatok!$F$11&gt;Adatok!$F$10-0.01,Adatok!$C$16+$B21&lt;Adatok!$C$17+1),((Adatok!$C$13*Adatok!$C$20*Adatok!$I20*Adatok!$J20)/(8*(VLOOKUP(AB$19,Számítás!$B$19:$H$63,7,FALSE)))+(Adatok!$C$13^3*Adatok!$C$20^3*Adatok!$I20^3*Adatok!$J20)/(384*(VLOOKUP(AB$19,Számítás!$B$19:$H$63,7,FALSE))^3))*100,$B$19)</f>
        <v>-</v>
      </c>
      <c r="AC21" s="33" t="str">
        <f>IF(AND($I$19+AB$17*Adatok!$F$11&gt;Adatok!$F$10-0.01,Adatok!$C$16+$B21&lt;Adatok!$C$17+1),((Adatok!$C$13*Adatok!$C$20*Adatok!$I20*Adatok!$J20)/(8*(VLOOKUP(AC$19,Számítás!$B$19:$H$63,7,FALSE)))+(Adatok!$C$13^3*Adatok!$C$20^3*Adatok!$I20^3*Adatok!$J20)/(384*(VLOOKUP(AC$19,Számítás!$B$19:$H$63,7,FALSE))^3))*100,$B$19)</f>
        <v>-</v>
      </c>
      <c r="AD21" s="33" t="str">
        <f>IF(AND($I$19+AC$17*Adatok!$F$11&gt;Adatok!$F$10-0.01,Adatok!$C$16+$B21&lt;Adatok!$C$17+1),((Adatok!$C$13*Adatok!$C$20*Adatok!$I20*Adatok!$J20)/(8*(VLOOKUP(AD$19,Számítás!$B$19:$H$63,7,FALSE)))+(Adatok!$C$13^3*Adatok!$C$20^3*Adatok!$I20^3*Adatok!$J20)/(384*(VLOOKUP(AD$19,Számítás!$B$19:$H$63,7,FALSE))^3))*100,$B$19)</f>
        <v>-</v>
      </c>
      <c r="AE21" s="33" t="str">
        <f>IF(AND($I$19+AD$17*Adatok!$F$11&gt;Adatok!$F$10-0.01,Adatok!$C$16+$B21&lt;Adatok!$C$17+1),((Adatok!$C$13*Adatok!$C$20*Adatok!$I20*Adatok!$J20)/(8*(VLOOKUP(AE$19,Számítás!$B$19:$H$63,7,FALSE)))+(Adatok!$C$13^3*Adatok!$C$20^3*Adatok!$I20^3*Adatok!$J20)/(384*(VLOOKUP(AE$19,Számítás!$B$19:$H$63,7,FALSE))^3))*100,$B$19)</f>
        <v>-</v>
      </c>
      <c r="AF21" s="33" t="str">
        <f>IF(AND($I$19+AE$17*Adatok!$F$11&gt;Adatok!$F$10-0.01,Adatok!$C$16+$B21&lt;Adatok!$C$17+1),((Adatok!$C$13*Adatok!$C$20*Adatok!$I20*Adatok!$J20)/(8*(VLOOKUP(AF$19,Számítás!$B$19:$H$63,7,FALSE)))+(Adatok!$C$13^3*Adatok!$C$20^3*Adatok!$I20^3*Adatok!$J20)/(384*(VLOOKUP(AF$19,Számítás!$B$19:$H$63,7,FALSE))^3))*100,$B$19)</f>
        <v>-</v>
      </c>
      <c r="AG21" s="33" t="str">
        <f>IF(AND($I$19+AF$17*Adatok!$F$11&gt;Adatok!$F$10-0.01,Adatok!$C$16+$B21&lt;Adatok!$C$17+1),((Adatok!$C$13*Adatok!$C$20*Adatok!$I20*Adatok!$J20)/(8*(VLOOKUP(AG$19,Számítás!$B$19:$H$63,7,FALSE)))+(Adatok!$C$13^3*Adatok!$C$20^3*Adatok!$I20^3*Adatok!$J20)/(384*(VLOOKUP(AG$19,Számítás!$B$19:$H$63,7,FALSE))^3))*100,$B$19)</f>
        <v>-</v>
      </c>
      <c r="AH21" s="33" t="str">
        <f>IF(AND($I$19+AG$17*Adatok!$F$11&gt;Adatok!$F$10-0.01,Adatok!$C$16+$B21&lt;Adatok!$C$17+1),((Adatok!$C$13*Adatok!$C$20*Adatok!$I20*Adatok!$J20)/(8*(VLOOKUP(AH$19,Számítás!$B$19:$H$63,7,FALSE)))+(Adatok!$C$13^3*Adatok!$C$20^3*Adatok!$I20^3*Adatok!$J20)/(384*(VLOOKUP(AH$19,Számítás!$B$19:$H$63,7,FALSE))^3))*100,$B$19)</f>
        <v>-</v>
      </c>
      <c r="AI21" s="33" t="str">
        <f>IF(AND($I$19+AH$17*Adatok!$F$11&gt;Adatok!$F$10-0.01,Adatok!$C$16+$B21&lt;Adatok!$C$17+1),((Adatok!$C$13*Adatok!$C$20*Adatok!$I20*Adatok!$J20)/(8*(VLOOKUP(AI$19,Számítás!$B$19:$H$63,7,FALSE)))+(Adatok!$C$13^3*Adatok!$C$20^3*Adatok!$I20^3*Adatok!$J20)/(384*(VLOOKUP(AI$19,Számítás!$B$19:$H$63,7,FALSE))^3))*100,$B$19)</f>
        <v>-</v>
      </c>
      <c r="AJ21" s="33" t="str">
        <f>IF(AND($I$19+AI$17*Adatok!$F$11&gt;Adatok!$F$10-0.01,Adatok!$C$16+$B21&lt;Adatok!$C$17+1),((Adatok!$C$13*Adatok!$C$20*Adatok!$I20*Adatok!$J20)/(8*(VLOOKUP(AJ$19,Számítás!$B$19:$H$63,7,FALSE)))+(Adatok!$C$13^3*Adatok!$C$20^3*Adatok!$I20^3*Adatok!$J20)/(384*(VLOOKUP(AJ$19,Számítás!$B$19:$H$63,7,FALSE))^3))*100,$B$19)</f>
        <v>-</v>
      </c>
      <c r="AK21" s="33" t="str">
        <f>IF(AND($I$19+AJ$17*Adatok!$F$11&gt;Adatok!$F$10-0.01,Adatok!$C$16+$B21&lt;Adatok!$C$17+1),((Adatok!$C$13*Adatok!$C$20*Adatok!$I20*Adatok!$J20)/(8*(VLOOKUP(AK$19,Számítás!$B$19:$H$63,7,FALSE)))+(Adatok!$C$13^3*Adatok!$C$20^3*Adatok!$I20^3*Adatok!$J20)/(384*(VLOOKUP(AK$19,Számítás!$B$19:$H$63,7,FALSE))^3))*100,$B$19)</f>
        <v>-</v>
      </c>
      <c r="AL21" s="33" t="str">
        <f>IF(AND($I$19+AK$17*Adatok!$F$11&gt;Adatok!$F$10-0.01,Adatok!$C$16+$B21&lt;Adatok!$C$17+1),((Adatok!$C$13*Adatok!$C$20*Adatok!$I20*Adatok!$J20)/(8*(VLOOKUP(AL$19,Számítás!$B$19:$H$63,7,FALSE)))+(Adatok!$C$13^3*Adatok!$C$20^3*Adatok!$I20^3*Adatok!$J20)/(384*(VLOOKUP(AL$19,Számítás!$B$19:$H$63,7,FALSE))^3))*100,$B$19)</f>
        <v>-</v>
      </c>
      <c r="AM21" s="33" t="str">
        <f>IF(AND($I$19+AL$17*Adatok!$F$11&gt;Adatok!$F$10-0.01,Adatok!$C$16+$B21&lt;Adatok!$C$17+1),((Adatok!$C$13*Adatok!$C$20*Adatok!$I20*Adatok!$J20)/(8*(VLOOKUP(AM$19,Számítás!$B$19:$H$63,7,FALSE)))+(Adatok!$C$13^3*Adatok!$C$20^3*Adatok!$I20^3*Adatok!$J20)/(384*(VLOOKUP(AM$19,Számítás!$B$19:$H$63,7,FALSE))^3))*100,$B$19)</f>
        <v>-</v>
      </c>
      <c r="AN21" s="33" t="str">
        <f>IF(AND($I$19+AM$17*Adatok!$F$11&gt;Adatok!$F$10-0.01,Adatok!$C$16+$B21&lt;Adatok!$C$17+1),((Adatok!$C$13*Adatok!$C$20*Adatok!$I20*Adatok!$J20)/(8*(VLOOKUP(AN$19,Számítás!$B$19:$H$63,7,FALSE)))+(Adatok!$C$13^3*Adatok!$C$20^3*Adatok!$I20^3*Adatok!$J20)/(384*(VLOOKUP(AN$19,Számítás!$B$19:$H$63,7,FALSE))^3))*100,$B$19)</f>
        <v>-</v>
      </c>
      <c r="AO21" s="33" t="str">
        <f>IF(AND($I$19+AN$17*Adatok!$F$11&gt;Adatok!$F$10-0.01,Adatok!$C$16+$B21&lt;Adatok!$C$17+1),((Adatok!$C$13*Adatok!$C$20*Adatok!$I20*Adatok!$J20)/(8*(VLOOKUP(AO$19,Számítás!$B$19:$H$63,7,FALSE)))+(Adatok!$C$13^3*Adatok!$C$20^3*Adatok!$I20^3*Adatok!$J20)/(384*(VLOOKUP(AO$19,Számítás!$B$19:$H$63,7,FALSE))^3))*100,$B$19)</f>
        <v>-</v>
      </c>
      <c r="AP21" s="33" t="str">
        <f>IF(AND($I$19+AO$17*Adatok!$F$11&gt;Adatok!$F$10-0.01,Adatok!$C$16+$B21&lt;Adatok!$C$17+1),((Adatok!$C$13*Adatok!$C$20*Adatok!$I20*Adatok!$J20)/(8*(VLOOKUP(AP$19,Számítás!$B$19:$H$63,7,FALSE)))+(Adatok!$C$13^3*Adatok!$C$20^3*Adatok!$I20^3*Adatok!$J20)/(384*(VLOOKUP(AP$19,Számítás!$B$19:$H$63,7,FALSE))^3))*100,$B$19)</f>
        <v>-</v>
      </c>
      <c r="AQ21" s="33" t="str">
        <f>IF(AND($I$19+AP$17*Adatok!$F$11&gt;Adatok!$F$10-0.01,Adatok!$C$16+$B21&lt;Adatok!$C$17+1),((Adatok!$C$13*Adatok!$C$20*Adatok!$I20*Adatok!$J20)/(8*(VLOOKUP(AQ$19,Számítás!$B$19:$H$63,7,FALSE)))+(Adatok!$C$13^3*Adatok!$C$20^3*Adatok!$I20^3*Adatok!$J20)/(384*(VLOOKUP(AQ$19,Számítás!$B$19:$H$63,7,FALSE))^3))*100,$B$19)</f>
        <v>-</v>
      </c>
      <c r="AR21" s="33" t="str">
        <f>IF(AND($I$19+AQ$17*Adatok!$F$11&gt;Adatok!$F$10-0.01,Adatok!$C$16+$B21&lt;Adatok!$C$17+1),((Adatok!$C$13*Adatok!$C$20*Adatok!$I20*Adatok!$J20)/(8*(VLOOKUP(AR$19,Számítás!$B$19:$H$63,7,FALSE)))+(Adatok!$C$13^3*Adatok!$C$20^3*Adatok!$I20^3*Adatok!$J20)/(384*(VLOOKUP(AR$19,Számítás!$B$19:$H$63,7,FALSE))^3))*100,$B$19)</f>
        <v>-</v>
      </c>
      <c r="AS21" s="33" t="str">
        <f>IF(AND($I$19+AR$17*Adatok!$F$11&gt;Adatok!$F$10-0.01,Adatok!$C$16+$B21&lt;Adatok!$C$17+1),((Adatok!$C$13*Adatok!$C$20*Adatok!$I20*Adatok!$J20)/(8*(VLOOKUP(AS$19,Számítás!$B$19:$H$63,7,FALSE)))+(Adatok!$C$13^3*Adatok!$C$20^3*Adatok!$I20^3*Adatok!$J20)/(384*(VLOOKUP(AS$19,Számítás!$B$19:$H$63,7,FALSE))^3))*100,$B$19)</f>
        <v>-</v>
      </c>
      <c r="AT21" s="33" t="str">
        <f>IF(AND($I$19+AS$17*Adatok!$F$11&gt;Adatok!$F$10-0.01,Adatok!$C$16+$B21&lt;Adatok!$C$17+1),((Adatok!$C$13*Adatok!$C$20*Adatok!$I20*Adatok!$J20)/(8*(VLOOKUP(AT$19,Számítás!$B$19:$H$63,7,FALSE)))+(Adatok!$C$13^3*Adatok!$C$20^3*Adatok!$I20^3*Adatok!$J20)/(384*(VLOOKUP(AT$19,Számítás!$B$19:$H$63,7,FALSE))^3))*100,$B$19)</f>
        <v>-</v>
      </c>
      <c r="AU21" s="33" t="str">
        <f>IF(AND($I$19+AT$17*Adatok!$F$11&gt;Adatok!$F$10-0.01,Adatok!$C$16+$B21&lt;Adatok!$C$17+1),((Adatok!$C$13*Adatok!$C$20*Adatok!$I20*Adatok!$J20)/(8*(VLOOKUP(AU$19,Számítás!$B$19:$H$63,7,FALSE)))+(Adatok!$C$13^3*Adatok!$C$20^3*Adatok!$I20^3*Adatok!$J20)/(384*(VLOOKUP(AU$19,Számítás!$B$19:$H$63,7,FALSE))^3))*100,$B$19)</f>
        <v>-</v>
      </c>
      <c r="AV21" s="33" t="str">
        <f>IF(AND($I$19+AU$17*Adatok!$F$11&gt;Adatok!$F$10-0.01,Adatok!$C$16+$B21&lt;Adatok!$C$17+1),((Adatok!$C$13*Adatok!$C$20*Adatok!$I20*Adatok!$J20)/(8*(VLOOKUP(AV$19,Számítás!$B$19:$H$63,7,FALSE)))+(Adatok!$C$13^3*Adatok!$C$20^3*Adatok!$I20^3*Adatok!$J20)/(384*(VLOOKUP(AV$19,Számítás!$B$19:$H$63,7,FALSE))^3))*100,$B$19)</f>
        <v>-</v>
      </c>
      <c r="AW21" s="33" t="str">
        <f>IF(AND($I$19+AV$17*Adatok!$F$11&gt;Adatok!$F$10-0.01,Adatok!$C$16+$B21&lt;Adatok!$C$17+1),((Adatok!$C$13*Adatok!$C$20*Adatok!$I20*Adatok!$J20)/(8*(VLOOKUP(AW$19,Számítás!$B$19:$H$63,7,FALSE)))+(Adatok!$C$13^3*Adatok!$C$20^3*Adatok!$I20^3*Adatok!$J20)/(384*(VLOOKUP(AW$19,Számítás!$B$19:$H$63,7,FALSE))^3))*100,$B$19)</f>
        <v>-</v>
      </c>
      <c r="AX21" s="33" t="str">
        <f>IF(AND($I$19+AW$17*Adatok!$F$11&gt;Adatok!$F$10-0.01,Adatok!$C$16+$B21&lt;Adatok!$C$17+1),((Adatok!$C$13*Adatok!$C$20*Adatok!$I20*Adatok!$J20)/(8*(VLOOKUP(AX$19,Számítás!$B$19:$H$63,7,FALSE)))+(Adatok!$C$13^3*Adatok!$C$20^3*Adatok!$I20^3*Adatok!$J20)/(384*(VLOOKUP(AX$19,Számítás!$B$19:$H$63,7,FALSE))^3))*100,$B$19)</f>
        <v>-</v>
      </c>
      <c r="AY21" s="33" t="str">
        <f>IF(AND($I$19+AX$17*Adatok!$F$11&gt;Adatok!$F$10-0.01,Adatok!$C$16+$B21&lt;Adatok!$C$17+1),((Adatok!$C$13*Adatok!$C$20*Adatok!$I20*Adatok!$J20)/(8*(VLOOKUP(AY$19,Számítás!$B$19:$H$63,7,FALSE)))+(Adatok!$C$13^3*Adatok!$C$20^3*Adatok!$I20^3*Adatok!$J20)/(384*(VLOOKUP(AY$19,Számítás!$B$19:$H$63,7,FALSE))^3))*100,$B$19)</f>
        <v>-</v>
      </c>
      <c r="AZ21" s="33" t="str">
        <f>IF(AND($I$19+AY$17*Adatok!$F$11&gt;Adatok!$F$10-0.01,Adatok!$C$16+$B21&lt;Adatok!$C$17+1),((Adatok!$C$13*Adatok!$C$20*Adatok!$I20*Adatok!$J20)/(8*(VLOOKUP(AZ$19,Számítás!$B$19:$H$63,7,FALSE)))+(Adatok!$C$13^3*Adatok!$C$20^3*Adatok!$I20^3*Adatok!$J20)/(384*(VLOOKUP(AZ$19,Számítás!$B$19:$H$63,7,FALSE))^3))*100,$B$19)</f>
        <v>-</v>
      </c>
      <c r="BA21" s="33" t="str">
        <f>IF(AND($I$19+AZ$17*Adatok!$F$11&gt;Adatok!$F$10-0.01,Adatok!$C$16+$B21&lt;Adatok!$C$17+1),((Adatok!$C$13*Adatok!$C$20*Adatok!$I20*Adatok!$J20)/(8*(VLOOKUP(BA$19,Számítás!$B$19:$H$63,7,FALSE)))+(Adatok!$C$13^3*Adatok!$C$20^3*Adatok!$I20^3*Adatok!$J20)/(384*(VLOOKUP(BA$19,Számítás!$B$19:$H$63,7,FALSE))^3))*100,$B$19)</f>
        <v>-</v>
      </c>
    </row>
    <row r="22" spans="1:53" ht="18" customHeight="1" x14ac:dyDescent="0.25">
      <c r="B22" s="1">
        <v>3</v>
      </c>
      <c r="C22" s="332">
        <f>Adatok!F21</f>
        <v>17</v>
      </c>
      <c r="D22" s="324" t="s">
        <v>27</v>
      </c>
      <c r="E22" s="335">
        <f>Adatok!H21</f>
        <v>18</v>
      </c>
      <c r="F22" s="325">
        <f>IF(Adatok!$C$16+B22&gt;Adatok!$C$17,$B$19,Adatok!I21)</f>
        <v>214.95</v>
      </c>
      <c r="G22" s="326"/>
      <c r="H22" s="327">
        <f>IF(Adatok!$C$16+B22&gt;Adatok!$C$17,$B$19,Adatok!J21/Adatok!I21)</f>
        <v>1</v>
      </c>
      <c r="I22" s="328">
        <f>IF(Adatok!$C$16+$B22&lt;Adatok!$C$17+1,((((Adatok!$C$13*Adatok!$C$20*Adatok!$I21*Adatok!$J21)/(8*(VLOOKUP(I$19,Számítás!$B$19:$H$63,7,FALSE))))+((Adatok!$C$13^3*Adatok!$C$20^3*Adatok!$I21^3*Adatok!$J21)/(384*(VLOOKUP(I$19,Számítás!$B$19:$H$63,7,FALSE))^3)))*100),$B$19)</f>
        <v>5896.2068831356628</v>
      </c>
      <c r="J22" s="329">
        <f>IF(AND($I$19+I$17*Adatok!$F$11&gt;Adatok!$F$10-0.01,Adatok!$C$16+$B22&lt;Adatok!$C$17+1),((Adatok!$C$13*Adatok!$C$20*Adatok!$I21*Adatok!$J21)/(8*(VLOOKUP(J$19,Számítás!$B$19:$H$63,7,FALSE)))+(Adatok!$C$13^3*Adatok!$C$20^3*Adatok!$I21^3*Adatok!$J21)/(384*(VLOOKUP(J$19,Számítás!$B$19:$H$63,7,FALSE))^3))*100,$B$19)</f>
        <v>5894.180914698617</v>
      </c>
      <c r="K22" s="329">
        <f>IF(AND($I$19+J$17*Adatok!$F$11&gt;Adatok!$F$10-0.01,Adatok!$C$16+$B22&lt;Adatok!$C$17+1),((Adatok!$C$13*Adatok!$C$20*Adatok!$I21*Adatok!$J21)/(8*(VLOOKUP(K$19,Számítás!$B$19:$H$63,7,FALSE)))+(Adatok!$C$13^3*Adatok!$C$20^3*Adatok!$I21^3*Adatok!$J21)/(384*(VLOOKUP(K$19,Számítás!$B$19:$H$63,7,FALSE))^3))*100,$B$19)</f>
        <v>5892.154589551883</v>
      </c>
      <c r="L22" s="329">
        <f>IF(AND($I$19+K$17*Adatok!$F$11&gt;Adatok!$F$10-0.01,Adatok!$C$16+$B22&lt;Adatok!$C$17+1),((Adatok!$C$13*Adatok!$C$20*Adatok!$I21*Adatok!$J21)/(8*(VLOOKUP(L$19,Számítás!$B$19:$H$63,7,FALSE)))+(Adatok!$C$13^3*Adatok!$C$20^3*Adatok!$I21^3*Adatok!$J21)/(384*(VLOOKUP(L$19,Számítás!$B$19:$H$63,7,FALSE))^3))*100,$B$19)</f>
        <v>5890.1279078412745</v>
      </c>
      <c r="M22" s="329">
        <f>IF(AND($I$19+L$17*Adatok!$F$11&gt;Adatok!$F$10-0.01,Adatok!$C$16+$B22&lt;Adatok!$C$17+1),((Adatok!$C$13*Adatok!$C$20*Adatok!$I21*Adatok!$J21)/(8*(VLOOKUP(M$19,Számítás!$B$19:$H$63,7,FALSE)))+(Adatok!$C$13^3*Adatok!$C$20^3*Adatok!$I21^3*Adatok!$J21)/(384*(VLOOKUP(M$19,Számítás!$B$19:$H$63,7,FALSE))^3))*100,$B$19)</f>
        <v>5888.1008690163335</v>
      </c>
      <c r="N22" s="329">
        <f>IF(AND($I$19+M$17*Adatok!$F$11&gt;Adatok!$F$10-0.01,Adatok!$C$16+$B22&lt;Adatok!$C$17+1),((Adatok!$C$13*Adatok!$C$20*Adatok!$I21*Adatok!$J21)/(8*(VLOOKUP(N$19,Számítás!$B$19:$H$63,7,FALSE)))+(Adatok!$C$13^3*Adatok!$C$20^3*Adatok!$I21^3*Adatok!$J21)/(384*(VLOOKUP(N$19,Számítás!$B$19:$H$63,7,FALSE))^3))*100,$B$19)</f>
        <v>5886.0734715685221</v>
      </c>
      <c r="O22" s="329">
        <f>IF(AND($I$19+N$17*Adatok!$F$11&gt;Adatok!$F$10-0.01,Adatok!$C$16+$B22&lt;Adatok!$C$17+1),((Adatok!$C$13*Adatok!$C$20*Adatok!$I21*Adatok!$J21)/(8*(VLOOKUP(O$19,Számítás!$B$19:$H$63,7,FALSE)))+(Adatok!$C$13^3*Adatok!$C$20^3*Adatok!$I21^3*Adatok!$J21)/(384*(VLOOKUP(O$19,Számítás!$B$19:$H$63,7,FALSE))^3))*100,$B$19)</f>
        <v>5884.0457163853334</v>
      </c>
      <c r="P22" s="329">
        <f>IF(AND($I$19+O$17*Adatok!$F$11&gt;Adatok!$F$10-0.01,Adatok!$C$16+$B22&lt;Adatok!$C$17+1),((Adatok!$C$13*Adatok!$C$20*Adatok!$I21*Adatok!$J21)/(8*(VLOOKUP(P$19,Számítás!$B$19:$H$63,7,FALSE)))+(Adatok!$C$13^3*Adatok!$C$20^3*Adatok!$I21^3*Adatok!$J21)/(384*(VLOOKUP(P$19,Számítás!$B$19:$H$63,7,FALSE))^3))*100,$B$19)</f>
        <v>5882.0176019845103</v>
      </c>
      <c r="Q22" s="329">
        <f>IF(AND($I$19+P$17*Adatok!$F$11&gt;Adatok!$F$10-0.01,Adatok!$C$16+$B22&lt;Adatok!$C$17+1),((Adatok!$C$13*Adatok!$C$20*Adatok!$I21*Adatok!$J21)/(8*(VLOOKUP(Q$19,Számítás!$B$19:$H$63,7,FALSE)))+(Adatok!$C$13^3*Adatok!$C$20^3*Adatok!$I21^3*Adatok!$J21)/(384*(VLOOKUP(Q$19,Számítás!$B$19:$H$63,7,FALSE))^3))*100,$B$19)</f>
        <v>5879.9891284434234</v>
      </c>
      <c r="R22" s="329">
        <f>IF(AND($I$19+Q$17*Adatok!$F$11&gt;Adatok!$F$10-0.01,Adatok!$C$16+$B22&lt;Adatok!$C$17+1),((Adatok!$C$13*Adatok!$C$20*Adatok!$I21*Adatok!$J21)/(8*(VLOOKUP(R$19,Számítás!$B$19:$H$63,7,FALSE)))+(Adatok!$C$13^3*Adatok!$C$20^3*Adatok!$I21^3*Adatok!$J21)/(384*(VLOOKUP(R$19,Számítás!$B$19:$H$63,7,FALSE))^3))*100,$B$19)</f>
        <v>5877.9602954294687</v>
      </c>
      <c r="S22" s="329">
        <f>IF(AND($I$19+R$17*Adatok!$F$11&gt;Adatok!$F$10-0.01,Adatok!$C$16+$B22&lt;Adatok!$C$17+1),((Adatok!$C$13*Adatok!$C$20*Adatok!$I21*Adatok!$J21)/(8*(VLOOKUP(S$19,Számítás!$B$19:$H$63,7,FALSE)))+(Adatok!$C$13^3*Adatok!$C$20^3*Adatok!$I21^3*Adatok!$J21)/(384*(VLOOKUP(S$19,Számítás!$B$19:$H$63,7,FALSE))^3))*100,$B$19)</f>
        <v>5875.9311030399203</v>
      </c>
      <c r="T22" s="330" t="str">
        <f>IF(AND($I$19+S$17*Adatok!$F$11&gt;Adatok!$F$10-0.01,Adatok!$C$16+$B22&lt;Adatok!$C$17+1),((Adatok!$C$13*Adatok!$C$20*Adatok!$I21*Adatok!$J21)/(8*(VLOOKUP(T$19,Számítás!$B$19:$H$63,7,FALSE)))+(Adatok!$C$13^3*Adatok!$C$20^3*Adatok!$I21^3*Adatok!$J21)/(384*(VLOOKUP(T$19,Számítás!$B$19:$H$63,7,FALSE))^3))*100,$B$19)</f>
        <v>-</v>
      </c>
      <c r="U22" s="330" t="str">
        <f>IF(AND($I$19+T$17*Adatok!$F$11&gt;Adatok!$F$10-0.01,Adatok!$C$16+$B22&lt;Adatok!$C$17+1),((Adatok!$C$13*Adatok!$C$20*Adatok!$I21*Adatok!$J21)/(8*(VLOOKUP(U$19,Számítás!$B$19:$H$63,7,FALSE)))+(Adatok!$C$13^3*Adatok!$C$20^3*Adatok!$I21^3*Adatok!$J21)/(384*(VLOOKUP(U$19,Számítás!$B$19:$H$63,7,FALSE))^3))*100,$B$19)</f>
        <v>-</v>
      </c>
      <c r="V22" s="33" t="str">
        <f>IF(AND($I$19+U$17*Adatok!$F$11&gt;Adatok!$F$10-0.01,Adatok!$C$16+$B22&lt;Adatok!$C$17+1),((Adatok!$C$13*Adatok!$C$20*Adatok!$I21*Adatok!$J21)/(8*(VLOOKUP(V$19,Számítás!$B$19:$H$63,7,FALSE)))+(Adatok!$C$13^3*Adatok!$C$20^3*Adatok!$I21^3*Adatok!$J21)/(384*(VLOOKUP(V$19,Számítás!$B$19:$H$63,7,FALSE))^3))*100,$B$19)</f>
        <v>-</v>
      </c>
      <c r="W22" s="33" t="str">
        <f>IF(AND($I$19+V$17*Adatok!$F$11&gt;Adatok!$F$10-0.01,Adatok!$C$16+$B22&lt;Adatok!$C$17+1),((Adatok!$C$13*Adatok!$C$20*Adatok!$I21*Adatok!$J21)/(8*(VLOOKUP(W$19,Számítás!$B$19:$H$63,7,FALSE)))+(Adatok!$C$13^3*Adatok!$C$20^3*Adatok!$I21^3*Adatok!$J21)/(384*(VLOOKUP(W$19,Számítás!$B$19:$H$63,7,FALSE))^3))*100,$B$19)</f>
        <v>-</v>
      </c>
      <c r="X22" s="33" t="str">
        <f>IF(AND($I$19+W$17*Adatok!$F$11&gt;Adatok!$F$10-0.01,Adatok!$C$16+$B22&lt;Adatok!$C$17+1),((Adatok!$C$13*Adatok!$C$20*Adatok!$I21*Adatok!$J21)/(8*(VLOOKUP(X$19,Számítás!$B$19:$H$63,7,FALSE)))+(Adatok!$C$13^3*Adatok!$C$20^3*Adatok!$I21^3*Adatok!$J21)/(384*(VLOOKUP(X$19,Számítás!$B$19:$H$63,7,FALSE))^3))*100,$B$19)</f>
        <v>-</v>
      </c>
      <c r="Y22" s="33" t="str">
        <f>IF(AND($I$19+X$17*Adatok!$F$11&gt;Adatok!$F$10-0.01,Adatok!$C$16+$B22&lt;Adatok!$C$17+1),((Adatok!$C$13*Adatok!$C$20*Adatok!$I21*Adatok!$J21)/(8*(VLOOKUP(Y$19,Számítás!$B$19:$H$63,7,FALSE)))+(Adatok!$C$13^3*Adatok!$C$20^3*Adatok!$I21^3*Adatok!$J21)/(384*(VLOOKUP(Y$19,Számítás!$B$19:$H$63,7,FALSE))^3))*100,$B$19)</f>
        <v>-</v>
      </c>
      <c r="Z22" s="33" t="str">
        <f>IF(AND($I$19+Y$17*Adatok!$F$11&gt;Adatok!$F$10-0.01,Adatok!$C$16+$B22&lt;Adatok!$C$17+1),((Adatok!$C$13*Adatok!$C$20*Adatok!$I21*Adatok!$J21)/(8*(VLOOKUP(Z$19,Számítás!$B$19:$H$63,7,FALSE)))+(Adatok!$C$13^3*Adatok!$C$20^3*Adatok!$I21^3*Adatok!$J21)/(384*(VLOOKUP(Z$19,Számítás!$B$19:$H$63,7,FALSE))^3))*100,$B$19)</f>
        <v>-</v>
      </c>
      <c r="AA22" s="33" t="str">
        <f>IF(AND($I$19+Z$17*Adatok!$F$11&gt;Adatok!$F$10-0.01,Adatok!$C$16+$B22&lt;Adatok!$C$17+1),((Adatok!$C$13*Adatok!$C$20*Adatok!$I21*Adatok!$J21)/(8*(VLOOKUP(AA$19,Számítás!$B$19:$H$63,7,FALSE)))+(Adatok!$C$13^3*Adatok!$C$20^3*Adatok!$I21^3*Adatok!$J21)/(384*(VLOOKUP(AA$19,Számítás!$B$19:$H$63,7,FALSE))^3))*100,$B$19)</f>
        <v>-</v>
      </c>
      <c r="AB22" s="33" t="str">
        <f>IF(AND($I$19+AA$17*Adatok!$F$11&gt;Adatok!$F$10-0.01,Adatok!$C$16+$B22&lt;Adatok!$C$17+1),((Adatok!$C$13*Adatok!$C$20*Adatok!$I21*Adatok!$J21)/(8*(VLOOKUP(AB$19,Számítás!$B$19:$H$63,7,FALSE)))+(Adatok!$C$13^3*Adatok!$C$20^3*Adatok!$I21^3*Adatok!$J21)/(384*(VLOOKUP(AB$19,Számítás!$B$19:$H$63,7,FALSE))^3))*100,$B$19)</f>
        <v>-</v>
      </c>
      <c r="AC22" s="33" t="str">
        <f>IF(AND($I$19+AB$17*Adatok!$F$11&gt;Adatok!$F$10-0.01,Adatok!$C$16+$B22&lt;Adatok!$C$17+1),((Adatok!$C$13*Adatok!$C$20*Adatok!$I21*Adatok!$J21)/(8*(VLOOKUP(AC$19,Számítás!$B$19:$H$63,7,FALSE)))+(Adatok!$C$13^3*Adatok!$C$20^3*Adatok!$I21^3*Adatok!$J21)/(384*(VLOOKUP(AC$19,Számítás!$B$19:$H$63,7,FALSE))^3))*100,$B$19)</f>
        <v>-</v>
      </c>
      <c r="AD22" s="33" t="str">
        <f>IF(AND($I$19+AC$17*Adatok!$F$11&gt;Adatok!$F$10-0.01,Adatok!$C$16+$B22&lt;Adatok!$C$17+1),((Adatok!$C$13*Adatok!$C$20*Adatok!$I21*Adatok!$J21)/(8*(VLOOKUP(AD$19,Számítás!$B$19:$H$63,7,FALSE)))+(Adatok!$C$13^3*Adatok!$C$20^3*Adatok!$I21^3*Adatok!$J21)/(384*(VLOOKUP(AD$19,Számítás!$B$19:$H$63,7,FALSE))^3))*100,$B$19)</f>
        <v>-</v>
      </c>
      <c r="AE22" s="33" t="str">
        <f>IF(AND($I$19+AD$17*Adatok!$F$11&gt;Adatok!$F$10-0.01,Adatok!$C$16+$B22&lt;Adatok!$C$17+1),((Adatok!$C$13*Adatok!$C$20*Adatok!$I21*Adatok!$J21)/(8*(VLOOKUP(AE$19,Számítás!$B$19:$H$63,7,FALSE)))+(Adatok!$C$13^3*Adatok!$C$20^3*Adatok!$I21^3*Adatok!$J21)/(384*(VLOOKUP(AE$19,Számítás!$B$19:$H$63,7,FALSE))^3))*100,$B$19)</f>
        <v>-</v>
      </c>
      <c r="AF22" s="33" t="str">
        <f>IF(AND($I$19+AE$17*Adatok!$F$11&gt;Adatok!$F$10-0.01,Adatok!$C$16+$B22&lt;Adatok!$C$17+1),((Adatok!$C$13*Adatok!$C$20*Adatok!$I21*Adatok!$J21)/(8*(VLOOKUP(AF$19,Számítás!$B$19:$H$63,7,FALSE)))+(Adatok!$C$13^3*Adatok!$C$20^3*Adatok!$I21^3*Adatok!$J21)/(384*(VLOOKUP(AF$19,Számítás!$B$19:$H$63,7,FALSE))^3))*100,$B$19)</f>
        <v>-</v>
      </c>
      <c r="AG22" s="33" t="str">
        <f>IF(AND($I$19+AF$17*Adatok!$F$11&gt;Adatok!$F$10-0.01,Adatok!$C$16+$B22&lt;Adatok!$C$17+1),((Adatok!$C$13*Adatok!$C$20*Adatok!$I21*Adatok!$J21)/(8*(VLOOKUP(AG$19,Számítás!$B$19:$H$63,7,FALSE)))+(Adatok!$C$13^3*Adatok!$C$20^3*Adatok!$I21^3*Adatok!$J21)/(384*(VLOOKUP(AG$19,Számítás!$B$19:$H$63,7,FALSE))^3))*100,$B$19)</f>
        <v>-</v>
      </c>
      <c r="AH22" s="33" t="str">
        <f>IF(AND($I$19+AG$17*Adatok!$F$11&gt;Adatok!$F$10-0.01,Adatok!$C$16+$B22&lt;Adatok!$C$17+1),((Adatok!$C$13*Adatok!$C$20*Adatok!$I21*Adatok!$J21)/(8*(VLOOKUP(AH$19,Számítás!$B$19:$H$63,7,FALSE)))+(Adatok!$C$13^3*Adatok!$C$20^3*Adatok!$I21^3*Adatok!$J21)/(384*(VLOOKUP(AH$19,Számítás!$B$19:$H$63,7,FALSE))^3))*100,$B$19)</f>
        <v>-</v>
      </c>
      <c r="AI22" s="33" t="str">
        <f>IF(AND($I$19+AH$17*Adatok!$F$11&gt;Adatok!$F$10-0.01,Adatok!$C$16+$B22&lt;Adatok!$C$17+1),((Adatok!$C$13*Adatok!$C$20*Adatok!$I21*Adatok!$J21)/(8*(VLOOKUP(AI$19,Számítás!$B$19:$H$63,7,FALSE)))+(Adatok!$C$13^3*Adatok!$C$20^3*Adatok!$I21^3*Adatok!$J21)/(384*(VLOOKUP(AI$19,Számítás!$B$19:$H$63,7,FALSE))^3))*100,$B$19)</f>
        <v>-</v>
      </c>
      <c r="AJ22" s="33" t="str">
        <f>IF(AND($I$19+AI$17*Adatok!$F$11&gt;Adatok!$F$10-0.01,Adatok!$C$16+$B22&lt;Adatok!$C$17+1),((Adatok!$C$13*Adatok!$C$20*Adatok!$I21*Adatok!$J21)/(8*(VLOOKUP(AJ$19,Számítás!$B$19:$H$63,7,FALSE)))+(Adatok!$C$13^3*Adatok!$C$20^3*Adatok!$I21^3*Adatok!$J21)/(384*(VLOOKUP(AJ$19,Számítás!$B$19:$H$63,7,FALSE))^3))*100,$B$19)</f>
        <v>-</v>
      </c>
      <c r="AK22" s="33" t="str">
        <f>IF(AND($I$19+AJ$17*Adatok!$F$11&gt;Adatok!$F$10-0.01,Adatok!$C$16+$B22&lt;Adatok!$C$17+1),((Adatok!$C$13*Adatok!$C$20*Adatok!$I21*Adatok!$J21)/(8*(VLOOKUP(AK$19,Számítás!$B$19:$H$63,7,FALSE)))+(Adatok!$C$13^3*Adatok!$C$20^3*Adatok!$I21^3*Adatok!$J21)/(384*(VLOOKUP(AK$19,Számítás!$B$19:$H$63,7,FALSE))^3))*100,$B$19)</f>
        <v>-</v>
      </c>
      <c r="AL22" s="33" t="str">
        <f>IF(AND($I$19+AK$17*Adatok!$F$11&gt;Adatok!$F$10-0.01,Adatok!$C$16+$B22&lt;Adatok!$C$17+1),((Adatok!$C$13*Adatok!$C$20*Adatok!$I21*Adatok!$J21)/(8*(VLOOKUP(AL$19,Számítás!$B$19:$H$63,7,FALSE)))+(Adatok!$C$13^3*Adatok!$C$20^3*Adatok!$I21^3*Adatok!$J21)/(384*(VLOOKUP(AL$19,Számítás!$B$19:$H$63,7,FALSE))^3))*100,$B$19)</f>
        <v>-</v>
      </c>
      <c r="AM22" s="33" t="str">
        <f>IF(AND($I$19+AL$17*Adatok!$F$11&gt;Adatok!$F$10-0.01,Adatok!$C$16+$B22&lt;Adatok!$C$17+1),((Adatok!$C$13*Adatok!$C$20*Adatok!$I21*Adatok!$J21)/(8*(VLOOKUP(AM$19,Számítás!$B$19:$H$63,7,FALSE)))+(Adatok!$C$13^3*Adatok!$C$20^3*Adatok!$I21^3*Adatok!$J21)/(384*(VLOOKUP(AM$19,Számítás!$B$19:$H$63,7,FALSE))^3))*100,$B$19)</f>
        <v>-</v>
      </c>
      <c r="AN22" s="33" t="str">
        <f>IF(AND($I$19+AM$17*Adatok!$F$11&gt;Adatok!$F$10-0.01,Adatok!$C$16+$B22&lt;Adatok!$C$17+1),((Adatok!$C$13*Adatok!$C$20*Adatok!$I21*Adatok!$J21)/(8*(VLOOKUP(AN$19,Számítás!$B$19:$H$63,7,FALSE)))+(Adatok!$C$13^3*Adatok!$C$20^3*Adatok!$I21^3*Adatok!$J21)/(384*(VLOOKUP(AN$19,Számítás!$B$19:$H$63,7,FALSE))^3))*100,$B$19)</f>
        <v>-</v>
      </c>
      <c r="AO22" s="33" t="str">
        <f>IF(AND($I$19+AN$17*Adatok!$F$11&gt;Adatok!$F$10-0.01,Adatok!$C$16+$B22&lt;Adatok!$C$17+1),((Adatok!$C$13*Adatok!$C$20*Adatok!$I21*Adatok!$J21)/(8*(VLOOKUP(AO$19,Számítás!$B$19:$H$63,7,FALSE)))+(Adatok!$C$13^3*Adatok!$C$20^3*Adatok!$I21^3*Adatok!$J21)/(384*(VLOOKUP(AO$19,Számítás!$B$19:$H$63,7,FALSE))^3))*100,$B$19)</f>
        <v>-</v>
      </c>
      <c r="AP22" s="33" t="str">
        <f>IF(AND($I$19+AO$17*Adatok!$F$11&gt;Adatok!$F$10-0.01,Adatok!$C$16+$B22&lt;Adatok!$C$17+1),((Adatok!$C$13*Adatok!$C$20*Adatok!$I21*Adatok!$J21)/(8*(VLOOKUP(AP$19,Számítás!$B$19:$H$63,7,FALSE)))+(Adatok!$C$13^3*Adatok!$C$20^3*Adatok!$I21^3*Adatok!$J21)/(384*(VLOOKUP(AP$19,Számítás!$B$19:$H$63,7,FALSE))^3))*100,$B$19)</f>
        <v>-</v>
      </c>
      <c r="AQ22" s="33" t="str">
        <f>IF(AND($I$19+AP$17*Adatok!$F$11&gt;Adatok!$F$10-0.01,Adatok!$C$16+$B22&lt;Adatok!$C$17+1),((Adatok!$C$13*Adatok!$C$20*Adatok!$I21*Adatok!$J21)/(8*(VLOOKUP(AQ$19,Számítás!$B$19:$H$63,7,FALSE)))+(Adatok!$C$13^3*Adatok!$C$20^3*Adatok!$I21^3*Adatok!$J21)/(384*(VLOOKUP(AQ$19,Számítás!$B$19:$H$63,7,FALSE))^3))*100,$B$19)</f>
        <v>-</v>
      </c>
      <c r="AR22" s="33" t="str">
        <f>IF(AND($I$19+AQ$17*Adatok!$F$11&gt;Adatok!$F$10-0.01,Adatok!$C$16+$B22&lt;Adatok!$C$17+1),((Adatok!$C$13*Adatok!$C$20*Adatok!$I21*Adatok!$J21)/(8*(VLOOKUP(AR$19,Számítás!$B$19:$H$63,7,FALSE)))+(Adatok!$C$13^3*Adatok!$C$20^3*Adatok!$I21^3*Adatok!$J21)/(384*(VLOOKUP(AR$19,Számítás!$B$19:$H$63,7,FALSE))^3))*100,$B$19)</f>
        <v>-</v>
      </c>
      <c r="AS22" s="33" t="str">
        <f>IF(AND($I$19+AR$17*Adatok!$F$11&gt;Adatok!$F$10-0.01,Adatok!$C$16+$B22&lt;Adatok!$C$17+1),((Adatok!$C$13*Adatok!$C$20*Adatok!$I21*Adatok!$J21)/(8*(VLOOKUP(AS$19,Számítás!$B$19:$H$63,7,FALSE)))+(Adatok!$C$13^3*Adatok!$C$20^3*Adatok!$I21^3*Adatok!$J21)/(384*(VLOOKUP(AS$19,Számítás!$B$19:$H$63,7,FALSE))^3))*100,$B$19)</f>
        <v>-</v>
      </c>
      <c r="AT22" s="33" t="str">
        <f>IF(AND($I$19+AS$17*Adatok!$F$11&gt;Adatok!$F$10-0.01,Adatok!$C$16+$B22&lt;Adatok!$C$17+1),((Adatok!$C$13*Adatok!$C$20*Adatok!$I21*Adatok!$J21)/(8*(VLOOKUP(AT$19,Számítás!$B$19:$H$63,7,FALSE)))+(Adatok!$C$13^3*Adatok!$C$20^3*Adatok!$I21^3*Adatok!$J21)/(384*(VLOOKUP(AT$19,Számítás!$B$19:$H$63,7,FALSE))^3))*100,$B$19)</f>
        <v>-</v>
      </c>
      <c r="AU22" s="33" t="str">
        <f>IF(AND($I$19+AT$17*Adatok!$F$11&gt;Adatok!$F$10-0.01,Adatok!$C$16+$B22&lt;Adatok!$C$17+1),((Adatok!$C$13*Adatok!$C$20*Adatok!$I21*Adatok!$J21)/(8*(VLOOKUP(AU$19,Számítás!$B$19:$H$63,7,FALSE)))+(Adatok!$C$13^3*Adatok!$C$20^3*Adatok!$I21^3*Adatok!$J21)/(384*(VLOOKUP(AU$19,Számítás!$B$19:$H$63,7,FALSE))^3))*100,$B$19)</f>
        <v>-</v>
      </c>
      <c r="AV22" s="33" t="str">
        <f>IF(AND($I$19+AU$17*Adatok!$F$11&gt;Adatok!$F$10-0.01,Adatok!$C$16+$B22&lt;Adatok!$C$17+1),((Adatok!$C$13*Adatok!$C$20*Adatok!$I21*Adatok!$J21)/(8*(VLOOKUP(AV$19,Számítás!$B$19:$H$63,7,FALSE)))+(Adatok!$C$13^3*Adatok!$C$20^3*Adatok!$I21^3*Adatok!$J21)/(384*(VLOOKUP(AV$19,Számítás!$B$19:$H$63,7,FALSE))^3))*100,$B$19)</f>
        <v>-</v>
      </c>
      <c r="AW22" s="33" t="str">
        <f>IF(AND($I$19+AV$17*Adatok!$F$11&gt;Adatok!$F$10-0.01,Adatok!$C$16+$B22&lt;Adatok!$C$17+1),((Adatok!$C$13*Adatok!$C$20*Adatok!$I21*Adatok!$J21)/(8*(VLOOKUP(AW$19,Számítás!$B$19:$H$63,7,FALSE)))+(Adatok!$C$13^3*Adatok!$C$20^3*Adatok!$I21^3*Adatok!$J21)/(384*(VLOOKUP(AW$19,Számítás!$B$19:$H$63,7,FALSE))^3))*100,$B$19)</f>
        <v>-</v>
      </c>
      <c r="AX22" s="33" t="str">
        <f>IF(AND($I$19+AW$17*Adatok!$F$11&gt;Adatok!$F$10-0.01,Adatok!$C$16+$B22&lt;Adatok!$C$17+1),((Adatok!$C$13*Adatok!$C$20*Adatok!$I21*Adatok!$J21)/(8*(VLOOKUP(AX$19,Számítás!$B$19:$H$63,7,FALSE)))+(Adatok!$C$13^3*Adatok!$C$20^3*Adatok!$I21^3*Adatok!$J21)/(384*(VLOOKUP(AX$19,Számítás!$B$19:$H$63,7,FALSE))^3))*100,$B$19)</f>
        <v>-</v>
      </c>
      <c r="AY22" s="33" t="str">
        <f>IF(AND($I$19+AX$17*Adatok!$F$11&gt;Adatok!$F$10-0.01,Adatok!$C$16+$B22&lt;Adatok!$C$17+1),((Adatok!$C$13*Adatok!$C$20*Adatok!$I21*Adatok!$J21)/(8*(VLOOKUP(AY$19,Számítás!$B$19:$H$63,7,FALSE)))+(Adatok!$C$13^3*Adatok!$C$20^3*Adatok!$I21^3*Adatok!$J21)/(384*(VLOOKUP(AY$19,Számítás!$B$19:$H$63,7,FALSE))^3))*100,$B$19)</f>
        <v>-</v>
      </c>
      <c r="AZ22" s="33" t="str">
        <f>IF(AND($I$19+AY$17*Adatok!$F$11&gt;Adatok!$F$10-0.01,Adatok!$C$16+$B22&lt;Adatok!$C$17+1),((Adatok!$C$13*Adatok!$C$20*Adatok!$I21*Adatok!$J21)/(8*(VLOOKUP(AZ$19,Számítás!$B$19:$H$63,7,FALSE)))+(Adatok!$C$13^3*Adatok!$C$20^3*Adatok!$I21^3*Adatok!$J21)/(384*(VLOOKUP(AZ$19,Számítás!$B$19:$H$63,7,FALSE))^3))*100,$B$19)</f>
        <v>-</v>
      </c>
      <c r="BA22" s="33" t="str">
        <f>IF(AND($I$19+AZ$17*Adatok!$F$11&gt;Adatok!$F$10-0.01,Adatok!$C$16+$B22&lt;Adatok!$C$17+1),((Adatok!$C$13*Adatok!$C$20*Adatok!$I21*Adatok!$J21)/(8*(VLOOKUP(BA$19,Számítás!$B$19:$H$63,7,FALSE)))+(Adatok!$C$13^3*Adatok!$C$20^3*Adatok!$I21^3*Adatok!$J21)/(384*(VLOOKUP(BA$19,Számítás!$B$19:$H$63,7,FALSE))^3))*100,$B$19)</f>
        <v>-</v>
      </c>
    </row>
    <row r="23" spans="1:53" ht="18" customHeight="1" x14ac:dyDescent="0.25">
      <c r="B23" s="1">
        <v>4</v>
      </c>
      <c r="C23" s="333">
        <f>Adatok!F22</f>
        <v>18</v>
      </c>
      <c r="D23" s="32" t="s">
        <v>27</v>
      </c>
      <c r="E23" s="336">
        <f>Adatok!H22</f>
        <v>19</v>
      </c>
      <c r="F23" s="64">
        <f>IF(Adatok!$C$16+B23&gt;Adatok!$C$17,$B$19,Adatok!I22)</f>
        <v>193.4</v>
      </c>
      <c r="G23" s="60"/>
      <c r="H23" s="72">
        <f>IF(Adatok!$C$16+B23&gt;Adatok!$C$17,$B$19,Adatok!J22/Adatok!I22)</f>
        <v>1</v>
      </c>
      <c r="I23" s="81">
        <f>IF(Adatok!$C$16+$B23&lt;Adatok!$C$17+1,((((Adatok!$C$13*Adatok!$C$20*Adatok!$I22*Adatok!$J22)/(8*(VLOOKUP(I$19,Számítás!$B$19:$H$63,7,FALSE))))+((Adatok!$C$13^3*Adatok!$C$20^3*Adatok!$I22^3*Adatok!$J22)/(384*(VLOOKUP(I$19,Számítás!$B$19:$H$63,7,FALSE))^3)))*100),$B$19)</f>
        <v>4701.8439657551762</v>
      </c>
      <c r="J23" s="33">
        <f>IF(AND($I$19+I$17*Adatok!$F$11&gt;Adatok!$F$10-0.01,Adatok!$C$16+$B23&lt;Adatok!$C$17+1),((Adatok!$C$13*Adatok!$C$20*Adatok!$I22*Adatok!$J22)/(8*(VLOOKUP(J$19,Számítás!$B$19:$H$63,7,FALSE)))+(Adatok!$C$13^3*Adatok!$C$20^3*Adatok!$I22^3*Adatok!$J22)/(384*(VLOOKUP(J$19,Számítás!$B$19:$H$63,7,FALSE))^3))*100,$B$19)</f>
        <v>4700.2674336926002</v>
      </c>
      <c r="K23" s="33">
        <f>IF(AND($I$19+J$17*Adatok!$F$11&gt;Adatok!$F$10-0.01,Adatok!$C$16+$B23&lt;Adatok!$C$17+1),((Adatok!$C$13*Adatok!$C$20*Adatok!$I22*Adatok!$J22)/(8*(VLOOKUP(K$19,Számítás!$B$19:$H$63,7,FALSE)))+(Adatok!$C$13^3*Adatok!$C$20^3*Adatok!$I22^3*Adatok!$J22)/(384*(VLOOKUP(K$19,Számítás!$B$19:$H$63,7,FALSE))^3))*100,$B$19)</f>
        <v>4698.6905939631934</v>
      </c>
      <c r="L23" s="33">
        <f>IF(AND($I$19+K$17*Adatok!$F$11&gt;Adatok!$F$10-0.01,Adatok!$C$16+$B23&lt;Adatok!$C$17+1),((Adatok!$C$13*Adatok!$C$20*Adatok!$I22*Adatok!$J22)/(8*(VLOOKUP(L$19,Számítás!$B$19:$H$63,7,FALSE)))+(Adatok!$C$13^3*Adatok!$C$20^3*Adatok!$I22^3*Adatok!$J22)/(384*(VLOOKUP(L$19,Számítás!$B$19:$H$63,7,FALSE))^3))*100,$B$19)</f>
        <v>4697.1134466625663</v>
      </c>
      <c r="M23" s="33">
        <f>IF(AND($I$19+L$17*Adatok!$F$11&gt;Adatok!$F$10-0.01,Adatok!$C$16+$B23&lt;Adatok!$C$17+1),((Adatok!$C$13*Adatok!$C$20*Adatok!$I22*Adatok!$J22)/(8*(VLOOKUP(M$19,Számítás!$B$19:$H$63,7,FALSE)))+(Adatok!$C$13^3*Adatok!$C$20^3*Adatok!$I22^3*Adatok!$J22)/(384*(VLOOKUP(M$19,Számítás!$B$19:$H$63,7,FALSE))^3))*100,$B$19)</f>
        <v>4695.5359913444845</v>
      </c>
      <c r="N23" s="33">
        <f>IF(AND($I$19+M$17*Adatok!$F$11&gt;Adatok!$F$10-0.01,Adatok!$C$16+$B23&lt;Adatok!$C$17+1),((Adatok!$C$13*Adatok!$C$20*Adatok!$I22*Adatok!$J22)/(8*(VLOOKUP(N$19,Számítás!$B$19:$H$63,7,FALSE)))+(Adatok!$C$13^3*Adatok!$C$20^3*Adatok!$I22^3*Adatok!$J22)/(384*(VLOOKUP(N$19,Számítás!$B$19:$H$63,7,FALSE))^3))*100,$B$19)</f>
        <v>4693.958226817077</v>
      </c>
      <c r="O23" s="33">
        <f>IF(AND($I$19+N$17*Adatok!$F$11&gt;Adatok!$F$10-0.01,Adatok!$C$16+$B23&lt;Adatok!$C$17+1),((Adatok!$C$13*Adatok!$C$20*Adatok!$I22*Adatok!$J22)/(8*(VLOOKUP(O$19,Számítás!$B$19:$H$63,7,FALSE)))+(Adatok!$C$13^3*Adatok!$C$20^3*Adatok!$I22^3*Adatok!$J22)/(384*(VLOOKUP(O$19,Számítás!$B$19:$H$63,7,FALSE))^3))*100,$B$19)</f>
        <v>4692.3801537530799</v>
      </c>
      <c r="P23" s="33">
        <f>IF(AND($I$19+O$17*Adatok!$F$11&gt;Adatok!$F$10-0.01,Adatok!$C$16+$B23&lt;Adatok!$C$17+1),((Adatok!$C$13*Adatok!$C$20*Adatok!$I22*Adatok!$J22)/(8*(VLOOKUP(P$19,Számítás!$B$19:$H$63,7,FALSE)))+(Adatok!$C$13^3*Adatok!$C$20^3*Adatok!$I22^3*Adatok!$J22)/(384*(VLOOKUP(P$19,Számítás!$B$19:$H$63,7,FALSE))^3))*100,$B$19)</f>
        <v>4690.801770981001</v>
      </c>
      <c r="Q23" s="33">
        <f>IF(AND($I$19+P$17*Adatok!$F$11&gt;Adatok!$F$10-0.01,Adatok!$C$16+$B23&lt;Adatok!$C$17+1),((Adatok!$C$13*Adatok!$C$20*Adatok!$I22*Adatok!$J22)/(8*(VLOOKUP(Q$19,Számítás!$B$19:$H$63,7,FALSE)))+(Adatok!$C$13^3*Adatok!$C$20^3*Adatok!$I22^3*Adatok!$J22)/(384*(VLOOKUP(Q$19,Számítás!$B$19:$H$63,7,FALSE))^3))*100,$B$19)</f>
        <v>4689.2230785430775</v>
      </c>
      <c r="R23" s="33">
        <f>IF(AND($I$19+Q$17*Adatok!$F$11&gt;Adatok!$F$10-0.01,Adatok!$C$16+$B23&lt;Adatok!$C$17+1),((Adatok!$C$13*Adatok!$C$20*Adatok!$I22*Adatok!$J22)/(8*(VLOOKUP(R$19,Számítás!$B$19:$H$63,7,FALSE)))+(Adatok!$C$13^3*Adatok!$C$20^3*Adatok!$I22^3*Adatok!$J22)/(384*(VLOOKUP(R$19,Számítás!$B$19:$H$63,7,FALSE))^3))*100,$B$19)</f>
        <v>4687.644076162469</v>
      </c>
      <c r="S23" s="33">
        <f>IF(AND($I$19+R$17*Adatok!$F$11&gt;Adatok!$F$10-0.01,Adatok!$C$16+$B23&lt;Adatok!$C$17+1),((Adatok!$C$13*Adatok!$C$20*Adatok!$I22*Adatok!$J22)/(8*(VLOOKUP(S$19,Számítás!$B$19:$H$63,7,FALSE)))+(Adatok!$C$13^3*Adatok!$C$20^3*Adatok!$I22^3*Adatok!$J22)/(384*(VLOOKUP(S$19,Számítás!$B$19:$H$63,7,FALSE))^3))*100,$B$19)</f>
        <v>4686.0647638968931</v>
      </c>
      <c r="T23" s="33" t="str">
        <f>IF(AND($I$19+S$17*Adatok!$F$11&gt;Adatok!$F$10-0.01,Adatok!$C$16+$B23&lt;Adatok!$C$17+1),((Adatok!$C$13*Adatok!$C$20*Adatok!$I22*Adatok!$J22)/(8*(VLOOKUP(T$19,Számítás!$B$19:$H$63,7,FALSE)))+(Adatok!$C$13^3*Adatok!$C$20^3*Adatok!$I22^3*Adatok!$J22)/(384*(VLOOKUP(T$19,Számítás!$B$19:$H$63,7,FALSE))^3))*100,$B$19)</f>
        <v>-</v>
      </c>
      <c r="U23" s="33" t="str">
        <f>IF(AND($I$19+T$17*Adatok!$F$11&gt;Adatok!$F$10-0.01,Adatok!$C$16+$B23&lt;Adatok!$C$17+1),((Adatok!$C$13*Adatok!$C$20*Adatok!$I22*Adatok!$J22)/(8*(VLOOKUP(U$19,Számítás!$B$19:$H$63,7,FALSE)))+(Adatok!$C$13^3*Adatok!$C$20^3*Adatok!$I22^3*Adatok!$J22)/(384*(VLOOKUP(U$19,Számítás!$B$19:$H$63,7,FALSE))^3))*100,$B$19)</f>
        <v>-</v>
      </c>
      <c r="V23" s="33" t="str">
        <f>IF(AND($I$19+U$17*Adatok!$F$11&gt;Adatok!$F$10-0.01,Adatok!$C$16+$B23&lt;Adatok!$C$17+1),((Adatok!$C$13*Adatok!$C$20*Adatok!$I22*Adatok!$J22)/(8*(VLOOKUP(V$19,Számítás!$B$19:$H$63,7,FALSE)))+(Adatok!$C$13^3*Adatok!$C$20^3*Adatok!$I22^3*Adatok!$J22)/(384*(VLOOKUP(V$19,Számítás!$B$19:$H$63,7,FALSE))^3))*100,$B$19)</f>
        <v>-</v>
      </c>
      <c r="W23" s="33" t="str">
        <f>IF(AND($I$19+V$17*Adatok!$F$11&gt;Adatok!$F$10-0.01,Adatok!$C$16+$B23&lt;Adatok!$C$17+1),((Adatok!$C$13*Adatok!$C$20*Adatok!$I22*Adatok!$J22)/(8*(VLOOKUP(W$19,Számítás!$B$19:$H$63,7,FALSE)))+(Adatok!$C$13^3*Adatok!$C$20^3*Adatok!$I22^3*Adatok!$J22)/(384*(VLOOKUP(W$19,Számítás!$B$19:$H$63,7,FALSE))^3))*100,$B$19)</f>
        <v>-</v>
      </c>
      <c r="X23" s="33" t="str">
        <f>IF(AND($I$19+W$17*Adatok!$F$11&gt;Adatok!$F$10-0.01,Adatok!$C$16+$B23&lt;Adatok!$C$17+1),((Adatok!$C$13*Adatok!$C$20*Adatok!$I22*Adatok!$J22)/(8*(VLOOKUP(X$19,Számítás!$B$19:$H$63,7,FALSE)))+(Adatok!$C$13^3*Adatok!$C$20^3*Adatok!$I22^3*Adatok!$J22)/(384*(VLOOKUP(X$19,Számítás!$B$19:$H$63,7,FALSE))^3))*100,$B$19)</f>
        <v>-</v>
      </c>
      <c r="Y23" s="33" t="str">
        <f>IF(AND($I$19+X$17*Adatok!$F$11&gt;Adatok!$F$10-0.01,Adatok!$C$16+$B23&lt;Adatok!$C$17+1),((Adatok!$C$13*Adatok!$C$20*Adatok!$I22*Adatok!$J22)/(8*(VLOOKUP(Y$19,Számítás!$B$19:$H$63,7,FALSE)))+(Adatok!$C$13^3*Adatok!$C$20^3*Adatok!$I22^3*Adatok!$J22)/(384*(VLOOKUP(Y$19,Számítás!$B$19:$H$63,7,FALSE))^3))*100,$B$19)</f>
        <v>-</v>
      </c>
      <c r="Z23" s="33" t="str">
        <f>IF(AND($I$19+Y$17*Adatok!$F$11&gt;Adatok!$F$10-0.01,Adatok!$C$16+$B23&lt;Adatok!$C$17+1),((Adatok!$C$13*Adatok!$C$20*Adatok!$I22*Adatok!$J22)/(8*(VLOOKUP(Z$19,Számítás!$B$19:$H$63,7,FALSE)))+(Adatok!$C$13^3*Adatok!$C$20^3*Adatok!$I22^3*Adatok!$J22)/(384*(VLOOKUP(Z$19,Számítás!$B$19:$H$63,7,FALSE))^3))*100,$B$19)</f>
        <v>-</v>
      </c>
      <c r="AA23" s="33" t="str">
        <f>IF(AND($I$19+Z$17*Adatok!$F$11&gt;Adatok!$F$10-0.01,Adatok!$C$16+$B23&lt;Adatok!$C$17+1),((Adatok!$C$13*Adatok!$C$20*Adatok!$I22*Adatok!$J22)/(8*(VLOOKUP(AA$19,Számítás!$B$19:$H$63,7,FALSE)))+(Adatok!$C$13^3*Adatok!$C$20^3*Adatok!$I22^3*Adatok!$J22)/(384*(VLOOKUP(AA$19,Számítás!$B$19:$H$63,7,FALSE))^3))*100,$B$19)</f>
        <v>-</v>
      </c>
      <c r="AB23" s="33" t="str">
        <f>IF(AND($I$19+AA$17*Adatok!$F$11&gt;Adatok!$F$10-0.01,Adatok!$C$16+$B23&lt;Adatok!$C$17+1),((Adatok!$C$13*Adatok!$C$20*Adatok!$I22*Adatok!$J22)/(8*(VLOOKUP(AB$19,Számítás!$B$19:$H$63,7,FALSE)))+(Adatok!$C$13^3*Adatok!$C$20^3*Adatok!$I22^3*Adatok!$J22)/(384*(VLOOKUP(AB$19,Számítás!$B$19:$H$63,7,FALSE))^3))*100,$B$19)</f>
        <v>-</v>
      </c>
      <c r="AC23" s="33" t="str">
        <f>IF(AND($I$19+AB$17*Adatok!$F$11&gt;Adatok!$F$10-0.01,Adatok!$C$16+$B23&lt;Adatok!$C$17+1),((Adatok!$C$13*Adatok!$C$20*Adatok!$I22*Adatok!$J22)/(8*(VLOOKUP(AC$19,Számítás!$B$19:$H$63,7,FALSE)))+(Adatok!$C$13^3*Adatok!$C$20^3*Adatok!$I22^3*Adatok!$J22)/(384*(VLOOKUP(AC$19,Számítás!$B$19:$H$63,7,FALSE))^3))*100,$B$19)</f>
        <v>-</v>
      </c>
      <c r="AD23" s="33" t="str">
        <f>IF(AND($I$19+AC$17*Adatok!$F$11&gt;Adatok!$F$10-0.01,Adatok!$C$16+$B23&lt;Adatok!$C$17+1),((Adatok!$C$13*Adatok!$C$20*Adatok!$I22*Adatok!$J22)/(8*(VLOOKUP(AD$19,Számítás!$B$19:$H$63,7,FALSE)))+(Adatok!$C$13^3*Adatok!$C$20^3*Adatok!$I22^3*Adatok!$J22)/(384*(VLOOKUP(AD$19,Számítás!$B$19:$H$63,7,FALSE))^3))*100,$B$19)</f>
        <v>-</v>
      </c>
      <c r="AE23" s="33" t="str">
        <f>IF(AND($I$19+AD$17*Adatok!$F$11&gt;Adatok!$F$10-0.01,Adatok!$C$16+$B23&lt;Adatok!$C$17+1),((Adatok!$C$13*Adatok!$C$20*Adatok!$I22*Adatok!$J22)/(8*(VLOOKUP(AE$19,Számítás!$B$19:$H$63,7,FALSE)))+(Adatok!$C$13^3*Adatok!$C$20^3*Adatok!$I22^3*Adatok!$J22)/(384*(VLOOKUP(AE$19,Számítás!$B$19:$H$63,7,FALSE))^3))*100,$B$19)</f>
        <v>-</v>
      </c>
      <c r="AF23" s="33" t="str">
        <f>IF(AND($I$19+AE$17*Adatok!$F$11&gt;Adatok!$F$10-0.01,Adatok!$C$16+$B23&lt;Adatok!$C$17+1),((Adatok!$C$13*Adatok!$C$20*Adatok!$I22*Adatok!$J22)/(8*(VLOOKUP(AF$19,Számítás!$B$19:$H$63,7,FALSE)))+(Adatok!$C$13^3*Adatok!$C$20^3*Adatok!$I22^3*Adatok!$J22)/(384*(VLOOKUP(AF$19,Számítás!$B$19:$H$63,7,FALSE))^3))*100,$B$19)</f>
        <v>-</v>
      </c>
      <c r="AG23" s="33" t="str">
        <f>IF(AND($I$19+AF$17*Adatok!$F$11&gt;Adatok!$F$10-0.01,Adatok!$C$16+$B23&lt;Adatok!$C$17+1),((Adatok!$C$13*Adatok!$C$20*Adatok!$I22*Adatok!$J22)/(8*(VLOOKUP(AG$19,Számítás!$B$19:$H$63,7,FALSE)))+(Adatok!$C$13^3*Adatok!$C$20^3*Adatok!$I22^3*Adatok!$J22)/(384*(VLOOKUP(AG$19,Számítás!$B$19:$H$63,7,FALSE))^3))*100,$B$19)</f>
        <v>-</v>
      </c>
      <c r="AH23" s="33" t="str">
        <f>IF(AND($I$19+AG$17*Adatok!$F$11&gt;Adatok!$F$10-0.01,Adatok!$C$16+$B23&lt;Adatok!$C$17+1),((Adatok!$C$13*Adatok!$C$20*Adatok!$I22*Adatok!$J22)/(8*(VLOOKUP(AH$19,Számítás!$B$19:$H$63,7,FALSE)))+(Adatok!$C$13^3*Adatok!$C$20^3*Adatok!$I22^3*Adatok!$J22)/(384*(VLOOKUP(AH$19,Számítás!$B$19:$H$63,7,FALSE))^3))*100,$B$19)</f>
        <v>-</v>
      </c>
      <c r="AI23" s="33" t="str">
        <f>IF(AND($I$19+AH$17*Adatok!$F$11&gt;Adatok!$F$10-0.01,Adatok!$C$16+$B23&lt;Adatok!$C$17+1),((Adatok!$C$13*Adatok!$C$20*Adatok!$I22*Adatok!$J22)/(8*(VLOOKUP(AI$19,Számítás!$B$19:$H$63,7,FALSE)))+(Adatok!$C$13^3*Adatok!$C$20^3*Adatok!$I22^3*Adatok!$J22)/(384*(VLOOKUP(AI$19,Számítás!$B$19:$H$63,7,FALSE))^3))*100,$B$19)</f>
        <v>-</v>
      </c>
      <c r="AJ23" s="33" t="str">
        <f>IF(AND($I$19+AI$17*Adatok!$F$11&gt;Adatok!$F$10-0.01,Adatok!$C$16+$B23&lt;Adatok!$C$17+1),((Adatok!$C$13*Adatok!$C$20*Adatok!$I22*Adatok!$J22)/(8*(VLOOKUP(AJ$19,Számítás!$B$19:$H$63,7,FALSE)))+(Adatok!$C$13^3*Adatok!$C$20^3*Adatok!$I22^3*Adatok!$J22)/(384*(VLOOKUP(AJ$19,Számítás!$B$19:$H$63,7,FALSE))^3))*100,$B$19)</f>
        <v>-</v>
      </c>
      <c r="AK23" s="33" t="str">
        <f>IF(AND($I$19+AJ$17*Adatok!$F$11&gt;Adatok!$F$10-0.01,Adatok!$C$16+$B23&lt;Adatok!$C$17+1),((Adatok!$C$13*Adatok!$C$20*Adatok!$I22*Adatok!$J22)/(8*(VLOOKUP(AK$19,Számítás!$B$19:$H$63,7,FALSE)))+(Adatok!$C$13^3*Adatok!$C$20^3*Adatok!$I22^3*Adatok!$J22)/(384*(VLOOKUP(AK$19,Számítás!$B$19:$H$63,7,FALSE))^3))*100,$B$19)</f>
        <v>-</v>
      </c>
      <c r="AL23" s="33" t="str">
        <f>IF(AND($I$19+AK$17*Adatok!$F$11&gt;Adatok!$F$10-0.01,Adatok!$C$16+$B23&lt;Adatok!$C$17+1),((Adatok!$C$13*Adatok!$C$20*Adatok!$I22*Adatok!$J22)/(8*(VLOOKUP(AL$19,Számítás!$B$19:$H$63,7,FALSE)))+(Adatok!$C$13^3*Adatok!$C$20^3*Adatok!$I22^3*Adatok!$J22)/(384*(VLOOKUP(AL$19,Számítás!$B$19:$H$63,7,FALSE))^3))*100,$B$19)</f>
        <v>-</v>
      </c>
      <c r="AM23" s="33" t="str">
        <f>IF(AND($I$19+AL$17*Adatok!$F$11&gt;Adatok!$F$10-0.01,Adatok!$C$16+$B23&lt;Adatok!$C$17+1),((Adatok!$C$13*Adatok!$C$20*Adatok!$I22*Adatok!$J22)/(8*(VLOOKUP(AM$19,Számítás!$B$19:$H$63,7,FALSE)))+(Adatok!$C$13^3*Adatok!$C$20^3*Adatok!$I22^3*Adatok!$J22)/(384*(VLOOKUP(AM$19,Számítás!$B$19:$H$63,7,FALSE))^3))*100,$B$19)</f>
        <v>-</v>
      </c>
      <c r="AN23" s="33" t="str">
        <f>IF(AND($I$19+AM$17*Adatok!$F$11&gt;Adatok!$F$10-0.01,Adatok!$C$16+$B23&lt;Adatok!$C$17+1),((Adatok!$C$13*Adatok!$C$20*Adatok!$I22*Adatok!$J22)/(8*(VLOOKUP(AN$19,Számítás!$B$19:$H$63,7,FALSE)))+(Adatok!$C$13^3*Adatok!$C$20^3*Adatok!$I22^3*Adatok!$J22)/(384*(VLOOKUP(AN$19,Számítás!$B$19:$H$63,7,FALSE))^3))*100,$B$19)</f>
        <v>-</v>
      </c>
      <c r="AO23" s="33" t="str">
        <f>IF(AND($I$19+AN$17*Adatok!$F$11&gt;Adatok!$F$10-0.01,Adatok!$C$16+$B23&lt;Adatok!$C$17+1),((Adatok!$C$13*Adatok!$C$20*Adatok!$I22*Adatok!$J22)/(8*(VLOOKUP(AO$19,Számítás!$B$19:$H$63,7,FALSE)))+(Adatok!$C$13^3*Adatok!$C$20^3*Adatok!$I22^3*Adatok!$J22)/(384*(VLOOKUP(AO$19,Számítás!$B$19:$H$63,7,FALSE))^3))*100,$B$19)</f>
        <v>-</v>
      </c>
      <c r="AP23" s="33" t="str">
        <f>IF(AND($I$19+AO$17*Adatok!$F$11&gt;Adatok!$F$10-0.01,Adatok!$C$16+$B23&lt;Adatok!$C$17+1),((Adatok!$C$13*Adatok!$C$20*Adatok!$I22*Adatok!$J22)/(8*(VLOOKUP(AP$19,Számítás!$B$19:$H$63,7,FALSE)))+(Adatok!$C$13^3*Adatok!$C$20^3*Adatok!$I22^3*Adatok!$J22)/(384*(VLOOKUP(AP$19,Számítás!$B$19:$H$63,7,FALSE))^3))*100,$B$19)</f>
        <v>-</v>
      </c>
      <c r="AQ23" s="33" t="str">
        <f>IF(AND($I$19+AP$17*Adatok!$F$11&gt;Adatok!$F$10-0.01,Adatok!$C$16+$B23&lt;Adatok!$C$17+1),((Adatok!$C$13*Adatok!$C$20*Adatok!$I22*Adatok!$J22)/(8*(VLOOKUP(AQ$19,Számítás!$B$19:$H$63,7,FALSE)))+(Adatok!$C$13^3*Adatok!$C$20^3*Adatok!$I22^3*Adatok!$J22)/(384*(VLOOKUP(AQ$19,Számítás!$B$19:$H$63,7,FALSE))^3))*100,$B$19)</f>
        <v>-</v>
      </c>
      <c r="AR23" s="33" t="str">
        <f>IF(AND($I$19+AQ$17*Adatok!$F$11&gt;Adatok!$F$10-0.01,Adatok!$C$16+$B23&lt;Adatok!$C$17+1),((Adatok!$C$13*Adatok!$C$20*Adatok!$I22*Adatok!$J22)/(8*(VLOOKUP(AR$19,Számítás!$B$19:$H$63,7,FALSE)))+(Adatok!$C$13^3*Adatok!$C$20^3*Adatok!$I22^3*Adatok!$J22)/(384*(VLOOKUP(AR$19,Számítás!$B$19:$H$63,7,FALSE))^3))*100,$B$19)</f>
        <v>-</v>
      </c>
      <c r="AS23" s="33" t="str">
        <f>IF(AND($I$19+AR$17*Adatok!$F$11&gt;Adatok!$F$10-0.01,Adatok!$C$16+$B23&lt;Adatok!$C$17+1),((Adatok!$C$13*Adatok!$C$20*Adatok!$I22*Adatok!$J22)/(8*(VLOOKUP(AS$19,Számítás!$B$19:$H$63,7,FALSE)))+(Adatok!$C$13^3*Adatok!$C$20^3*Adatok!$I22^3*Adatok!$J22)/(384*(VLOOKUP(AS$19,Számítás!$B$19:$H$63,7,FALSE))^3))*100,$B$19)</f>
        <v>-</v>
      </c>
      <c r="AT23" s="33" t="str">
        <f>IF(AND($I$19+AS$17*Adatok!$F$11&gt;Adatok!$F$10-0.01,Adatok!$C$16+$B23&lt;Adatok!$C$17+1),((Adatok!$C$13*Adatok!$C$20*Adatok!$I22*Adatok!$J22)/(8*(VLOOKUP(AT$19,Számítás!$B$19:$H$63,7,FALSE)))+(Adatok!$C$13^3*Adatok!$C$20^3*Adatok!$I22^3*Adatok!$J22)/(384*(VLOOKUP(AT$19,Számítás!$B$19:$H$63,7,FALSE))^3))*100,$B$19)</f>
        <v>-</v>
      </c>
      <c r="AU23" s="33" t="str">
        <f>IF(AND($I$19+AT$17*Adatok!$F$11&gt;Adatok!$F$10-0.01,Adatok!$C$16+$B23&lt;Adatok!$C$17+1),((Adatok!$C$13*Adatok!$C$20*Adatok!$I22*Adatok!$J22)/(8*(VLOOKUP(AU$19,Számítás!$B$19:$H$63,7,FALSE)))+(Adatok!$C$13^3*Adatok!$C$20^3*Adatok!$I22^3*Adatok!$J22)/(384*(VLOOKUP(AU$19,Számítás!$B$19:$H$63,7,FALSE))^3))*100,$B$19)</f>
        <v>-</v>
      </c>
      <c r="AV23" s="33" t="str">
        <f>IF(AND($I$19+AU$17*Adatok!$F$11&gt;Adatok!$F$10-0.01,Adatok!$C$16+$B23&lt;Adatok!$C$17+1),((Adatok!$C$13*Adatok!$C$20*Adatok!$I22*Adatok!$J22)/(8*(VLOOKUP(AV$19,Számítás!$B$19:$H$63,7,FALSE)))+(Adatok!$C$13^3*Adatok!$C$20^3*Adatok!$I22^3*Adatok!$J22)/(384*(VLOOKUP(AV$19,Számítás!$B$19:$H$63,7,FALSE))^3))*100,$B$19)</f>
        <v>-</v>
      </c>
      <c r="AW23" s="33" t="str">
        <f>IF(AND($I$19+AV$17*Adatok!$F$11&gt;Adatok!$F$10-0.01,Adatok!$C$16+$B23&lt;Adatok!$C$17+1),((Adatok!$C$13*Adatok!$C$20*Adatok!$I22*Adatok!$J22)/(8*(VLOOKUP(AW$19,Számítás!$B$19:$H$63,7,FALSE)))+(Adatok!$C$13^3*Adatok!$C$20^3*Adatok!$I22^3*Adatok!$J22)/(384*(VLOOKUP(AW$19,Számítás!$B$19:$H$63,7,FALSE))^3))*100,$B$19)</f>
        <v>-</v>
      </c>
      <c r="AX23" s="33" t="str">
        <f>IF(AND($I$19+AW$17*Adatok!$F$11&gt;Adatok!$F$10-0.01,Adatok!$C$16+$B23&lt;Adatok!$C$17+1),((Adatok!$C$13*Adatok!$C$20*Adatok!$I22*Adatok!$J22)/(8*(VLOOKUP(AX$19,Számítás!$B$19:$H$63,7,FALSE)))+(Adatok!$C$13^3*Adatok!$C$20^3*Adatok!$I22^3*Adatok!$J22)/(384*(VLOOKUP(AX$19,Számítás!$B$19:$H$63,7,FALSE))^3))*100,$B$19)</f>
        <v>-</v>
      </c>
      <c r="AY23" s="33" t="str">
        <f>IF(AND($I$19+AX$17*Adatok!$F$11&gt;Adatok!$F$10-0.01,Adatok!$C$16+$B23&lt;Adatok!$C$17+1),((Adatok!$C$13*Adatok!$C$20*Adatok!$I22*Adatok!$J22)/(8*(VLOOKUP(AY$19,Számítás!$B$19:$H$63,7,FALSE)))+(Adatok!$C$13^3*Adatok!$C$20^3*Adatok!$I22^3*Adatok!$J22)/(384*(VLOOKUP(AY$19,Számítás!$B$19:$H$63,7,FALSE))^3))*100,$B$19)</f>
        <v>-</v>
      </c>
      <c r="AZ23" s="33" t="str">
        <f>IF(AND($I$19+AY$17*Adatok!$F$11&gt;Adatok!$F$10-0.01,Adatok!$C$16+$B23&lt;Adatok!$C$17+1),((Adatok!$C$13*Adatok!$C$20*Adatok!$I22*Adatok!$J22)/(8*(VLOOKUP(AZ$19,Számítás!$B$19:$H$63,7,FALSE)))+(Adatok!$C$13^3*Adatok!$C$20^3*Adatok!$I22^3*Adatok!$J22)/(384*(VLOOKUP(AZ$19,Számítás!$B$19:$H$63,7,FALSE))^3))*100,$B$19)</f>
        <v>-</v>
      </c>
      <c r="BA23" s="33" t="str">
        <f>IF(AND($I$19+AZ$17*Adatok!$F$11&gt;Adatok!$F$10-0.01,Adatok!$C$16+$B23&lt;Adatok!$C$17+1),((Adatok!$C$13*Adatok!$C$20*Adatok!$I22*Adatok!$J22)/(8*(VLOOKUP(BA$19,Számítás!$B$19:$H$63,7,FALSE)))+(Adatok!$C$13^3*Adatok!$C$20^3*Adatok!$I22^3*Adatok!$J22)/(384*(VLOOKUP(BA$19,Számítás!$B$19:$H$63,7,FALSE))^3))*100,$B$19)</f>
        <v>-</v>
      </c>
    </row>
    <row r="24" spans="1:53" ht="18" customHeight="1" x14ac:dyDescent="0.25">
      <c r="B24" s="1">
        <v>5</v>
      </c>
      <c r="C24" s="333">
        <f>Adatok!F23</f>
        <v>19</v>
      </c>
      <c r="D24" s="32" t="s">
        <v>27</v>
      </c>
      <c r="E24" s="336">
        <f>Adatok!H23</f>
        <v>20</v>
      </c>
      <c r="F24" s="64">
        <f>IF(Adatok!$C$16+B24&gt;Adatok!$C$17,$B$19,Adatok!I23)</f>
        <v>201.79</v>
      </c>
      <c r="G24" s="60"/>
      <c r="H24" s="72">
        <f>IF(Adatok!$C$16+B24&gt;Adatok!$C$17,$B$19,Adatok!J23/Adatok!I23)</f>
        <v>1</v>
      </c>
      <c r="I24" s="81">
        <f>IF(Adatok!$C$16+$B24&lt;Adatok!$C$17+1,((((Adatok!$C$13*Adatok!$C$20*Adatok!$I23*Adatok!$J23)/(8*(VLOOKUP(I$19,Számítás!$B$19:$H$63,7,FALSE))))+((Adatok!$C$13^3*Adatok!$C$20^3*Adatok!$I23^3*Adatok!$J23)/(384*(VLOOKUP(I$19,Számítás!$B$19:$H$63,7,FALSE))^3)))*100),$B$19)</f>
        <v>5147.9134905478259</v>
      </c>
      <c r="J24" s="33">
        <f>IF(AND($I$19+I$17*Adatok!$F$11&gt;Adatok!$F$10-0.01,Adatok!$C$16+$B24&lt;Adatok!$C$17+1),((Adatok!$C$13*Adatok!$C$20*Adatok!$I23*Adatok!$J23)/(8*(VLOOKUP(J$19,Számítás!$B$19:$H$63,7,FALSE)))+(Adatok!$C$13^3*Adatok!$C$20^3*Adatok!$I23^3*Adatok!$J23)/(384*(VLOOKUP(J$19,Számítás!$B$19:$H$63,7,FALSE))^3))*100,$B$19)</f>
        <v>5146.1711316755418</v>
      </c>
      <c r="K24" s="33">
        <f>IF(AND($I$19+J$17*Adatok!$F$11&gt;Adatok!$F$10-0.01,Adatok!$C$16+$B24&lt;Adatok!$C$17+1),((Adatok!$C$13*Adatok!$C$20*Adatok!$I23*Adatok!$J23)/(8*(VLOOKUP(K$19,Számítás!$B$19:$H$63,7,FALSE)))+(Adatok!$C$13^3*Adatok!$C$20^3*Adatok!$I23^3*Adatok!$J23)/(384*(VLOOKUP(K$19,Számítás!$B$19:$H$63,7,FALSE))^3))*100,$B$19)</f>
        <v>5144.4284456141186</v>
      </c>
      <c r="L24" s="33">
        <f>IF(AND($I$19+K$17*Adatok!$F$11&gt;Adatok!$F$10-0.01,Adatok!$C$16+$B24&lt;Adatok!$C$17+1),((Adatok!$C$13*Adatok!$C$20*Adatok!$I23*Adatok!$J23)/(8*(VLOOKUP(L$19,Számítás!$B$19:$H$63,7,FALSE)))+(Adatok!$C$13^3*Adatok!$C$20^3*Adatok!$I23^3*Adatok!$J23)/(384*(VLOOKUP(L$19,Számítás!$B$19:$H$63,7,FALSE))^3))*100,$B$19)</f>
        <v>5142.6854324768437</v>
      </c>
      <c r="M24" s="33">
        <f>IF(AND($I$19+L$17*Adatok!$F$11&gt;Adatok!$F$10-0.01,Adatok!$C$16+$B24&lt;Adatok!$C$17+1),((Adatok!$C$13*Adatok!$C$20*Adatok!$I23*Adatok!$J23)/(8*(VLOOKUP(M$19,Számítás!$B$19:$H$63,7,FALSE)))+(Adatok!$C$13^3*Adatok!$C$20^3*Adatok!$I23^3*Adatok!$J23)/(384*(VLOOKUP(M$19,Számítás!$B$19:$H$63,7,FALSE))^3))*100,$B$19)</f>
        <v>5140.9420917781763</v>
      </c>
      <c r="N24" s="33">
        <f>IF(AND($I$19+M$17*Adatok!$F$11&gt;Adatok!$F$10-0.01,Adatok!$C$16+$B24&lt;Adatok!$C$17+1),((Adatok!$C$13*Adatok!$C$20*Adatok!$I23*Adatok!$J23)/(8*(VLOOKUP(N$19,Számítás!$B$19:$H$63,7,FALSE)))+(Adatok!$C$13^3*Adatok!$C$20^3*Adatok!$I23^3*Adatok!$J23)/(384*(VLOOKUP(N$19,Számítás!$B$19:$H$63,7,FALSE))^3))*100,$B$19)</f>
        <v>5139.1984222085557</v>
      </c>
      <c r="O24" s="33">
        <f>IF(AND($I$19+N$17*Adatok!$F$11&gt;Adatok!$F$10-0.01,Adatok!$C$16+$B24&lt;Adatok!$C$17+1),((Adatok!$C$13*Adatok!$C$20*Adatok!$I23*Adatok!$J23)/(8*(VLOOKUP(O$19,Számítás!$B$19:$H$63,7,FALSE)))+(Adatok!$C$13^3*Adatok!$C$20^3*Adatok!$I23^3*Adatok!$J23)/(384*(VLOOKUP(O$19,Számítás!$B$19:$H$63,7,FALSE))^3))*100,$B$19)</f>
        <v>5137.4544245191073</v>
      </c>
      <c r="P24" s="33">
        <f>IF(AND($I$19+O$17*Adatok!$F$11&gt;Adatok!$F$10-0.01,Adatok!$C$16+$B24&lt;Adatok!$C$17+1),((Adatok!$C$13*Adatok!$C$20*Adatok!$I23*Adatok!$J23)/(8*(VLOOKUP(P$19,Számítás!$B$19:$H$63,7,FALSE)))+(Adatok!$C$13^3*Adatok!$C$20^3*Adatok!$I23^3*Adatok!$J23)/(384*(VLOOKUP(P$19,Számítás!$B$19:$H$63,7,FALSE))^3))*100,$B$19)</f>
        <v>5135.7100974228197</v>
      </c>
      <c r="Q24" s="33">
        <f>IF(AND($I$19+P$17*Adatok!$F$11&gt;Adatok!$F$10-0.01,Adatok!$C$16+$B24&lt;Adatok!$C$17+1),((Adatok!$C$13*Adatok!$C$20*Adatok!$I23*Adatok!$J23)/(8*(VLOOKUP(Q$19,Számítás!$B$19:$H$63,7,FALSE)))+(Adatok!$C$13^3*Adatok!$C$20^3*Adatok!$I23^3*Adatok!$J23)/(384*(VLOOKUP(Q$19,Számítás!$B$19:$H$63,7,FALSE))^3))*100,$B$19)</f>
        <v>5133.9654409740442</v>
      </c>
      <c r="R24" s="33">
        <f>IF(AND($I$19+Q$17*Adatok!$F$11&gt;Adatok!$F$10-0.01,Adatok!$C$16+$B24&lt;Adatok!$C$17+1),((Adatok!$C$13*Adatok!$C$20*Adatok!$I23*Adatok!$J23)/(8*(VLOOKUP(R$19,Számítás!$B$19:$H$63,7,FALSE)))+(Adatok!$C$13^3*Adatok!$C$20^3*Adatok!$I23^3*Adatok!$J23)/(384*(VLOOKUP(R$19,Számítás!$B$19:$H$63,7,FALSE))^3))*100,$B$19)</f>
        <v>5132.2204548745067</v>
      </c>
      <c r="S24" s="33">
        <f>IF(AND($I$19+R$17*Adatok!$F$11&gt;Adatok!$F$10-0.01,Adatok!$C$16+$B24&lt;Adatok!$C$17+1),((Adatok!$C$13*Adatok!$C$20*Adatok!$I23*Adatok!$J23)/(8*(VLOOKUP(S$19,Számítás!$B$19:$H$63,7,FALSE)))+(Adatok!$C$13^3*Adatok!$C$20^3*Adatok!$I23^3*Adatok!$J23)/(384*(VLOOKUP(S$19,Számítás!$B$19:$H$63,7,FALSE))^3))*100,$B$19)</f>
        <v>5130.4751391956688</v>
      </c>
      <c r="T24" s="33" t="str">
        <f>IF(AND($I$19+S$17*Adatok!$F$11&gt;Adatok!$F$10-0.01,Adatok!$C$16+$B24&lt;Adatok!$C$17+1),((Adatok!$C$13*Adatok!$C$20*Adatok!$I23*Adatok!$J23)/(8*(VLOOKUP(T$19,Számítás!$B$19:$H$63,7,FALSE)))+(Adatok!$C$13^3*Adatok!$C$20^3*Adatok!$I23^3*Adatok!$J23)/(384*(VLOOKUP(T$19,Számítás!$B$19:$H$63,7,FALSE))^3))*100,$B$19)</f>
        <v>-</v>
      </c>
      <c r="U24" s="33" t="str">
        <f>IF(AND($I$19+T$17*Adatok!$F$11&gt;Adatok!$F$10-0.01,Adatok!$C$16+$B24&lt;Adatok!$C$17+1),((Adatok!$C$13*Adatok!$C$20*Adatok!$I23*Adatok!$J23)/(8*(VLOOKUP(U$19,Számítás!$B$19:$H$63,7,FALSE)))+(Adatok!$C$13^3*Adatok!$C$20^3*Adatok!$I23^3*Adatok!$J23)/(384*(VLOOKUP(U$19,Számítás!$B$19:$H$63,7,FALSE))^3))*100,$B$19)</f>
        <v>-</v>
      </c>
      <c r="V24" s="33" t="str">
        <f>IF(AND($I$19+U$17*Adatok!$F$11&gt;Adatok!$F$10-0.01,Adatok!$C$16+$B24&lt;Adatok!$C$17+1),((Adatok!$C$13*Adatok!$C$20*Adatok!$I23*Adatok!$J23)/(8*(VLOOKUP(V$19,Számítás!$B$19:$H$63,7,FALSE)))+(Adatok!$C$13^3*Adatok!$C$20^3*Adatok!$I23^3*Adatok!$J23)/(384*(VLOOKUP(V$19,Számítás!$B$19:$H$63,7,FALSE))^3))*100,$B$19)</f>
        <v>-</v>
      </c>
      <c r="W24" s="33" t="str">
        <f>IF(AND($I$19+V$17*Adatok!$F$11&gt;Adatok!$F$10-0.01,Adatok!$C$16+$B24&lt;Adatok!$C$17+1),((Adatok!$C$13*Adatok!$C$20*Adatok!$I23*Adatok!$J23)/(8*(VLOOKUP(W$19,Számítás!$B$19:$H$63,7,FALSE)))+(Adatok!$C$13^3*Adatok!$C$20^3*Adatok!$I23^3*Adatok!$J23)/(384*(VLOOKUP(W$19,Számítás!$B$19:$H$63,7,FALSE))^3))*100,$B$19)</f>
        <v>-</v>
      </c>
      <c r="X24" s="33" t="str">
        <f>IF(AND($I$19+W$17*Adatok!$F$11&gt;Adatok!$F$10-0.01,Adatok!$C$16+$B24&lt;Adatok!$C$17+1),((Adatok!$C$13*Adatok!$C$20*Adatok!$I23*Adatok!$J23)/(8*(VLOOKUP(X$19,Számítás!$B$19:$H$63,7,FALSE)))+(Adatok!$C$13^3*Adatok!$C$20^3*Adatok!$I23^3*Adatok!$J23)/(384*(VLOOKUP(X$19,Számítás!$B$19:$H$63,7,FALSE))^3))*100,$B$19)</f>
        <v>-</v>
      </c>
      <c r="Y24" s="33" t="str">
        <f>IF(AND($I$19+X$17*Adatok!$F$11&gt;Adatok!$F$10-0.01,Adatok!$C$16+$B24&lt;Adatok!$C$17+1),((Adatok!$C$13*Adatok!$C$20*Adatok!$I23*Adatok!$J23)/(8*(VLOOKUP(Y$19,Számítás!$B$19:$H$63,7,FALSE)))+(Adatok!$C$13^3*Adatok!$C$20^3*Adatok!$I23^3*Adatok!$J23)/(384*(VLOOKUP(Y$19,Számítás!$B$19:$H$63,7,FALSE))^3))*100,$B$19)</f>
        <v>-</v>
      </c>
      <c r="Z24" s="33" t="str">
        <f>IF(AND($I$19+Y$17*Adatok!$F$11&gt;Adatok!$F$10-0.01,Adatok!$C$16+$B24&lt;Adatok!$C$17+1),((Adatok!$C$13*Adatok!$C$20*Adatok!$I23*Adatok!$J23)/(8*(VLOOKUP(Z$19,Számítás!$B$19:$H$63,7,FALSE)))+(Adatok!$C$13^3*Adatok!$C$20^3*Adatok!$I23^3*Adatok!$J23)/(384*(VLOOKUP(Z$19,Számítás!$B$19:$H$63,7,FALSE))^3))*100,$B$19)</f>
        <v>-</v>
      </c>
      <c r="AA24" s="33" t="str">
        <f>IF(AND($I$19+Z$17*Adatok!$F$11&gt;Adatok!$F$10-0.01,Adatok!$C$16+$B24&lt;Adatok!$C$17+1),((Adatok!$C$13*Adatok!$C$20*Adatok!$I23*Adatok!$J23)/(8*(VLOOKUP(AA$19,Számítás!$B$19:$H$63,7,FALSE)))+(Adatok!$C$13^3*Adatok!$C$20^3*Adatok!$I23^3*Adatok!$J23)/(384*(VLOOKUP(AA$19,Számítás!$B$19:$H$63,7,FALSE))^3))*100,$B$19)</f>
        <v>-</v>
      </c>
      <c r="AB24" s="33" t="str">
        <f>IF(AND($I$19+AA$17*Adatok!$F$11&gt;Adatok!$F$10-0.01,Adatok!$C$16+$B24&lt;Adatok!$C$17+1),((Adatok!$C$13*Adatok!$C$20*Adatok!$I23*Adatok!$J23)/(8*(VLOOKUP(AB$19,Számítás!$B$19:$H$63,7,FALSE)))+(Adatok!$C$13^3*Adatok!$C$20^3*Adatok!$I23^3*Adatok!$J23)/(384*(VLOOKUP(AB$19,Számítás!$B$19:$H$63,7,FALSE))^3))*100,$B$19)</f>
        <v>-</v>
      </c>
      <c r="AC24" s="33" t="str">
        <f>IF(AND($I$19+AB$17*Adatok!$F$11&gt;Adatok!$F$10-0.01,Adatok!$C$16+$B24&lt;Adatok!$C$17+1),((Adatok!$C$13*Adatok!$C$20*Adatok!$I23*Adatok!$J23)/(8*(VLOOKUP(AC$19,Számítás!$B$19:$H$63,7,FALSE)))+(Adatok!$C$13^3*Adatok!$C$20^3*Adatok!$I23^3*Adatok!$J23)/(384*(VLOOKUP(AC$19,Számítás!$B$19:$H$63,7,FALSE))^3))*100,$B$19)</f>
        <v>-</v>
      </c>
      <c r="AD24" s="33" t="str">
        <f>IF(AND($I$19+AC$17*Adatok!$F$11&gt;Adatok!$F$10-0.01,Adatok!$C$16+$B24&lt;Adatok!$C$17+1),((Adatok!$C$13*Adatok!$C$20*Adatok!$I23*Adatok!$J23)/(8*(VLOOKUP(AD$19,Számítás!$B$19:$H$63,7,FALSE)))+(Adatok!$C$13^3*Adatok!$C$20^3*Adatok!$I23^3*Adatok!$J23)/(384*(VLOOKUP(AD$19,Számítás!$B$19:$H$63,7,FALSE))^3))*100,$B$19)</f>
        <v>-</v>
      </c>
      <c r="AE24" s="33" t="str">
        <f>IF(AND($I$19+AD$17*Adatok!$F$11&gt;Adatok!$F$10-0.01,Adatok!$C$16+$B24&lt;Adatok!$C$17+1),((Adatok!$C$13*Adatok!$C$20*Adatok!$I23*Adatok!$J23)/(8*(VLOOKUP(AE$19,Számítás!$B$19:$H$63,7,FALSE)))+(Adatok!$C$13^3*Adatok!$C$20^3*Adatok!$I23^3*Adatok!$J23)/(384*(VLOOKUP(AE$19,Számítás!$B$19:$H$63,7,FALSE))^3))*100,$B$19)</f>
        <v>-</v>
      </c>
      <c r="AF24" s="33" t="str">
        <f>IF(AND($I$19+AE$17*Adatok!$F$11&gt;Adatok!$F$10-0.01,Adatok!$C$16+$B24&lt;Adatok!$C$17+1),((Adatok!$C$13*Adatok!$C$20*Adatok!$I23*Adatok!$J23)/(8*(VLOOKUP(AF$19,Számítás!$B$19:$H$63,7,FALSE)))+(Adatok!$C$13^3*Adatok!$C$20^3*Adatok!$I23^3*Adatok!$J23)/(384*(VLOOKUP(AF$19,Számítás!$B$19:$H$63,7,FALSE))^3))*100,$B$19)</f>
        <v>-</v>
      </c>
      <c r="AG24" s="33" t="str">
        <f>IF(AND($I$19+AF$17*Adatok!$F$11&gt;Adatok!$F$10-0.01,Adatok!$C$16+$B24&lt;Adatok!$C$17+1),((Adatok!$C$13*Adatok!$C$20*Adatok!$I23*Adatok!$J23)/(8*(VLOOKUP(AG$19,Számítás!$B$19:$H$63,7,FALSE)))+(Adatok!$C$13^3*Adatok!$C$20^3*Adatok!$I23^3*Adatok!$J23)/(384*(VLOOKUP(AG$19,Számítás!$B$19:$H$63,7,FALSE))^3))*100,$B$19)</f>
        <v>-</v>
      </c>
      <c r="AH24" s="33" t="str">
        <f>IF(AND($I$19+AG$17*Adatok!$F$11&gt;Adatok!$F$10-0.01,Adatok!$C$16+$B24&lt;Adatok!$C$17+1),((Adatok!$C$13*Adatok!$C$20*Adatok!$I23*Adatok!$J23)/(8*(VLOOKUP(AH$19,Számítás!$B$19:$H$63,7,FALSE)))+(Adatok!$C$13^3*Adatok!$C$20^3*Adatok!$I23^3*Adatok!$J23)/(384*(VLOOKUP(AH$19,Számítás!$B$19:$H$63,7,FALSE))^3))*100,$B$19)</f>
        <v>-</v>
      </c>
      <c r="AI24" s="33" t="str">
        <f>IF(AND($I$19+AH$17*Adatok!$F$11&gt;Adatok!$F$10-0.01,Adatok!$C$16+$B24&lt;Adatok!$C$17+1),((Adatok!$C$13*Adatok!$C$20*Adatok!$I23*Adatok!$J23)/(8*(VLOOKUP(AI$19,Számítás!$B$19:$H$63,7,FALSE)))+(Adatok!$C$13^3*Adatok!$C$20^3*Adatok!$I23^3*Adatok!$J23)/(384*(VLOOKUP(AI$19,Számítás!$B$19:$H$63,7,FALSE))^3))*100,$B$19)</f>
        <v>-</v>
      </c>
      <c r="AJ24" s="33" t="str">
        <f>IF(AND($I$19+AI$17*Adatok!$F$11&gt;Adatok!$F$10-0.01,Adatok!$C$16+$B24&lt;Adatok!$C$17+1),((Adatok!$C$13*Adatok!$C$20*Adatok!$I23*Adatok!$J23)/(8*(VLOOKUP(AJ$19,Számítás!$B$19:$H$63,7,FALSE)))+(Adatok!$C$13^3*Adatok!$C$20^3*Adatok!$I23^3*Adatok!$J23)/(384*(VLOOKUP(AJ$19,Számítás!$B$19:$H$63,7,FALSE))^3))*100,$B$19)</f>
        <v>-</v>
      </c>
      <c r="AK24" s="33" t="str">
        <f>IF(AND($I$19+AJ$17*Adatok!$F$11&gt;Adatok!$F$10-0.01,Adatok!$C$16+$B24&lt;Adatok!$C$17+1),((Adatok!$C$13*Adatok!$C$20*Adatok!$I23*Adatok!$J23)/(8*(VLOOKUP(AK$19,Számítás!$B$19:$H$63,7,FALSE)))+(Adatok!$C$13^3*Adatok!$C$20^3*Adatok!$I23^3*Adatok!$J23)/(384*(VLOOKUP(AK$19,Számítás!$B$19:$H$63,7,FALSE))^3))*100,$B$19)</f>
        <v>-</v>
      </c>
      <c r="AL24" s="33" t="str">
        <f>IF(AND($I$19+AK$17*Adatok!$F$11&gt;Adatok!$F$10-0.01,Adatok!$C$16+$B24&lt;Adatok!$C$17+1),((Adatok!$C$13*Adatok!$C$20*Adatok!$I23*Adatok!$J23)/(8*(VLOOKUP(AL$19,Számítás!$B$19:$H$63,7,FALSE)))+(Adatok!$C$13^3*Adatok!$C$20^3*Adatok!$I23^3*Adatok!$J23)/(384*(VLOOKUP(AL$19,Számítás!$B$19:$H$63,7,FALSE))^3))*100,$B$19)</f>
        <v>-</v>
      </c>
      <c r="AM24" s="33" t="str">
        <f>IF(AND($I$19+AL$17*Adatok!$F$11&gt;Adatok!$F$10-0.01,Adatok!$C$16+$B24&lt;Adatok!$C$17+1),((Adatok!$C$13*Adatok!$C$20*Adatok!$I23*Adatok!$J23)/(8*(VLOOKUP(AM$19,Számítás!$B$19:$H$63,7,FALSE)))+(Adatok!$C$13^3*Adatok!$C$20^3*Adatok!$I23^3*Adatok!$J23)/(384*(VLOOKUP(AM$19,Számítás!$B$19:$H$63,7,FALSE))^3))*100,$B$19)</f>
        <v>-</v>
      </c>
      <c r="AN24" s="33" t="str">
        <f>IF(AND($I$19+AM$17*Adatok!$F$11&gt;Adatok!$F$10-0.01,Adatok!$C$16+$B24&lt;Adatok!$C$17+1),((Adatok!$C$13*Adatok!$C$20*Adatok!$I23*Adatok!$J23)/(8*(VLOOKUP(AN$19,Számítás!$B$19:$H$63,7,FALSE)))+(Adatok!$C$13^3*Adatok!$C$20^3*Adatok!$I23^3*Adatok!$J23)/(384*(VLOOKUP(AN$19,Számítás!$B$19:$H$63,7,FALSE))^3))*100,$B$19)</f>
        <v>-</v>
      </c>
      <c r="AO24" s="33" t="str">
        <f>IF(AND($I$19+AN$17*Adatok!$F$11&gt;Adatok!$F$10-0.01,Adatok!$C$16+$B24&lt;Adatok!$C$17+1),((Adatok!$C$13*Adatok!$C$20*Adatok!$I23*Adatok!$J23)/(8*(VLOOKUP(AO$19,Számítás!$B$19:$H$63,7,FALSE)))+(Adatok!$C$13^3*Adatok!$C$20^3*Adatok!$I23^3*Adatok!$J23)/(384*(VLOOKUP(AO$19,Számítás!$B$19:$H$63,7,FALSE))^3))*100,$B$19)</f>
        <v>-</v>
      </c>
      <c r="AP24" s="33" t="str">
        <f>IF(AND($I$19+AO$17*Adatok!$F$11&gt;Adatok!$F$10-0.01,Adatok!$C$16+$B24&lt;Adatok!$C$17+1),((Adatok!$C$13*Adatok!$C$20*Adatok!$I23*Adatok!$J23)/(8*(VLOOKUP(AP$19,Számítás!$B$19:$H$63,7,FALSE)))+(Adatok!$C$13^3*Adatok!$C$20^3*Adatok!$I23^3*Adatok!$J23)/(384*(VLOOKUP(AP$19,Számítás!$B$19:$H$63,7,FALSE))^3))*100,$B$19)</f>
        <v>-</v>
      </c>
      <c r="AQ24" s="33" t="str">
        <f>IF(AND($I$19+AP$17*Adatok!$F$11&gt;Adatok!$F$10-0.01,Adatok!$C$16+$B24&lt;Adatok!$C$17+1),((Adatok!$C$13*Adatok!$C$20*Adatok!$I23*Adatok!$J23)/(8*(VLOOKUP(AQ$19,Számítás!$B$19:$H$63,7,FALSE)))+(Adatok!$C$13^3*Adatok!$C$20^3*Adatok!$I23^3*Adatok!$J23)/(384*(VLOOKUP(AQ$19,Számítás!$B$19:$H$63,7,FALSE))^3))*100,$B$19)</f>
        <v>-</v>
      </c>
      <c r="AR24" s="33" t="str">
        <f>IF(AND($I$19+AQ$17*Adatok!$F$11&gt;Adatok!$F$10-0.01,Adatok!$C$16+$B24&lt;Adatok!$C$17+1),((Adatok!$C$13*Adatok!$C$20*Adatok!$I23*Adatok!$J23)/(8*(VLOOKUP(AR$19,Számítás!$B$19:$H$63,7,FALSE)))+(Adatok!$C$13^3*Adatok!$C$20^3*Adatok!$I23^3*Adatok!$J23)/(384*(VLOOKUP(AR$19,Számítás!$B$19:$H$63,7,FALSE))^3))*100,$B$19)</f>
        <v>-</v>
      </c>
      <c r="AS24" s="33" t="str">
        <f>IF(AND($I$19+AR$17*Adatok!$F$11&gt;Adatok!$F$10-0.01,Adatok!$C$16+$B24&lt;Adatok!$C$17+1),((Adatok!$C$13*Adatok!$C$20*Adatok!$I23*Adatok!$J23)/(8*(VLOOKUP(AS$19,Számítás!$B$19:$H$63,7,FALSE)))+(Adatok!$C$13^3*Adatok!$C$20^3*Adatok!$I23^3*Adatok!$J23)/(384*(VLOOKUP(AS$19,Számítás!$B$19:$H$63,7,FALSE))^3))*100,$B$19)</f>
        <v>-</v>
      </c>
      <c r="AT24" s="33" t="str">
        <f>IF(AND($I$19+AS$17*Adatok!$F$11&gt;Adatok!$F$10-0.01,Adatok!$C$16+$B24&lt;Adatok!$C$17+1),((Adatok!$C$13*Adatok!$C$20*Adatok!$I23*Adatok!$J23)/(8*(VLOOKUP(AT$19,Számítás!$B$19:$H$63,7,FALSE)))+(Adatok!$C$13^3*Adatok!$C$20^3*Adatok!$I23^3*Adatok!$J23)/(384*(VLOOKUP(AT$19,Számítás!$B$19:$H$63,7,FALSE))^3))*100,$B$19)</f>
        <v>-</v>
      </c>
      <c r="AU24" s="33" t="str">
        <f>IF(AND($I$19+AT$17*Adatok!$F$11&gt;Adatok!$F$10-0.01,Adatok!$C$16+$B24&lt;Adatok!$C$17+1),((Adatok!$C$13*Adatok!$C$20*Adatok!$I23*Adatok!$J23)/(8*(VLOOKUP(AU$19,Számítás!$B$19:$H$63,7,FALSE)))+(Adatok!$C$13^3*Adatok!$C$20^3*Adatok!$I23^3*Adatok!$J23)/(384*(VLOOKUP(AU$19,Számítás!$B$19:$H$63,7,FALSE))^3))*100,$B$19)</f>
        <v>-</v>
      </c>
      <c r="AV24" s="33" t="str">
        <f>IF(AND($I$19+AU$17*Adatok!$F$11&gt;Adatok!$F$10-0.01,Adatok!$C$16+$B24&lt;Adatok!$C$17+1),((Adatok!$C$13*Adatok!$C$20*Adatok!$I23*Adatok!$J23)/(8*(VLOOKUP(AV$19,Számítás!$B$19:$H$63,7,FALSE)))+(Adatok!$C$13^3*Adatok!$C$20^3*Adatok!$I23^3*Adatok!$J23)/(384*(VLOOKUP(AV$19,Számítás!$B$19:$H$63,7,FALSE))^3))*100,$B$19)</f>
        <v>-</v>
      </c>
      <c r="AW24" s="33" t="str">
        <f>IF(AND($I$19+AV$17*Adatok!$F$11&gt;Adatok!$F$10-0.01,Adatok!$C$16+$B24&lt;Adatok!$C$17+1),((Adatok!$C$13*Adatok!$C$20*Adatok!$I23*Adatok!$J23)/(8*(VLOOKUP(AW$19,Számítás!$B$19:$H$63,7,FALSE)))+(Adatok!$C$13^3*Adatok!$C$20^3*Adatok!$I23^3*Adatok!$J23)/(384*(VLOOKUP(AW$19,Számítás!$B$19:$H$63,7,FALSE))^3))*100,$B$19)</f>
        <v>-</v>
      </c>
      <c r="AX24" s="33" t="str">
        <f>IF(AND($I$19+AW$17*Adatok!$F$11&gt;Adatok!$F$10-0.01,Adatok!$C$16+$B24&lt;Adatok!$C$17+1),((Adatok!$C$13*Adatok!$C$20*Adatok!$I23*Adatok!$J23)/(8*(VLOOKUP(AX$19,Számítás!$B$19:$H$63,7,FALSE)))+(Adatok!$C$13^3*Adatok!$C$20^3*Adatok!$I23^3*Adatok!$J23)/(384*(VLOOKUP(AX$19,Számítás!$B$19:$H$63,7,FALSE))^3))*100,$B$19)</f>
        <v>-</v>
      </c>
      <c r="AY24" s="33" t="str">
        <f>IF(AND($I$19+AX$17*Adatok!$F$11&gt;Adatok!$F$10-0.01,Adatok!$C$16+$B24&lt;Adatok!$C$17+1),((Adatok!$C$13*Adatok!$C$20*Adatok!$I23*Adatok!$J23)/(8*(VLOOKUP(AY$19,Számítás!$B$19:$H$63,7,FALSE)))+(Adatok!$C$13^3*Adatok!$C$20^3*Adatok!$I23^3*Adatok!$J23)/(384*(VLOOKUP(AY$19,Számítás!$B$19:$H$63,7,FALSE))^3))*100,$B$19)</f>
        <v>-</v>
      </c>
      <c r="AZ24" s="33" t="str">
        <f>IF(AND($I$19+AY$17*Adatok!$F$11&gt;Adatok!$F$10-0.01,Adatok!$C$16+$B24&lt;Adatok!$C$17+1),((Adatok!$C$13*Adatok!$C$20*Adatok!$I23*Adatok!$J23)/(8*(VLOOKUP(AZ$19,Számítás!$B$19:$H$63,7,FALSE)))+(Adatok!$C$13^3*Adatok!$C$20^3*Adatok!$I23^3*Adatok!$J23)/(384*(VLOOKUP(AZ$19,Számítás!$B$19:$H$63,7,FALSE))^3))*100,$B$19)</f>
        <v>-</v>
      </c>
      <c r="BA24" s="33" t="str">
        <f>IF(AND($I$19+AZ$17*Adatok!$F$11&gt;Adatok!$F$10-0.01,Adatok!$C$16+$B24&lt;Adatok!$C$17+1),((Adatok!$C$13*Adatok!$C$20*Adatok!$I23*Adatok!$J23)/(8*(VLOOKUP(BA$19,Számítás!$B$19:$H$63,7,FALSE)))+(Adatok!$C$13^3*Adatok!$C$20^3*Adatok!$I23^3*Adatok!$J23)/(384*(VLOOKUP(BA$19,Számítás!$B$19:$H$63,7,FALSE))^3))*100,$B$19)</f>
        <v>-</v>
      </c>
    </row>
    <row r="25" spans="1:53" ht="18" customHeight="1" x14ac:dyDescent="0.25">
      <c r="B25" s="1">
        <v>6</v>
      </c>
      <c r="C25" s="333">
        <f>Adatok!F24</f>
        <v>20</v>
      </c>
      <c r="D25" s="32" t="s">
        <v>27</v>
      </c>
      <c r="E25" s="336">
        <f>Adatok!H24</f>
        <v>21</v>
      </c>
      <c r="F25" s="64">
        <f>IF(Adatok!$C$16+B25&gt;Adatok!$C$17,$B$19,Adatok!I24)</f>
        <v>209.18</v>
      </c>
      <c r="G25" s="60"/>
      <c r="H25" s="72">
        <f>IF(Adatok!$C$16+B25&gt;Adatok!$C$17,$B$19,Adatok!J24/Adatok!I24)</f>
        <v>1</v>
      </c>
      <c r="I25" s="81">
        <f>IF(Adatok!$C$16+$B25&lt;Adatok!$C$17+1,((((Adatok!$C$13*Adatok!$C$20*Adatok!$I24*Adatok!$J24)/(8*(VLOOKUP(I$19,Számítás!$B$19:$H$63,7,FALSE))))+((Adatok!$C$13^3*Adatok!$C$20^3*Adatok!$I24^3*Adatok!$J24)/(384*(VLOOKUP(I$19,Számítás!$B$19:$H$63,7,FALSE))^3)))*100),$B$19)</f>
        <v>5560.6882494657611</v>
      </c>
      <c r="J25" s="33">
        <f>IF(AND($I$19+I$17*Adatok!$F$11&gt;Adatok!$F$10-0.01,Adatok!$C$16+$B25&lt;Adatok!$C$17+1),((Adatok!$C$13*Adatok!$C$20*Adatok!$I24*Adatok!$J24)/(8*(VLOOKUP(J$19,Számítás!$B$19:$H$63,7,FALSE)))+(Adatok!$C$13^3*Adatok!$C$20^3*Adatok!$I24^3*Adatok!$J24)/(384*(VLOOKUP(J$19,Számítás!$B$19:$H$63,7,FALSE))^3))*100,$B$19)</f>
        <v>5558.7902700962968</v>
      </c>
      <c r="K25" s="33">
        <f>IF(AND($I$19+J$17*Adatok!$F$11&gt;Adatok!$F$10-0.01,Adatok!$C$16+$B25&lt;Adatok!$C$17+1),((Adatok!$C$13*Adatok!$C$20*Adatok!$I24*Adatok!$J24)/(8*(VLOOKUP(K$19,Számítás!$B$19:$H$63,7,FALSE)))+(Adatok!$C$13^3*Adatok!$C$20^3*Adatok!$I24^3*Adatok!$J24)/(384*(VLOOKUP(K$19,Számítás!$B$19:$H$63,7,FALSE))^3))*100,$B$19)</f>
        <v>5556.8919467632559</v>
      </c>
      <c r="L25" s="33">
        <f>IF(AND($I$19+K$17*Adatok!$F$11&gt;Adatok!$F$10-0.01,Adatok!$C$16+$B25&lt;Adatok!$C$17+1),((Adatok!$C$13*Adatok!$C$20*Adatok!$I24*Adatok!$J24)/(8*(VLOOKUP(L$19,Számítás!$B$19:$H$63,7,FALSE)))+(Adatok!$C$13^3*Adatok!$C$20^3*Adatok!$I24^3*Adatok!$J24)/(384*(VLOOKUP(L$19,Számítás!$B$19:$H$63,7,FALSE))^3))*100,$B$19)</f>
        <v>5554.9932795974328</v>
      </c>
      <c r="M25" s="33">
        <f>IF(AND($I$19+L$17*Adatok!$F$11&gt;Adatok!$F$10-0.01,Adatok!$C$16+$B25&lt;Adatok!$C$17+1),((Adatok!$C$13*Adatok!$C$20*Adatok!$I24*Adatok!$J24)/(8*(VLOOKUP(M$19,Számítás!$B$19:$H$63,7,FALSE)))+(Adatok!$C$13^3*Adatok!$C$20^3*Adatok!$I24^3*Adatok!$J24)/(384*(VLOOKUP(M$19,Számítás!$B$19:$H$63,7,FALSE))^3))*100,$B$19)</f>
        <v>5553.0942680773223</v>
      </c>
      <c r="N25" s="33">
        <f>IF(AND($I$19+M$17*Adatok!$F$11&gt;Adatok!$F$10-0.01,Adatok!$C$16+$B25&lt;Adatok!$C$17+1),((Adatok!$C$13*Adatok!$C$20*Adatok!$I24*Adatok!$J24)/(8*(VLOOKUP(N$19,Számítás!$B$19:$H$63,7,FALSE)))+(Adatok!$C$13^3*Adatok!$C$20^3*Adatok!$I24^3*Adatok!$J24)/(384*(VLOOKUP(N$19,Számítás!$B$19:$H$63,7,FALSE))^3))*100,$B$19)</f>
        <v>5551.1949107838373</v>
      </c>
      <c r="O25" s="33">
        <f>IF(AND($I$19+N$17*Adatok!$F$11&gt;Adatok!$F$10-0.01,Adatok!$C$16+$B25&lt;Adatok!$C$17+1),((Adatok!$C$13*Adatok!$C$20*Adatok!$I24*Adatok!$J24)/(8*(VLOOKUP(O$19,Számítás!$B$19:$H$63,7,FALSE)))+(Adatok!$C$13^3*Adatok!$C$20^3*Adatok!$I24^3*Adatok!$J24)/(384*(VLOOKUP(O$19,Számítás!$B$19:$H$63,7,FALSE))^3))*100,$B$19)</f>
        <v>5549.2952085425895</v>
      </c>
      <c r="P25" s="33">
        <f>IF(AND($I$19+O$17*Adatok!$F$11&gt;Adatok!$F$10-0.01,Adatok!$C$16+$B25&lt;Adatok!$C$17+1),((Adatok!$C$13*Adatok!$C$20*Adatok!$I24*Adatok!$J24)/(8*(VLOOKUP(P$19,Számítás!$B$19:$H$63,7,FALSE)))+(Adatok!$C$13^3*Adatok!$C$20^3*Adatok!$I24^3*Adatok!$J24)/(384*(VLOOKUP(P$19,Számítás!$B$19:$H$63,7,FALSE))^3))*100,$B$19)</f>
        <v>5547.3951599590855</v>
      </c>
      <c r="Q25" s="33">
        <f>IF(AND($I$19+P$17*Adatok!$F$11&gt;Adatok!$F$10-0.01,Adatok!$C$16+$B25&lt;Adatok!$C$17+1),((Adatok!$C$13*Adatok!$C$20*Adatok!$I24*Adatok!$J24)/(8*(VLOOKUP(Q$19,Számítás!$B$19:$H$63,7,FALSE)))+(Adatok!$C$13^3*Adatok!$C$20^3*Adatok!$I24^3*Adatok!$J24)/(384*(VLOOKUP(Q$19,Számítás!$B$19:$H$63,7,FALSE))^3))*100,$B$19)</f>
        <v>5545.4947650999666</v>
      </c>
      <c r="R25" s="33">
        <f>IF(AND($I$19+Q$17*Adatok!$F$11&gt;Adatok!$F$10-0.01,Adatok!$C$16+$B25&lt;Adatok!$C$17+1),((Adatok!$C$13*Adatok!$C$20*Adatok!$I24*Adatok!$J24)/(8*(VLOOKUP(R$19,Számítás!$B$19:$H$63,7,FALSE)))+(Adatok!$C$13^3*Adatok!$C$20^3*Adatok!$I24^3*Adatok!$J24)/(384*(VLOOKUP(R$19,Számítás!$B$19:$H$63,7,FALSE))^3))*100,$B$19)</f>
        <v>5543.5940236477727</v>
      </c>
      <c r="S25" s="33">
        <f>IF(AND($I$19+R$17*Adatok!$F$11&gt;Adatok!$F$10-0.01,Adatok!$C$16+$B25&lt;Adatok!$C$17+1),((Adatok!$C$13*Adatok!$C$20*Adatok!$I24*Adatok!$J24)/(8*(VLOOKUP(S$19,Számítás!$B$19:$H$63,7,FALSE)))+(Adatok!$C$13^3*Adatok!$C$20^3*Adatok!$I24^3*Adatok!$J24)/(384*(VLOOKUP(S$19,Számítás!$B$19:$H$63,7,FALSE))^3))*100,$B$19)</f>
        <v>5541.6929356877881</v>
      </c>
      <c r="T25" s="33" t="str">
        <f>IF(AND($I$19+S$17*Adatok!$F$11&gt;Adatok!$F$10-0.01,Adatok!$C$16+$B25&lt;Adatok!$C$17+1),((Adatok!$C$13*Adatok!$C$20*Adatok!$I24*Adatok!$J24)/(8*(VLOOKUP(T$19,Számítás!$B$19:$H$63,7,FALSE)))+(Adatok!$C$13^3*Adatok!$C$20^3*Adatok!$I24^3*Adatok!$J24)/(384*(VLOOKUP(T$19,Számítás!$B$19:$H$63,7,FALSE))^3))*100,$B$19)</f>
        <v>-</v>
      </c>
      <c r="U25" s="33" t="str">
        <f>IF(AND($I$19+T$17*Adatok!$F$11&gt;Adatok!$F$10-0.01,Adatok!$C$16+$B25&lt;Adatok!$C$17+1),((Adatok!$C$13*Adatok!$C$20*Adatok!$I24*Adatok!$J24)/(8*(VLOOKUP(U$19,Számítás!$B$19:$H$63,7,FALSE)))+(Adatok!$C$13^3*Adatok!$C$20^3*Adatok!$I24^3*Adatok!$J24)/(384*(VLOOKUP(U$19,Számítás!$B$19:$H$63,7,FALSE))^3))*100,$B$19)</f>
        <v>-</v>
      </c>
      <c r="V25" s="33" t="str">
        <f>IF(AND($I$19+U$17*Adatok!$F$11&gt;Adatok!$F$10-0.01,Adatok!$C$16+$B25&lt;Adatok!$C$17+1),((Adatok!$C$13*Adatok!$C$20*Adatok!$I24*Adatok!$J24)/(8*(VLOOKUP(V$19,Számítás!$B$19:$H$63,7,FALSE)))+(Adatok!$C$13^3*Adatok!$C$20^3*Adatok!$I24^3*Adatok!$J24)/(384*(VLOOKUP(V$19,Számítás!$B$19:$H$63,7,FALSE))^3))*100,$B$19)</f>
        <v>-</v>
      </c>
      <c r="W25" s="33" t="str">
        <f>IF(AND($I$19+V$17*Adatok!$F$11&gt;Adatok!$F$10-0.01,Adatok!$C$16+$B25&lt;Adatok!$C$17+1),((Adatok!$C$13*Adatok!$C$20*Adatok!$I24*Adatok!$J24)/(8*(VLOOKUP(W$19,Számítás!$B$19:$H$63,7,FALSE)))+(Adatok!$C$13^3*Adatok!$C$20^3*Adatok!$I24^3*Adatok!$J24)/(384*(VLOOKUP(W$19,Számítás!$B$19:$H$63,7,FALSE))^3))*100,$B$19)</f>
        <v>-</v>
      </c>
      <c r="X25" s="33" t="str">
        <f>IF(AND($I$19+W$17*Adatok!$F$11&gt;Adatok!$F$10-0.01,Adatok!$C$16+$B25&lt;Adatok!$C$17+1),((Adatok!$C$13*Adatok!$C$20*Adatok!$I24*Adatok!$J24)/(8*(VLOOKUP(X$19,Számítás!$B$19:$H$63,7,FALSE)))+(Adatok!$C$13^3*Adatok!$C$20^3*Adatok!$I24^3*Adatok!$J24)/(384*(VLOOKUP(X$19,Számítás!$B$19:$H$63,7,FALSE))^3))*100,$B$19)</f>
        <v>-</v>
      </c>
      <c r="Y25" s="33" t="str">
        <f>IF(AND($I$19+X$17*Adatok!$F$11&gt;Adatok!$F$10-0.01,Adatok!$C$16+$B25&lt;Adatok!$C$17+1),((Adatok!$C$13*Adatok!$C$20*Adatok!$I24*Adatok!$J24)/(8*(VLOOKUP(Y$19,Számítás!$B$19:$H$63,7,FALSE)))+(Adatok!$C$13^3*Adatok!$C$20^3*Adatok!$I24^3*Adatok!$J24)/(384*(VLOOKUP(Y$19,Számítás!$B$19:$H$63,7,FALSE))^3))*100,$B$19)</f>
        <v>-</v>
      </c>
      <c r="Z25" s="33" t="str">
        <f>IF(AND($I$19+Y$17*Adatok!$F$11&gt;Adatok!$F$10-0.01,Adatok!$C$16+$B25&lt;Adatok!$C$17+1),((Adatok!$C$13*Adatok!$C$20*Adatok!$I24*Adatok!$J24)/(8*(VLOOKUP(Z$19,Számítás!$B$19:$H$63,7,FALSE)))+(Adatok!$C$13^3*Adatok!$C$20^3*Adatok!$I24^3*Adatok!$J24)/(384*(VLOOKUP(Z$19,Számítás!$B$19:$H$63,7,FALSE))^3))*100,$B$19)</f>
        <v>-</v>
      </c>
      <c r="AA25" s="33" t="str">
        <f>IF(AND($I$19+Z$17*Adatok!$F$11&gt;Adatok!$F$10-0.01,Adatok!$C$16+$B25&lt;Adatok!$C$17+1),((Adatok!$C$13*Adatok!$C$20*Adatok!$I24*Adatok!$J24)/(8*(VLOOKUP(AA$19,Számítás!$B$19:$H$63,7,FALSE)))+(Adatok!$C$13^3*Adatok!$C$20^3*Adatok!$I24^3*Adatok!$J24)/(384*(VLOOKUP(AA$19,Számítás!$B$19:$H$63,7,FALSE))^3))*100,$B$19)</f>
        <v>-</v>
      </c>
      <c r="AB25" s="33" t="str">
        <f>IF(AND($I$19+AA$17*Adatok!$F$11&gt;Adatok!$F$10-0.01,Adatok!$C$16+$B25&lt;Adatok!$C$17+1),((Adatok!$C$13*Adatok!$C$20*Adatok!$I24*Adatok!$J24)/(8*(VLOOKUP(AB$19,Számítás!$B$19:$H$63,7,FALSE)))+(Adatok!$C$13^3*Adatok!$C$20^3*Adatok!$I24^3*Adatok!$J24)/(384*(VLOOKUP(AB$19,Számítás!$B$19:$H$63,7,FALSE))^3))*100,$B$19)</f>
        <v>-</v>
      </c>
      <c r="AC25" s="33" t="str">
        <f>IF(AND($I$19+AB$17*Adatok!$F$11&gt;Adatok!$F$10-0.01,Adatok!$C$16+$B25&lt;Adatok!$C$17+1),((Adatok!$C$13*Adatok!$C$20*Adatok!$I24*Adatok!$J24)/(8*(VLOOKUP(AC$19,Számítás!$B$19:$H$63,7,FALSE)))+(Adatok!$C$13^3*Adatok!$C$20^3*Adatok!$I24^3*Adatok!$J24)/(384*(VLOOKUP(AC$19,Számítás!$B$19:$H$63,7,FALSE))^3))*100,$B$19)</f>
        <v>-</v>
      </c>
      <c r="AD25" s="33" t="str">
        <f>IF(AND($I$19+AC$17*Adatok!$F$11&gt;Adatok!$F$10-0.01,Adatok!$C$16+$B25&lt;Adatok!$C$17+1),((Adatok!$C$13*Adatok!$C$20*Adatok!$I24*Adatok!$J24)/(8*(VLOOKUP(AD$19,Számítás!$B$19:$H$63,7,FALSE)))+(Adatok!$C$13^3*Adatok!$C$20^3*Adatok!$I24^3*Adatok!$J24)/(384*(VLOOKUP(AD$19,Számítás!$B$19:$H$63,7,FALSE))^3))*100,$B$19)</f>
        <v>-</v>
      </c>
      <c r="AE25" s="33" t="str">
        <f>IF(AND($I$19+AD$17*Adatok!$F$11&gt;Adatok!$F$10-0.01,Adatok!$C$16+$B25&lt;Adatok!$C$17+1),((Adatok!$C$13*Adatok!$C$20*Adatok!$I24*Adatok!$J24)/(8*(VLOOKUP(AE$19,Számítás!$B$19:$H$63,7,FALSE)))+(Adatok!$C$13^3*Adatok!$C$20^3*Adatok!$I24^3*Adatok!$J24)/(384*(VLOOKUP(AE$19,Számítás!$B$19:$H$63,7,FALSE))^3))*100,$B$19)</f>
        <v>-</v>
      </c>
      <c r="AF25" s="33" t="str">
        <f>IF(AND($I$19+AE$17*Adatok!$F$11&gt;Adatok!$F$10-0.01,Adatok!$C$16+$B25&lt;Adatok!$C$17+1),((Adatok!$C$13*Adatok!$C$20*Adatok!$I24*Adatok!$J24)/(8*(VLOOKUP(AF$19,Számítás!$B$19:$H$63,7,FALSE)))+(Adatok!$C$13^3*Adatok!$C$20^3*Adatok!$I24^3*Adatok!$J24)/(384*(VLOOKUP(AF$19,Számítás!$B$19:$H$63,7,FALSE))^3))*100,$B$19)</f>
        <v>-</v>
      </c>
      <c r="AG25" s="33" t="str">
        <f>IF(AND($I$19+AF$17*Adatok!$F$11&gt;Adatok!$F$10-0.01,Adatok!$C$16+$B25&lt;Adatok!$C$17+1),((Adatok!$C$13*Adatok!$C$20*Adatok!$I24*Adatok!$J24)/(8*(VLOOKUP(AG$19,Számítás!$B$19:$H$63,7,FALSE)))+(Adatok!$C$13^3*Adatok!$C$20^3*Adatok!$I24^3*Adatok!$J24)/(384*(VLOOKUP(AG$19,Számítás!$B$19:$H$63,7,FALSE))^3))*100,$B$19)</f>
        <v>-</v>
      </c>
      <c r="AH25" s="33" t="str">
        <f>IF(AND($I$19+AG$17*Adatok!$F$11&gt;Adatok!$F$10-0.01,Adatok!$C$16+$B25&lt;Adatok!$C$17+1),((Adatok!$C$13*Adatok!$C$20*Adatok!$I24*Adatok!$J24)/(8*(VLOOKUP(AH$19,Számítás!$B$19:$H$63,7,FALSE)))+(Adatok!$C$13^3*Adatok!$C$20^3*Adatok!$I24^3*Adatok!$J24)/(384*(VLOOKUP(AH$19,Számítás!$B$19:$H$63,7,FALSE))^3))*100,$B$19)</f>
        <v>-</v>
      </c>
      <c r="AI25" s="33" t="str">
        <f>IF(AND($I$19+AH$17*Adatok!$F$11&gt;Adatok!$F$10-0.01,Adatok!$C$16+$B25&lt;Adatok!$C$17+1),((Adatok!$C$13*Adatok!$C$20*Adatok!$I24*Adatok!$J24)/(8*(VLOOKUP(AI$19,Számítás!$B$19:$H$63,7,FALSE)))+(Adatok!$C$13^3*Adatok!$C$20^3*Adatok!$I24^3*Adatok!$J24)/(384*(VLOOKUP(AI$19,Számítás!$B$19:$H$63,7,FALSE))^3))*100,$B$19)</f>
        <v>-</v>
      </c>
      <c r="AJ25" s="33" t="str">
        <f>IF(AND($I$19+AI$17*Adatok!$F$11&gt;Adatok!$F$10-0.01,Adatok!$C$16+$B25&lt;Adatok!$C$17+1),((Adatok!$C$13*Adatok!$C$20*Adatok!$I24*Adatok!$J24)/(8*(VLOOKUP(AJ$19,Számítás!$B$19:$H$63,7,FALSE)))+(Adatok!$C$13^3*Adatok!$C$20^3*Adatok!$I24^3*Adatok!$J24)/(384*(VLOOKUP(AJ$19,Számítás!$B$19:$H$63,7,FALSE))^3))*100,$B$19)</f>
        <v>-</v>
      </c>
      <c r="AK25" s="33" t="str">
        <f>IF(AND($I$19+AJ$17*Adatok!$F$11&gt;Adatok!$F$10-0.01,Adatok!$C$16+$B25&lt;Adatok!$C$17+1),((Adatok!$C$13*Adatok!$C$20*Adatok!$I24*Adatok!$J24)/(8*(VLOOKUP(AK$19,Számítás!$B$19:$H$63,7,FALSE)))+(Adatok!$C$13^3*Adatok!$C$20^3*Adatok!$I24^3*Adatok!$J24)/(384*(VLOOKUP(AK$19,Számítás!$B$19:$H$63,7,FALSE))^3))*100,$B$19)</f>
        <v>-</v>
      </c>
      <c r="AL25" s="33" t="str">
        <f>IF(AND($I$19+AK$17*Adatok!$F$11&gt;Adatok!$F$10-0.01,Adatok!$C$16+$B25&lt;Adatok!$C$17+1),((Adatok!$C$13*Adatok!$C$20*Adatok!$I24*Adatok!$J24)/(8*(VLOOKUP(AL$19,Számítás!$B$19:$H$63,7,FALSE)))+(Adatok!$C$13^3*Adatok!$C$20^3*Adatok!$I24^3*Adatok!$J24)/(384*(VLOOKUP(AL$19,Számítás!$B$19:$H$63,7,FALSE))^3))*100,$B$19)</f>
        <v>-</v>
      </c>
      <c r="AM25" s="33" t="str">
        <f>IF(AND($I$19+AL$17*Adatok!$F$11&gt;Adatok!$F$10-0.01,Adatok!$C$16+$B25&lt;Adatok!$C$17+1),((Adatok!$C$13*Adatok!$C$20*Adatok!$I24*Adatok!$J24)/(8*(VLOOKUP(AM$19,Számítás!$B$19:$H$63,7,FALSE)))+(Adatok!$C$13^3*Adatok!$C$20^3*Adatok!$I24^3*Adatok!$J24)/(384*(VLOOKUP(AM$19,Számítás!$B$19:$H$63,7,FALSE))^3))*100,$B$19)</f>
        <v>-</v>
      </c>
      <c r="AN25" s="33" t="str">
        <f>IF(AND($I$19+AM$17*Adatok!$F$11&gt;Adatok!$F$10-0.01,Adatok!$C$16+$B25&lt;Adatok!$C$17+1),((Adatok!$C$13*Adatok!$C$20*Adatok!$I24*Adatok!$J24)/(8*(VLOOKUP(AN$19,Számítás!$B$19:$H$63,7,FALSE)))+(Adatok!$C$13^3*Adatok!$C$20^3*Adatok!$I24^3*Adatok!$J24)/(384*(VLOOKUP(AN$19,Számítás!$B$19:$H$63,7,FALSE))^3))*100,$B$19)</f>
        <v>-</v>
      </c>
      <c r="AO25" s="33" t="str">
        <f>IF(AND($I$19+AN$17*Adatok!$F$11&gt;Adatok!$F$10-0.01,Adatok!$C$16+$B25&lt;Adatok!$C$17+1),((Adatok!$C$13*Adatok!$C$20*Adatok!$I24*Adatok!$J24)/(8*(VLOOKUP(AO$19,Számítás!$B$19:$H$63,7,FALSE)))+(Adatok!$C$13^3*Adatok!$C$20^3*Adatok!$I24^3*Adatok!$J24)/(384*(VLOOKUP(AO$19,Számítás!$B$19:$H$63,7,FALSE))^3))*100,$B$19)</f>
        <v>-</v>
      </c>
      <c r="AP25" s="33" t="str">
        <f>IF(AND($I$19+AO$17*Adatok!$F$11&gt;Adatok!$F$10-0.01,Adatok!$C$16+$B25&lt;Adatok!$C$17+1),((Adatok!$C$13*Adatok!$C$20*Adatok!$I24*Adatok!$J24)/(8*(VLOOKUP(AP$19,Számítás!$B$19:$H$63,7,FALSE)))+(Adatok!$C$13^3*Adatok!$C$20^3*Adatok!$I24^3*Adatok!$J24)/(384*(VLOOKUP(AP$19,Számítás!$B$19:$H$63,7,FALSE))^3))*100,$B$19)</f>
        <v>-</v>
      </c>
      <c r="AQ25" s="33" t="str">
        <f>IF(AND($I$19+AP$17*Adatok!$F$11&gt;Adatok!$F$10-0.01,Adatok!$C$16+$B25&lt;Adatok!$C$17+1),((Adatok!$C$13*Adatok!$C$20*Adatok!$I24*Adatok!$J24)/(8*(VLOOKUP(AQ$19,Számítás!$B$19:$H$63,7,FALSE)))+(Adatok!$C$13^3*Adatok!$C$20^3*Adatok!$I24^3*Adatok!$J24)/(384*(VLOOKUP(AQ$19,Számítás!$B$19:$H$63,7,FALSE))^3))*100,$B$19)</f>
        <v>-</v>
      </c>
      <c r="AR25" s="33" t="str">
        <f>IF(AND($I$19+AQ$17*Adatok!$F$11&gt;Adatok!$F$10-0.01,Adatok!$C$16+$B25&lt;Adatok!$C$17+1),((Adatok!$C$13*Adatok!$C$20*Adatok!$I24*Adatok!$J24)/(8*(VLOOKUP(AR$19,Számítás!$B$19:$H$63,7,FALSE)))+(Adatok!$C$13^3*Adatok!$C$20^3*Adatok!$I24^3*Adatok!$J24)/(384*(VLOOKUP(AR$19,Számítás!$B$19:$H$63,7,FALSE))^3))*100,$B$19)</f>
        <v>-</v>
      </c>
      <c r="AS25" s="33" t="str">
        <f>IF(AND($I$19+AR$17*Adatok!$F$11&gt;Adatok!$F$10-0.01,Adatok!$C$16+$B25&lt;Adatok!$C$17+1),((Adatok!$C$13*Adatok!$C$20*Adatok!$I24*Adatok!$J24)/(8*(VLOOKUP(AS$19,Számítás!$B$19:$H$63,7,FALSE)))+(Adatok!$C$13^3*Adatok!$C$20^3*Adatok!$I24^3*Adatok!$J24)/(384*(VLOOKUP(AS$19,Számítás!$B$19:$H$63,7,FALSE))^3))*100,$B$19)</f>
        <v>-</v>
      </c>
      <c r="AT25" s="33" t="str">
        <f>IF(AND($I$19+AS$17*Adatok!$F$11&gt;Adatok!$F$10-0.01,Adatok!$C$16+$B25&lt;Adatok!$C$17+1),((Adatok!$C$13*Adatok!$C$20*Adatok!$I24*Adatok!$J24)/(8*(VLOOKUP(AT$19,Számítás!$B$19:$H$63,7,FALSE)))+(Adatok!$C$13^3*Adatok!$C$20^3*Adatok!$I24^3*Adatok!$J24)/(384*(VLOOKUP(AT$19,Számítás!$B$19:$H$63,7,FALSE))^3))*100,$B$19)</f>
        <v>-</v>
      </c>
      <c r="AU25" s="33" t="str">
        <f>IF(AND($I$19+AT$17*Adatok!$F$11&gt;Adatok!$F$10-0.01,Adatok!$C$16+$B25&lt;Adatok!$C$17+1),((Adatok!$C$13*Adatok!$C$20*Adatok!$I24*Adatok!$J24)/(8*(VLOOKUP(AU$19,Számítás!$B$19:$H$63,7,FALSE)))+(Adatok!$C$13^3*Adatok!$C$20^3*Adatok!$I24^3*Adatok!$J24)/(384*(VLOOKUP(AU$19,Számítás!$B$19:$H$63,7,FALSE))^3))*100,$B$19)</f>
        <v>-</v>
      </c>
      <c r="AV25" s="33" t="str">
        <f>IF(AND($I$19+AU$17*Adatok!$F$11&gt;Adatok!$F$10-0.01,Adatok!$C$16+$B25&lt;Adatok!$C$17+1),((Adatok!$C$13*Adatok!$C$20*Adatok!$I24*Adatok!$J24)/(8*(VLOOKUP(AV$19,Számítás!$B$19:$H$63,7,FALSE)))+(Adatok!$C$13^3*Adatok!$C$20^3*Adatok!$I24^3*Adatok!$J24)/(384*(VLOOKUP(AV$19,Számítás!$B$19:$H$63,7,FALSE))^3))*100,$B$19)</f>
        <v>-</v>
      </c>
      <c r="AW25" s="33" t="str">
        <f>IF(AND($I$19+AV$17*Adatok!$F$11&gt;Adatok!$F$10-0.01,Adatok!$C$16+$B25&lt;Adatok!$C$17+1),((Adatok!$C$13*Adatok!$C$20*Adatok!$I24*Adatok!$J24)/(8*(VLOOKUP(AW$19,Számítás!$B$19:$H$63,7,FALSE)))+(Adatok!$C$13^3*Adatok!$C$20^3*Adatok!$I24^3*Adatok!$J24)/(384*(VLOOKUP(AW$19,Számítás!$B$19:$H$63,7,FALSE))^3))*100,$B$19)</f>
        <v>-</v>
      </c>
      <c r="AX25" s="33" t="str">
        <f>IF(AND($I$19+AW$17*Adatok!$F$11&gt;Adatok!$F$10-0.01,Adatok!$C$16+$B25&lt;Adatok!$C$17+1),((Adatok!$C$13*Adatok!$C$20*Adatok!$I24*Adatok!$J24)/(8*(VLOOKUP(AX$19,Számítás!$B$19:$H$63,7,FALSE)))+(Adatok!$C$13^3*Adatok!$C$20^3*Adatok!$I24^3*Adatok!$J24)/(384*(VLOOKUP(AX$19,Számítás!$B$19:$H$63,7,FALSE))^3))*100,$B$19)</f>
        <v>-</v>
      </c>
      <c r="AY25" s="33" t="str">
        <f>IF(AND($I$19+AX$17*Adatok!$F$11&gt;Adatok!$F$10-0.01,Adatok!$C$16+$B25&lt;Adatok!$C$17+1),((Adatok!$C$13*Adatok!$C$20*Adatok!$I24*Adatok!$J24)/(8*(VLOOKUP(AY$19,Számítás!$B$19:$H$63,7,FALSE)))+(Adatok!$C$13^3*Adatok!$C$20^3*Adatok!$I24^3*Adatok!$J24)/(384*(VLOOKUP(AY$19,Számítás!$B$19:$H$63,7,FALSE))^3))*100,$B$19)</f>
        <v>-</v>
      </c>
      <c r="AZ25" s="33" t="str">
        <f>IF(AND($I$19+AY$17*Adatok!$F$11&gt;Adatok!$F$10-0.01,Adatok!$C$16+$B25&lt;Adatok!$C$17+1),((Adatok!$C$13*Adatok!$C$20*Adatok!$I24*Adatok!$J24)/(8*(VLOOKUP(AZ$19,Számítás!$B$19:$H$63,7,FALSE)))+(Adatok!$C$13^3*Adatok!$C$20^3*Adatok!$I24^3*Adatok!$J24)/(384*(VLOOKUP(AZ$19,Számítás!$B$19:$H$63,7,FALSE))^3))*100,$B$19)</f>
        <v>-</v>
      </c>
      <c r="BA25" s="33" t="str">
        <f>IF(AND($I$19+AZ$17*Adatok!$F$11&gt;Adatok!$F$10-0.01,Adatok!$C$16+$B25&lt;Adatok!$C$17+1),((Adatok!$C$13*Adatok!$C$20*Adatok!$I24*Adatok!$J24)/(8*(VLOOKUP(BA$19,Számítás!$B$19:$H$63,7,FALSE)))+(Adatok!$C$13^3*Adatok!$C$20^3*Adatok!$I24^3*Adatok!$J24)/(384*(VLOOKUP(BA$19,Számítás!$B$19:$H$63,7,FALSE))^3))*100,$B$19)</f>
        <v>-</v>
      </c>
    </row>
    <row r="26" spans="1:53" ht="18" customHeight="1" x14ac:dyDescent="0.25">
      <c r="B26" s="1">
        <v>7</v>
      </c>
      <c r="C26" s="333">
        <f>Adatok!F25</f>
        <v>21</v>
      </c>
      <c r="D26" s="32" t="s">
        <v>27</v>
      </c>
      <c r="E26" s="336">
        <f>Adatok!H25</f>
        <v>22</v>
      </c>
      <c r="F26" s="64">
        <f>IF(Adatok!$C$16+B26&gt;Adatok!$C$17,$B$19,Adatok!I25)</f>
        <v>209.7</v>
      </c>
      <c r="G26" s="60"/>
      <c r="H26" s="72">
        <f>IF(Adatok!$C$16+B26&gt;Adatok!$C$17,$B$19,Adatok!J25/Adatok!I25)</f>
        <v>1</v>
      </c>
      <c r="I26" s="81">
        <f>IF(Adatok!$C$16+$B26&lt;Adatok!$C$17+1,((((Adatok!$C$13*Adatok!$C$20*Adatok!$I25*Adatok!$J25)/(8*(VLOOKUP(I$19,Számítás!$B$19:$H$63,7,FALSE))))+((Adatok!$C$13^3*Adatok!$C$20^3*Adatok!$I25^3*Adatok!$J25)/(384*(VLOOKUP(I$19,Számítás!$B$19:$H$63,7,FALSE))^3)))*100),$B$19)</f>
        <v>5590.4460516403869</v>
      </c>
      <c r="J26" s="33">
        <f>IF(AND($I$19+I$17*Adatok!$F$11&gt;Adatok!$F$10-0.01,Adatok!$C$16+$B26&lt;Adatok!$C$17+1),((Adatok!$C$13*Adatok!$C$20*Adatok!$I25*Adatok!$J25)/(8*(VLOOKUP(J$19,Számítás!$B$19:$H$63,7,FALSE)))+(Adatok!$C$13^3*Adatok!$C$20^3*Adatok!$I25^3*Adatok!$J25)/(384*(VLOOKUP(J$19,Számítás!$B$19:$H$63,7,FALSE))^3))*100,$B$19)</f>
        <v>5588.5367742915378</v>
      </c>
      <c r="K26" s="33">
        <f>IF(AND($I$19+J$17*Adatok!$F$11&gt;Adatok!$F$10-0.01,Adatok!$C$16+$B26&lt;Adatok!$C$17+1),((Adatok!$C$13*Adatok!$C$20*Adatok!$I25*Adatok!$J25)/(8*(VLOOKUP(K$19,Számítás!$B$19:$H$63,7,FALSE)))+(Adatok!$C$13^3*Adatok!$C$20^3*Adatok!$I25^3*Adatok!$J25)/(384*(VLOOKUP(K$19,Számítás!$B$19:$H$63,7,FALSE))^3))*100,$B$19)</f>
        <v>5586.6271518167541</v>
      </c>
      <c r="L26" s="33">
        <f>IF(AND($I$19+K$17*Adatok!$F$11&gt;Adatok!$F$10-0.01,Adatok!$C$16+$B26&lt;Adatok!$C$17+1),((Adatok!$C$13*Adatok!$C$20*Adatok!$I25*Adatok!$J25)/(8*(VLOOKUP(L$19,Számítás!$B$19:$H$63,7,FALSE)))+(Adatok!$C$13^3*Adatok!$C$20^3*Adatok!$I25^3*Adatok!$J25)/(384*(VLOOKUP(L$19,Számítás!$B$19:$H$63,7,FALSE))^3))*100,$B$19)</f>
        <v>5584.7171843481365</v>
      </c>
      <c r="M26" s="33">
        <f>IF(AND($I$19+L$17*Adatok!$F$11&gt;Adatok!$F$10-0.01,Adatok!$C$16+$B26&lt;Adatok!$C$17+1),((Adatok!$C$13*Adatok!$C$20*Adatok!$I25*Adatok!$J25)/(8*(VLOOKUP(M$19,Számítás!$B$19:$H$63,7,FALSE)))+(Adatok!$C$13^3*Adatok!$C$20^3*Adatok!$I25^3*Adatok!$J25)/(384*(VLOOKUP(M$19,Számítás!$B$19:$H$63,7,FALSE))^3))*100,$B$19)</f>
        <v>5582.8068713616003</v>
      </c>
      <c r="N26" s="33">
        <f>IF(AND($I$19+M$17*Adatok!$F$11&gt;Adatok!$F$10-0.01,Adatok!$C$16+$B26&lt;Adatok!$C$17+1),((Adatok!$C$13*Adatok!$C$20*Adatok!$I25*Adatok!$J25)/(8*(VLOOKUP(N$19,Számítás!$B$19:$H$63,7,FALSE)))+(Adatok!$C$13^3*Adatok!$C$20^3*Adatok!$I25^3*Adatok!$J25)/(384*(VLOOKUP(N$19,Számítás!$B$19:$H$63,7,FALSE))^3))*100,$B$19)</f>
        <v>5580.8962114301439</v>
      </c>
      <c r="O26" s="33">
        <f>IF(AND($I$19+N$17*Adatok!$F$11&gt;Adatok!$F$10-0.01,Adatok!$C$16+$B26&lt;Adatok!$C$17+1),((Adatok!$C$13*Adatok!$C$20*Adatok!$I25*Adatok!$J25)/(8*(VLOOKUP(O$19,Számítás!$B$19:$H$63,7,FALSE)))+(Adatok!$C$13^3*Adatok!$C$20^3*Adatok!$I25^3*Adatok!$J25)/(384*(VLOOKUP(O$19,Számítás!$B$19:$H$63,7,FALSE))^3))*100,$B$19)</f>
        <v>5578.9852053848153</v>
      </c>
      <c r="P26" s="33">
        <f>IF(AND($I$19+O$17*Adatok!$F$11&gt;Adatok!$F$10-0.01,Adatok!$C$16+$B26&lt;Adatok!$C$17+1),((Adatok!$C$13*Adatok!$C$20*Adatok!$I25*Adatok!$J25)/(8*(VLOOKUP(P$19,Számítás!$B$19:$H$63,7,FALSE)))+(Adatok!$C$13^3*Adatok!$C$20^3*Adatok!$I25^3*Adatok!$J25)/(384*(VLOOKUP(P$19,Számítás!$B$19:$H$63,7,FALSE))^3))*100,$B$19)</f>
        <v>5577.0738518233538</v>
      </c>
      <c r="Q26" s="33">
        <f>IF(AND($I$19+P$17*Adatok!$F$11&gt;Adatok!$F$10-0.01,Adatok!$C$16+$B26&lt;Adatok!$C$17+1),((Adatok!$C$13*Adatok!$C$20*Adatok!$I25*Adatok!$J25)/(8*(VLOOKUP(Q$19,Számítás!$B$19:$H$63,7,FALSE)))+(Adatok!$C$13^3*Adatok!$C$20^3*Adatok!$I25^3*Adatok!$J25)/(384*(VLOOKUP(Q$19,Számítás!$B$19:$H$63,7,FALSE))^3))*100,$B$19)</f>
        <v>5575.162150813323</v>
      </c>
      <c r="R26" s="33">
        <f>IF(AND($I$19+Q$17*Adatok!$F$11&gt;Adatok!$F$10-0.01,Adatok!$C$16+$B26&lt;Adatok!$C$17+1),((Adatok!$C$13*Adatok!$C$20*Adatok!$I25*Adatok!$J25)/(8*(VLOOKUP(R$19,Számítás!$B$19:$H$63,7,FALSE)))+(Adatok!$C$13^3*Adatok!$C$20^3*Adatok!$I25^3*Adatok!$J25)/(384*(VLOOKUP(R$19,Számítás!$B$19:$H$63,7,FALSE))^3))*100,$B$19)</f>
        <v>5573.2501020359077</v>
      </c>
      <c r="S26" s="33">
        <f>IF(AND($I$19+R$17*Adatok!$F$11&gt;Adatok!$F$10-0.01,Adatok!$C$16+$B26&lt;Adatok!$C$17+1),((Adatok!$C$13*Adatok!$C$20*Adatok!$I25*Adatok!$J25)/(8*(VLOOKUP(S$19,Számítás!$B$19:$H$63,7,FALSE)))+(Adatok!$C$13^3*Adatok!$C$20^3*Adatok!$I25^3*Adatok!$J25)/(384*(VLOOKUP(S$19,Számítás!$B$19:$H$63,7,FALSE))^3))*100,$B$19)</f>
        <v>5571.3377055774254</v>
      </c>
      <c r="T26" s="33" t="str">
        <f>IF(AND($I$19+S$17*Adatok!$F$11&gt;Adatok!$F$10-0.01,Adatok!$C$16+$B26&lt;Adatok!$C$17+1),((Adatok!$C$13*Adatok!$C$20*Adatok!$I25*Adatok!$J25)/(8*(VLOOKUP(T$19,Számítás!$B$19:$H$63,7,FALSE)))+(Adatok!$C$13^3*Adatok!$C$20^3*Adatok!$I25^3*Adatok!$J25)/(384*(VLOOKUP(T$19,Számítás!$B$19:$H$63,7,FALSE))^3))*100,$B$19)</f>
        <v>-</v>
      </c>
      <c r="U26" s="33" t="str">
        <f>IF(AND($I$19+T$17*Adatok!$F$11&gt;Adatok!$F$10-0.01,Adatok!$C$16+$B26&lt;Adatok!$C$17+1),((Adatok!$C$13*Adatok!$C$20*Adatok!$I25*Adatok!$J25)/(8*(VLOOKUP(U$19,Számítás!$B$19:$H$63,7,FALSE)))+(Adatok!$C$13^3*Adatok!$C$20^3*Adatok!$I25^3*Adatok!$J25)/(384*(VLOOKUP(U$19,Számítás!$B$19:$H$63,7,FALSE))^3))*100,$B$19)</f>
        <v>-</v>
      </c>
      <c r="V26" s="33" t="str">
        <f>IF(AND($I$19+U$17*Adatok!$F$11&gt;Adatok!$F$10-0.01,Adatok!$C$16+$B26&lt;Adatok!$C$17+1),((Adatok!$C$13*Adatok!$C$20*Adatok!$I25*Adatok!$J25)/(8*(VLOOKUP(V$19,Számítás!$B$19:$H$63,7,FALSE)))+(Adatok!$C$13^3*Adatok!$C$20^3*Adatok!$I25^3*Adatok!$J25)/(384*(VLOOKUP(V$19,Számítás!$B$19:$H$63,7,FALSE))^3))*100,$B$19)</f>
        <v>-</v>
      </c>
      <c r="W26" s="33" t="str">
        <f>IF(AND($I$19+V$17*Adatok!$F$11&gt;Adatok!$F$10-0.01,Adatok!$C$16+$B26&lt;Adatok!$C$17+1),((Adatok!$C$13*Adatok!$C$20*Adatok!$I25*Adatok!$J25)/(8*(VLOOKUP(W$19,Számítás!$B$19:$H$63,7,FALSE)))+(Adatok!$C$13^3*Adatok!$C$20^3*Adatok!$I25^3*Adatok!$J25)/(384*(VLOOKUP(W$19,Számítás!$B$19:$H$63,7,FALSE))^3))*100,$B$19)</f>
        <v>-</v>
      </c>
      <c r="X26" s="33" t="str">
        <f>IF(AND($I$19+W$17*Adatok!$F$11&gt;Adatok!$F$10-0.01,Adatok!$C$16+$B26&lt;Adatok!$C$17+1),((Adatok!$C$13*Adatok!$C$20*Adatok!$I25*Adatok!$J25)/(8*(VLOOKUP(X$19,Számítás!$B$19:$H$63,7,FALSE)))+(Adatok!$C$13^3*Adatok!$C$20^3*Adatok!$I25^3*Adatok!$J25)/(384*(VLOOKUP(X$19,Számítás!$B$19:$H$63,7,FALSE))^3))*100,$B$19)</f>
        <v>-</v>
      </c>
      <c r="Y26" s="33" t="str">
        <f>IF(AND($I$19+X$17*Adatok!$F$11&gt;Adatok!$F$10-0.01,Adatok!$C$16+$B26&lt;Adatok!$C$17+1),((Adatok!$C$13*Adatok!$C$20*Adatok!$I25*Adatok!$J25)/(8*(VLOOKUP(Y$19,Számítás!$B$19:$H$63,7,FALSE)))+(Adatok!$C$13^3*Adatok!$C$20^3*Adatok!$I25^3*Adatok!$J25)/(384*(VLOOKUP(Y$19,Számítás!$B$19:$H$63,7,FALSE))^3))*100,$B$19)</f>
        <v>-</v>
      </c>
      <c r="Z26" s="33" t="str">
        <f>IF(AND($I$19+Y$17*Adatok!$F$11&gt;Adatok!$F$10-0.01,Adatok!$C$16+$B26&lt;Adatok!$C$17+1),((Adatok!$C$13*Adatok!$C$20*Adatok!$I25*Adatok!$J25)/(8*(VLOOKUP(Z$19,Számítás!$B$19:$H$63,7,FALSE)))+(Adatok!$C$13^3*Adatok!$C$20^3*Adatok!$I25^3*Adatok!$J25)/(384*(VLOOKUP(Z$19,Számítás!$B$19:$H$63,7,FALSE))^3))*100,$B$19)</f>
        <v>-</v>
      </c>
      <c r="AA26" s="33" t="str">
        <f>IF(AND($I$19+Z$17*Adatok!$F$11&gt;Adatok!$F$10-0.01,Adatok!$C$16+$B26&lt;Adatok!$C$17+1),((Adatok!$C$13*Adatok!$C$20*Adatok!$I25*Adatok!$J25)/(8*(VLOOKUP(AA$19,Számítás!$B$19:$H$63,7,FALSE)))+(Adatok!$C$13^3*Adatok!$C$20^3*Adatok!$I25^3*Adatok!$J25)/(384*(VLOOKUP(AA$19,Számítás!$B$19:$H$63,7,FALSE))^3))*100,$B$19)</f>
        <v>-</v>
      </c>
      <c r="AB26" s="33" t="str">
        <f>IF(AND($I$19+AA$17*Adatok!$F$11&gt;Adatok!$F$10-0.01,Adatok!$C$16+$B26&lt;Adatok!$C$17+1),((Adatok!$C$13*Adatok!$C$20*Adatok!$I25*Adatok!$J25)/(8*(VLOOKUP(AB$19,Számítás!$B$19:$H$63,7,FALSE)))+(Adatok!$C$13^3*Adatok!$C$20^3*Adatok!$I25^3*Adatok!$J25)/(384*(VLOOKUP(AB$19,Számítás!$B$19:$H$63,7,FALSE))^3))*100,$B$19)</f>
        <v>-</v>
      </c>
      <c r="AC26" s="33" t="str">
        <f>IF(AND($I$19+AB$17*Adatok!$F$11&gt;Adatok!$F$10-0.01,Adatok!$C$16+$B26&lt;Adatok!$C$17+1),((Adatok!$C$13*Adatok!$C$20*Adatok!$I25*Adatok!$J25)/(8*(VLOOKUP(AC$19,Számítás!$B$19:$H$63,7,FALSE)))+(Adatok!$C$13^3*Adatok!$C$20^3*Adatok!$I25^3*Adatok!$J25)/(384*(VLOOKUP(AC$19,Számítás!$B$19:$H$63,7,FALSE))^3))*100,$B$19)</f>
        <v>-</v>
      </c>
      <c r="AD26" s="33" t="str">
        <f>IF(AND($I$19+AC$17*Adatok!$F$11&gt;Adatok!$F$10-0.01,Adatok!$C$16+$B26&lt;Adatok!$C$17+1),((Adatok!$C$13*Adatok!$C$20*Adatok!$I25*Adatok!$J25)/(8*(VLOOKUP(AD$19,Számítás!$B$19:$H$63,7,FALSE)))+(Adatok!$C$13^3*Adatok!$C$20^3*Adatok!$I25^3*Adatok!$J25)/(384*(VLOOKUP(AD$19,Számítás!$B$19:$H$63,7,FALSE))^3))*100,$B$19)</f>
        <v>-</v>
      </c>
      <c r="AE26" s="33" t="str">
        <f>IF(AND($I$19+AD$17*Adatok!$F$11&gt;Adatok!$F$10-0.01,Adatok!$C$16+$B26&lt;Adatok!$C$17+1),((Adatok!$C$13*Adatok!$C$20*Adatok!$I25*Adatok!$J25)/(8*(VLOOKUP(AE$19,Számítás!$B$19:$H$63,7,FALSE)))+(Adatok!$C$13^3*Adatok!$C$20^3*Adatok!$I25^3*Adatok!$J25)/(384*(VLOOKUP(AE$19,Számítás!$B$19:$H$63,7,FALSE))^3))*100,$B$19)</f>
        <v>-</v>
      </c>
      <c r="AF26" s="33" t="str">
        <f>IF(AND($I$19+AE$17*Adatok!$F$11&gt;Adatok!$F$10-0.01,Adatok!$C$16+$B26&lt;Adatok!$C$17+1),((Adatok!$C$13*Adatok!$C$20*Adatok!$I25*Adatok!$J25)/(8*(VLOOKUP(AF$19,Számítás!$B$19:$H$63,7,FALSE)))+(Adatok!$C$13^3*Adatok!$C$20^3*Adatok!$I25^3*Adatok!$J25)/(384*(VLOOKUP(AF$19,Számítás!$B$19:$H$63,7,FALSE))^3))*100,$B$19)</f>
        <v>-</v>
      </c>
      <c r="AG26" s="33" t="str">
        <f>IF(AND($I$19+AF$17*Adatok!$F$11&gt;Adatok!$F$10-0.01,Adatok!$C$16+$B26&lt;Adatok!$C$17+1),((Adatok!$C$13*Adatok!$C$20*Adatok!$I25*Adatok!$J25)/(8*(VLOOKUP(AG$19,Számítás!$B$19:$H$63,7,FALSE)))+(Adatok!$C$13^3*Adatok!$C$20^3*Adatok!$I25^3*Adatok!$J25)/(384*(VLOOKUP(AG$19,Számítás!$B$19:$H$63,7,FALSE))^3))*100,$B$19)</f>
        <v>-</v>
      </c>
      <c r="AH26" s="33" t="str">
        <f>IF(AND($I$19+AG$17*Adatok!$F$11&gt;Adatok!$F$10-0.01,Adatok!$C$16+$B26&lt;Adatok!$C$17+1),((Adatok!$C$13*Adatok!$C$20*Adatok!$I25*Adatok!$J25)/(8*(VLOOKUP(AH$19,Számítás!$B$19:$H$63,7,FALSE)))+(Adatok!$C$13^3*Adatok!$C$20^3*Adatok!$I25^3*Adatok!$J25)/(384*(VLOOKUP(AH$19,Számítás!$B$19:$H$63,7,FALSE))^3))*100,$B$19)</f>
        <v>-</v>
      </c>
      <c r="AI26" s="33" t="str">
        <f>IF(AND($I$19+AH$17*Adatok!$F$11&gt;Adatok!$F$10-0.01,Adatok!$C$16+$B26&lt;Adatok!$C$17+1),((Adatok!$C$13*Adatok!$C$20*Adatok!$I25*Adatok!$J25)/(8*(VLOOKUP(AI$19,Számítás!$B$19:$H$63,7,FALSE)))+(Adatok!$C$13^3*Adatok!$C$20^3*Adatok!$I25^3*Adatok!$J25)/(384*(VLOOKUP(AI$19,Számítás!$B$19:$H$63,7,FALSE))^3))*100,$B$19)</f>
        <v>-</v>
      </c>
      <c r="AJ26" s="33" t="str">
        <f>IF(AND($I$19+AI$17*Adatok!$F$11&gt;Adatok!$F$10-0.01,Adatok!$C$16+$B26&lt;Adatok!$C$17+1),((Adatok!$C$13*Adatok!$C$20*Adatok!$I25*Adatok!$J25)/(8*(VLOOKUP(AJ$19,Számítás!$B$19:$H$63,7,FALSE)))+(Adatok!$C$13^3*Adatok!$C$20^3*Adatok!$I25^3*Adatok!$J25)/(384*(VLOOKUP(AJ$19,Számítás!$B$19:$H$63,7,FALSE))^3))*100,$B$19)</f>
        <v>-</v>
      </c>
      <c r="AK26" s="33" t="str">
        <f>IF(AND($I$19+AJ$17*Adatok!$F$11&gt;Adatok!$F$10-0.01,Adatok!$C$16+$B26&lt;Adatok!$C$17+1),((Adatok!$C$13*Adatok!$C$20*Adatok!$I25*Adatok!$J25)/(8*(VLOOKUP(AK$19,Számítás!$B$19:$H$63,7,FALSE)))+(Adatok!$C$13^3*Adatok!$C$20^3*Adatok!$I25^3*Adatok!$J25)/(384*(VLOOKUP(AK$19,Számítás!$B$19:$H$63,7,FALSE))^3))*100,$B$19)</f>
        <v>-</v>
      </c>
      <c r="AL26" s="33" t="str">
        <f>IF(AND($I$19+AK$17*Adatok!$F$11&gt;Adatok!$F$10-0.01,Adatok!$C$16+$B26&lt;Adatok!$C$17+1),((Adatok!$C$13*Adatok!$C$20*Adatok!$I25*Adatok!$J25)/(8*(VLOOKUP(AL$19,Számítás!$B$19:$H$63,7,FALSE)))+(Adatok!$C$13^3*Adatok!$C$20^3*Adatok!$I25^3*Adatok!$J25)/(384*(VLOOKUP(AL$19,Számítás!$B$19:$H$63,7,FALSE))^3))*100,$B$19)</f>
        <v>-</v>
      </c>
      <c r="AM26" s="33" t="str">
        <f>IF(AND($I$19+AL$17*Adatok!$F$11&gt;Adatok!$F$10-0.01,Adatok!$C$16+$B26&lt;Adatok!$C$17+1),((Adatok!$C$13*Adatok!$C$20*Adatok!$I25*Adatok!$J25)/(8*(VLOOKUP(AM$19,Számítás!$B$19:$H$63,7,FALSE)))+(Adatok!$C$13^3*Adatok!$C$20^3*Adatok!$I25^3*Adatok!$J25)/(384*(VLOOKUP(AM$19,Számítás!$B$19:$H$63,7,FALSE))^3))*100,$B$19)</f>
        <v>-</v>
      </c>
      <c r="AN26" s="33" t="str">
        <f>IF(AND($I$19+AM$17*Adatok!$F$11&gt;Adatok!$F$10-0.01,Adatok!$C$16+$B26&lt;Adatok!$C$17+1),((Adatok!$C$13*Adatok!$C$20*Adatok!$I25*Adatok!$J25)/(8*(VLOOKUP(AN$19,Számítás!$B$19:$H$63,7,FALSE)))+(Adatok!$C$13^3*Adatok!$C$20^3*Adatok!$I25^3*Adatok!$J25)/(384*(VLOOKUP(AN$19,Számítás!$B$19:$H$63,7,FALSE))^3))*100,$B$19)</f>
        <v>-</v>
      </c>
      <c r="AO26" s="33" t="str">
        <f>IF(AND($I$19+AN$17*Adatok!$F$11&gt;Adatok!$F$10-0.01,Adatok!$C$16+$B26&lt;Adatok!$C$17+1),((Adatok!$C$13*Adatok!$C$20*Adatok!$I25*Adatok!$J25)/(8*(VLOOKUP(AO$19,Számítás!$B$19:$H$63,7,FALSE)))+(Adatok!$C$13^3*Adatok!$C$20^3*Adatok!$I25^3*Adatok!$J25)/(384*(VLOOKUP(AO$19,Számítás!$B$19:$H$63,7,FALSE))^3))*100,$B$19)</f>
        <v>-</v>
      </c>
      <c r="AP26" s="33" t="str">
        <f>IF(AND($I$19+AO$17*Adatok!$F$11&gt;Adatok!$F$10-0.01,Adatok!$C$16+$B26&lt;Adatok!$C$17+1),((Adatok!$C$13*Adatok!$C$20*Adatok!$I25*Adatok!$J25)/(8*(VLOOKUP(AP$19,Számítás!$B$19:$H$63,7,FALSE)))+(Adatok!$C$13^3*Adatok!$C$20^3*Adatok!$I25^3*Adatok!$J25)/(384*(VLOOKUP(AP$19,Számítás!$B$19:$H$63,7,FALSE))^3))*100,$B$19)</f>
        <v>-</v>
      </c>
      <c r="AQ26" s="33" t="str">
        <f>IF(AND($I$19+AP$17*Adatok!$F$11&gt;Adatok!$F$10-0.01,Adatok!$C$16+$B26&lt;Adatok!$C$17+1),((Adatok!$C$13*Adatok!$C$20*Adatok!$I25*Adatok!$J25)/(8*(VLOOKUP(AQ$19,Számítás!$B$19:$H$63,7,FALSE)))+(Adatok!$C$13^3*Adatok!$C$20^3*Adatok!$I25^3*Adatok!$J25)/(384*(VLOOKUP(AQ$19,Számítás!$B$19:$H$63,7,FALSE))^3))*100,$B$19)</f>
        <v>-</v>
      </c>
      <c r="AR26" s="33" t="str">
        <f>IF(AND($I$19+AQ$17*Adatok!$F$11&gt;Adatok!$F$10-0.01,Adatok!$C$16+$B26&lt;Adatok!$C$17+1),((Adatok!$C$13*Adatok!$C$20*Adatok!$I25*Adatok!$J25)/(8*(VLOOKUP(AR$19,Számítás!$B$19:$H$63,7,FALSE)))+(Adatok!$C$13^3*Adatok!$C$20^3*Adatok!$I25^3*Adatok!$J25)/(384*(VLOOKUP(AR$19,Számítás!$B$19:$H$63,7,FALSE))^3))*100,$B$19)</f>
        <v>-</v>
      </c>
      <c r="AS26" s="33" t="str">
        <f>IF(AND($I$19+AR$17*Adatok!$F$11&gt;Adatok!$F$10-0.01,Adatok!$C$16+$B26&lt;Adatok!$C$17+1),((Adatok!$C$13*Adatok!$C$20*Adatok!$I25*Adatok!$J25)/(8*(VLOOKUP(AS$19,Számítás!$B$19:$H$63,7,FALSE)))+(Adatok!$C$13^3*Adatok!$C$20^3*Adatok!$I25^3*Adatok!$J25)/(384*(VLOOKUP(AS$19,Számítás!$B$19:$H$63,7,FALSE))^3))*100,$B$19)</f>
        <v>-</v>
      </c>
      <c r="AT26" s="33" t="str">
        <f>IF(AND($I$19+AS$17*Adatok!$F$11&gt;Adatok!$F$10-0.01,Adatok!$C$16+$B26&lt;Adatok!$C$17+1),((Adatok!$C$13*Adatok!$C$20*Adatok!$I25*Adatok!$J25)/(8*(VLOOKUP(AT$19,Számítás!$B$19:$H$63,7,FALSE)))+(Adatok!$C$13^3*Adatok!$C$20^3*Adatok!$I25^3*Adatok!$J25)/(384*(VLOOKUP(AT$19,Számítás!$B$19:$H$63,7,FALSE))^3))*100,$B$19)</f>
        <v>-</v>
      </c>
      <c r="AU26" s="33" t="str">
        <f>IF(AND($I$19+AT$17*Adatok!$F$11&gt;Adatok!$F$10-0.01,Adatok!$C$16+$B26&lt;Adatok!$C$17+1),((Adatok!$C$13*Adatok!$C$20*Adatok!$I25*Adatok!$J25)/(8*(VLOOKUP(AU$19,Számítás!$B$19:$H$63,7,FALSE)))+(Adatok!$C$13^3*Adatok!$C$20^3*Adatok!$I25^3*Adatok!$J25)/(384*(VLOOKUP(AU$19,Számítás!$B$19:$H$63,7,FALSE))^3))*100,$B$19)</f>
        <v>-</v>
      </c>
      <c r="AV26" s="33" t="str">
        <f>IF(AND($I$19+AU$17*Adatok!$F$11&gt;Adatok!$F$10-0.01,Adatok!$C$16+$B26&lt;Adatok!$C$17+1),((Adatok!$C$13*Adatok!$C$20*Adatok!$I25*Adatok!$J25)/(8*(VLOOKUP(AV$19,Számítás!$B$19:$H$63,7,FALSE)))+(Adatok!$C$13^3*Adatok!$C$20^3*Adatok!$I25^3*Adatok!$J25)/(384*(VLOOKUP(AV$19,Számítás!$B$19:$H$63,7,FALSE))^3))*100,$B$19)</f>
        <v>-</v>
      </c>
      <c r="AW26" s="33" t="str">
        <f>IF(AND($I$19+AV$17*Adatok!$F$11&gt;Adatok!$F$10-0.01,Adatok!$C$16+$B26&lt;Adatok!$C$17+1),((Adatok!$C$13*Adatok!$C$20*Adatok!$I25*Adatok!$J25)/(8*(VLOOKUP(AW$19,Számítás!$B$19:$H$63,7,FALSE)))+(Adatok!$C$13^3*Adatok!$C$20^3*Adatok!$I25^3*Adatok!$J25)/(384*(VLOOKUP(AW$19,Számítás!$B$19:$H$63,7,FALSE))^3))*100,$B$19)</f>
        <v>-</v>
      </c>
      <c r="AX26" s="33" t="str">
        <f>IF(AND($I$19+AW$17*Adatok!$F$11&gt;Adatok!$F$10-0.01,Adatok!$C$16+$B26&lt;Adatok!$C$17+1),((Adatok!$C$13*Adatok!$C$20*Adatok!$I25*Adatok!$J25)/(8*(VLOOKUP(AX$19,Számítás!$B$19:$H$63,7,FALSE)))+(Adatok!$C$13^3*Adatok!$C$20^3*Adatok!$I25^3*Adatok!$J25)/(384*(VLOOKUP(AX$19,Számítás!$B$19:$H$63,7,FALSE))^3))*100,$B$19)</f>
        <v>-</v>
      </c>
      <c r="AY26" s="33" t="str">
        <f>IF(AND($I$19+AX$17*Adatok!$F$11&gt;Adatok!$F$10-0.01,Adatok!$C$16+$B26&lt;Adatok!$C$17+1),((Adatok!$C$13*Adatok!$C$20*Adatok!$I25*Adatok!$J25)/(8*(VLOOKUP(AY$19,Számítás!$B$19:$H$63,7,FALSE)))+(Adatok!$C$13^3*Adatok!$C$20^3*Adatok!$I25^3*Adatok!$J25)/(384*(VLOOKUP(AY$19,Számítás!$B$19:$H$63,7,FALSE))^3))*100,$B$19)</f>
        <v>-</v>
      </c>
      <c r="AZ26" s="33" t="str">
        <f>IF(AND($I$19+AY$17*Adatok!$F$11&gt;Adatok!$F$10-0.01,Adatok!$C$16+$B26&lt;Adatok!$C$17+1),((Adatok!$C$13*Adatok!$C$20*Adatok!$I25*Adatok!$J25)/(8*(VLOOKUP(AZ$19,Számítás!$B$19:$H$63,7,FALSE)))+(Adatok!$C$13^3*Adatok!$C$20^3*Adatok!$I25^3*Adatok!$J25)/(384*(VLOOKUP(AZ$19,Számítás!$B$19:$H$63,7,FALSE))^3))*100,$B$19)</f>
        <v>-</v>
      </c>
      <c r="BA26" s="33" t="str">
        <f>IF(AND($I$19+AZ$17*Adatok!$F$11&gt;Adatok!$F$10-0.01,Adatok!$C$16+$B26&lt;Adatok!$C$17+1),((Adatok!$C$13*Adatok!$C$20*Adatok!$I25*Adatok!$J25)/(8*(VLOOKUP(BA$19,Számítás!$B$19:$H$63,7,FALSE)))+(Adatok!$C$13^3*Adatok!$C$20^3*Adatok!$I25^3*Adatok!$J25)/(384*(VLOOKUP(BA$19,Számítás!$B$19:$H$63,7,FALSE))^3))*100,$B$19)</f>
        <v>-</v>
      </c>
    </row>
    <row r="27" spans="1:53" ht="18" customHeight="1" x14ac:dyDescent="0.25">
      <c r="B27" s="1">
        <v>8</v>
      </c>
      <c r="C27" s="333">
        <f>Adatok!F26</f>
        <v>22</v>
      </c>
      <c r="D27" s="32" t="s">
        <v>27</v>
      </c>
      <c r="E27" s="336">
        <f>Adatok!H26</f>
        <v>23</v>
      </c>
      <c r="F27" s="64">
        <f>IF(Adatok!$C$16+B27&gt;Adatok!$C$17,$B$19,Adatok!I26)</f>
        <v>208.73</v>
      </c>
      <c r="G27" s="60"/>
      <c r="H27" s="72">
        <f>IF(Adatok!$C$16+B27&gt;Adatok!$C$17,$B$19,Adatok!J26/Adatok!I26)</f>
        <v>1</v>
      </c>
      <c r="I27" s="81">
        <f>IF(Adatok!$C$16+$B27&lt;Adatok!$C$17+1,((((Adatok!$C$13*Adatok!$C$20*Adatok!$I26*Adatok!$J26)/(8*(VLOOKUP(I$19,Számítás!$B$19:$H$63,7,FALSE))))+((Adatok!$C$13^3*Adatok!$C$20^3*Adatok!$I26^3*Adatok!$J26)/(384*(VLOOKUP(I$19,Számítás!$B$19:$H$63,7,FALSE))^3)))*100),$B$19)</f>
        <v>5535.0124892110734</v>
      </c>
      <c r="J27" s="33">
        <f>IF(AND($I$19+I$17*Adatok!$F$11&gt;Adatok!$F$10-0.01,Adatok!$C$16+$B27&lt;Adatok!$C$17+1),((Adatok!$C$13*Adatok!$C$20*Adatok!$I26*Adatok!$J26)/(8*(VLOOKUP(J$19,Számítás!$B$19:$H$63,7,FALSE)))+(Adatok!$C$13^3*Adatok!$C$20^3*Adatok!$I26^3*Adatok!$J26)/(384*(VLOOKUP(J$19,Számítás!$B$19:$H$63,7,FALSE))^3))*100,$B$19)</f>
        <v>5533.1242495567221</v>
      </c>
      <c r="K27" s="33">
        <f>IF(AND($I$19+J$17*Adatok!$F$11&gt;Adatok!$F$10-0.01,Adatok!$C$16+$B27&lt;Adatok!$C$17+1),((Adatok!$C$13*Adatok!$C$20*Adatok!$I26*Adatok!$J26)/(8*(VLOOKUP(K$19,Számítás!$B$19:$H$63,7,FALSE)))+(Adatok!$C$13^3*Adatok!$C$20^3*Adatok!$I26^3*Adatok!$J26)/(384*(VLOOKUP(K$19,Számítás!$B$19:$H$63,7,FALSE))^3))*100,$B$19)</f>
        <v>5531.2356669467308</v>
      </c>
      <c r="L27" s="33">
        <f>IF(AND($I$19+K$17*Adatok!$F$11&gt;Adatok!$F$10-0.01,Adatok!$C$16+$B27&lt;Adatok!$C$17+1),((Adatok!$C$13*Adatok!$C$20*Adatok!$I26*Adatok!$J26)/(8*(VLOOKUP(L$19,Számítás!$B$19:$H$63,7,FALSE)))+(Adatok!$C$13^3*Adatok!$C$20^3*Adatok!$I26^3*Adatok!$J26)/(384*(VLOOKUP(L$19,Számítás!$B$19:$H$63,7,FALSE))^3))*100,$B$19)</f>
        <v>5529.3467415107752</v>
      </c>
      <c r="M27" s="33">
        <f>IF(AND($I$19+L$17*Adatok!$F$11&gt;Adatok!$F$10-0.01,Adatok!$C$16+$B27&lt;Adatok!$C$17+1),((Adatok!$C$13*Adatok!$C$20*Adatok!$I26*Adatok!$J26)/(8*(VLOOKUP(M$19,Számítás!$B$19:$H$63,7,FALSE)))+(Adatok!$C$13^3*Adatok!$C$20^3*Adatok!$I26^3*Adatok!$J26)/(384*(VLOOKUP(M$19,Számítás!$B$19:$H$63,7,FALSE))^3))*100,$B$19)</f>
        <v>5527.457472729574</v>
      </c>
      <c r="N27" s="33">
        <f>IF(AND($I$19+M$17*Adatok!$F$11&gt;Adatok!$F$10-0.01,Adatok!$C$16+$B27&lt;Adatok!$C$17+1),((Adatok!$C$13*Adatok!$C$20*Adatok!$I26*Adatok!$J26)/(8*(VLOOKUP(N$19,Számítás!$B$19:$H$63,7,FALSE)))+(Adatok!$C$13^3*Adatok!$C$20^3*Adatok!$I26^3*Adatok!$J26)/(384*(VLOOKUP(N$19,Számítás!$B$19:$H$63,7,FALSE))^3))*100,$B$19)</f>
        <v>5525.5678591908727</v>
      </c>
      <c r="O27" s="33">
        <f>IF(AND($I$19+N$17*Adatok!$F$11&gt;Adatok!$F$10-0.01,Adatok!$C$16+$B27&lt;Adatok!$C$17+1),((Adatok!$C$13*Adatok!$C$20*Adatok!$I26*Adatok!$J26)/(8*(VLOOKUP(O$19,Számítás!$B$19:$H$63,7,FALSE)))+(Adatok!$C$13^3*Adatok!$C$20^3*Adatok!$I26^3*Adatok!$J26)/(384*(VLOOKUP(O$19,Számítás!$B$19:$H$63,7,FALSE))^3))*100,$B$19)</f>
        <v>5523.6779017155941</v>
      </c>
      <c r="P27" s="33">
        <f>IF(AND($I$19+O$17*Adatok!$F$11&gt;Adatok!$F$10-0.01,Adatok!$C$16+$B27&lt;Adatok!$C$17+1),((Adatok!$C$13*Adatok!$C$20*Adatok!$I26*Adatok!$J26)/(8*(VLOOKUP(P$19,Számítás!$B$19:$H$63,7,FALSE)))+(Adatok!$C$13^3*Adatok!$C$20^3*Adatok!$I26^3*Adatok!$J26)/(384*(VLOOKUP(P$19,Számítás!$B$19:$H$63,7,FALSE))^3))*100,$B$19)</f>
        <v>5521.7875989159465</v>
      </c>
      <c r="Q27" s="33">
        <f>IF(AND($I$19+P$17*Adatok!$F$11&gt;Adatok!$F$10-0.01,Adatok!$C$16+$B27&lt;Adatok!$C$17+1),((Adatok!$C$13*Adatok!$C$20*Adatok!$I26*Adatok!$J26)/(8*(VLOOKUP(Q$19,Számítás!$B$19:$H$63,7,FALSE)))+(Adatok!$C$13^3*Adatok!$C$20^3*Adatok!$I26^3*Adatok!$J26)/(384*(VLOOKUP(Q$19,Számítás!$B$19:$H$63,7,FALSE))^3))*100,$B$19)</f>
        <v>5519.8969508577775</v>
      </c>
      <c r="R27" s="33">
        <f>IF(AND($I$19+Q$17*Adatok!$F$11&gt;Adatok!$F$10-0.01,Adatok!$C$16+$B27&lt;Adatok!$C$17+1),((Adatok!$C$13*Adatok!$C$20*Adatok!$I26*Adatok!$J26)/(8*(VLOOKUP(R$19,Számítás!$B$19:$H$63,7,FALSE)))+(Adatok!$C$13^3*Adatok!$C$20^3*Adatok!$I26^3*Adatok!$J26)/(384*(VLOOKUP(R$19,Számítás!$B$19:$H$63,7,FALSE))^3))*100,$B$19)</f>
        <v>5518.0059572248038</v>
      </c>
      <c r="S27" s="33">
        <f>IF(AND($I$19+R$17*Adatok!$F$11&gt;Adatok!$F$10-0.01,Adatok!$C$16+$B27&lt;Adatok!$C$17+1),((Adatok!$C$13*Adatok!$C$20*Adatok!$I26*Adatok!$J26)/(8*(VLOOKUP(S$19,Számítás!$B$19:$H$63,7,FALSE)))+(Adatok!$C$13^3*Adatok!$C$20^3*Adatok!$I26^3*Adatok!$J26)/(384*(VLOOKUP(S$19,Számítás!$B$19:$H$63,7,FALSE))^3))*100,$B$19)</f>
        <v>5516.1146181014174</v>
      </c>
      <c r="T27" s="33" t="str">
        <f>IF(AND($I$19+S$17*Adatok!$F$11&gt;Adatok!$F$10-0.01,Adatok!$C$16+$B27&lt;Adatok!$C$17+1),((Adatok!$C$13*Adatok!$C$20*Adatok!$I26*Adatok!$J26)/(8*(VLOOKUP(T$19,Számítás!$B$19:$H$63,7,FALSE)))+(Adatok!$C$13^3*Adatok!$C$20^3*Adatok!$I26^3*Adatok!$J26)/(384*(VLOOKUP(T$19,Számítás!$B$19:$H$63,7,FALSE))^3))*100,$B$19)</f>
        <v>-</v>
      </c>
      <c r="U27" s="33" t="str">
        <f>IF(AND($I$19+T$17*Adatok!$F$11&gt;Adatok!$F$10-0.01,Adatok!$C$16+$B27&lt;Adatok!$C$17+1),((Adatok!$C$13*Adatok!$C$20*Adatok!$I26*Adatok!$J26)/(8*(VLOOKUP(U$19,Számítás!$B$19:$H$63,7,FALSE)))+(Adatok!$C$13^3*Adatok!$C$20^3*Adatok!$I26^3*Adatok!$J26)/(384*(VLOOKUP(U$19,Számítás!$B$19:$H$63,7,FALSE))^3))*100,$B$19)</f>
        <v>-</v>
      </c>
      <c r="V27" s="33" t="str">
        <f>IF(AND($I$19+U$17*Adatok!$F$11&gt;Adatok!$F$10-0.01,Adatok!$C$16+$B27&lt;Adatok!$C$17+1),((Adatok!$C$13*Adatok!$C$20*Adatok!$I26*Adatok!$J26)/(8*(VLOOKUP(V$19,Számítás!$B$19:$H$63,7,FALSE)))+(Adatok!$C$13^3*Adatok!$C$20^3*Adatok!$I26^3*Adatok!$J26)/(384*(VLOOKUP(V$19,Számítás!$B$19:$H$63,7,FALSE))^3))*100,$B$19)</f>
        <v>-</v>
      </c>
      <c r="W27" s="33" t="str">
        <f>IF(AND($I$19+V$17*Adatok!$F$11&gt;Adatok!$F$10-0.01,Adatok!$C$16+$B27&lt;Adatok!$C$17+1),((Adatok!$C$13*Adatok!$C$20*Adatok!$I26*Adatok!$J26)/(8*(VLOOKUP(W$19,Számítás!$B$19:$H$63,7,FALSE)))+(Adatok!$C$13^3*Adatok!$C$20^3*Adatok!$I26^3*Adatok!$J26)/(384*(VLOOKUP(W$19,Számítás!$B$19:$H$63,7,FALSE))^3))*100,$B$19)</f>
        <v>-</v>
      </c>
      <c r="X27" s="33" t="str">
        <f>IF(AND($I$19+W$17*Adatok!$F$11&gt;Adatok!$F$10-0.01,Adatok!$C$16+$B27&lt;Adatok!$C$17+1),((Adatok!$C$13*Adatok!$C$20*Adatok!$I26*Adatok!$J26)/(8*(VLOOKUP(X$19,Számítás!$B$19:$H$63,7,FALSE)))+(Adatok!$C$13^3*Adatok!$C$20^3*Adatok!$I26^3*Adatok!$J26)/(384*(VLOOKUP(X$19,Számítás!$B$19:$H$63,7,FALSE))^3))*100,$B$19)</f>
        <v>-</v>
      </c>
      <c r="Y27" s="33" t="str">
        <f>IF(AND($I$19+X$17*Adatok!$F$11&gt;Adatok!$F$10-0.01,Adatok!$C$16+$B27&lt;Adatok!$C$17+1),((Adatok!$C$13*Adatok!$C$20*Adatok!$I26*Adatok!$J26)/(8*(VLOOKUP(Y$19,Számítás!$B$19:$H$63,7,FALSE)))+(Adatok!$C$13^3*Adatok!$C$20^3*Adatok!$I26^3*Adatok!$J26)/(384*(VLOOKUP(Y$19,Számítás!$B$19:$H$63,7,FALSE))^3))*100,$B$19)</f>
        <v>-</v>
      </c>
      <c r="Z27" s="33" t="str">
        <f>IF(AND($I$19+Y$17*Adatok!$F$11&gt;Adatok!$F$10-0.01,Adatok!$C$16+$B27&lt;Adatok!$C$17+1),((Adatok!$C$13*Adatok!$C$20*Adatok!$I26*Adatok!$J26)/(8*(VLOOKUP(Z$19,Számítás!$B$19:$H$63,7,FALSE)))+(Adatok!$C$13^3*Adatok!$C$20^3*Adatok!$I26^3*Adatok!$J26)/(384*(VLOOKUP(Z$19,Számítás!$B$19:$H$63,7,FALSE))^3))*100,$B$19)</f>
        <v>-</v>
      </c>
      <c r="AA27" s="33" t="str">
        <f>IF(AND($I$19+Z$17*Adatok!$F$11&gt;Adatok!$F$10-0.01,Adatok!$C$16+$B27&lt;Adatok!$C$17+1),((Adatok!$C$13*Adatok!$C$20*Adatok!$I26*Adatok!$J26)/(8*(VLOOKUP(AA$19,Számítás!$B$19:$H$63,7,FALSE)))+(Adatok!$C$13^3*Adatok!$C$20^3*Adatok!$I26^3*Adatok!$J26)/(384*(VLOOKUP(AA$19,Számítás!$B$19:$H$63,7,FALSE))^3))*100,$B$19)</f>
        <v>-</v>
      </c>
      <c r="AB27" s="33" t="str">
        <f>IF(AND($I$19+AA$17*Adatok!$F$11&gt;Adatok!$F$10-0.01,Adatok!$C$16+$B27&lt;Adatok!$C$17+1),((Adatok!$C$13*Adatok!$C$20*Adatok!$I26*Adatok!$J26)/(8*(VLOOKUP(AB$19,Számítás!$B$19:$H$63,7,FALSE)))+(Adatok!$C$13^3*Adatok!$C$20^3*Adatok!$I26^3*Adatok!$J26)/(384*(VLOOKUP(AB$19,Számítás!$B$19:$H$63,7,FALSE))^3))*100,$B$19)</f>
        <v>-</v>
      </c>
      <c r="AC27" s="33" t="str">
        <f>IF(AND($I$19+AB$17*Adatok!$F$11&gt;Adatok!$F$10-0.01,Adatok!$C$16+$B27&lt;Adatok!$C$17+1),((Adatok!$C$13*Adatok!$C$20*Adatok!$I26*Adatok!$J26)/(8*(VLOOKUP(AC$19,Számítás!$B$19:$H$63,7,FALSE)))+(Adatok!$C$13^3*Adatok!$C$20^3*Adatok!$I26^3*Adatok!$J26)/(384*(VLOOKUP(AC$19,Számítás!$B$19:$H$63,7,FALSE))^3))*100,$B$19)</f>
        <v>-</v>
      </c>
      <c r="AD27" s="33" t="str">
        <f>IF(AND($I$19+AC$17*Adatok!$F$11&gt;Adatok!$F$10-0.01,Adatok!$C$16+$B27&lt;Adatok!$C$17+1),((Adatok!$C$13*Adatok!$C$20*Adatok!$I26*Adatok!$J26)/(8*(VLOOKUP(AD$19,Számítás!$B$19:$H$63,7,FALSE)))+(Adatok!$C$13^3*Adatok!$C$20^3*Adatok!$I26^3*Adatok!$J26)/(384*(VLOOKUP(AD$19,Számítás!$B$19:$H$63,7,FALSE))^3))*100,$B$19)</f>
        <v>-</v>
      </c>
      <c r="AE27" s="33" t="str">
        <f>IF(AND($I$19+AD$17*Adatok!$F$11&gt;Adatok!$F$10-0.01,Adatok!$C$16+$B27&lt;Adatok!$C$17+1),((Adatok!$C$13*Adatok!$C$20*Adatok!$I26*Adatok!$J26)/(8*(VLOOKUP(AE$19,Számítás!$B$19:$H$63,7,FALSE)))+(Adatok!$C$13^3*Adatok!$C$20^3*Adatok!$I26^3*Adatok!$J26)/(384*(VLOOKUP(AE$19,Számítás!$B$19:$H$63,7,FALSE))^3))*100,$B$19)</f>
        <v>-</v>
      </c>
      <c r="AF27" s="33" t="str">
        <f>IF(AND($I$19+AE$17*Adatok!$F$11&gt;Adatok!$F$10-0.01,Adatok!$C$16+$B27&lt;Adatok!$C$17+1),((Adatok!$C$13*Adatok!$C$20*Adatok!$I26*Adatok!$J26)/(8*(VLOOKUP(AF$19,Számítás!$B$19:$H$63,7,FALSE)))+(Adatok!$C$13^3*Adatok!$C$20^3*Adatok!$I26^3*Adatok!$J26)/(384*(VLOOKUP(AF$19,Számítás!$B$19:$H$63,7,FALSE))^3))*100,$B$19)</f>
        <v>-</v>
      </c>
      <c r="AG27" s="33" t="str">
        <f>IF(AND($I$19+AF$17*Adatok!$F$11&gt;Adatok!$F$10-0.01,Adatok!$C$16+$B27&lt;Adatok!$C$17+1),((Adatok!$C$13*Adatok!$C$20*Adatok!$I26*Adatok!$J26)/(8*(VLOOKUP(AG$19,Számítás!$B$19:$H$63,7,FALSE)))+(Adatok!$C$13^3*Adatok!$C$20^3*Adatok!$I26^3*Adatok!$J26)/(384*(VLOOKUP(AG$19,Számítás!$B$19:$H$63,7,FALSE))^3))*100,$B$19)</f>
        <v>-</v>
      </c>
      <c r="AH27" s="33" t="str">
        <f>IF(AND($I$19+AG$17*Adatok!$F$11&gt;Adatok!$F$10-0.01,Adatok!$C$16+$B27&lt;Adatok!$C$17+1),((Adatok!$C$13*Adatok!$C$20*Adatok!$I26*Adatok!$J26)/(8*(VLOOKUP(AH$19,Számítás!$B$19:$H$63,7,FALSE)))+(Adatok!$C$13^3*Adatok!$C$20^3*Adatok!$I26^3*Adatok!$J26)/(384*(VLOOKUP(AH$19,Számítás!$B$19:$H$63,7,FALSE))^3))*100,$B$19)</f>
        <v>-</v>
      </c>
      <c r="AI27" s="33" t="str">
        <f>IF(AND($I$19+AH$17*Adatok!$F$11&gt;Adatok!$F$10-0.01,Adatok!$C$16+$B27&lt;Adatok!$C$17+1),((Adatok!$C$13*Adatok!$C$20*Adatok!$I26*Adatok!$J26)/(8*(VLOOKUP(AI$19,Számítás!$B$19:$H$63,7,FALSE)))+(Adatok!$C$13^3*Adatok!$C$20^3*Adatok!$I26^3*Adatok!$J26)/(384*(VLOOKUP(AI$19,Számítás!$B$19:$H$63,7,FALSE))^3))*100,$B$19)</f>
        <v>-</v>
      </c>
      <c r="AJ27" s="33" t="str">
        <f>IF(AND($I$19+AI$17*Adatok!$F$11&gt;Adatok!$F$10-0.01,Adatok!$C$16+$B27&lt;Adatok!$C$17+1),((Adatok!$C$13*Adatok!$C$20*Adatok!$I26*Adatok!$J26)/(8*(VLOOKUP(AJ$19,Számítás!$B$19:$H$63,7,FALSE)))+(Adatok!$C$13^3*Adatok!$C$20^3*Adatok!$I26^3*Adatok!$J26)/(384*(VLOOKUP(AJ$19,Számítás!$B$19:$H$63,7,FALSE))^3))*100,$B$19)</f>
        <v>-</v>
      </c>
      <c r="AK27" s="33" t="str">
        <f>IF(AND($I$19+AJ$17*Adatok!$F$11&gt;Adatok!$F$10-0.01,Adatok!$C$16+$B27&lt;Adatok!$C$17+1),((Adatok!$C$13*Adatok!$C$20*Adatok!$I26*Adatok!$J26)/(8*(VLOOKUP(AK$19,Számítás!$B$19:$H$63,7,FALSE)))+(Adatok!$C$13^3*Adatok!$C$20^3*Adatok!$I26^3*Adatok!$J26)/(384*(VLOOKUP(AK$19,Számítás!$B$19:$H$63,7,FALSE))^3))*100,$B$19)</f>
        <v>-</v>
      </c>
      <c r="AL27" s="33" t="str">
        <f>IF(AND($I$19+AK$17*Adatok!$F$11&gt;Adatok!$F$10-0.01,Adatok!$C$16+$B27&lt;Adatok!$C$17+1),((Adatok!$C$13*Adatok!$C$20*Adatok!$I26*Adatok!$J26)/(8*(VLOOKUP(AL$19,Számítás!$B$19:$H$63,7,FALSE)))+(Adatok!$C$13^3*Adatok!$C$20^3*Adatok!$I26^3*Adatok!$J26)/(384*(VLOOKUP(AL$19,Számítás!$B$19:$H$63,7,FALSE))^3))*100,$B$19)</f>
        <v>-</v>
      </c>
      <c r="AM27" s="33" t="str">
        <f>IF(AND($I$19+AL$17*Adatok!$F$11&gt;Adatok!$F$10-0.01,Adatok!$C$16+$B27&lt;Adatok!$C$17+1),((Adatok!$C$13*Adatok!$C$20*Adatok!$I26*Adatok!$J26)/(8*(VLOOKUP(AM$19,Számítás!$B$19:$H$63,7,FALSE)))+(Adatok!$C$13^3*Adatok!$C$20^3*Adatok!$I26^3*Adatok!$J26)/(384*(VLOOKUP(AM$19,Számítás!$B$19:$H$63,7,FALSE))^3))*100,$B$19)</f>
        <v>-</v>
      </c>
      <c r="AN27" s="33" t="str">
        <f>IF(AND($I$19+AM$17*Adatok!$F$11&gt;Adatok!$F$10-0.01,Adatok!$C$16+$B27&lt;Adatok!$C$17+1),((Adatok!$C$13*Adatok!$C$20*Adatok!$I26*Adatok!$J26)/(8*(VLOOKUP(AN$19,Számítás!$B$19:$H$63,7,FALSE)))+(Adatok!$C$13^3*Adatok!$C$20^3*Adatok!$I26^3*Adatok!$J26)/(384*(VLOOKUP(AN$19,Számítás!$B$19:$H$63,7,FALSE))^3))*100,$B$19)</f>
        <v>-</v>
      </c>
      <c r="AO27" s="33" t="str">
        <f>IF(AND($I$19+AN$17*Adatok!$F$11&gt;Adatok!$F$10-0.01,Adatok!$C$16+$B27&lt;Adatok!$C$17+1),((Adatok!$C$13*Adatok!$C$20*Adatok!$I26*Adatok!$J26)/(8*(VLOOKUP(AO$19,Számítás!$B$19:$H$63,7,FALSE)))+(Adatok!$C$13^3*Adatok!$C$20^3*Adatok!$I26^3*Adatok!$J26)/(384*(VLOOKUP(AO$19,Számítás!$B$19:$H$63,7,FALSE))^3))*100,$B$19)</f>
        <v>-</v>
      </c>
      <c r="AP27" s="33" t="str">
        <f>IF(AND($I$19+AO$17*Adatok!$F$11&gt;Adatok!$F$10-0.01,Adatok!$C$16+$B27&lt;Adatok!$C$17+1),((Adatok!$C$13*Adatok!$C$20*Adatok!$I26*Adatok!$J26)/(8*(VLOOKUP(AP$19,Számítás!$B$19:$H$63,7,FALSE)))+(Adatok!$C$13^3*Adatok!$C$20^3*Adatok!$I26^3*Adatok!$J26)/(384*(VLOOKUP(AP$19,Számítás!$B$19:$H$63,7,FALSE))^3))*100,$B$19)</f>
        <v>-</v>
      </c>
      <c r="AQ27" s="33" t="str">
        <f>IF(AND($I$19+AP$17*Adatok!$F$11&gt;Adatok!$F$10-0.01,Adatok!$C$16+$B27&lt;Adatok!$C$17+1),((Adatok!$C$13*Adatok!$C$20*Adatok!$I26*Adatok!$J26)/(8*(VLOOKUP(AQ$19,Számítás!$B$19:$H$63,7,FALSE)))+(Adatok!$C$13^3*Adatok!$C$20^3*Adatok!$I26^3*Adatok!$J26)/(384*(VLOOKUP(AQ$19,Számítás!$B$19:$H$63,7,FALSE))^3))*100,$B$19)</f>
        <v>-</v>
      </c>
      <c r="AR27" s="33" t="str">
        <f>IF(AND($I$19+AQ$17*Adatok!$F$11&gt;Adatok!$F$10-0.01,Adatok!$C$16+$B27&lt;Adatok!$C$17+1),((Adatok!$C$13*Adatok!$C$20*Adatok!$I26*Adatok!$J26)/(8*(VLOOKUP(AR$19,Számítás!$B$19:$H$63,7,FALSE)))+(Adatok!$C$13^3*Adatok!$C$20^3*Adatok!$I26^3*Adatok!$J26)/(384*(VLOOKUP(AR$19,Számítás!$B$19:$H$63,7,FALSE))^3))*100,$B$19)</f>
        <v>-</v>
      </c>
      <c r="AS27" s="33" t="str">
        <f>IF(AND($I$19+AR$17*Adatok!$F$11&gt;Adatok!$F$10-0.01,Adatok!$C$16+$B27&lt;Adatok!$C$17+1),((Adatok!$C$13*Adatok!$C$20*Adatok!$I26*Adatok!$J26)/(8*(VLOOKUP(AS$19,Számítás!$B$19:$H$63,7,FALSE)))+(Adatok!$C$13^3*Adatok!$C$20^3*Adatok!$I26^3*Adatok!$J26)/(384*(VLOOKUP(AS$19,Számítás!$B$19:$H$63,7,FALSE))^3))*100,$B$19)</f>
        <v>-</v>
      </c>
      <c r="AT27" s="33" t="str">
        <f>IF(AND($I$19+AS$17*Adatok!$F$11&gt;Adatok!$F$10-0.01,Adatok!$C$16+$B27&lt;Adatok!$C$17+1),((Adatok!$C$13*Adatok!$C$20*Adatok!$I26*Adatok!$J26)/(8*(VLOOKUP(AT$19,Számítás!$B$19:$H$63,7,FALSE)))+(Adatok!$C$13^3*Adatok!$C$20^3*Adatok!$I26^3*Adatok!$J26)/(384*(VLOOKUP(AT$19,Számítás!$B$19:$H$63,7,FALSE))^3))*100,$B$19)</f>
        <v>-</v>
      </c>
      <c r="AU27" s="33" t="str">
        <f>IF(AND($I$19+AT$17*Adatok!$F$11&gt;Adatok!$F$10-0.01,Adatok!$C$16+$B27&lt;Adatok!$C$17+1),((Adatok!$C$13*Adatok!$C$20*Adatok!$I26*Adatok!$J26)/(8*(VLOOKUP(AU$19,Számítás!$B$19:$H$63,7,FALSE)))+(Adatok!$C$13^3*Adatok!$C$20^3*Adatok!$I26^3*Adatok!$J26)/(384*(VLOOKUP(AU$19,Számítás!$B$19:$H$63,7,FALSE))^3))*100,$B$19)</f>
        <v>-</v>
      </c>
      <c r="AV27" s="33" t="str">
        <f>IF(AND($I$19+AU$17*Adatok!$F$11&gt;Adatok!$F$10-0.01,Adatok!$C$16+$B27&lt;Adatok!$C$17+1),((Adatok!$C$13*Adatok!$C$20*Adatok!$I26*Adatok!$J26)/(8*(VLOOKUP(AV$19,Számítás!$B$19:$H$63,7,FALSE)))+(Adatok!$C$13^3*Adatok!$C$20^3*Adatok!$I26^3*Adatok!$J26)/(384*(VLOOKUP(AV$19,Számítás!$B$19:$H$63,7,FALSE))^3))*100,$B$19)</f>
        <v>-</v>
      </c>
      <c r="AW27" s="33" t="str">
        <f>IF(AND($I$19+AV$17*Adatok!$F$11&gt;Adatok!$F$10-0.01,Adatok!$C$16+$B27&lt;Adatok!$C$17+1),((Adatok!$C$13*Adatok!$C$20*Adatok!$I26*Adatok!$J26)/(8*(VLOOKUP(AW$19,Számítás!$B$19:$H$63,7,FALSE)))+(Adatok!$C$13^3*Adatok!$C$20^3*Adatok!$I26^3*Adatok!$J26)/(384*(VLOOKUP(AW$19,Számítás!$B$19:$H$63,7,FALSE))^3))*100,$B$19)</f>
        <v>-</v>
      </c>
      <c r="AX27" s="33" t="str">
        <f>IF(AND($I$19+AW$17*Adatok!$F$11&gt;Adatok!$F$10-0.01,Adatok!$C$16+$B27&lt;Adatok!$C$17+1),((Adatok!$C$13*Adatok!$C$20*Adatok!$I26*Adatok!$J26)/(8*(VLOOKUP(AX$19,Számítás!$B$19:$H$63,7,FALSE)))+(Adatok!$C$13^3*Adatok!$C$20^3*Adatok!$I26^3*Adatok!$J26)/(384*(VLOOKUP(AX$19,Számítás!$B$19:$H$63,7,FALSE))^3))*100,$B$19)</f>
        <v>-</v>
      </c>
      <c r="AY27" s="33" t="str">
        <f>IF(AND($I$19+AX$17*Adatok!$F$11&gt;Adatok!$F$10-0.01,Adatok!$C$16+$B27&lt;Adatok!$C$17+1),((Adatok!$C$13*Adatok!$C$20*Adatok!$I26*Adatok!$J26)/(8*(VLOOKUP(AY$19,Számítás!$B$19:$H$63,7,FALSE)))+(Adatok!$C$13^3*Adatok!$C$20^3*Adatok!$I26^3*Adatok!$J26)/(384*(VLOOKUP(AY$19,Számítás!$B$19:$H$63,7,FALSE))^3))*100,$B$19)</f>
        <v>-</v>
      </c>
      <c r="AZ27" s="33" t="str">
        <f>IF(AND($I$19+AY$17*Adatok!$F$11&gt;Adatok!$F$10-0.01,Adatok!$C$16+$B27&lt;Adatok!$C$17+1),((Adatok!$C$13*Adatok!$C$20*Adatok!$I26*Adatok!$J26)/(8*(VLOOKUP(AZ$19,Számítás!$B$19:$H$63,7,FALSE)))+(Adatok!$C$13^3*Adatok!$C$20^3*Adatok!$I26^3*Adatok!$J26)/(384*(VLOOKUP(AZ$19,Számítás!$B$19:$H$63,7,FALSE))^3))*100,$B$19)</f>
        <v>-</v>
      </c>
      <c r="BA27" s="33" t="str">
        <f>IF(AND($I$19+AZ$17*Adatok!$F$11&gt;Adatok!$F$10-0.01,Adatok!$C$16+$B27&lt;Adatok!$C$17+1),((Adatok!$C$13*Adatok!$C$20*Adatok!$I26*Adatok!$J26)/(8*(VLOOKUP(BA$19,Számítás!$B$19:$H$63,7,FALSE)))+(Adatok!$C$13^3*Adatok!$C$20^3*Adatok!$I26^3*Adatok!$J26)/(384*(VLOOKUP(BA$19,Számítás!$B$19:$H$63,7,FALSE))^3))*100,$B$19)</f>
        <v>-</v>
      </c>
    </row>
    <row r="28" spans="1:53" ht="18" customHeight="1" x14ac:dyDescent="0.25">
      <c r="B28" s="1">
        <v>9</v>
      </c>
      <c r="C28" s="333" t="str">
        <f>Adatok!F27</f>
        <v>-</v>
      </c>
      <c r="D28" s="32" t="s">
        <v>27</v>
      </c>
      <c r="E28" s="336" t="str">
        <f>Adatok!H27</f>
        <v>-</v>
      </c>
      <c r="F28" s="64" t="str">
        <f>IF(Adatok!$C$16+B28&gt;Adatok!$C$17,$B$19,Adatok!I27)</f>
        <v>-</v>
      </c>
      <c r="G28" s="60"/>
      <c r="H28" s="72" t="str">
        <f>IF(Adatok!$C$16+B28&gt;Adatok!$C$17,$B$19,Adatok!J27/Adatok!I27)</f>
        <v>-</v>
      </c>
      <c r="I28" s="81" t="str">
        <f>IF(Adatok!$C$16+$B28&lt;Adatok!$C$17+1,((((Adatok!$C$13*Adatok!$C$20*Adatok!$I27*Adatok!$J27)/(8*(VLOOKUP(I$19,Számítás!$B$19:$H$63,7,FALSE))))+((Adatok!$C$13^3*Adatok!$C$20^3*Adatok!$I27^3*Adatok!$J27)/(384*(VLOOKUP(I$19,Számítás!$B$19:$H$63,7,FALSE))^3)))*100),$B$19)</f>
        <v>-</v>
      </c>
      <c r="J28" s="33" t="str">
        <f>IF(AND($I$19+I$17*Adatok!$F$11&gt;Adatok!$F$10-0.01,Adatok!$C$16+$B28&lt;Adatok!$C$17+1),((Adatok!$C$13*Adatok!$C$20*Adatok!$I27*Adatok!$J27)/(8*(VLOOKUP(J$19,Számítás!$B$19:$H$63,7,FALSE)))+(Adatok!$C$13^3*Adatok!$C$20^3*Adatok!$I27^3*Adatok!$J27)/(384*(VLOOKUP(J$19,Számítás!$B$19:$H$63,7,FALSE))^3))*100,$B$19)</f>
        <v>-</v>
      </c>
      <c r="K28" s="33" t="str">
        <f>IF(AND($I$19+J$17*Adatok!$F$11&gt;Adatok!$F$10-0.01,Adatok!$C$16+$B28&lt;Adatok!$C$17+1),((Adatok!$C$13*Adatok!$C$20*Adatok!$I27*Adatok!$J27)/(8*(VLOOKUP(K$19,Számítás!$B$19:$H$63,7,FALSE)))+(Adatok!$C$13^3*Adatok!$C$20^3*Adatok!$I27^3*Adatok!$J27)/(384*(VLOOKUP(K$19,Számítás!$B$19:$H$63,7,FALSE))^3))*100,$B$19)</f>
        <v>-</v>
      </c>
      <c r="L28" s="33" t="str">
        <f>IF(AND($I$19+K$17*Adatok!$F$11&gt;Adatok!$F$10-0.01,Adatok!$C$16+$B28&lt;Adatok!$C$17+1),((Adatok!$C$13*Adatok!$C$20*Adatok!$I27*Adatok!$J27)/(8*(VLOOKUP(L$19,Számítás!$B$19:$H$63,7,FALSE)))+(Adatok!$C$13^3*Adatok!$C$20^3*Adatok!$I27^3*Adatok!$J27)/(384*(VLOOKUP(L$19,Számítás!$B$19:$H$63,7,FALSE))^3))*100,$B$19)</f>
        <v>-</v>
      </c>
      <c r="M28" s="33" t="str">
        <f>IF(AND($I$19+L$17*Adatok!$F$11&gt;Adatok!$F$10-0.01,Adatok!$C$16+$B28&lt;Adatok!$C$17+1),((Adatok!$C$13*Adatok!$C$20*Adatok!$I27*Adatok!$J27)/(8*(VLOOKUP(M$19,Számítás!$B$19:$H$63,7,FALSE)))+(Adatok!$C$13^3*Adatok!$C$20^3*Adatok!$I27^3*Adatok!$J27)/(384*(VLOOKUP(M$19,Számítás!$B$19:$H$63,7,FALSE))^3))*100,$B$19)</f>
        <v>-</v>
      </c>
      <c r="N28" s="33" t="str">
        <f>IF(AND($I$19+M$17*Adatok!$F$11&gt;Adatok!$F$10-0.01,Adatok!$C$16+$B28&lt;Adatok!$C$17+1),((Adatok!$C$13*Adatok!$C$20*Adatok!$I27*Adatok!$J27)/(8*(VLOOKUP(N$19,Számítás!$B$19:$H$63,7,FALSE)))+(Adatok!$C$13^3*Adatok!$C$20^3*Adatok!$I27^3*Adatok!$J27)/(384*(VLOOKUP(N$19,Számítás!$B$19:$H$63,7,FALSE))^3))*100,$B$19)</f>
        <v>-</v>
      </c>
      <c r="O28" s="33" t="str">
        <f>IF(AND($I$19+N$17*Adatok!$F$11&gt;Adatok!$F$10-0.01,Adatok!$C$16+$B28&lt;Adatok!$C$17+1),((Adatok!$C$13*Adatok!$C$20*Adatok!$I27*Adatok!$J27)/(8*(VLOOKUP(O$19,Számítás!$B$19:$H$63,7,FALSE)))+(Adatok!$C$13^3*Adatok!$C$20^3*Adatok!$I27^3*Adatok!$J27)/(384*(VLOOKUP(O$19,Számítás!$B$19:$H$63,7,FALSE))^3))*100,$B$19)</f>
        <v>-</v>
      </c>
      <c r="P28" s="33" t="str">
        <f>IF(AND($I$19+O$17*Adatok!$F$11&gt;Adatok!$F$10-0.01,Adatok!$C$16+$B28&lt;Adatok!$C$17+1),((Adatok!$C$13*Adatok!$C$20*Adatok!$I27*Adatok!$J27)/(8*(VLOOKUP(P$19,Számítás!$B$19:$H$63,7,FALSE)))+(Adatok!$C$13^3*Adatok!$C$20^3*Adatok!$I27^3*Adatok!$J27)/(384*(VLOOKUP(P$19,Számítás!$B$19:$H$63,7,FALSE))^3))*100,$B$19)</f>
        <v>-</v>
      </c>
      <c r="Q28" s="33" t="str">
        <f>IF(AND($I$19+P$17*Adatok!$F$11&gt;Adatok!$F$10-0.01,Adatok!$C$16+$B28&lt;Adatok!$C$17+1),((Adatok!$C$13*Adatok!$C$20*Adatok!$I27*Adatok!$J27)/(8*(VLOOKUP(Q$19,Számítás!$B$19:$H$63,7,FALSE)))+(Adatok!$C$13^3*Adatok!$C$20^3*Adatok!$I27^3*Adatok!$J27)/(384*(VLOOKUP(Q$19,Számítás!$B$19:$H$63,7,FALSE))^3))*100,$B$19)</f>
        <v>-</v>
      </c>
      <c r="R28" s="33" t="str">
        <f>IF(AND($I$19+Q$17*Adatok!$F$11&gt;Adatok!$F$10-0.01,Adatok!$C$16+$B28&lt;Adatok!$C$17+1),((Adatok!$C$13*Adatok!$C$20*Adatok!$I27*Adatok!$J27)/(8*(VLOOKUP(R$19,Számítás!$B$19:$H$63,7,FALSE)))+(Adatok!$C$13^3*Adatok!$C$20^3*Adatok!$I27^3*Adatok!$J27)/(384*(VLOOKUP(R$19,Számítás!$B$19:$H$63,7,FALSE))^3))*100,$B$19)</f>
        <v>-</v>
      </c>
      <c r="S28" s="33" t="str">
        <f>IF(AND($I$19+R$17*Adatok!$F$11&gt;Adatok!$F$10-0.01,Adatok!$C$16+$B28&lt;Adatok!$C$17+1),((Adatok!$C$13*Adatok!$C$20*Adatok!$I27*Adatok!$J27)/(8*(VLOOKUP(S$19,Számítás!$B$19:$H$63,7,FALSE)))+(Adatok!$C$13^3*Adatok!$C$20^3*Adatok!$I27^3*Adatok!$J27)/(384*(VLOOKUP(S$19,Számítás!$B$19:$H$63,7,FALSE))^3))*100,$B$19)</f>
        <v>-</v>
      </c>
      <c r="T28" s="33" t="str">
        <f>IF(AND($I$19+S$17*Adatok!$F$11&gt;Adatok!$F$10-0.01,Adatok!$C$16+$B28&lt;Adatok!$C$17+1),((Adatok!$C$13*Adatok!$C$20*Adatok!$I27*Adatok!$J27)/(8*(VLOOKUP(T$19,Számítás!$B$19:$H$63,7,FALSE)))+(Adatok!$C$13^3*Adatok!$C$20^3*Adatok!$I27^3*Adatok!$J27)/(384*(VLOOKUP(T$19,Számítás!$B$19:$H$63,7,FALSE))^3))*100,$B$19)</f>
        <v>-</v>
      </c>
      <c r="U28" s="33" t="str">
        <f>IF(AND($I$19+T$17*Adatok!$F$11&gt;Adatok!$F$10-0.01,Adatok!$C$16+$B28&lt;Adatok!$C$17+1),((Adatok!$C$13*Adatok!$C$20*Adatok!$I27*Adatok!$J27)/(8*(VLOOKUP(U$19,Számítás!$B$19:$H$63,7,FALSE)))+(Adatok!$C$13^3*Adatok!$C$20^3*Adatok!$I27^3*Adatok!$J27)/(384*(VLOOKUP(U$19,Számítás!$B$19:$H$63,7,FALSE))^3))*100,$B$19)</f>
        <v>-</v>
      </c>
      <c r="V28" s="33" t="str">
        <f>IF(AND($I$19+U$17*Adatok!$F$11&gt;Adatok!$F$10-0.01,Adatok!$C$16+$B28&lt;Adatok!$C$17+1),((Adatok!$C$13*Adatok!$C$20*Adatok!$I27*Adatok!$J27)/(8*(VLOOKUP(V$19,Számítás!$B$19:$H$63,7,FALSE)))+(Adatok!$C$13^3*Adatok!$C$20^3*Adatok!$I27^3*Adatok!$J27)/(384*(VLOOKUP(V$19,Számítás!$B$19:$H$63,7,FALSE))^3))*100,$B$19)</f>
        <v>-</v>
      </c>
      <c r="W28" s="33" t="str">
        <f>IF(AND($I$19+V$17*Adatok!$F$11&gt;Adatok!$F$10-0.01,Adatok!$C$16+$B28&lt;Adatok!$C$17+1),((Adatok!$C$13*Adatok!$C$20*Adatok!$I27*Adatok!$J27)/(8*(VLOOKUP(W$19,Számítás!$B$19:$H$63,7,FALSE)))+(Adatok!$C$13^3*Adatok!$C$20^3*Adatok!$I27^3*Adatok!$J27)/(384*(VLOOKUP(W$19,Számítás!$B$19:$H$63,7,FALSE))^3))*100,$B$19)</f>
        <v>-</v>
      </c>
      <c r="X28" s="33" t="str">
        <f>IF(AND($I$19+W$17*Adatok!$F$11&gt;Adatok!$F$10-0.01,Adatok!$C$16+$B28&lt;Adatok!$C$17+1),((Adatok!$C$13*Adatok!$C$20*Adatok!$I27*Adatok!$J27)/(8*(VLOOKUP(X$19,Számítás!$B$19:$H$63,7,FALSE)))+(Adatok!$C$13^3*Adatok!$C$20^3*Adatok!$I27^3*Adatok!$J27)/(384*(VLOOKUP(X$19,Számítás!$B$19:$H$63,7,FALSE))^3))*100,$B$19)</f>
        <v>-</v>
      </c>
      <c r="Y28" s="33" t="str">
        <f>IF(AND($I$19+X$17*Adatok!$F$11&gt;Adatok!$F$10-0.01,Adatok!$C$16+$B28&lt;Adatok!$C$17+1),((Adatok!$C$13*Adatok!$C$20*Adatok!$I27*Adatok!$J27)/(8*(VLOOKUP(Y$19,Számítás!$B$19:$H$63,7,FALSE)))+(Adatok!$C$13^3*Adatok!$C$20^3*Adatok!$I27^3*Adatok!$J27)/(384*(VLOOKUP(Y$19,Számítás!$B$19:$H$63,7,FALSE))^3))*100,$B$19)</f>
        <v>-</v>
      </c>
      <c r="Z28" s="33" t="str">
        <f>IF(AND($I$19+Y$17*Adatok!$F$11&gt;Adatok!$F$10-0.01,Adatok!$C$16+$B28&lt;Adatok!$C$17+1),((Adatok!$C$13*Adatok!$C$20*Adatok!$I27*Adatok!$J27)/(8*(VLOOKUP(Z$19,Számítás!$B$19:$H$63,7,FALSE)))+(Adatok!$C$13^3*Adatok!$C$20^3*Adatok!$I27^3*Adatok!$J27)/(384*(VLOOKUP(Z$19,Számítás!$B$19:$H$63,7,FALSE))^3))*100,$B$19)</f>
        <v>-</v>
      </c>
      <c r="AA28" s="33" t="str">
        <f>IF(AND($I$19+Z$17*Adatok!$F$11&gt;Adatok!$F$10-0.01,Adatok!$C$16+$B28&lt;Adatok!$C$17+1),((Adatok!$C$13*Adatok!$C$20*Adatok!$I27*Adatok!$J27)/(8*(VLOOKUP(AA$19,Számítás!$B$19:$H$63,7,FALSE)))+(Adatok!$C$13^3*Adatok!$C$20^3*Adatok!$I27^3*Adatok!$J27)/(384*(VLOOKUP(AA$19,Számítás!$B$19:$H$63,7,FALSE))^3))*100,$B$19)</f>
        <v>-</v>
      </c>
      <c r="AB28" s="33" t="str">
        <f>IF(AND($I$19+AA$17*Adatok!$F$11&gt;Adatok!$F$10-0.01,Adatok!$C$16+$B28&lt;Adatok!$C$17+1),((Adatok!$C$13*Adatok!$C$20*Adatok!$I27*Adatok!$J27)/(8*(VLOOKUP(AB$19,Számítás!$B$19:$H$63,7,FALSE)))+(Adatok!$C$13^3*Adatok!$C$20^3*Adatok!$I27^3*Adatok!$J27)/(384*(VLOOKUP(AB$19,Számítás!$B$19:$H$63,7,FALSE))^3))*100,$B$19)</f>
        <v>-</v>
      </c>
      <c r="AC28" s="33" t="str">
        <f>IF(AND($I$19+AB$17*Adatok!$F$11&gt;Adatok!$F$10-0.01,Adatok!$C$16+$B28&lt;Adatok!$C$17+1),((Adatok!$C$13*Adatok!$C$20*Adatok!$I27*Adatok!$J27)/(8*(VLOOKUP(AC$19,Számítás!$B$19:$H$63,7,FALSE)))+(Adatok!$C$13^3*Adatok!$C$20^3*Adatok!$I27^3*Adatok!$J27)/(384*(VLOOKUP(AC$19,Számítás!$B$19:$H$63,7,FALSE))^3))*100,$B$19)</f>
        <v>-</v>
      </c>
      <c r="AD28" s="33" t="str">
        <f>IF(AND($I$19+AC$17*Adatok!$F$11&gt;Adatok!$F$10-0.01,Adatok!$C$16+$B28&lt;Adatok!$C$17+1),((Adatok!$C$13*Adatok!$C$20*Adatok!$I27*Adatok!$J27)/(8*(VLOOKUP(AD$19,Számítás!$B$19:$H$63,7,FALSE)))+(Adatok!$C$13^3*Adatok!$C$20^3*Adatok!$I27^3*Adatok!$J27)/(384*(VLOOKUP(AD$19,Számítás!$B$19:$H$63,7,FALSE))^3))*100,$B$19)</f>
        <v>-</v>
      </c>
      <c r="AE28" s="33" t="str">
        <f>IF(AND($I$19+AD$17*Adatok!$F$11&gt;Adatok!$F$10-0.01,Adatok!$C$16+$B28&lt;Adatok!$C$17+1),((Adatok!$C$13*Adatok!$C$20*Adatok!$I27*Adatok!$J27)/(8*(VLOOKUP(AE$19,Számítás!$B$19:$H$63,7,FALSE)))+(Adatok!$C$13^3*Adatok!$C$20^3*Adatok!$I27^3*Adatok!$J27)/(384*(VLOOKUP(AE$19,Számítás!$B$19:$H$63,7,FALSE))^3))*100,$B$19)</f>
        <v>-</v>
      </c>
      <c r="AF28" s="33" t="str">
        <f>IF(AND($I$19+AE$17*Adatok!$F$11&gt;Adatok!$F$10-0.01,Adatok!$C$16+$B28&lt;Adatok!$C$17+1),((Adatok!$C$13*Adatok!$C$20*Adatok!$I27*Adatok!$J27)/(8*(VLOOKUP(AF$19,Számítás!$B$19:$H$63,7,FALSE)))+(Adatok!$C$13^3*Adatok!$C$20^3*Adatok!$I27^3*Adatok!$J27)/(384*(VLOOKUP(AF$19,Számítás!$B$19:$H$63,7,FALSE))^3))*100,$B$19)</f>
        <v>-</v>
      </c>
      <c r="AG28" s="33" t="str">
        <f>IF(AND($I$19+AF$17*Adatok!$F$11&gt;Adatok!$F$10-0.01,Adatok!$C$16+$B28&lt;Adatok!$C$17+1),((Adatok!$C$13*Adatok!$C$20*Adatok!$I27*Adatok!$J27)/(8*(VLOOKUP(AG$19,Számítás!$B$19:$H$63,7,FALSE)))+(Adatok!$C$13^3*Adatok!$C$20^3*Adatok!$I27^3*Adatok!$J27)/(384*(VLOOKUP(AG$19,Számítás!$B$19:$H$63,7,FALSE))^3))*100,$B$19)</f>
        <v>-</v>
      </c>
      <c r="AH28" s="33" t="str">
        <f>IF(AND($I$19+AG$17*Adatok!$F$11&gt;Adatok!$F$10-0.01,Adatok!$C$16+$B28&lt;Adatok!$C$17+1),((Adatok!$C$13*Adatok!$C$20*Adatok!$I27*Adatok!$J27)/(8*(VLOOKUP(AH$19,Számítás!$B$19:$H$63,7,FALSE)))+(Adatok!$C$13^3*Adatok!$C$20^3*Adatok!$I27^3*Adatok!$J27)/(384*(VLOOKUP(AH$19,Számítás!$B$19:$H$63,7,FALSE))^3))*100,$B$19)</f>
        <v>-</v>
      </c>
      <c r="AI28" s="33" t="str">
        <f>IF(AND($I$19+AH$17*Adatok!$F$11&gt;Adatok!$F$10-0.01,Adatok!$C$16+$B28&lt;Adatok!$C$17+1),((Adatok!$C$13*Adatok!$C$20*Adatok!$I27*Adatok!$J27)/(8*(VLOOKUP(AI$19,Számítás!$B$19:$H$63,7,FALSE)))+(Adatok!$C$13^3*Adatok!$C$20^3*Adatok!$I27^3*Adatok!$J27)/(384*(VLOOKUP(AI$19,Számítás!$B$19:$H$63,7,FALSE))^3))*100,$B$19)</f>
        <v>-</v>
      </c>
      <c r="AJ28" s="33" t="str">
        <f>IF(AND($I$19+AI$17*Adatok!$F$11&gt;Adatok!$F$10-0.01,Adatok!$C$16+$B28&lt;Adatok!$C$17+1),((Adatok!$C$13*Adatok!$C$20*Adatok!$I27*Adatok!$J27)/(8*(VLOOKUP(AJ$19,Számítás!$B$19:$H$63,7,FALSE)))+(Adatok!$C$13^3*Adatok!$C$20^3*Adatok!$I27^3*Adatok!$J27)/(384*(VLOOKUP(AJ$19,Számítás!$B$19:$H$63,7,FALSE))^3))*100,$B$19)</f>
        <v>-</v>
      </c>
      <c r="AK28" s="33" t="str">
        <f>IF(AND($I$19+AJ$17*Adatok!$F$11&gt;Adatok!$F$10-0.01,Adatok!$C$16+$B28&lt;Adatok!$C$17+1),((Adatok!$C$13*Adatok!$C$20*Adatok!$I27*Adatok!$J27)/(8*(VLOOKUP(AK$19,Számítás!$B$19:$H$63,7,FALSE)))+(Adatok!$C$13^3*Adatok!$C$20^3*Adatok!$I27^3*Adatok!$J27)/(384*(VLOOKUP(AK$19,Számítás!$B$19:$H$63,7,FALSE))^3))*100,$B$19)</f>
        <v>-</v>
      </c>
      <c r="AL28" s="33" t="str">
        <f>IF(AND($I$19+AK$17*Adatok!$F$11&gt;Adatok!$F$10-0.01,Adatok!$C$16+$B28&lt;Adatok!$C$17+1),((Adatok!$C$13*Adatok!$C$20*Adatok!$I27*Adatok!$J27)/(8*(VLOOKUP(AL$19,Számítás!$B$19:$H$63,7,FALSE)))+(Adatok!$C$13^3*Adatok!$C$20^3*Adatok!$I27^3*Adatok!$J27)/(384*(VLOOKUP(AL$19,Számítás!$B$19:$H$63,7,FALSE))^3))*100,$B$19)</f>
        <v>-</v>
      </c>
      <c r="AM28" s="33" t="str">
        <f>IF(AND($I$19+AL$17*Adatok!$F$11&gt;Adatok!$F$10-0.01,Adatok!$C$16+$B28&lt;Adatok!$C$17+1),((Adatok!$C$13*Adatok!$C$20*Adatok!$I27*Adatok!$J27)/(8*(VLOOKUP(AM$19,Számítás!$B$19:$H$63,7,FALSE)))+(Adatok!$C$13^3*Adatok!$C$20^3*Adatok!$I27^3*Adatok!$J27)/(384*(VLOOKUP(AM$19,Számítás!$B$19:$H$63,7,FALSE))^3))*100,$B$19)</f>
        <v>-</v>
      </c>
      <c r="AN28" s="33" t="str">
        <f>IF(AND($I$19+AM$17*Adatok!$F$11&gt;Adatok!$F$10-0.01,Adatok!$C$16+$B28&lt;Adatok!$C$17+1),((Adatok!$C$13*Adatok!$C$20*Adatok!$I27*Adatok!$J27)/(8*(VLOOKUP(AN$19,Számítás!$B$19:$H$63,7,FALSE)))+(Adatok!$C$13^3*Adatok!$C$20^3*Adatok!$I27^3*Adatok!$J27)/(384*(VLOOKUP(AN$19,Számítás!$B$19:$H$63,7,FALSE))^3))*100,$B$19)</f>
        <v>-</v>
      </c>
      <c r="AO28" s="33" t="str">
        <f>IF(AND($I$19+AN$17*Adatok!$F$11&gt;Adatok!$F$10-0.01,Adatok!$C$16+$B28&lt;Adatok!$C$17+1),((Adatok!$C$13*Adatok!$C$20*Adatok!$I27*Adatok!$J27)/(8*(VLOOKUP(AO$19,Számítás!$B$19:$H$63,7,FALSE)))+(Adatok!$C$13^3*Adatok!$C$20^3*Adatok!$I27^3*Adatok!$J27)/(384*(VLOOKUP(AO$19,Számítás!$B$19:$H$63,7,FALSE))^3))*100,$B$19)</f>
        <v>-</v>
      </c>
      <c r="AP28" s="33" t="str">
        <f>IF(AND($I$19+AO$17*Adatok!$F$11&gt;Adatok!$F$10-0.01,Adatok!$C$16+$B28&lt;Adatok!$C$17+1),((Adatok!$C$13*Adatok!$C$20*Adatok!$I27*Adatok!$J27)/(8*(VLOOKUP(AP$19,Számítás!$B$19:$H$63,7,FALSE)))+(Adatok!$C$13^3*Adatok!$C$20^3*Adatok!$I27^3*Adatok!$J27)/(384*(VLOOKUP(AP$19,Számítás!$B$19:$H$63,7,FALSE))^3))*100,$B$19)</f>
        <v>-</v>
      </c>
      <c r="AQ28" s="33" t="str">
        <f>IF(AND($I$19+AP$17*Adatok!$F$11&gt;Adatok!$F$10-0.01,Adatok!$C$16+$B28&lt;Adatok!$C$17+1),((Adatok!$C$13*Adatok!$C$20*Adatok!$I27*Adatok!$J27)/(8*(VLOOKUP(AQ$19,Számítás!$B$19:$H$63,7,FALSE)))+(Adatok!$C$13^3*Adatok!$C$20^3*Adatok!$I27^3*Adatok!$J27)/(384*(VLOOKUP(AQ$19,Számítás!$B$19:$H$63,7,FALSE))^3))*100,$B$19)</f>
        <v>-</v>
      </c>
      <c r="AR28" s="33" t="str">
        <f>IF(AND($I$19+AQ$17*Adatok!$F$11&gt;Adatok!$F$10-0.01,Adatok!$C$16+$B28&lt;Adatok!$C$17+1),((Adatok!$C$13*Adatok!$C$20*Adatok!$I27*Adatok!$J27)/(8*(VLOOKUP(AR$19,Számítás!$B$19:$H$63,7,FALSE)))+(Adatok!$C$13^3*Adatok!$C$20^3*Adatok!$I27^3*Adatok!$J27)/(384*(VLOOKUP(AR$19,Számítás!$B$19:$H$63,7,FALSE))^3))*100,$B$19)</f>
        <v>-</v>
      </c>
      <c r="AS28" s="33" t="str">
        <f>IF(AND($I$19+AR$17*Adatok!$F$11&gt;Adatok!$F$10-0.01,Adatok!$C$16+$B28&lt;Adatok!$C$17+1),((Adatok!$C$13*Adatok!$C$20*Adatok!$I27*Adatok!$J27)/(8*(VLOOKUP(AS$19,Számítás!$B$19:$H$63,7,FALSE)))+(Adatok!$C$13^3*Adatok!$C$20^3*Adatok!$I27^3*Adatok!$J27)/(384*(VLOOKUP(AS$19,Számítás!$B$19:$H$63,7,FALSE))^3))*100,$B$19)</f>
        <v>-</v>
      </c>
      <c r="AT28" s="33" t="str">
        <f>IF(AND($I$19+AS$17*Adatok!$F$11&gt;Adatok!$F$10-0.01,Adatok!$C$16+$B28&lt;Adatok!$C$17+1),((Adatok!$C$13*Adatok!$C$20*Adatok!$I27*Adatok!$J27)/(8*(VLOOKUP(AT$19,Számítás!$B$19:$H$63,7,FALSE)))+(Adatok!$C$13^3*Adatok!$C$20^3*Adatok!$I27^3*Adatok!$J27)/(384*(VLOOKUP(AT$19,Számítás!$B$19:$H$63,7,FALSE))^3))*100,$B$19)</f>
        <v>-</v>
      </c>
      <c r="AU28" s="33" t="str">
        <f>IF(AND($I$19+AT$17*Adatok!$F$11&gt;Adatok!$F$10-0.01,Adatok!$C$16+$B28&lt;Adatok!$C$17+1),((Adatok!$C$13*Adatok!$C$20*Adatok!$I27*Adatok!$J27)/(8*(VLOOKUP(AU$19,Számítás!$B$19:$H$63,7,FALSE)))+(Adatok!$C$13^3*Adatok!$C$20^3*Adatok!$I27^3*Adatok!$J27)/(384*(VLOOKUP(AU$19,Számítás!$B$19:$H$63,7,FALSE))^3))*100,$B$19)</f>
        <v>-</v>
      </c>
      <c r="AV28" s="33" t="str">
        <f>IF(AND($I$19+AU$17*Adatok!$F$11&gt;Adatok!$F$10-0.01,Adatok!$C$16+$B28&lt;Adatok!$C$17+1),((Adatok!$C$13*Adatok!$C$20*Adatok!$I27*Adatok!$J27)/(8*(VLOOKUP(AV$19,Számítás!$B$19:$H$63,7,FALSE)))+(Adatok!$C$13^3*Adatok!$C$20^3*Adatok!$I27^3*Adatok!$J27)/(384*(VLOOKUP(AV$19,Számítás!$B$19:$H$63,7,FALSE))^3))*100,$B$19)</f>
        <v>-</v>
      </c>
      <c r="AW28" s="33" t="str">
        <f>IF(AND($I$19+AV$17*Adatok!$F$11&gt;Adatok!$F$10-0.01,Adatok!$C$16+$B28&lt;Adatok!$C$17+1),((Adatok!$C$13*Adatok!$C$20*Adatok!$I27*Adatok!$J27)/(8*(VLOOKUP(AW$19,Számítás!$B$19:$H$63,7,FALSE)))+(Adatok!$C$13^3*Adatok!$C$20^3*Adatok!$I27^3*Adatok!$J27)/(384*(VLOOKUP(AW$19,Számítás!$B$19:$H$63,7,FALSE))^3))*100,$B$19)</f>
        <v>-</v>
      </c>
      <c r="AX28" s="33" t="str">
        <f>IF(AND($I$19+AW$17*Adatok!$F$11&gt;Adatok!$F$10-0.01,Adatok!$C$16+$B28&lt;Adatok!$C$17+1),((Adatok!$C$13*Adatok!$C$20*Adatok!$I27*Adatok!$J27)/(8*(VLOOKUP(AX$19,Számítás!$B$19:$H$63,7,FALSE)))+(Adatok!$C$13^3*Adatok!$C$20^3*Adatok!$I27^3*Adatok!$J27)/(384*(VLOOKUP(AX$19,Számítás!$B$19:$H$63,7,FALSE))^3))*100,$B$19)</f>
        <v>-</v>
      </c>
      <c r="AY28" s="33" t="str">
        <f>IF(AND($I$19+AX$17*Adatok!$F$11&gt;Adatok!$F$10-0.01,Adatok!$C$16+$B28&lt;Adatok!$C$17+1),((Adatok!$C$13*Adatok!$C$20*Adatok!$I27*Adatok!$J27)/(8*(VLOOKUP(AY$19,Számítás!$B$19:$H$63,7,FALSE)))+(Adatok!$C$13^3*Adatok!$C$20^3*Adatok!$I27^3*Adatok!$J27)/(384*(VLOOKUP(AY$19,Számítás!$B$19:$H$63,7,FALSE))^3))*100,$B$19)</f>
        <v>-</v>
      </c>
      <c r="AZ28" s="33" t="str">
        <f>IF(AND($I$19+AY$17*Adatok!$F$11&gt;Adatok!$F$10-0.01,Adatok!$C$16+$B28&lt;Adatok!$C$17+1),((Adatok!$C$13*Adatok!$C$20*Adatok!$I27*Adatok!$J27)/(8*(VLOOKUP(AZ$19,Számítás!$B$19:$H$63,7,FALSE)))+(Adatok!$C$13^3*Adatok!$C$20^3*Adatok!$I27^3*Adatok!$J27)/(384*(VLOOKUP(AZ$19,Számítás!$B$19:$H$63,7,FALSE))^3))*100,$B$19)</f>
        <v>-</v>
      </c>
      <c r="BA28" s="33" t="str">
        <f>IF(AND($I$19+AZ$17*Adatok!$F$11&gt;Adatok!$F$10-0.01,Adatok!$C$16+$B28&lt;Adatok!$C$17+1),((Adatok!$C$13*Adatok!$C$20*Adatok!$I27*Adatok!$J27)/(8*(VLOOKUP(BA$19,Számítás!$B$19:$H$63,7,FALSE)))+(Adatok!$C$13^3*Adatok!$C$20^3*Adatok!$I27^3*Adatok!$J27)/(384*(VLOOKUP(BA$19,Számítás!$B$19:$H$63,7,FALSE))^3))*100,$B$19)</f>
        <v>-</v>
      </c>
    </row>
    <row r="29" spans="1:53" ht="18" customHeight="1" x14ac:dyDescent="0.25">
      <c r="B29" s="1">
        <v>10</v>
      </c>
      <c r="C29" s="333" t="str">
        <f>Adatok!F28</f>
        <v>-</v>
      </c>
      <c r="D29" s="32" t="s">
        <v>27</v>
      </c>
      <c r="E29" s="336" t="str">
        <f>Adatok!H28</f>
        <v>-</v>
      </c>
      <c r="F29" s="64" t="str">
        <f>IF(Adatok!$C$16+B29&gt;Adatok!$C$17,$B$19,Adatok!I28)</f>
        <v>-</v>
      </c>
      <c r="G29" s="60"/>
      <c r="H29" s="72" t="str">
        <f>IF(Adatok!$C$16+B29&gt;Adatok!$C$17,$B$19,Adatok!J28/Adatok!I28)</f>
        <v>-</v>
      </c>
      <c r="I29" s="81" t="str">
        <f>IF(Adatok!$C$16+$B29&lt;Adatok!$C$17+1,((((Adatok!$C$13*Adatok!$C$20*Adatok!$I28*Adatok!$J28)/(8*(VLOOKUP(I$19,Számítás!$B$19:$H$63,7,FALSE))))+((Adatok!$C$13^3*Adatok!$C$20^3*Adatok!$I28^3*Adatok!$J28)/(384*(VLOOKUP(I$19,Számítás!$B$19:$H$63,7,FALSE))^3)))*100),$B$19)</f>
        <v>-</v>
      </c>
      <c r="J29" s="33" t="str">
        <f>IF(AND($I$19+I$17*Adatok!$F$11&gt;Adatok!$F$10-0.01,Adatok!$C$16+$B29&lt;Adatok!$C$17+1),((Adatok!$C$13*Adatok!$C$20*Adatok!$I28*Adatok!$J28)/(8*(VLOOKUP(J$19,Számítás!$B$19:$H$63,7,FALSE)))+(Adatok!$C$13^3*Adatok!$C$20^3*Adatok!$I28^3*Adatok!$J28)/(384*(VLOOKUP(J$19,Számítás!$B$19:$H$63,7,FALSE))^3))*100,$B$19)</f>
        <v>-</v>
      </c>
      <c r="K29" s="33" t="str">
        <f>IF(AND($I$19+J$17*Adatok!$F$11&gt;Adatok!$F$10-0.01,Adatok!$C$16+$B29&lt;Adatok!$C$17+1),((Adatok!$C$13*Adatok!$C$20*Adatok!$I28*Adatok!$J28)/(8*(VLOOKUP(K$19,Számítás!$B$19:$H$63,7,FALSE)))+(Adatok!$C$13^3*Adatok!$C$20^3*Adatok!$I28^3*Adatok!$J28)/(384*(VLOOKUP(K$19,Számítás!$B$19:$H$63,7,FALSE))^3))*100,$B$19)</f>
        <v>-</v>
      </c>
      <c r="L29" s="33" t="str">
        <f>IF(AND($I$19+K$17*Adatok!$F$11&gt;Adatok!$F$10-0.01,Adatok!$C$16+$B29&lt;Adatok!$C$17+1),((Adatok!$C$13*Adatok!$C$20*Adatok!$I28*Adatok!$J28)/(8*(VLOOKUP(L$19,Számítás!$B$19:$H$63,7,FALSE)))+(Adatok!$C$13^3*Adatok!$C$20^3*Adatok!$I28^3*Adatok!$J28)/(384*(VLOOKUP(L$19,Számítás!$B$19:$H$63,7,FALSE))^3))*100,$B$19)</f>
        <v>-</v>
      </c>
      <c r="M29" s="33" t="str">
        <f>IF(AND($I$19+L$17*Adatok!$F$11&gt;Adatok!$F$10-0.01,Adatok!$C$16+$B29&lt;Adatok!$C$17+1),((Adatok!$C$13*Adatok!$C$20*Adatok!$I28*Adatok!$J28)/(8*(VLOOKUP(M$19,Számítás!$B$19:$H$63,7,FALSE)))+(Adatok!$C$13^3*Adatok!$C$20^3*Adatok!$I28^3*Adatok!$J28)/(384*(VLOOKUP(M$19,Számítás!$B$19:$H$63,7,FALSE))^3))*100,$B$19)</f>
        <v>-</v>
      </c>
      <c r="N29" s="33" t="str">
        <f>IF(AND($I$19+M$17*Adatok!$F$11&gt;Adatok!$F$10-0.01,Adatok!$C$16+$B29&lt;Adatok!$C$17+1),((Adatok!$C$13*Adatok!$C$20*Adatok!$I28*Adatok!$J28)/(8*(VLOOKUP(N$19,Számítás!$B$19:$H$63,7,FALSE)))+(Adatok!$C$13^3*Adatok!$C$20^3*Adatok!$I28^3*Adatok!$J28)/(384*(VLOOKUP(N$19,Számítás!$B$19:$H$63,7,FALSE))^3))*100,$B$19)</f>
        <v>-</v>
      </c>
      <c r="O29" s="33" t="str">
        <f>IF(AND($I$19+N$17*Adatok!$F$11&gt;Adatok!$F$10-0.01,Adatok!$C$16+$B29&lt;Adatok!$C$17+1),((Adatok!$C$13*Adatok!$C$20*Adatok!$I28*Adatok!$J28)/(8*(VLOOKUP(O$19,Számítás!$B$19:$H$63,7,FALSE)))+(Adatok!$C$13^3*Adatok!$C$20^3*Adatok!$I28^3*Adatok!$J28)/(384*(VLOOKUP(O$19,Számítás!$B$19:$H$63,7,FALSE))^3))*100,$B$19)</f>
        <v>-</v>
      </c>
      <c r="P29" s="33" t="str">
        <f>IF(AND($I$19+O$17*Adatok!$F$11&gt;Adatok!$F$10-0.01,Adatok!$C$16+$B29&lt;Adatok!$C$17+1),((Adatok!$C$13*Adatok!$C$20*Adatok!$I28*Adatok!$J28)/(8*(VLOOKUP(P$19,Számítás!$B$19:$H$63,7,FALSE)))+(Adatok!$C$13^3*Adatok!$C$20^3*Adatok!$I28^3*Adatok!$J28)/(384*(VLOOKUP(P$19,Számítás!$B$19:$H$63,7,FALSE))^3))*100,$B$19)</f>
        <v>-</v>
      </c>
      <c r="Q29" s="33" t="str">
        <f>IF(AND($I$19+P$17*Adatok!$F$11&gt;Adatok!$F$10-0.01,Adatok!$C$16+$B29&lt;Adatok!$C$17+1),((Adatok!$C$13*Adatok!$C$20*Adatok!$I28*Adatok!$J28)/(8*(VLOOKUP(Q$19,Számítás!$B$19:$H$63,7,FALSE)))+(Adatok!$C$13^3*Adatok!$C$20^3*Adatok!$I28^3*Adatok!$J28)/(384*(VLOOKUP(Q$19,Számítás!$B$19:$H$63,7,FALSE))^3))*100,$B$19)</f>
        <v>-</v>
      </c>
      <c r="R29" s="33" t="str">
        <f>IF(AND($I$19+Q$17*Adatok!$F$11&gt;Adatok!$F$10-0.01,Adatok!$C$16+$B29&lt;Adatok!$C$17+1),((Adatok!$C$13*Adatok!$C$20*Adatok!$I28*Adatok!$J28)/(8*(VLOOKUP(R$19,Számítás!$B$19:$H$63,7,FALSE)))+(Adatok!$C$13^3*Adatok!$C$20^3*Adatok!$I28^3*Adatok!$J28)/(384*(VLOOKUP(R$19,Számítás!$B$19:$H$63,7,FALSE))^3))*100,$B$19)</f>
        <v>-</v>
      </c>
      <c r="S29" s="33" t="str">
        <f>IF(AND($I$19+R$17*Adatok!$F$11&gt;Adatok!$F$10-0.01,Adatok!$C$16+$B29&lt;Adatok!$C$17+1),((Adatok!$C$13*Adatok!$C$20*Adatok!$I28*Adatok!$J28)/(8*(VLOOKUP(S$19,Számítás!$B$19:$H$63,7,FALSE)))+(Adatok!$C$13^3*Adatok!$C$20^3*Adatok!$I28^3*Adatok!$J28)/(384*(VLOOKUP(S$19,Számítás!$B$19:$H$63,7,FALSE))^3))*100,$B$19)</f>
        <v>-</v>
      </c>
      <c r="T29" s="33" t="str">
        <f>IF(AND($I$19+S$17*Adatok!$F$11&gt;Adatok!$F$10-0.01,Adatok!$C$16+$B29&lt;Adatok!$C$17+1),((Adatok!$C$13*Adatok!$C$20*Adatok!$I28*Adatok!$J28)/(8*(VLOOKUP(T$19,Számítás!$B$19:$H$63,7,FALSE)))+(Adatok!$C$13^3*Adatok!$C$20^3*Adatok!$I28^3*Adatok!$J28)/(384*(VLOOKUP(T$19,Számítás!$B$19:$H$63,7,FALSE))^3))*100,$B$19)</f>
        <v>-</v>
      </c>
      <c r="U29" s="33" t="str">
        <f>IF(AND($I$19+T$17*Adatok!$F$11&gt;Adatok!$F$10-0.01,Adatok!$C$16+$B29&lt;Adatok!$C$17+1),((Adatok!$C$13*Adatok!$C$20*Adatok!$I28*Adatok!$J28)/(8*(VLOOKUP(U$19,Számítás!$B$19:$H$63,7,FALSE)))+(Adatok!$C$13^3*Adatok!$C$20^3*Adatok!$I28^3*Adatok!$J28)/(384*(VLOOKUP(U$19,Számítás!$B$19:$H$63,7,FALSE))^3))*100,$B$19)</f>
        <v>-</v>
      </c>
      <c r="V29" s="33" t="str">
        <f>IF(AND($I$19+U$17*Adatok!$F$11&gt;Adatok!$F$10-0.01,Adatok!$C$16+$B29&lt;Adatok!$C$17+1),((Adatok!$C$13*Adatok!$C$20*Adatok!$I28*Adatok!$J28)/(8*(VLOOKUP(V$19,Számítás!$B$19:$H$63,7,FALSE)))+(Adatok!$C$13^3*Adatok!$C$20^3*Adatok!$I28^3*Adatok!$J28)/(384*(VLOOKUP(V$19,Számítás!$B$19:$H$63,7,FALSE))^3))*100,$B$19)</f>
        <v>-</v>
      </c>
      <c r="W29" s="33" t="str">
        <f>IF(AND($I$19+V$17*Adatok!$F$11&gt;Adatok!$F$10-0.01,Adatok!$C$16+$B29&lt;Adatok!$C$17+1),((Adatok!$C$13*Adatok!$C$20*Adatok!$I28*Adatok!$J28)/(8*(VLOOKUP(W$19,Számítás!$B$19:$H$63,7,FALSE)))+(Adatok!$C$13^3*Adatok!$C$20^3*Adatok!$I28^3*Adatok!$J28)/(384*(VLOOKUP(W$19,Számítás!$B$19:$H$63,7,FALSE))^3))*100,$B$19)</f>
        <v>-</v>
      </c>
      <c r="X29" s="33" t="str">
        <f>IF(AND($I$19+W$17*Adatok!$F$11&gt;Adatok!$F$10-0.01,Adatok!$C$16+$B29&lt;Adatok!$C$17+1),((Adatok!$C$13*Adatok!$C$20*Adatok!$I28*Adatok!$J28)/(8*(VLOOKUP(X$19,Számítás!$B$19:$H$63,7,FALSE)))+(Adatok!$C$13^3*Adatok!$C$20^3*Adatok!$I28^3*Adatok!$J28)/(384*(VLOOKUP(X$19,Számítás!$B$19:$H$63,7,FALSE))^3))*100,$B$19)</f>
        <v>-</v>
      </c>
      <c r="Y29" s="33" t="str">
        <f>IF(AND($I$19+X$17*Adatok!$F$11&gt;Adatok!$F$10-0.01,Adatok!$C$16+$B29&lt;Adatok!$C$17+1),((Adatok!$C$13*Adatok!$C$20*Adatok!$I28*Adatok!$J28)/(8*(VLOOKUP(Y$19,Számítás!$B$19:$H$63,7,FALSE)))+(Adatok!$C$13^3*Adatok!$C$20^3*Adatok!$I28^3*Adatok!$J28)/(384*(VLOOKUP(Y$19,Számítás!$B$19:$H$63,7,FALSE))^3))*100,$B$19)</f>
        <v>-</v>
      </c>
      <c r="Z29" s="33" t="str">
        <f>IF(AND($I$19+Y$17*Adatok!$F$11&gt;Adatok!$F$10-0.01,Adatok!$C$16+$B29&lt;Adatok!$C$17+1),((Adatok!$C$13*Adatok!$C$20*Adatok!$I28*Adatok!$J28)/(8*(VLOOKUP(Z$19,Számítás!$B$19:$H$63,7,FALSE)))+(Adatok!$C$13^3*Adatok!$C$20^3*Adatok!$I28^3*Adatok!$J28)/(384*(VLOOKUP(Z$19,Számítás!$B$19:$H$63,7,FALSE))^3))*100,$B$19)</f>
        <v>-</v>
      </c>
      <c r="AA29" s="33" t="str">
        <f>IF(AND($I$19+Z$17*Adatok!$F$11&gt;Adatok!$F$10-0.01,Adatok!$C$16+$B29&lt;Adatok!$C$17+1),((Adatok!$C$13*Adatok!$C$20*Adatok!$I28*Adatok!$J28)/(8*(VLOOKUP(AA$19,Számítás!$B$19:$H$63,7,FALSE)))+(Adatok!$C$13^3*Adatok!$C$20^3*Adatok!$I28^3*Adatok!$J28)/(384*(VLOOKUP(AA$19,Számítás!$B$19:$H$63,7,FALSE))^3))*100,$B$19)</f>
        <v>-</v>
      </c>
      <c r="AB29" s="33" t="str">
        <f>IF(AND($I$19+AA$17*Adatok!$F$11&gt;Adatok!$F$10-0.01,Adatok!$C$16+$B29&lt;Adatok!$C$17+1),((Adatok!$C$13*Adatok!$C$20*Adatok!$I28*Adatok!$J28)/(8*(VLOOKUP(AB$19,Számítás!$B$19:$H$63,7,FALSE)))+(Adatok!$C$13^3*Adatok!$C$20^3*Adatok!$I28^3*Adatok!$J28)/(384*(VLOOKUP(AB$19,Számítás!$B$19:$H$63,7,FALSE))^3))*100,$B$19)</f>
        <v>-</v>
      </c>
      <c r="AC29" s="33" t="str">
        <f>IF(AND($I$19+AB$17*Adatok!$F$11&gt;Adatok!$F$10-0.01,Adatok!$C$16+$B29&lt;Adatok!$C$17+1),((Adatok!$C$13*Adatok!$C$20*Adatok!$I28*Adatok!$J28)/(8*(VLOOKUP(AC$19,Számítás!$B$19:$H$63,7,FALSE)))+(Adatok!$C$13^3*Adatok!$C$20^3*Adatok!$I28^3*Adatok!$J28)/(384*(VLOOKUP(AC$19,Számítás!$B$19:$H$63,7,FALSE))^3))*100,$B$19)</f>
        <v>-</v>
      </c>
      <c r="AD29" s="33" t="str">
        <f>IF(AND($I$19+AC$17*Adatok!$F$11&gt;Adatok!$F$10-0.01,Adatok!$C$16+$B29&lt;Adatok!$C$17+1),((Adatok!$C$13*Adatok!$C$20*Adatok!$I28*Adatok!$J28)/(8*(VLOOKUP(AD$19,Számítás!$B$19:$H$63,7,FALSE)))+(Adatok!$C$13^3*Adatok!$C$20^3*Adatok!$I28^3*Adatok!$J28)/(384*(VLOOKUP(AD$19,Számítás!$B$19:$H$63,7,FALSE))^3))*100,$B$19)</f>
        <v>-</v>
      </c>
      <c r="AE29" s="33" t="str">
        <f>IF(AND($I$19+AD$17*Adatok!$F$11&gt;Adatok!$F$10-0.01,Adatok!$C$16+$B29&lt;Adatok!$C$17+1),((Adatok!$C$13*Adatok!$C$20*Adatok!$I28*Adatok!$J28)/(8*(VLOOKUP(AE$19,Számítás!$B$19:$H$63,7,FALSE)))+(Adatok!$C$13^3*Adatok!$C$20^3*Adatok!$I28^3*Adatok!$J28)/(384*(VLOOKUP(AE$19,Számítás!$B$19:$H$63,7,FALSE))^3))*100,$B$19)</f>
        <v>-</v>
      </c>
      <c r="AF29" s="33" t="str">
        <f>IF(AND($I$19+AE$17*Adatok!$F$11&gt;Adatok!$F$10-0.01,Adatok!$C$16+$B29&lt;Adatok!$C$17+1),((Adatok!$C$13*Adatok!$C$20*Adatok!$I28*Adatok!$J28)/(8*(VLOOKUP(AF$19,Számítás!$B$19:$H$63,7,FALSE)))+(Adatok!$C$13^3*Adatok!$C$20^3*Adatok!$I28^3*Adatok!$J28)/(384*(VLOOKUP(AF$19,Számítás!$B$19:$H$63,7,FALSE))^3))*100,$B$19)</f>
        <v>-</v>
      </c>
      <c r="AG29" s="33" t="str">
        <f>IF(AND($I$19+AF$17*Adatok!$F$11&gt;Adatok!$F$10-0.01,Adatok!$C$16+$B29&lt;Adatok!$C$17+1),((Adatok!$C$13*Adatok!$C$20*Adatok!$I28*Adatok!$J28)/(8*(VLOOKUP(AG$19,Számítás!$B$19:$H$63,7,FALSE)))+(Adatok!$C$13^3*Adatok!$C$20^3*Adatok!$I28^3*Adatok!$J28)/(384*(VLOOKUP(AG$19,Számítás!$B$19:$H$63,7,FALSE))^3))*100,$B$19)</f>
        <v>-</v>
      </c>
      <c r="AH29" s="33" t="str">
        <f>IF(AND($I$19+AG$17*Adatok!$F$11&gt;Adatok!$F$10-0.01,Adatok!$C$16+$B29&lt;Adatok!$C$17+1),((Adatok!$C$13*Adatok!$C$20*Adatok!$I28*Adatok!$J28)/(8*(VLOOKUP(AH$19,Számítás!$B$19:$H$63,7,FALSE)))+(Adatok!$C$13^3*Adatok!$C$20^3*Adatok!$I28^3*Adatok!$J28)/(384*(VLOOKUP(AH$19,Számítás!$B$19:$H$63,7,FALSE))^3))*100,$B$19)</f>
        <v>-</v>
      </c>
      <c r="AI29" s="33" t="str">
        <f>IF(AND($I$19+AH$17*Adatok!$F$11&gt;Adatok!$F$10-0.01,Adatok!$C$16+$B29&lt;Adatok!$C$17+1),((Adatok!$C$13*Adatok!$C$20*Adatok!$I28*Adatok!$J28)/(8*(VLOOKUP(AI$19,Számítás!$B$19:$H$63,7,FALSE)))+(Adatok!$C$13^3*Adatok!$C$20^3*Adatok!$I28^3*Adatok!$J28)/(384*(VLOOKUP(AI$19,Számítás!$B$19:$H$63,7,FALSE))^3))*100,$B$19)</f>
        <v>-</v>
      </c>
      <c r="AJ29" s="33" t="str">
        <f>IF(AND($I$19+AI$17*Adatok!$F$11&gt;Adatok!$F$10-0.01,Adatok!$C$16+$B29&lt;Adatok!$C$17+1),((Adatok!$C$13*Adatok!$C$20*Adatok!$I28*Adatok!$J28)/(8*(VLOOKUP(AJ$19,Számítás!$B$19:$H$63,7,FALSE)))+(Adatok!$C$13^3*Adatok!$C$20^3*Adatok!$I28^3*Adatok!$J28)/(384*(VLOOKUP(AJ$19,Számítás!$B$19:$H$63,7,FALSE))^3))*100,$B$19)</f>
        <v>-</v>
      </c>
      <c r="AK29" s="33" t="str">
        <f>IF(AND($I$19+AJ$17*Adatok!$F$11&gt;Adatok!$F$10-0.01,Adatok!$C$16+$B29&lt;Adatok!$C$17+1),((Adatok!$C$13*Adatok!$C$20*Adatok!$I28*Adatok!$J28)/(8*(VLOOKUP(AK$19,Számítás!$B$19:$H$63,7,FALSE)))+(Adatok!$C$13^3*Adatok!$C$20^3*Adatok!$I28^3*Adatok!$J28)/(384*(VLOOKUP(AK$19,Számítás!$B$19:$H$63,7,FALSE))^3))*100,$B$19)</f>
        <v>-</v>
      </c>
      <c r="AL29" s="33" t="str">
        <f>IF(AND($I$19+AK$17*Adatok!$F$11&gt;Adatok!$F$10-0.01,Adatok!$C$16+$B29&lt;Adatok!$C$17+1),((Adatok!$C$13*Adatok!$C$20*Adatok!$I28*Adatok!$J28)/(8*(VLOOKUP(AL$19,Számítás!$B$19:$H$63,7,FALSE)))+(Adatok!$C$13^3*Adatok!$C$20^3*Adatok!$I28^3*Adatok!$J28)/(384*(VLOOKUP(AL$19,Számítás!$B$19:$H$63,7,FALSE))^3))*100,$B$19)</f>
        <v>-</v>
      </c>
      <c r="AM29" s="33" t="str">
        <f>IF(AND($I$19+AL$17*Adatok!$F$11&gt;Adatok!$F$10-0.01,Adatok!$C$16+$B29&lt;Adatok!$C$17+1),((Adatok!$C$13*Adatok!$C$20*Adatok!$I28*Adatok!$J28)/(8*(VLOOKUP(AM$19,Számítás!$B$19:$H$63,7,FALSE)))+(Adatok!$C$13^3*Adatok!$C$20^3*Adatok!$I28^3*Adatok!$J28)/(384*(VLOOKUP(AM$19,Számítás!$B$19:$H$63,7,FALSE))^3))*100,$B$19)</f>
        <v>-</v>
      </c>
      <c r="AN29" s="33" t="str">
        <f>IF(AND($I$19+AM$17*Adatok!$F$11&gt;Adatok!$F$10-0.01,Adatok!$C$16+$B29&lt;Adatok!$C$17+1),((Adatok!$C$13*Adatok!$C$20*Adatok!$I28*Adatok!$J28)/(8*(VLOOKUP(AN$19,Számítás!$B$19:$H$63,7,FALSE)))+(Adatok!$C$13^3*Adatok!$C$20^3*Adatok!$I28^3*Adatok!$J28)/(384*(VLOOKUP(AN$19,Számítás!$B$19:$H$63,7,FALSE))^3))*100,$B$19)</f>
        <v>-</v>
      </c>
      <c r="AO29" s="33" t="str">
        <f>IF(AND($I$19+AN$17*Adatok!$F$11&gt;Adatok!$F$10-0.01,Adatok!$C$16+$B29&lt;Adatok!$C$17+1),((Adatok!$C$13*Adatok!$C$20*Adatok!$I28*Adatok!$J28)/(8*(VLOOKUP(AO$19,Számítás!$B$19:$H$63,7,FALSE)))+(Adatok!$C$13^3*Adatok!$C$20^3*Adatok!$I28^3*Adatok!$J28)/(384*(VLOOKUP(AO$19,Számítás!$B$19:$H$63,7,FALSE))^3))*100,$B$19)</f>
        <v>-</v>
      </c>
      <c r="AP29" s="33" t="str">
        <f>IF(AND($I$19+AO$17*Adatok!$F$11&gt;Adatok!$F$10-0.01,Adatok!$C$16+$B29&lt;Adatok!$C$17+1),((Adatok!$C$13*Adatok!$C$20*Adatok!$I28*Adatok!$J28)/(8*(VLOOKUP(AP$19,Számítás!$B$19:$H$63,7,FALSE)))+(Adatok!$C$13^3*Adatok!$C$20^3*Adatok!$I28^3*Adatok!$J28)/(384*(VLOOKUP(AP$19,Számítás!$B$19:$H$63,7,FALSE))^3))*100,$B$19)</f>
        <v>-</v>
      </c>
      <c r="AQ29" s="33" t="str">
        <f>IF(AND($I$19+AP$17*Adatok!$F$11&gt;Adatok!$F$10-0.01,Adatok!$C$16+$B29&lt;Adatok!$C$17+1),((Adatok!$C$13*Adatok!$C$20*Adatok!$I28*Adatok!$J28)/(8*(VLOOKUP(AQ$19,Számítás!$B$19:$H$63,7,FALSE)))+(Adatok!$C$13^3*Adatok!$C$20^3*Adatok!$I28^3*Adatok!$J28)/(384*(VLOOKUP(AQ$19,Számítás!$B$19:$H$63,7,FALSE))^3))*100,$B$19)</f>
        <v>-</v>
      </c>
      <c r="AR29" s="33" t="str">
        <f>IF(AND($I$19+AQ$17*Adatok!$F$11&gt;Adatok!$F$10-0.01,Adatok!$C$16+$B29&lt;Adatok!$C$17+1),((Adatok!$C$13*Adatok!$C$20*Adatok!$I28*Adatok!$J28)/(8*(VLOOKUP(AR$19,Számítás!$B$19:$H$63,7,FALSE)))+(Adatok!$C$13^3*Adatok!$C$20^3*Adatok!$I28^3*Adatok!$J28)/(384*(VLOOKUP(AR$19,Számítás!$B$19:$H$63,7,FALSE))^3))*100,$B$19)</f>
        <v>-</v>
      </c>
      <c r="AS29" s="33" t="str">
        <f>IF(AND($I$19+AR$17*Adatok!$F$11&gt;Adatok!$F$10-0.01,Adatok!$C$16+$B29&lt;Adatok!$C$17+1),((Adatok!$C$13*Adatok!$C$20*Adatok!$I28*Adatok!$J28)/(8*(VLOOKUP(AS$19,Számítás!$B$19:$H$63,7,FALSE)))+(Adatok!$C$13^3*Adatok!$C$20^3*Adatok!$I28^3*Adatok!$J28)/(384*(VLOOKUP(AS$19,Számítás!$B$19:$H$63,7,FALSE))^3))*100,$B$19)</f>
        <v>-</v>
      </c>
      <c r="AT29" s="33" t="str">
        <f>IF(AND($I$19+AS$17*Adatok!$F$11&gt;Adatok!$F$10-0.01,Adatok!$C$16+$B29&lt;Adatok!$C$17+1),((Adatok!$C$13*Adatok!$C$20*Adatok!$I28*Adatok!$J28)/(8*(VLOOKUP(AT$19,Számítás!$B$19:$H$63,7,FALSE)))+(Adatok!$C$13^3*Adatok!$C$20^3*Adatok!$I28^3*Adatok!$J28)/(384*(VLOOKUP(AT$19,Számítás!$B$19:$H$63,7,FALSE))^3))*100,$B$19)</f>
        <v>-</v>
      </c>
      <c r="AU29" s="33" t="str">
        <f>IF(AND($I$19+AT$17*Adatok!$F$11&gt;Adatok!$F$10-0.01,Adatok!$C$16+$B29&lt;Adatok!$C$17+1),((Adatok!$C$13*Adatok!$C$20*Adatok!$I28*Adatok!$J28)/(8*(VLOOKUP(AU$19,Számítás!$B$19:$H$63,7,FALSE)))+(Adatok!$C$13^3*Adatok!$C$20^3*Adatok!$I28^3*Adatok!$J28)/(384*(VLOOKUP(AU$19,Számítás!$B$19:$H$63,7,FALSE))^3))*100,$B$19)</f>
        <v>-</v>
      </c>
      <c r="AV29" s="33" t="str">
        <f>IF(AND($I$19+AU$17*Adatok!$F$11&gt;Adatok!$F$10-0.01,Adatok!$C$16+$B29&lt;Adatok!$C$17+1),((Adatok!$C$13*Adatok!$C$20*Adatok!$I28*Adatok!$J28)/(8*(VLOOKUP(AV$19,Számítás!$B$19:$H$63,7,FALSE)))+(Adatok!$C$13^3*Adatok!$C$20^3*Adatok!$I28^3*Adatok!$J28)/(384*(VLOOKUP(AV$19,Számítás!$B$19:$H$63,7,FALSE))^3))*100,$B$19)</f>
        <v>-</v>
      </c>
      <c r="AW29" s="33" t="str">
        <f>IF(AND($I$19+AV$17*Adatok!$F$11&gt;Adatok!$F$10-0.01,Adatok!$C$16+$B29&lt;Adatok!$C$17+1),((Adatok!$C$13*Adatok!$C$20*Adatok!$I28*Adatok!$J28)/(8*(VLOOKUP(AW$19,Számítás!$B$19:$H$63,7,FALSE)))+(Adatok!$C$13^3*Adatok!$C$20^3*Adatok!$I28^3*Adatok!$J28)/(384*(VLOOKUP(AW$19,Számítás!$B$19:$H$63,7,FALSE))^3))*100,$B$19)</f>
        <v>-</v>
      </c>
      <c r="AX29" s="33" t="str">
        <f>IF(AND($I$19+AW$17*Adatok!$F$11&gt;Adatok!$F$10-0.01,Adatok!$C$16+$B29&lt;Adatok!$C$17+1),((Adatok!$C$13*Adatok!$C$20*Adatok!$I28*Adatok!$J28)/(8*(VLOOKUP(AX$19,Számítás!$B$19:$H$63,7,FALSE)))+(Adatok!$C$13^3*Adatok!$C$20^3*Adatok!$I28^3*Adatok!$J28)/(384*(VLOOKUP(AX$19,Számítás!$B$19:$H$63,7,FALSE))^3))*100,$B$19)</f>
        <v>-</v>
      </c>
      <c r="AY29" s="33" t="str">
        <f>IF(AND($I$19+AX$17*Adatok!$F$11&gt;Adatok!$F$10-0.01,Adatok!$C$16+$B29&lt;Adatok!$C$17+1),((Adatok!$C$13*Adatok!$C$20*Adatok!$I28*Adatok!$J28)/(8*(VLOOKUP(AY$19,Számítás!$B$19:$H$63,7,FALSE)))+(Adatok!$C$13^3*Adatok!$C$20^3*Adatok!$I28^3*Adatok!$J28)/(384*(VLOOKUP(AY$19,Számítás!$B$19:$H$63,7,FALSE))^3))*100,$B$19)</f>
        <v>-</v>
      </c>
      <c r="AZ29" s="33" t="str">
        <f>IF(AND($I$19+AY$17*Adatok!$F$11&gt;Adatok!$F$10-0.01,Adatok!$C$16+$B29&lt;Adatok!$C$17+1),((Adatok!$C$13*Adatok!$C$20*Adatok!$I28*Adatok!$J28)/(8*(VLOOKUP(AZ$19,Számítás!$B$19:$H$63,7,FALSE)))+(Adatok!$C$13^3*Adatok!$C$20^3*Adatok!$I28^3*Adatok!$J28)/(384*(VLOOKUP(AZ$19,Számítás!$B$19:$H$63,7,FALSE))^3))*100,$B$19)</f>
        <v>-</v>
      </c>
      <c r="BA29" s="33" t="str">
        <f>IF(AND($I$19+AZ$17*Adatok!$F$11&gt;Adatok!$F$10-0.01,Adatok!$C$16+$B29&lt;Adatok!$C$17+1),((Adatok!$C$13*Adatok!$C$20*Adatok!$I28*Adatok!$J28)/(8*(VLOOKUP(BA$19,Számítás!$B$19:$H$63,7,FALSE)))+(Adatok!$C$13^3*Adatok!$C$20^3*Adatok!$I28^3*Adatok!$J28)/(384*(VLOOKUP(BA$19,Számítás!$B$19:$H$63,7,FALSE))^3))*100,$B$19)</f>
        <v>-</v>
      </c>
    </row>
    <row r="30" spans="1:53" ht="18" customHeight="1" x14ac:dyDescent="0.25">
      <c r="B30" s="1">
        <v>11</v>
      </c>
      <c r="C30" s="333" t="str">
        <f>Adatok!F29</f>
        <v>-</v>
      </c>
      <c r="D30" s="32" t="s">
        <v>27</v>
      </c>
      <c r="E30" s="336" t="str">
        <f>Adatok!H29</f>
        <v>-</v>
      </c>
      <c r="F30" s="64" t="str">
        <f>IF(Adatok!$C$16+B30&gt;Adatok!$C$17,$B$19,Adatok!I29)</f>
        <v>-</v>
      </c>
      <c r="G30" s="60"/>
      <c r="H30" s="72" t="str">
        <f>IF(Adatok!$C$16+B30&gt;Adatok!$C$17,$B$19,Adatok!J29/Adatok!I29)</f>
        <v>-</v>
      </c>
      <c r="I30" s="81" t="str">
        <f>IF(Adatok!$C$16+$B30&lt;Adatok!$C$17+1,((((Adatok!$C$13*Adatok!$C$20*Adatok!$I29*Adatok!$J29)/(8*(VLOOKUP(I$19,Számítás!$B$19:$H$63,7,FALSE))))+((Adatok!$C$13^3*Adatok!$C$20^3*Adatok!$I29^3*Adatok!$J29)/(384*(VLOOKUP(I$19,Számítás!$B$19:$H$63,7,FALSE))^3)))*100),$B$19)</f>
        <v>-</v>
      </c>
      <c r="J30" s="33" t="str">
        <f>IF(AND($I$19+I$17*Adatok!$F$11&gt;Adatok!$F$10-0.01,Adatok!$C$16+$B30&lt;Adatok!$C$17+1),((Adatok!$C$13*Adatok!$C$20*Adatok!$I29*Adatok!$J29)/(8*(VLOOKUP(J$19,Számítás!$B$19:$H$63,7,FALSE)))+(Adatok!$C$13^3*Adatok!$C$20^3*Adatok!$I29^3*Adatok!$J29)/(384*(VLOOKUP(J$19,Számítás!$B$19:$H$63,7,FALSE))^3))*100,$B$19)</f>
        <v>-</v>
      </c>
      <c r="K30" s="33" t="str">
        <f>IF(AND($I$19+J$17*Adatok!$F$11&gt;Adatok!$F$10-0.01,Adatok!$C$16+$B30&lt;Adatok!$C$17+1),((Adatok!$C$13*Adatok!$C$20*Adatok!$I29*Adatok!$J29)/(8*(VLOOKUP(K$19,Számítás!$B$19:$H$63,7,FALSE)))+(Adatok!$C$13^3*Adatok!$C$20^3*Adatok!$I29^3*Adatok!$J29)/(384*(VLOOKUP(K$19,Számítás!$B$19:$H$63,7,FALSE))^3))*100,$B$19)</f>
        <v>-</v>
      </c>
      <c r="L30" s="33" t="str">
        <f>IF(AND($I$19+K$17*Adatok!$F$11&gt;Adatok!$F$10-0.01,Adatok!$C$16+$B30&lt;Adatok!$C$17+1),((Adatok!$C$13*Adatok!$C$20*Adatok!$I29*Adatok!$J29)/(8*(VLOOKUP(L$19,Számítás!$B$19:$H$63,7,FALSE)))+(Adatok!$C$13^3*Adatok!$C$20^3*Adatok!$I29^3*Adatok!$J29)/(384*(VLOOKUP(L$19,Számítás!$B$19:$H$63,7,FALSE))^3))*100,$B$19)</f>
        <v>-</v>
      </c>
      <c r="M30" s="33" t="str">
        <f>IF(AND($I$19+L$17*Adatok!$F$11&gt;Adatok!$F$10-0.01,Adatok!$C$16+$B30&lt;Adatok!$C$17+1),((Adatok!$C$13*Adatok!$C$20*Adatok!$I29*Adatok!$J29)/(8*(VLOOKUP(M$19,Számítás!$B$19:$H$63,7,FALSE)))+(Adatok!$C$13^3*Adatok!$C$20^3*Adatok!$I29^3*Adatok!$J29)/(384*(VLOOKUP(M$19,Számítás!$B$19:$H$63,7,FALSE))^3))*100,$B$19)</f>
        <v>-</v>
      </c>
      <c r="N30" s="33" t="str">
        <f>IF(AND($I$19+M$17*Adatok!$F$11&gt;Adatok!$F$10-0.01,Adatok!$C$16+$B30&lt;Adatok!$C$17+1),((Adatok!$C$13*Adatok!$C$20*Adatok!$I29*Adatok!$J29)/(8*(VLOOKUP(N$19,Számítás!$B$19:$H$63,7,FALSE)))+(Adatok!$C$13^3*Adatok!$C$20^3*Adatok!$I29^3*Adatok!$J29)/(384*(VLOOKUP(N$19,Számítás!$B$19:$H$63,7,FALSE))^3))*100,$B$19)</f>
        <v>-</v>
      </c>
      <c r="O30" s="33" t="str">
        <f>IF(AND($I$19+N$17*Adatok!$F$11&gt;Adatok!$F$10-0.01,Adatok!$C$16+$B30&lt;Adatok!$C$17+1),((Adatok!$C$13*Adatok!$C$20*Adatok!$I29*Adatok!$J29)/(8*(VLOOKUP(O$19,Számítás!$B$19:$H$63,7,FALSE)))+(Adatok!$C$13^3*Adatok!$C$20^3*Adatok!$I29^3*Adatok!$J29)/(384*(VLOOKUP(O$19,Számítás!$B$19:$H$63,7,FALSE))^3))*100,$B$19)</f>
        <v>-</v>
      </c>
      <c r="P30" s="33" t="str">
        <f>IF(AND($I$19+O$17*Adatok!$F$11&gt;Adatok!$F$10-0.01,Adatok!$C$16+$B30&lt;Adatok!$C$17+1),((Adatok!$C$13*Adatok!$C$20*Adatok!$I29*Adatok!$J29)/(8*(VLOOKUP(P$19,Számítás!$B$19:$H$63,7,FALSE)))+(Adatok!$C$13^3*Adatok!$C$20^3*Adatok!$I29^3*Adatok!$J29)/(384*(VLOOKUP(P$19,Számítás!$B$19:$H$63,7,FALSE))^3))*100,$B$19)</f>
        <v>-</v>
      </c>
      <c r="Q30" s="33" t="str">
        <f>IF(AND($I$19+P$17*Adatok!$F$11&gt;Adatok!$F$10-0.01,Adatok!$C$16+$B30&lt;Adatok!$C$17+1),((Adatok!$C$13*Adatok!$C$20*Adatok!$I29*Adatok!$J29)/(8*(VLOOKUP(Q$19,Számítás!$B$19:$H$63,7,FALSE)))+(Adatok!$C$13^3*Adatok!$C$20^3*Adatok!$I29^3*Adatok!$J29)/(384*(VLOOKUP(Q$19,Számítás!$B$19:$H$63,7,FALSE))^3))*100,$B$19)</f>
        <v>-</v>
      </c>
      <c r="R30" s="33" t="str">
        <f>IF(AND($I$19+Q$17*Adatok!$F$11&gt;Adatok!$F$10-0.01,Adatok!$C$16+$B30&lt;Adatok!$C$17+1),((Adatok!$C$13*Adatok!$C$20*Adatok!$I29*Adatok!$J29)/(8*(VLOOKUP(R$19,Számítás!$B$19:$H$63,7,FALSE)))+(Adatok!$C$13^3*Adatok!$C$20^3*Adatok!$I29^3*Adatok!$J29)/(384*(VLOOKUP(R$19,Számítás!$B$19:$H$63,7,FALSE))^3))*100,$B$19)</f>
        <v>-</v>
      </c>
      <c r="S30" s="33" t="str">
        <f>IF(AND($I$19+R$17*Adatok!$F$11&gt;Adatok!$F$10-0.01,Adatok!$C$16+$B30&lt;Adatok!$C$17+1),((Adatok!$C$13*Adatok!$C$20*Adatok!$I29*Adatok!$J29)/(8*(VLOOKUP(S$19,Számítás!$B$19:$H$63,7,FALSE)))+(Adatok!$C$13^3*Adatok!$C$20^3*Adatok!$I29^3*Adatok!$J29)/(384*(VLOOKUP(S$19,Számítás!$B$19:$H$63,7,FALSE))^3))*100,$B$19)</f>
        <v>-</v>
      </c>
      <c r="T30" s="33" t="str">
        <f>IF(AND($I$19+S$17*Adatok!$F$11&gt;Adatok!$F$10-0.01,Adatok!$C$16+$B30&lt;Adatok!$C$17+1),((Adatok!$C$13*Adatok!$C$20*Adatok!$I29*Adatok!$J29)/(8*(VLOOKUP(T$19,Számítás!$B$19:$H$63,7,FALSE)))+(Adatok!$C$13^3*Adatok!$C$20^3*Adatok!$I29^3*Adatok!$J29)/(384*(VLOOKUP(T$19,Számítás!$B$19:$H$63,7,FALSE))^3))*100,$B$19)</f>
        <v>-</v>
      </c>
      <c r="U30" s="33" t="str">
        <f>IF(AND($I$19+T$17*Adatok!$F$11&gt;Adatok!$F$10-0.01,Adatok!$C$16+$B30&lt;Adatok!$C$17+1),((Adatok!$C$13*Adatok!$C$20*Adatok!$I29*Adatok!$J29)/(8*(VLOOKUP(U$19,Számítás!$B$19:$H$63,7,FALSE)))+(Adatok!$C$13^3*Adatok!$C$20^3*Adatok!$I29^3*Adatok!$J29)/(384*(VLOOKUP(U$19,Számítás!$B$19:$H$63,7,FALSE))^3))*100,$B$19)</f>
        <v>-</v>
      </c>
      <c r="V30" s="33" t="str">
        <f>IF(AND($I$19+U$17*Adatok!$F$11&gt;Adatok!$F$10-0.01,Adatok!$C$16+$B30&lt;Adatok!$C$17+1),((Adatok!$C$13*Adatok!$C$20*Adatok!$I29*Adatok!$J29)/(8*(VLOOKUP(V$19,Számítás!$B$19:$H$63,7,FALSE)))+(Adatok!$C$13^3*Adatok!$C$20^3*Adatok!$I29^3*Adatok!$J29)/(384*(VLOOKUP(V$19,Számítás!$B$19:$H$63,7,FALSE))^3))*100,$B$19)</f>
        <v>-</v>
      </c>
      <c r="W30" s="33" t="str">
        <f>IF(AND($I$19+V$17*Adatok!$F$11&gt;Adatok!$F$10-0.01,Adatok!$C$16+$B30&lt;Adatok!$C$17+1),((Adatok!$C$13*Adatok!$C$20*Adatok!$I29*Adatok!$J29)/(8*(VLOOKUP(W$19,Számítás!$B$19:$H$63,7,FALSE)))+(Adatok!$C$13^3*Adatok!$C$20^3*Adatok!$I29^3*Adatok!$J29)/(384*(VLOOKUP(W$19,Számítás!$B$19:$H$63,7,FALSE))^3))*100,$B$19)</f>
        <v>-</v>
      </c>
      <c r="X30" s="33" t="str">
        <f>IF(AND($I$19+W$17*Adatok!$F$11&gt;Adatok!$F$10-0.01,Adatok!$C$16+$B30&lt;Adatok!$C$17+1),((Adatok!$C$13*Adatok!$C$20*Adatok!$I29*Adatok!$J29)/(8*(VLOOKUP(X$19,Számítás!$B$19:$H$63,7,FALSE)))+(Adatok!$C$13^3*Adatok!$C$20^3*Adatok!$I29^3*Adatok!$J29)/(384*(VLOOKUP(X$19,Számítás!$B$19:$H$63,7,FALSE))^3))*100,$B$19)</f>
        <v>-</v>
      </c>
      <c r="Y30" s="33" t="str">
        <f>IF(AND($I$19+X$17*Adatok!$F$11&gt;Adatok!$F$10-0.01,Adatok!$C$16+$B30&lt;Adatok!$C$17+1),((Adatok!$C$13*Adatok!$C$20*Adatok!$I29*Adatok!$J29)/(8*(VLOOKUP(Y$19,Számítás!$B$19:$H$63,7,FALSE)))+(Adatok!$C$13^3*Adatok!$C$20^3*Adatok!$I29^3*Adatok!$J29)/(384*(VLOOKUP(Y$19,Számítás!$B$19:$H$63,7,FALSE))^3))*100,$B$19)</f>
        <v>-</v>
      </c>
      <c r="Z30" s="33" t="str">
        <f>IF(AND($I$19+Y$17*Adatok!$F$11&gt;Adatok!$F$10-0.01,Adatok!$C$16+$B30&lt;Adatok!$C$17+1),((Adatok!$C$13*Adatok!$C$20*Adatok!$I29*Adatok!$J29)/(8*(VLOOKUP(Z$19,Számítás!$B$19:$H$63,7,FALSE)))+(Adatok!$C$13^3*Adatok!$C$20^3*Adatok!$I29^3*Adatok!$J29)/(384*(VLOOKUP(Z$19,Számítás!$B$19:$H$63,7,FALSE))^3))*100,$B$19)</f>
        <v>-</v>
      </c>
      <c r="AA30" s="33" t="str">
        <f>IF(AND($I$19+Z$17*Adatok!$F$11&gt;Adatok!$F$10-0.01,Adatok!$C$16+$B30&lt;Adatok!$C$17+1),((Adatok!$C$13*Adatok!$C$20*Adatok!$I29*Adatok!$J29)/(8*(VLOOKUP(AA$19,Számítás!$B$19:$H$63,7,FALSE)))+(Adatok!$C$13^3*Adatok!$C$20^3*Adatok!$I29^3*Adatok!$J29)/(384*(VLOOKUP(AA$19,Számítás!$B$19:$H$63,7,FALSE))^3))*100,$B$19)</f>
        <v>-</v>
      </c>
      <c r="AB30" s="33" t="str">
        <f>IF(AND($I$19+AA$17*Adatok!$F$11&gt;Adatok!$F$10-0.01,Adatok!$C$16+$B30&lt;Adatok!$C$17+1),((Adatok!$C$13*Adatok!$C$20*Adatok!$I29*Adatok!$J29)/(8*(VLOOKUP(AB$19,Számítás!$B$19:$H$63,7,FALSE)))+(Adatok!$C$13^3*Adatok!$C$20^3*Adatok!$I29^3*Adatok!$J29)/(384*(VLOOKUP(AB$19,Számítás!$B$19:$H$63,7,FALSE))^3))*100,$B$19)</f>
        <v>-</v>
      </c>
      <c r="AC30" s="33" t="str">
        <f>IF(AND($I$19+AB$17*Adatok!$F$11&gt;Adatok!$F$10-0.01,Adatok!$C$16+$B30&lt;Adatok!$C$17+1),((Adatok!$C$13*Adatok!$C$20*Adatok!$I29*Adatok!$J29)/(8*(VLOOKUP(AC$19,Számítás!$B$19:$H$63,7,FALSE)))+(Adatok!$C$13^3*Adatok!$C$20^3*Adatok!$I29^3*Adatok!$J29)/(384*(VLOOKUP(AC$19,Számítás!$B$19:$H$63,7,FALSE))^3))*100,$B$19)</f>
        <v>-</v>
      </c>
      <c r="AD30" s="33" t="str">
        <f>IF(AND($I$19+AC$17*Adatok!$F$11&gt;Adatok!$F$10-0.01,Adatok!$C$16+$B30&lt;Adatok!$C$17+1),((Adatok!$C$13*Adatok!$C$20*Adatok!$I29*Adatok!$J29)/(8*(VLOOKUP(AD$19,Számítás!$B$19:$H$63,7,FALSE)))+(Adatok!$C$13^3*Adatok!$C$20^3*Adatok!$I29^3*Adatok!$J29)/(384*(VLOOKUP(AD$19,Számítás!$B$19:$H$63,7,FALSE))^3))*100,$B$19)</f>
        <v>-</v>
      </c>
      <c r="AE30" s="33" t="str">
        <f>IF(AND($I$19+AD$17*Adatok!$F$11&gt;Adatok!$F$10-0.01,Adatok!$C$16+$B30&lt;Adatok!$C$17+1),((Adatok!$C$13*Adatok!$C$20*Adatok!$I29*Adatok!$J29)/(8*(VLOOKUP(AE$19,Számítás!$B$19:$H$63,7,FALSE)))+(Adatok!$C$13^3*Adatok!$C$20^3*Adatok!$I29^3*Adatok!$J29)/(384*(VLOOKUP(AE$19,Számítás!$B$19:$H$63,7,FALSE))^3))*100,$B$19)</f>
        <v>-</v>
      </c>
      <c r="AF30" s="33" t="str">
        <f>IF(AND($I$19+AE$17*Adatok!$F$11&gt;Adatok!$F$10-0.01,Adatok!$C$16+$B30&lt;Adatok!$C$17+1),((Adatok!$C$13*Adatok!$C$20*Adatok!$I29*Adatok!$J29)/(8*(VLOOKUP(AF$19,Számítás!$B$19:$H$63,7,FALSE)))+(Adatok!$C$13^3*Adatok!$C$20^3*Adatok!$I29^3*Adatok!$J29)/(384*(VLOOKUP(AF$19,Számítás!$B$19:$H$63,7,FALSE))^3))*100,$B$19)</f>
        <v>-</v>
      </c>
      <c r="AG30" s="33" t="str">
        <f>IF(AND($I$19+AF$17*Adatok!$F$11&gt;Adatok!$F$10-0.01,Adatok!$C$16+$B30&lt;Adatok!$C$17+1),((Adatok!$C$13*Adatok!$C$20*Adatok!$I29*Adatok!$J29)/(8*(VLOOKUP(AG$19,Számítás!$B$19:$H$63,7,FALSE)))+(Adatok!$C$13^3*Adatok!$C$20^3*Adatok!$I29^3*Adatok!$J29)/(384*(VLOOKUP(AG$19,Számítás!$B$19:$H$63,7,FALSE))^3))*100,$B$19)</f>
        <v>-</v>
      </c>
      <c r="AH30" s="33" t="str">
        <f>IF(AND($I$19+AG$17*Adatok!$F$11&gt;Adatok!$F$10-0.01,Adatok!$C$16+$B30&lt;Adatok!$C$17+1),((Adatok!$C$13*Adatok!$C$20*Adatok!$I29*Adatok!$J29)/(8*(VLOOKUP(AH$19,Számítás!$B$19:$H$63,7,FALSE)))+(Adatok!$C$13^3*Adatok!$C$20^3*Adatok!$I29^3*Adatok!$J29)/(384*(VLOOKUP(AH$19,Számítás!$B$19:$H$63,7,FALSE))^3))*100,$B$19)</f>
        <v>-</v>
      </c>
      <c r="AI30" s="33" t="str">
        <f>IF(AND($I$19+AH$17*Adatok!$F$11&gt;Adatok!$F$10-0.01,Adatok!$C$16+$B30&lt;Adatok!$C$17+1),((Adatok!$C$13*Adatok!$C$20*Adatok!$I29*Adatok!$J29)/(8*(VLOOKUP(AI$19,Számítás!$B$19:$H$63,7,FALSE)))+(Adatok!$C$13^3*Adatok!$C$20^3*Adatok!$I29^3*Adatok!$J29)/(384*(VLOOKUP(AI$19,Számítás!$B$19:$H$63,7,FALSE))^3))*100,$B$19)</f>
        <v>-</v>
      </c>
      <c r="AJ30" s="33" t="str">
        <f>IF(AND($I$19+AI$17*Adatok!$F$11&gt;Adatok!$F$10-0.01,Adatok!$C$16+$B30&lt;Adatok!$C$17+1),((Adatok!$C$13*Adatok!$C$20*Adatok!$I29*Adatok!$J29)/(8*(VLOOKUP(AJ$19,Számítás!$B$19:$H$63,7,FALSE)))+(Adatok!$C$13^3*Adatok!$C$20^3*Adatok!$I29^3*Adatok!$J29)/(384*(VLOOKUP(AJ$19,Számítás!$B$19:$H$63,7,FALSE))^3))*100,$B$19)</f>
        <v>-</v>
      </c>
      <c r="AK30" s="33" t="str">
        <f>IF(AND($I$19+AJ$17*Adatok!$F$11&gt;Adatok!$F$10-0.01,Adatok!$C$16+$B30&lt;Adatok!$C$17+1),((Adatok!$C$13*Adatok!$C$20*Adatok!$I29*Adatok!$J29)/(8*(VLOOKUP(AK$19,Számítás!$B$19:$H$63,7,FALSE)))+(Adatok!$C$13^3*Adatok!$C$20^3*Adatok!$I29^3*Adatok!$J29)/(384*(VLOOKUP(AK$19,Számítás!$B$19:$H$63,7,FALSE))^3))*100,$B$19)</f>
        <v>-</v>
      </c>
      <c r="AL30" s="33" t="str">
        <f>IF(AND($I$19+AK$17*Adatok!$F$11&gt;Adatok!$F$10-0.01,Adatok!$C$16+$B30&lt;Adatok!$C$17+1),((Adatok!$C$13*Adatok!$C$20*Adatok!$I29*Adatok!$J29)/(8*(VLOOKUP(AL$19,Számítás!$B$19:$H$63,7,FALSE)))+(Adatok!$C$13^3*Adatok!$C$20^3*Adatok!$I29^3*Adatok!$J29)/(384*(VLOOKUP(AL$19,Számítás!$B$19:$H$63,7,FALSE))^3))*100,$B$19)</f>
        <v>-</v>
      </c>
      <c r="AM30" s="33" t="str">
        <f>IF(AND($I$19+AL$17*Adatok!$F$11&gt;Adatok!$F$10-0.01,Adatok!$C$16+$B30&lt;Adatok!$C$17+1),((Adatok!$C$13*Adatok!$C$20*Adatok!$I29*Adatok!$J29)/(8*(VLOOKUP(AM$19,Számítás!$B$19:$H$63,7,FALSE)))+(Adatok!$C$13^3*Adatok!$C$20^3*Adatok!$I29^3*Adatok!$J29)/(384*(VLOOKUP(AM$19,Számítás!$B$19:$H$63,7,FALSE))^3))*100,$B$19)</f>
        <v>-</v>
      </c>
      <c r="AN30" s="33" t="str">
        <f>IF(AND($I$19+AM$17*Adatok!$F$11&gt;Adatok!$F$10-0.01,Adatok!$C$16+$B30&lt;Adatok!$C$17+1),((Adatok!$C$13*Adatok!$C$20*Adatok!$I29*Adatok!$J29)/(8*(VLOOKUP(AN$19,Számítás!$B$19:$H$63,7,FALSE)))+(Adatok!$C$13^3*Adatok!$C$20^3*Adatok!$I29^3*Adatok!$J29)/(384*(VLOOKUP(AN$19,Számítás!$B$19:$H$63,7,FALSE))^3))*100,$B$19)</f>
        <v>-</v>
      </c>
      <c r="AO30" s="33" t="str">
        <f>IF(AND($I$19+AN$17*Adatok!$F$11&gt;Adatok!$F$10-0.01,Adatok!$C$16+$B30&lt;Adatok!$C$17+1),((Adatok!$C$13*Adatok!$C$20*Adatok!$I29*Adatok!$J29)/(8*(VLOOKUP(AO$19,Számítás!$B$19:$H$63,7,FALSE)))+(Adatok!$C$13^3*Adatok!$C$20^3*Adatok!$I29^3*Adatok!$J29)/(384*(VLOOKUP(AO$19,Számítás!$B$19:$H$63,7,FALSE))^3))*100,$B$19)</f>
        <v>-</v>
      </c>
      <c r="AP30" s="33" t="str">
        <f>IF(AND($I$19+AO$17*Adatok!$F$11&gt;Adatok!$F$10-0.01,Adatok!$C$16+$B30&lt;Adatok!$C$17+1),((Adatok!$C$13*Adatok!$C$20*Adatok!$I29*Adatok!$J29)/(8*(VLOOKUP(AP$19,Számítás!$B$19:$H$63,7,FALSE)))+(Adatok!$C$13^3*Adatok!$C$20^3*Adatok!$I29^3*Adatok!$J29)/(384*(VLOOKUP(AP$19,Számítás!$B$19:$H$63,7,FALSE))^3))*100,$B$19)</f>
        <v>-</v>
      </c>
      <c r="AQ30" s="33" t="str">
        <f>IF(AND($I$19+AP$17*Adatok!$F$11&gt;Adatok!$F$10-0.01,Adatok!$C$16+$B30&lt;Adatok!$C$17+1),((Adatok!$C$13*Adatok!$C$20*Adatok!$I29*Adatok!$J29)/(8*(VLOOKUP(AQ$19,Számítás!$B$19:$H$63,7,FALSE)))+(Adatok!$C$13^3*Adatok!$C$20^3*Adatok!$I29^3*Adatok!$J29)/(384*(VLOOKUP(AQ$19,Számítás!$B$19:$H$63,7,FALSE))^3))*100,$B$19)</f>
        <v>-</v>
      </c>
      <c r="AR30" s="33" t="str">
        <f>IF(AND($I$19+AQ$17*Adatok!$F$11&gt;Adatok!$F$10-0.01,Adatok!$C$16+$B30&lt;Adatok!$C$17+1),((Adatok!$C$13*Adatok!$C$20*Adatok!$I29*Adatok!$J29)/(8*(VLOOKUP(AR$19,Számítás!$B$19:$H$63,7,FALSE)))+(Adatok!$C$13^3*Adatok!$C$20^3*Adatok!$I29^3*Adatok!$J29)/(384*(VLOOKUP(AR$19,Számítás!$B$19:$H$63,7,FALSE))^3))*100,$B$19)</f>
        <v>-</v>
      </c>
      <c r="AS30" s="33" t="str">
        <f>IF(AND($I$19+AR$17*Adatok!$F$11&gt;Adatok!$F$10-0.01,Adatok!$C$16+$B30&lt;Adatok!$C$17+1),((Adatok!$C$13*Adatok!$C$20*Adatok!$I29*Adatok!$J29)/(8*(VLOOKUP(AS$19,Számítás!$B$19:$H$63,7,FALSE)))+(Adatok!$C$13^3*Adatok!$C$20^3*Adatok!$I29^3*Adatok!$J29)/(384*(VLOOKUP(AS$19,Számítás!$B$19:$H$63,7,FALSE))^3))*100,$B$19)</f>
        <v>-</v>
      </c>
      <c r="AT30" s="33" t="str">
        <f>IF(AND($I$19+AS$17*Adatok!$F$11&gt;Adatok!$F$10-0.01,Adatok!$C$16+$B30&lt;Adatok!$C$17+1),((Adatok!$C$13*Adatok!$C$20*Adatok!$I29*Adatok!$J29)/(8*(VLOOKUP(AT$19,Számítás!$B$19:$H$63,7,FALSE)))+(Adatok!$C$13^3*Adatok!$C$20^3*Adatok!$I29^3*Adatok!$J29)/(384*(VLOOKUP(AT$19,Számítás!$B$19:$H$63,7,FALSE))^3))*100,$B$19)</f>
        <v>-</v>
      </c>
      <c r="AU30" s="33" t="str">
        <f>IF(AND($I$19+AT$17*Adatok!$F$11&gt;Adatok!$F$10-0.01,Adatok!$C$16+$B30&lt;Adatok!$C$17+1),((Adatok!$C$13*Adatok!$C$20*Adatok!$I29*Adatok!$J29)/(8*(VLOOKUP(AU$19,Számítás!$B$19:$H$63,7,FALSE)))+(Adatok!$C$13^3*Adatok!$C$20^3*Adatok!$I29^3*Adatok!$J29)/(384*(VLOOKUP(AU$19,Számítás!$B$19:$H$63,7,FALSE))^3))*100,$B$19)</f>
        <v>-</v>
      </c>
      <c r="AV30" s="33" t="str">
        <f>IF(AND($I$19+AU$17*Adatok!$F$11&gt;Adatok!$F$10-0.01,Adatok!$C$16+$B30&lt;Adatok!$C$17+1),((Adatok!$C$13*Adatok!$C$20*Adatok!$I29*Adatok!$J29)/(8*(VLOOKUP(AV$19,Számítás!$B$19:$H$63,7,FALSE)))+(Adatok!$C$13^3*Adatok!$C$20^3*Adatok!$I29^3*Adatok!$J29)/(384*(VLOOKUP(AV$19,Számítás!$B$19:$H$63,7,FALSE))^3))*100,$B$19)</f>
        <v>-</v>
      </c>
      <c r="AW30" s="33" t="str">
        <f>IF(AND($I$19+AV$17*Adatok!$F$11&gt;Adatok!$F$10-0.01,Adatok!$C$16+$B30&lt;Adatok!$C$17+1),((Adatok!$C$13*Adatok!$C$20*Adatok!$I29*Adatok!$J29)/(8*(VLOOKUP(AW$19,Számítás!$B$19:$H$63,7,FALSE)))+(Adatok!$C$13^3*Adatok!$C$20^3*Adatok!$I29^3*Adatok!$J29)/(384*(VLOOKUP(AW$19,Számítás!$B$19:$H$63,7,FALSE))^3))*100,$B$19)</f>
        <v>-</v>
      </c>
      <c r="AX30" s="33" t="str">
        <f>IF(AND($I$19+AW$17*Adatok!$F$11&gt;Adatok!$F$10-0.01,Adatok!$C$16+$B30&lt;Adatok!$C$17+1),((Adatok!$C$13*Adatok!$C$20*Adatok!$I29*Adatok!$J29)/(8*(VLOOKUP(AX$19,Számítás!$B$19:$H$63,7,FALSE)))+(Adatok!$C$13^3*Adatok!$C$20^3*Adatok!$I29^3*Adatok!$J29)/(384*(VLOOKUP(AX$19,Számítás!$B$19:$H$63,7,FALSE))^3))*100,$B$19)</f>
        <v>-</v>
      </c>
      <c r="AY30" s="33" t="str">
        <f>IF(AND($I$19+AX$17*Adatok!$F$11&gt;Adatok!$F$10-0.01,Adatok!$C$16+$B30&lt;Adatok!$C$17+1),((Adatok!$C$13*Adatok!$C$20*Adatok!$I29*Adatok!$J29)/(8*(VLOOKUP(AY$19,Számítás!$B$19:$H$63,7,FALSE)))+(Adatok!$C$13^3*Adatok!$C$20^3*Adatok!$I29^3*Adatok!$J29)/(384*(VLOOKUP(AY$19,Számítás!$B$19:$H$63,7,FALSE))^3))*100,$B$19)</f>
        <v>-</v>
      </c>
      <c r="AZ30" s="33" t="str">
        <f>IF(AND($I$19+AY$17*Adatok!$F$11&gt;Adatok!$F$10-0.01,Adatok!$C$16+$B30&lt;Adatok!$C$17+1),((Adatok!$C$13*Adatok!$C$20*Adatok!$I29*Adatok!$J29)/(8*(VLOOKUP(AZ$19,Számítás!$B$19:$H$63,7,FALSE)))+(Adatok!$C$13^3*Adatok!$C$20^3*Adatok!$I29^3*Adatok!$J29)/(384*(VLOOKUP(AZ$19,Számítás!$B$19:$H$63,7,FALSE))^3))*100,$B$19)</f>
        <v>-</v>
      </c>
      <c r="BA30" s="33" t="str">
        <f>IF(AND($I$19+AZ$17*Adatok!$F$11&gt;Adatok!$F$10-0.01,Adatok!$C$16+$B30&lt;Adatok!$C$17+1),((Adatok!$C$13*Adatok!$C$20*Adatok!$I29*Adatok!$J29)/(8*(VLOOKUP(BA$19,Számítás!$B$19:$H$63,7,FALSE)))+(Adatok!$C$13^3*Adatok!$C$20^3*Adatok!$I29^3*Adatok!$J29)/(384*(VLOOKUP(BA$19,Számítás!$B$19:$H$63,7,FALSE))^3))*100,$B$19)</f>
        <v>-</v>
      </c>
    </row>
    <row r="31" spans="1:53" ht="18" customHeight="1" x14ac:dyDescent="0.25">
      <c r="B31" s="1">
        <v>12</v>
      </c>
      <c r="C31" s="333" t="str">
        <f>Adatok!F30</f>
        <v>-</v>
      </c>
      <c r="D31" s="32" t="s">
        <v>27</v>
      </c>
      <c r="E31" s="336" t="str">
        <f>Adatok!H30</f>
        <v>-</v>
      </c>
      <c r="F31" s="64" t="str">
        <f>IF(Adatok!$C$16+B31&gt;Adatok!$C$17,$B$19,Adatok!I30)</f>
        <v>-</v>
      </c>
      <c r="G31" s="60"/>
      <c r="H31" s="72" t="str">
        <f>IF(Adatok!$C$16+B31&gt;Adatok!$C$17,$B$19,Adatok!J30/Adatok!I30)</f>
        <v>-</v>
      </c>
      <c r="I31" s="81" t="str">
        <f>IF(Adatok!$C$16+$B31&lt;Adatok!$C$17+1,((((Adatok!$C$13*Adatok!$C$20*Adatok!$I30*Adatok!$J30)/(8*(VLOOKUP(I$19,Számítás!$B$19:$H$63,7,FALSE))))+((Adatok!$C$13^3*Adatok!$C$20^3*Adatok!$I30^3*Adatok!$J30)/(384*(VLOOKUP(I$19,Számítás!$B$19:$H$63,7,FALSE))^3)))*100),$B$19)</f>
        <v>-</v>
      </c>
      <c r="J31" s="33" t="str">
        <f>IF(AND($I$19+I$17*Adatok!$F$11&gt;Adatok!$F$10-0.01,Adatok!$C$16+$B31&lt;Adatok!$C$17+1),((Adatok!$C$13*Adatok!$C$20*Adatok!$I30*Adatok!$J30)/(8*(VLOOKUP(J$19,Számítás!$B$19:$H$63,7,FALSE)))+(Adatok!$C$13^3*Adatok!$C$20^3*Adatok!$I30^3*Adatok!$J30)/(384*(VLOOKUP(J$19,Számítás!$B$19:$H$63,7,FALSE))^3))*100,$B$19)</f>
        <v>-</v>
      </c>
      <c r="K31" s="33" t="str">
        <f>IF(AND($I$19+J$17*Adatok!$F$11&gt;Adatok!$F$10-0.01,Adatok!$C$16+$B31&lt;Adatok!$C$17+1),((Adatok!$C$13*Adatok!$C$20*Adatok!$I30*Adatok!$J30)/(8*(VLOOKUP(K$19,Számítás!$B$19:$H$63,7,FALSE)))+(Adatok!$C$13^3*Adatok!$C$20^3*Adatok!$I30^3*Adatok!$J30)/(384*(VLOOKUP(K$19,Számítás!$B$19:$H$63,7,FALSE))^3))*100,$B$19)</f>
        <v>-</v>
      </c>
      <c r="L31" s="33" t="str">
        <f>IF(AND($I$19+K$17*Adatok!$F$11&gt;Adatok!$F$10-0.01,Adatok!$C$16+$B31&lt;Adatok!$C$17+1),((Adatok!$C$13*Adatok!$C$20*Adatok!$I30*Adatok!$J30)/(8*(VLOOKUP(L$19,Számítás!$B$19:$H$63,7,FALSE)))+(Adatok!$C$13^3*Adatok!$C$20^3*Adatok!$I30^3*Adatok!$J30)/(384*(VLOOKUP(L$19,Számítás!$B$19:$H$63,7,FALSE))^3))*100,$B$19)</f>
        <v>-</v>
      </c>
      <c r="M31" s="33" t="str">
        <f>IF(AND($I$19+L$17*Adatok!$F$11&gt;Adatok!$F$10-0.01,Adatok!$C$16+$B31&lt;Adatok!$C$17+1),((Adatok!$C$13*Adatok!$C$20*Adatok!$I30*Adatok!$J30)/(8*(VLOOKUP(M$19,Számítás!$B$19:$H$63,7,FALSE)))+(Adatok!$C$13^3*Adatok!$C$20^3*Adatok!$I30^3*Adatok!$J30)/(384*(VLOOKUP(M$19,Számítás!$B$19:$H$63,7,FALSE))^3))*100,$B$19)</f>
        <v>-</v>
      </c>
      <c r="N31" s="33" t="str">
        <f>IF(AND($I$19+M$17*Adatok!$F$11&gt;Adatok!$F$10-0.01,Adatok!$C$16+$B31&lt;Adatok!$C$17+1),((Adatok!$C$13*Adatok!$C$20*Adatok!$I30*Adatok!$J30)/(8*(VLOOKUP(N$19,Számítás!$B$19:$H$63,7,FALSE)))+(Adatok!$C$13^3*Adatok!$C$20^3*Adatok!$I30^3*Adatok!$J30)/(384*(VLOOKUP(N$19,Számítás!$B$19:$H$63,7,FALSE))^3))*100,$B$19)</f>
        <v>-</v>
      </c>
      <c r="O31" s="33" t="str">
        <f>IF(AND($I$19+N$17*Adatok!$F$11&gt;Adatok!$F$10-0.01,Adatok!$C$16+$B31&lt;Adatok!$C$17+1),((Adatok!$C$13*Adatok!$C$20*Adatok!$I30*Adatok!$J30)/(8*(VLOOKUP(O$19,Számítás!$B$19:$H$63,7,FALSE)))+(Adatok!$C$13^3*Adatok!$C$20^3*Adatok!$I30^3*Adatok!$J30)/(384*(VLOOKUP(O$19,Számítás!$B$19:$H$63,7,FALSE))^3))*100,$B$19)</f>
        <v>-</v>
      </c>
      <c r="P31" s="33" t="str">
        <f>IF(AND($I$19+O$17*Adatok!$F$11&gt;Adatok!$F$10-0.01,Adatok!$C$16+$B31&lt;Adatok!$C$17+1),((Adatok!$C$13*Adatok!$C$20*Adatok!$I30*Adatok!$J30)/(8*(VLOOKUP(P$19,Számítás!$B$19:$H$63,7,FALSE)))+(Adatok!$C$13^3*Adatok!$C$20^3*Adatok!$I30^3*Adatok!$J30)/(384*(VLOOKUP(P$19,Számítás!$B$19:$H$63,7,FALSE))^3))*100,$B$19)</f>
        <v>-</v>
      </c>
      <c r="Q31" s="33" t="str">
        <f>IF(AND($I$19+P$17*Adatok!$F$11&gt;Adatok!$F$10-0.01,Adatok!$C$16+$B31&lt;Adatok!$C$17+1),((Adatok!$C$13*Adatok!$C$20*Adatok!$I30*Adatok!$J30)/(8*(VLOOKUP(Q$19,Számítás!$B$19:$H$63,7,FALSE)))+(Adatok!$C$13^3*Adatok!$C$20^3*Adatok!$I30^3*Adatok!$J30)/(384*(VLOOKUP(Q$19,Számítás!$B$19:$H$63,7,FALSE))^3))*100,$B$19)</f>
        <v>-</v>
      </c>
      <c r="R31" s="33" t="str">
        <f>IF(AND($I$19+Q$17*Adatok!$F$11&gt;Adatok!$F$10-0.01,Adatok!$C$16+$B31&lt;Adatok!$C$17+1),((Adatok!$C$13*Adatok!$C$20*Adatok!$I30*Adatok!$J30)/(8*(VLOOKUP(R$19,Számítás!$B$19:$H$63,7,FALSE)))+(Adatok!$C$13^3*Adatok!$C$20^3*Adatok!$I30^3*Adatok!$J30)/(384*(VLOOKUP(R$19,Számítás!$B$19:$H$63,7,FALSE))^3))*100,$B$19)</f>
        <v>-</v>
      </c>
      <c r="S31" s="33" t="str">
        <f>IF(AND($I$19+R$17*Adatok!$F$11&gt;Adatok!$F$10-0.01,Adatok!$C$16+$B31&lt;Adatok!$C$17+1),((Adatok!$C$13*Adatok!$C$20*Adatok!$I30*Adatok!$J30)/(8*(VLOOKUP(S$19,Számítás!$B$19:$H$63,7,FALSE)))+(Adatok!$C$13^3*Adatok!$C$20^3*Adatok!$I30^3*Adatok!$J30)/(384*(VLOOKUP(S$19,Számítás!$B$19:$H$63,7,FALSE))^3))*100,$B$19)</f>
        <v>-</v>
      </c>
      <c r="T31" s="33" t="str">
        <f>IF(AND($I$19+S$17*Adatok!$F$11&gt;Adatok!$F$10-0.01,Adatok!$C$16+$B31&lt;Adatok!$C$17+1),((Adatok!$C$13*Adatok!$C$20*Adatok!$I30*Adatok!$J30)/(8*(VLOOKUP(T$19,Számítás!$B$19:$H$63,7,FALSE)))+(Adatok!$C$13^3*Adatok!$C$20^3*Adatok!$I30^3*Adatok!$J30)/(384*(VLOOKUP(T$19,Számítás!$B$19:$H$63,7,FALSE))^3))*100,$B$19)</f>
        <v>-</v>
      </c>
      <c r="U31" s="33" t="str">
        <f>IF(AND($I$19+T$17*Adatok!$F$11&gt;Adatok!$F$10-0.01,Adatok!$C$16+$B31&lt;Adatok!$C$17+1),((Adatok!$C$13*Adatok!$C$20*Adatok!$I30*Adatok!$J30)/(8*(VLOOKUP(U$19,Számítás!$B$19:$H$63,7,FALSE)))+(Adatok!$C$13^3*Adatok!$C$20^3*Adatok!$I30^3*Adatok!$J30)/(384*(VLOOKUP(U$19,Számítás!$B$19:$H$63,7,FALSE))^3))*100,$B$19)</f>
        <v>-</v>
      </c>
      <c r="V31" s="33" t="str">
        <f>IF(AND($I$19+U$17*Adatok!$F$11&gt;Adatok!$F$10-0.01,Adatok!$C$16+$B31&lt;Adatok!$C$17+1),((Adatok!$C$13*Adatok!$C$20*Adatok!$I30*Adatok!$J30)/(8*(VLOOKUP(V$19,Számítás!$B$19:$H$63,7,FALSE)))+(Adatok!$C$13^3*Adatok!$C$20^3*Adatok!$I30^3*Adatok!$J30)/(384*(VLOOKUP(V$19,Számítás!$B$19:$H$63,7,FALSE))^3))*100,$B$19)</f>
        <v>-</v>
      </c>
      <c r="W31" s="33" t="str">
        <f>IF(AND($I$19+V$17*Adatok!$F$11&gt;Adatok!$F$10-0.01,Adatok!$C$16+$B31&lt;Adatok!$C$17+1),((Adatok!$C$13*Adatok!$C$20*Adatok!$I30*Adatok!$J30)/(8*(VLOOKUP(W$19,Számítás!$B$19:$H$63,7,FALSE)))+(Adatok!$C$13^3*Adatok!$C$20^3*Adatok!$I30^3*Adatok!$J30)/(384*(VLOOKUP(W$19,Számítás!$B$19:$H$63,7,FALSE))^3))*100,$B$19)</f>
        <v>-</v>
      </c>
      <c r="X31" s="33" t="str">
        <f>IF(AND($I$19+W$17*Adatok!$F$11&gt;Adatok!$F$10-0.01,Adatok!$C$16+$B31&lt;Adatok!$C$17+1),((Adatok!$C$13*Adatok!$C$20*Adatok!$I30*Adatok!$J30)/(8*(VLOOKUP(X$19,Számítás!$B$19:$H$63,7,FALSE)))+(Adatok!$C$13^3*Adatok!$C$20^3*Adatok!$I30^3*Adatok!$J30)/(384*(VLOOKUP(X$19,Számítás!$B$19:$H$63,7,FALSE))^3))*100,$B$19)</f>
        <v>-</v>
      </c>
      <c r="Y31" s="33" t="str">
        <f>IF(AND($I$19+X$17*Adatok!$F$11&gt;Adatok!$F$10-0.01,Adatok!$C$16+$B31&lt;Adatok!$C$17+1),((Adatok!$C$13*Adatok!$C$20*Adatok!$I30*Adatok!$J30)/(8*(VLOOKUP(Y$19,Számítás!$B$19:$H$63,7,FALSE)))+(Adatok!$C$13^3*Adatok!$C$20^3*Adatok!$I30^3*Adatok!$J30)/(384*(VLOOKUP(Y$19,Számítás!$B$19:$H$63,7,FALSE))^3))*100,$B$19)</f>
        <v>-</v>
      </c>
      <c r="Z31" s="33" t="str">
        <f>IF(AND($I$19+Y$17*Adatok!$F$11&gt;Adatok!$F$10-0.01,Adatok!$C$16+$B31&lt;Adatok!$C$17+1),((Adatok!$C$13*Adatok!$C$20*Adatok!$I30*Adatok!$J30)/(8*(VLOOKUP(Z$19,Számítás!$B$19:$H$63,7,FALSE)))+(Adatok!$C$13^3*Adatok!$C$20^3*Adatok!$I30^3*Adatok!$J30)/(384*(VLOOKUP(Z$19,Számítás!$B$19:$H$63,7,FALSE))^3))*100,$B$19)</f>
        <v>-</v>
      </c>
      <c r="AA31" s="33" t="str">
        <f>IF(AND($I$19+Z$17*Adatok!$F$11&gt;Adatok!$F$10-0.01,Adatok!$C$16+$B31&lt;Adatok!$C$17+1),((Adatok!$C$13*Adatok!$C$20*Adatok!$I30*Adatok!$J30)/(8*(VLOOKUP(AA$19,Számítás!$B$19:$H$63,7,FALSE)))+(Adatok!$C$13^3*Adatok!$C$20^3*Adatok!$I30^3*Adatok!$J30)/(384*(VLOOKUP(AA$19,Számítás!$B$19:$H$63,7,FALSE))^3))*100,$B$19)</f>
        <v>-</v>
      </c>
      <c r="AB31" s="33" t="str">
        <f>IF(AND($I$19+AA$17*Adatok!$F$11&gt;Adatok!$F$10-0.01,Adatok!$C$16+$B31&lt;Adatok!$C$17+1),((Adatok!$C$13*Adatok!$C$20*Adatok!$I30*Adatok!$J30)/(8*(VLOOKUP(AB$19,Számítás!$B$19:$H$63,7,FALSE)))+(Adatok!$C$13^3*Adatok!$C$20^3*Adatok!$I30^3*Adatok!$J30)/(384*(VLOOKUP(AB$19,Számítás!$B$19:$H$63,7,FALSE))^3))*100,$B$19)</f>
        <v>-</v>
      </c>
      <c r="AC31" s="33" t="str">
        <f>IF(AND($I$19+AB$17*Adatok!$F$11&gt;Adatok!$F$10-0.01,Adatok!$C$16+$B31&lt;Adatok!$C$17+1),((Adatok!$C$13*Adatok!$C$20*Adatok!$I30*Adatok!$J30)/(8*(VLOOKUP(AC$19,Számítás!$B$19:$H$63,7,FALSE)))+(Adatok!$C$13^3*Adatok!$C$20^3*Adatok!$I30^3*Adatok!$J30)/(384*(VLOOKUP(AC$19,Számítás!$B$19:$H$63,7,FALSE))^3))*100,$B$19)</f>
        <v>-</v>
      </c>
      <c r="AD31" s="33" t="str">
        <f>IF(AND($I$19+AC$17*Adatok!$F$11&gt;Adatok!$F$10-0.01,Adatok!$C$16+$B31&lt;Adatok!$C$17+1),((Adatok!$C$13*Adatok!$C$20*Adatok!$I30*Adatok!$J30)/(8*(VLOOKUP(AD$19,Számítás!$B$19:$H$63,7,FALSE)))+(Adatok!$C$13^3*Adatok!$C$20^3*Adatok!$I30^3*Adatok!$J30)/(384*(VLOOKUP(AD$19,Számítás!$B$19:$H$63,7,FALSE))^3))*100,$B$19)</f>
        <v>-</v>
      </c>
      <c r="AE31" s="33" t="str">
        <f>IF(AND($I$19+AD$17*Adatok!$F$11&gt;Adatok!$F$10-0.01,Adatok!$C$16+$B31&lt;Adatok!$C$17+1),((Adatok!$C$13*Adatok!$C$20*Adatok!$I30*Adatok!$J30)/(8*(VLOOKUP(AE$19,Számítás!$B$19:$H$63,7,FALSE)))+(Adatok!$C$13^3*Adatok!$C$20^3*Adatok!$I30^3*Adatok!$J30)/(384*(VLOOKUP(AE$19,Számítás!$B$19:$H$63,7,FALSE))^3))*100,$B$19)</f>
        <v>-</v>
      </c>
      <c r="AF31" s="33" t="str">
        <f>IF(AND($I$19+AE$17*Adatok!$F$11&gt;Adatok!$F$10-0.01,Adatok!$C$16+$B31&lt;Adatok!$C$17+1),((Adatok!$C$13*Adatok!$C$20*Adatok!$I30*Adatok!$J30)/(8*(VLOOKUP(AF$19,Számítás!$B$19:$H$63,7,FALSE)))+(Adatok!$C$13^3*Adatok!$C$20^3*Adatok!$I30^3*Adatok!$J30)/(384*(VLOOKUP(AF$19,Számítás!$B$19:$H$63,7,FALSE))^3))*100,$B$19)</f>
        <v>-</v>
      </c>
      <c r="AG31" s="33" t="str">
        <f>IF(AND($I$19+AF$17*Adatok!$F$11&gt;Adatok!$F$10-0.01,Adatok!$C$16+$B31&lt;Adatok!$C$17+1),((Adatok!$C$13*Adatok!$C$20*Adatok!$I30*Adatok!$J30)/(8*(VLOOKUP(AG$19,Számítás!$B$19:$H$63,7,FALSE)))+(Adatok!$C$13^3*Adatok!$C$20^3*Adatok!$I30^3*Adatok!$J30)/(384*(VLOOKUP(AG$19,Számítás!$B$19:$H$63,7,FALSE))^3))*100,$B$19)</f>
        <v>-</v>
      </c>
      <c r="AH31" s="33" t="str">
        <f>IF(AND($I$19+AG$17*Adatok!$F$11&gt;Adatok!$F$10-0.01,Adatok!$C$16+$B31&lt;Adatok!$C$17+1),((Adatok!$C$13*Adatok!$C$20*Adatok!$I30*Adatok!$J30)/(8*(VLOOKUP(AH$19,Számítás!$B$19:$H$63,7,FALSE)))+(Adatok!$C$13^3*Adatok!$C$20^3*Adatok!$I30^3*Adatok!$J30)/(384*(VLOOKUP(AH$19,Számítás!$B$19:$H$63,7,FALSE))^3))*100,$B$19)</f>
        <v>-</v>
      </c>
      <c r="AI31" s="33" t="str">
        <f>IF(AND($I$19+AH$17*Adatok!$F$11&gt;Adatok!$F$10-0.01,Adatok!$C$16+$B31&lt;Adatok!$C$17+1),((Adatok!$C$13*Adatok!$C$20*Adatok!$I30*Adatok!$J30)/(8*(VLOOKUP(AI$19,Számítás!$B$19:$H$63,7,FALSE)))+(Adatok!$C$13^3*Adatok!$C$20^3*Adatok!$I30^3*Adatok!$J30)/(384*(VLOOKUP(AI$19,Számítás!$B$19:$H$63,7,FALSE))^3))*100,$B$19)</f>
        <v>-</v>
      </c>
      <c r="AJ31" s="33" t="str">
        <f>IF(AND($I$19+AI$17*Adatok!$F$11&gt;Adatok!$F$10-0.01,Adatok!$C$16+$B31&lt;Adatok!$C$17+1),((Adatok!$C$13*Adatok!$C$20*Adatok!$I30*Adatok!$J30)/(8*(VLOOKUP(AJ$19,Számítás!$B$19:$H$63,7,FALSE)))+(Adatok!$C$13^3*Adatok!$C$20^3*Adatok!$I30^3*Adatok!$J30)/(384*(VLOOKUP(AJ$19,Számítás!$B$19:$H$63,7,FALSE))^3))*100,$B$19)</f>
        <v>-</v>
      </c>
      <c r="AK31" s="33" t="str">
        <f>IF(AND($I$19+AJ$17*Adatok!$F$11&gt;Adatok!$F$10-0.01,Adatok!$C$16+$B31&lt;Adatok!$C$17+1),((Adatok!$C$13*Adatok!$C$20*Adatok!$I30*Adatok!$J30)/(8*(VLOOKUP(AK$19,Számítás!$B$19:$H$63,7,FALSE)))+(Adatok!$C$13^3*Adatok!$C$20^3*Adatok!$I30^3*Adatok!$J30)/(384*(VLOOKUP(AK$19,Számítás!$B$19:$H$63,7,FALSE))^3))*100,$B$19)</f>
        <v>-</v>
      </c>
      <c r="AL31" s="33" t="str">
        <f>IF(AND($I$19+AK$17*Adatok!$F$11&gt;Adatok!$F$10-0.01,Adatok!$C$16+$B31&lt;Adatok!$C$17+1),((Adatok!$C$13*Adatok!$C$20*Adatok!$I30*Adatok!$J30)/(8*(VLOOKUP(AL$19,Számítás!$B$19:$H$63,7,FALSE)))+(Adatok!$C$13^3*Adatok!$C$20^3*Adatok!$I30^3*Adatok!$J30)/(384*(VLOOKUP(AL$19,Számítás!$B$19:$H$63,7,FALSE))^3))*100,$B$19)</f>
        <v>-</v>
      </c>
      <c r="AM31" s="33" t="str">
        <f>IF(AND($I$19+AL$17*Adatok!$F$11&gt;Adatok!$F$10-0.01,Adatok!$C$16+$B31&lt;Adatok!$C$17+1),((Adatok!$C$13*Adatok!$C$20*Adatok!$I30*Adatok!$J30)/(8*(VLOOKUP(AM$19,Számítás!$B$19:$H$63,7,FALSE)))+(Adatok!$C$13^3*Adatok!$C$20^3*Adatok!$I30^3*Adatok!$J30)/(384*(VLOOKUP(AM$19,Számítás!$B$19:$H$63,7,FALSE))^3))*100,$B$19)</f>
        <v>-</v>
      </c>
      <c r="AN31" s="33" t="str">
        <f>IF(AND($I$19+AM$17*Adatok!$F$11&gt;Adatok!$F$10-0.01,Adatok!$C$16+$B31&lt;Adatok!$C$17+1),((Adatok!$C$13*Adatok!$C$20*Adatok!$I30*Adatok!$J30)/(8*(VLOOKUP(AN$19,Számítás!$B$19:$H$63,7,FALSE)))+(Adatok!$C$13^3*Adatok!$C$20^3*Adatok!$I30^3*Adatok!$J30)/(384*(VLOOKUP(AN$19,Számítás!$B$19:$H$63,7,FALSE))^3))*100,$B$19)</f>
        <v>-</v>
      </c>
      <c r="AO31" s="33" t="str">
        <f>IF(AND($I$19+AN$17*Adatok!$F$11&gt;Adatok!$F$10-0.01,Adatok!$C$16+$B31&lt;Adatok!$C$17+1),((Adatok!$C$13*Adatok!$C$20*Adatok!$I30*Adatok!$J30)/(8*(VLOOKUP(AO$19,Számítás!$B$19:$H$63,7,FALSE)))+(Adatok!$C$13^3*Adatok!$C$20^3*Adatok!$I30^3*Adatok!$J30)/(384*(VLOOKUP(AO$19,Számítás!$B$19:$H$63,7,FALSE))^3))*100,$B$19)</f>
        <v>-</v>
      </c>
      <c r="AP31" s="33" t="str">
        <f>IF(AND($I$19+AO$17*Adatok!$F$11&gt;Adatok!$F$10-0.01,Adatok!$C$16+$B31&lt;Adatok!$C$17+1),((Adatok!$C$13*Adatok!$C$20*Adatok!$I30*Adatok!$J30)/(8*(VLOOKUP(AP$19,Számítás!$B$19:$H$63,7,FALSE)))+(Adatok!$C$13^3*Adatok!$C$20^3*Adatok!$I30^3*Adatok!$J30)/(384*(VLOOKUP(AP$19,Számítás!$B$19:$H$63,7,FALSE))^3))*100,$B$19)</f>
        <v>-</v>
      </c>
      <c r="AQ31" s="33" t="str">
        <f>IF(AND($I$19+AP$17*Adatok!$F$11&gt;Adatok!$F$10-0.01,Adatok!$C$16+$B31&lt;Adatok!$C$17+1),((Adatok!$C$13*Adatok!$C$20*Adatok!$I30*Adatok!$J30)/(8*(VLOOKUP(AQ$19,Számítás!$B$19:$H$63,7,FALSE)))+(Adatok!$C$13^3*Adatok!$C$20^3*Adatok!$I30^3*Adatok!$J30)/(384*(VLOOKUP(AQ$19,Számítás!$B$19:$H$63,7,FALSE))^3))*100,$B$19)</f>
        <v>-</v>
      </c>
      <c r="AR31" s="33" t="str">
        <f>IF(AND($I$19+AQ$17*Adatok!$F$11&gt;Adatok!$F$10-0.01,Adatok!$C$16+$B31&lt;Adatok!$C$17+1),((Adatok!$C$13*Adatok!$C$20*Adatok!$I30*Adatok!$J30)/(8*(VLOOKUP(AR$19,Számítás!$B$19:$H$63,7,FALSE)))+(Adatok!$C$13^3*Adatok!$C$20^3*Adatok!$I30^3*Adatok!$J30)/(384*(VLOOKUP(AR$19,Számítás!$B$19:$H$63,7,FALSE))^3))*100,$B$19)</f>
        <v>-</v>
      </c>
      <c r="AS31" s="33" t="str">
        <f>IF(AND($I$19+AR$17*Adatok!$F$11&gt;Adatok!$F$10-0.01,Adatok!$C$16+$B31&lt;Adatok!$C$17+1),((Adatok!$C$13*Adatok!$C$20*Adatok!$I30*Adatok!$J30)/(8*(VLOOKUP(AS$19,Számítás!$B$19:$H$63,7,FALSE)))+(Adatok!$C$13^3*Adatok!$C$20^3*Adatok!$I30^3*Adatok!$J30)/(384*(VLOOKUP(AS$19,Számítás!$B$19:$H$63,7,FALSE))^3))*100,$B$19)</f>
        <v>-</v>
      </c>
      <c r="AT31" s="33" t="str">
        <f>IF(AND($I$19+AS$17*Adatok!$F$11&gt;Adatok!$F$10-0.01,Adatok!$C$16+$B31&lt;Adatok!$C$17+1),((Adatok!$C$13*Adatok!$C$20*Adatok!$I30*Adatok!$J30)/(8*(VLOOKUP(AT$19,Számítás!$B$19:$H$63,7,FALSE)))+(Adatok!$C$13^3*Adatok!$C$20^3*Adatok!$I30^3*Adatok!$J30)/(384*(VLOOKUP(AT$19,Számítás!$B$19:$H$63,7,FALSE))^3))*100,$B$19)</f>
        <v>-</v>
      </c>
      <c r="AU31" s="33" t="str">
        <f>IF(AND($I$19+AT$17*Adatok!$F$11&gt;Adatok!$F$10-0.01,Adatok!$C$16+$B31&lt;Adatok!$C$17+1),((Adatok!$C$13*Adatok!$C$20*Adatok!$I30*Adatok!$J30)/(8*(VLOOKUP(AU$19,Számítás!$B$19:$H$63,7,FALSE)))+(Adatok!$C$13^3*Adatok!$C$20^3*Adatok!$I30^3*Adatok!$J30)/(384*(VLOOKUP(AU$19,Számítás!$B$19:$H$63,7,FALSE))^3))*100,$B$19)</f>
        <v>-</v>
      </c>
      <c r="AV31" s="33" t="str">
        <f>IF(AND($I$19+AU$17*Adatok!$F$11&gt;Adatok!$F$10-0.01,Adatok!$C$16+$B31&lt;Adatok!$C$17+1),((Adatok!$C$13*Adatok!$C$20*Adatok!$I30*Adatok!$J30)/(8*(VLOOKUP(AV$19,Számítás!$B$19:$H$63,7,FALSE)))+(Adatok!$C$13^3*Adatok!$C$20^3*Adatok!$I30^3*Adatok!$J30)/(384*(VLOOKUP(AV$19,Számítás!$B$19:$H$63,7,FALSE))^3))*100,$B$19)</f>
        <v>-</v>
      </c>
      <c r="AW31" s="33" t="str">
        <f>IF(AND($I$19+AV$17*Adatok!$F$11&gt;Adatok!$F$10-0.01,Adatok!$C$16+$B31&lt;Adatok!$C$17+1),((Adatok!$C$13*Adatok!$C$20*Adatok!$I30*Adatok!$J30)/(8*(VLOOKUP(AW$19,Számítás!$B$19:$H$63,7,FALSE)))+(Adatok!$C$13^3*Adatok!$C$20^3*Adatok!$I30^3*Adatok!$J30)/(384*(VLOOKUP(AW$19,Számítás!$B$19:$H$63,7,FALSE))^3))*100,$B$19)</f>
        <v>-</v>
      </c>
      <c r="AX31" s="33" t="str">
        <f>IF(AND($I$19+AW$17*Adatok!$F$11&gt;Adatok!$F$10-0.01,Adatok!$C$16+$B31&lt;Adatok!$C$17+1),((Adatok!$C$13*Adatok!$C$20*Adatok!$I30*Adatok!$J30)/(8*(VLOOKUP(AX$19,Számítás!$B$19:$H$63,7,FALSE)))+(Adatok!$C$13^3*Adatok!$C$20^3*Adatok!$I30^3*Adatok!$J30)/(384*(VLOOKUP(AX$19,Számítás!$B$19:$H$63,7,FALSE))^3))*100,$B$19)</f>
        <v>-</v>
      </c>
      <c r="AY31" s="33" t="str">
        <f>IF(AND($I$19+AX$17*Adatok!$F$11&gt;Adatok!$F$10-0.01,Adatok!$C$16+$B31&lt;Adatok!$C$17+1),((Adatok!$C$13*Adatok!$C$20*Adatok!$I30*Adatok!$J30)/(8*(VLOOKUP(AY$19,Számítás!$B$19:$H$63,7,FALSE)))+(Adatok!$C$13^3*Adatok!$C$20^3*Adatok!$I30^3*Adatok!$J30)/(384*(VLOOKUP(AY$19,Számítás!$B$19:$H$63,7,FALSE))^3))*100,$B$19)</f>
        <v>-</v>
      </c>
      <c r="AZ31" s="33" t="str">
        <f>IF(AND($I$19+AY$17*Adatok!$F$11&gt;Adatok!$F$10-0.01,Adatok!$C$16+$B31&lt;Adatok!$C$17+1),((Adatok!$C$13*Adatok!$C$20*Adatok!$I30*Adatok!$J30)/(8*(VLOOKUP(AZ$19,Számítás!$B$19:$H$63,7,FALSE)))+(Adatok!$C$13^3*Adatok!$C$20^3*Adatok!$I30^3*Adatok!$J30)/(384*(VLOOKUP(AZ$19,Számítás!$B$19:$H$63,7,FALSE))^3))*100,$B$19)</f>
        <v>-</v>
      </c>
      <c r="BA31" s="33" t="str">
        <f>IF(AND($I$19+AZ$17*Adatok!$F$11&gt;Adatok!$F$10-0.01,Adatok!$C$16+$B31&lt;Adatok!$C$17+1),((Adatok!$C$13*Adatok!$C$20*Adatok!$I30*Adatok!$J30)/(8*(VLOOKUP(BA$19,Számítás!$B$19:$H$63,7,FALSE)))+(Adatok!$C$13^3*Adatok!$C$20^3*Adatok!$I30^3*Adatok!$J30)/(384*(VLOOKUP(BA$19,Számítás!$B$19:$H$63,7,FALSE))^3))*100,$B$19)</f>
        <v>-</v>
      </c>
    </row>
    <row r="32" spans="1:53" ht="18" customHeight="1" x14ac:dyDescent="0.25">
      <c r="B32" s="1">
        <v>13</v>
      </c>
      <c r="C32" s="333" t="str">
        <f>Adatok!F31</f>
        <v>-</v>
      </c>
      <c r="D32" s="32" t="s">
        <v>27</v>
      </c>
      <c r="E32" s="336" t="str">
        <f>Adatok!H31</f>
        <v>-</v>
      </c>
      <c r="F32" s="64" t="str">
        <f>IF(Adatok!$C$16+B32&gt;Adatok!$C$17,$B$19,Adatok!I31)</f>
        <v>-</v>
      </c>
      <c r="G32" s="60"/>
      <c r="H32" s="72" t="str">
        <f>IF(Adatok!$C$16+B32&gt;Adatok!$C$17,$B$19,Adatok!J31/Adatok!I31)</f>
        <v>-</v>
      </c>
      <c r="I32" s="81" t="str">
        <f>IF(Adatok!$C$16+$B32&lt;Adatok!$C$17+1,((((Adatok!$C$13*Adatok!$C$20*Adatok!$I31*Adatok!$J31)/(8*(VLOOKUP(I$19,Számítás!$B$19:$H$63,7,FALSE))))+((Adatok!$C$13^3*Adatok!$C$20^3*Adatok!$I31^3*Adatok!$J31)/(384*(VLOOKUP(I$19,Számítás!$B$19:$H$63,7,FALSE))^3)))*100),$B$19)</f>
        <v>-</v>
      </c>
      <c r="J32" s="33" t="str">
        <f>IF(AND($I$19+I$17*Adatok!$F$11&gt;Adatok!$F$10-0.01,Adatok!$C$16+$B32&lt;Adatok!$C$17+1),((Adatok!$C$13*Adatok!$C$20*Adatok!$I31*Adatok!$J31)/(8*(VLOOKUP(J$19,Számítás!$B$19:$H$63,7,FALSE)))+(Adatok!$C$13^3*Adatok!$C$20^3*Adatok!$I31^3*Adatok!$J31)/(384*(VLOOKUP(J$19,Számítás!$B$19:$H$63,7,FALSE))^3))*100,$B$19)</f>
        <v>-</v>
      </c>
      <c r="K32" s="33" t="str">
        <f>IF(AND($I$19+J$17*Adatok!$F$11&gt;Adatok!$F$10-0.01,Adatok!$C$16+$B32&lt;Adatok!$C$17+1),((Adatok!$C$13*Adatok!$C$20*Adatok!$I31*Adatok!$J31)/(8*(VLOOKUP(K$19,Számítás!$B$19:$H$63,7,FALSE)))+(Adatok!$C$13^3*Adatok!$C$20^3*Adatok!$I31^3*Adatok!$J31)/(384*(VLOOKUP(K$19,Számítás!$B$19:$H$63,7,FALSE))^3))*100,$B$19)</f>
        <v>-</v>
      </c>
      <c r="L32" s="33" t="str">
        <f>IF(AND($I$19+K$17*Adatok!$F$11&gt;Adatok!$F$10-0.01,Adatok!$C$16+$B32&lt;Adatok!$C$17+1),((Adatok!$C$13*Adatok!$C$20*Adatok!$I31*Adatok!$J31)/(8*(VLOOKUP(L$19,Számítás!$B$19:$H$63,7,FALSE)))+(Adatok!$C$13^3*Adatok!$C$20^3*Adatok!$I31^3*Adatok!$J31)/(384*(VLOOKUP(L$19,Számítás!$B$19:$H$63,7,FALSE))^3))*100,$B$19)</f>
        <v>-</v>
      </c>
      <c r="M32" s="33" t="str">
        <f>IF(AND($I$19+L$17*Adatok!$F$11&gt;Adatok!$F$10-0.01,Adatok!$C$16+$B32&lt;Adatok!$C$17+1),((Adatok!$C$13*Adatok!$C$20*Adatok!$I31*Adatok!$J31)/(8*(VLOOKUP(M$19,Számítás!$B$19:$H$63,7,FALSE)))+(Adatok!$C$13^3*Adatok!$C$20^3*Adatok!$I31^3*Adatok!$J31)/(384*(VLOOKUP(M$19,Számítás!$B$19:$H$63,7,FALSE))^3))*100,$B$19)</f>
        <v>-</v>
      </c>
      <c r="N32" s="33" t="str">
        <f>IF(AND($I$19+M$17*Adatok!$F$11&gt;Adatok!$F$10-0.01,Adatok!$C$16+$B32&lt;Adatok!$C$17+1),((Adatok!$C$13*Adatok!$C$20*Adatok!$I31*Adatok!$J31)/(8*(VLOOKUP(N$19,Számítás!$B$19:$H$63,7,FALSE)))+(Adatok!$C$13^3*Adatok!$C$20^3*Adatok!$I31^3*Adatok!$J31)/(384*(VLOOKUP(N$19,Számítás!$B$19:$H$63,7,FALSE))^3))*100,$B$19)</f>
        <v>-</v>
      </c>
      <c r="O32" s="33" t="str">
        <f>IF(AND($I$19+N$17*Adatok!$F$11&gt;Adatok!$F$10-0.01,Adatok!$C$16+$B32&lt;Adatok!$C$17+1),((Adatok!$C$13*Adatok!$C$20*Adatok!$I31*Adatok!$J31)/(8*(VLOOKUP(O$19,Számítás!$B$19:$H$63,7,FALSE)))+(Adatok!$C$13^3*Adatok!$C$20^3*Adatok!$I31^3*Adatok!$J31)/(384*(VLOOKUP(O$19,Számítás!$B$19:$H$63,7,FALSE))^3))*100,$B$19)</f>
        <v>-</v>
      </c>
      <c r="P32" s="33" t="str">
        <f>IF(AND($I$19+O$17*Adatok!$F$11&gt;Adatok!$F$10-0.01,Adatok!$C$16+$B32&lt;Adatok!$C$17+1),((Adatok!$C$13*Adatok!$C$20*Adatok!$I31*Adatok!$J31)/(8*(VLOOKUP(P$19,Számítás!$B$19:$H$63,7,FALSE)))+(Adatok!$C$13^3*Adatok!$C$20^3*Adatok!$I31^3*Adatok!$J31)/(384*(VLOOKUP(P$19,Számítás!$B$19:$H$63,7,FALSE))^3))*100,$B$19)</f>
        <v>-</v>
      </c>
      <c r="Q32" s="33" t="str">
        <f>IF(AND($I$19+P$17*Adatok!$F$11&gt;Adatok!$F$10-0.01,Adatok!$C$16+$B32&lt;Adatok!$C$17+1),((Adatok!$C$13*Adatok!$C$20*Adatok!$I31*Adatok!$J31)/(8*(VLOOKUP(Q$19,Számítás!$B$19:$H$63,7,FALSE)))+(Adatok!$C$13^3*Adatok!$C$20^3*Adatok!$I31^3*Adatok!$J31)/(384*(VLOOKUP(Q$19,Számítás!$B$19:$H$63,7,FALSE))^3))*100,$B$19)</f>
        <v>-</v>
      </c>
      <c r="R32" s="33" t="str">
        <f>IF(AND($I$19+Q$17*Adatok!$F$11&gt;Adatok!$F$10-0.01,Adatok!$C$16+$B32&lt;Adatok!$C$17+1),((Adatok!$C$13*Adatok!$C$20*Adatok!$I31*Adatok!$J31)/(8*(VLOOKUP(R$19,Számítás!$B$19:$H$63,7,FALSE)))+(Adatok!$C$13^3*Adatok!$C$20^3*Adatok!$I31^3*Adatok!$J31)/(384*(VLOOKUP(R$19,Számítás!$B$19:$H$63,7,FALSE))^3))*100,$B$19)</f>
        <v>-</v>
      </c>
      <c r="S32" s="33" t="str">
        <f>IF(AND($I$19+R$17*Adatok!$F$11&gt;Adatok!$F$10-0.01,Adatok!$C$16+$B32&lt;Adatok!$C$17+1),((Adatok!$C$13*Adatok!$C$20*Adatok!$I31*Adatok!$J31)/(8*(VLOOKUP(S$19,Számítás!$B$19:$H$63,7,FALSE)))+(Adatok!$C$13^3*Adatok!$C$20^3*Adatok!$I31^3*Adatok!$J31)/(384*(VLOOKUP(S$19,Számítás!$B$19:$H$63,7,FALSE))^3))*100,$B$19)</f>
        <v>-</v>
      </c>
      <c r="T32" s="33" t="str">
        <f>IF(AND($I$19+S$17*Adatok!$F$11&gt;Adatok!$F$10-0.01,Adatok!$C$16+$B32&lt;Adatok!$C$17+1),((Adatok!$C$13*Adatok!$C$20*Adatok!$I31*Adatok!$J31)/(8*(VLOOKUP(T$19,Számítás!$B$19:$H$63,7,FALSE)))+(Adatok!$C$13^3*Adatok!$C$20^3*Adatok!$I31^3*Adatok!$J31)/(384*(VLOOKUP(T$19,Számítás!$B$19:$H$63,7,FALSE))^3))*100,$B$19)</f>
        <v>-</v>
      </c>
      <c r="U32" s="33" t="str">
        <f>IF(AND($I$19+T$17*Adatok!$F$11&gt;Adatok!$F$10-0.01,Adatok!$C$16+$B32&lt;Adatok!$C$17+1),((Adatok!$C$13*Adatok!$C$20*Adatok!$I31*Adatok!$J31)/(8*(VLOOKUP(U$19,Számítás!$B$19:$H$63,7,FALSE)))+(Adatok!$C$13^3*Adatok!$C$20^3*Adatok!$I31^3*Adatok!$J31)/(384*(VLOOKUP(U$19,Számítás!$B$19:$H$63,7,FALSE))^3))*100,$B$19)</f>
        <v>-</v>
      </c>
      <c r="V32" s="33" t="str">
        <f>IF(AND($I$19+U$17*Adatok!$F$11&gt;Adatok!$F$10-0.01,Adatok!$C$16+$B32&lt;Adatok!$C$17+1),((Adatok!$C$13*Adatok!$C$20*Adatok!$I31*Adatok!$J31)/(8*(VLOOKUP(V$19,Számítás!$B$19:$H$63,7,FALSE)))+(Adatok!$C$13^3*Adatok!$C$20^3*Adatok!$I31^3*Adatok!$J31)/(384*(VLOOKUP(V$19,Számítás!$B$19:$H$63,7,FALSE))^3))*100,$B$19)</f>
        <v>-</v>
      </c>
      <c r="W32" s="33" t="str">
        <f>IF(AND($I$19+V$17*Adatok!$F$11&gt;Adatok!$F$10-0.01,Adatok!$C$16+$B32&lt;Adatok!$C$17+1),((Adatok!$C$13*Adatok!$C$20*Adatok!$I31*Adatok!$J31)/(8*(VLOOKUP(W$19,Számítás!$B$19:$H$63,7,FALSE)))+(Adatok!$C$13^3*Adatok!$C$20^3*Adatok!$I31^3*Adatok!$J31)/(384*(VLOOKUP(W$19,Számítás!$B$19:$H$63,7,FALSE))^3))*100,$B$19)</f>
        <v>-</v>
      </c>
      <c r="X32" s="33" t="str">
        <f>IF(AND($I$19+W$17*Adatok!$F$11&gt;Adatok!$F$10-0.01,Adatok!$C$16+$B32&lt;Adatok!$C$17+1),((Adatok!$C$13*Adatok!$C$20*Adatok!$I31*Adatok!$J31)/(8*(VLOOKUP(X$19,Számítás!$B$19:$H$63,7,FALSE)))+(Adatok!$C$13^3*Adatok!$C$20^3*Adatok!$I31^3*Adatok!$J31)/(384*(VLOOKUP(X$19,Számítás!$B$19:$H$63,7,FALSE))^3))*100,$B$19)</f>
        <v>-</v>
      </c>
      <c r="Y32" s="33" t="str">
        <f>IF(AND($I$19+X$17*Adatok!$F$11&gt;Adatok!$F$10-0.01,Adatok!$C$16+$B32&lt;Adatok!$C$17+1),((Adatok!$C$13*Adatok!$C$20*Adatok!$I31*Adatok!$J31)/(8*(VLOOKUP(Y$19,Számítás!$B$19:$H$63,7,FALSE)))+(Adatok!$C$13^3*Adatok!$C$20^3*Adatok!$I31^3*Adatok!$J31)/(384*(VLOOKUP(Y$19,Számítás!$B$19:$H$63,7,FALSE))^3))*100,$B$19)</f>
        <v>-</v>
      </c>
      <c r="Z32" s="33" t="str">
        <f>IF(AND($I$19+Y$17*Adatok!$F$11&gt;Adatok!$F$10-0.01,Adatok!$C$16+$B32&lt;Adatok!$C$17+1),((Adatok!$C$13*Adatok!$C$20*Adatok!$I31*Adatok!$J31)/(8*(VLOOKUP(Z$19,Számítás!$B$19:$H$63,7,FALSE)))+(Adatok!$C$13^3*Adatok!$C$20^3*Adatok!$I31^3*Adatok!$J31)/(384*(VLOOKUP(Z$19,Számítás!$B$19:$H$63,7,FALSE))^3))*100,$B$19)</f>
        <v>-</v>
      </c>
      <c r="AA32" s="33" t="str">
        <f>IF(AND($I$19+Z$17*Adatok!$F$11&gt;Adatok!$F$10-0.01,Adatok!$C$16+$B32&lt;Adatok!$C$17+1),((Adatok!$C$13*Adatok!$C$20*Adatok!$I31*Adatok!$J31)/(8*(VLOOKUP(AA$19,Számítás!$B$19:$H$63,7,FALSE)))+(Adatok!$C$13^3*Adatok!$C$20^3*Adatok!$I31^3*Adatok!$J31)/(384*(VLOOKUP(AA$19,Számítás!$B$19:$H$63,7,FALSE))^3))*100,$B$19)</f>
        <v>-</v>
      </c>
      <c r="AB32" s="33" t="str">
        <f>IF(AND($I$19+AA$17*Adatok!$F$11&gt;Adatok!$F$10-0.01,Adatok!$C$16+$B32&lt;Adatok!$C$17+1),((Adatok!$C$13*Adatok!$C$20*Adatok!$I31*Adatok!$J31)/(8*(VLOOKUP(AB$19,Számítás!$B$19:$H$63,7,FALSE)))+(Adatok!$C$13^3*Adatok!$C$20^3*Adatok!$I31^3*Adatok!$J31)/(384*(VLOOKUP(AB$19,Számítás!$B$19:$H$63,7,FALSE))^3))*100,$B$19)</f>
        <v>-</v>
      </c>
      <c r="AC32" s="33" t="str">
        <f>IF(AND($I$19+AB$17*Adatok!$F$11&gt;Adatok!$F$10-0.01,Adatok!$C$16+$B32&lt;Adatok!$C$17+1),((Adatok!$C$13*Adatok!$C$20*Adatok!$I31*Adatok!$J31)/(8*(VLOOKUP(AC$19,Számítás!$B$19:$H$63,7,FALSE)))+(Adatok!$C$13^3*Adatok!$C$20^3*Adatok!$I31^3*Adatok!$J31)/(384*(VLOOKUP(AC$19,Számítás!$B$19:$H$63,7,FALSE))^3))*100,$B$19)</f>
        <v>-</v>
      </c>
      <c r="AD32" s="33" t="str">
        <f>IF(AND($I$19+AC$17*Adatok!$F$11&gt;Adatok!$F$10-0.01,Adatok!$C$16+$B32&lt;Adatok!$C$17+1),((Adatok!$C$13*Adatok!$C$20*Adatok!$I31*Adatok!$J31)/(8*(VLOOKUP(AD$19,Számítás!$B$19:$H$63,7,FALSE)))+(Adatok!$C$13^3*Adatok!$C$20^3*Adatok!$I31^3*Adatok!$J31)/(384*(VLOOKUP(AD$19,Számítás!$B$19:$H$63,7,FALSE))^3))*100,$B$19)</f>
        <v>-</v>
      </c>
      <c r="AE32" s="33" t="str">
        <f>IF(AND($I$19+AD$17*Adatok!$F$11&gt;Adatok!$F$10-0.01,Adatok!$C$16+$B32&lt;Adatok!$C$17+1),((Adatok!$C$13*Adatok!$C$20*Adatok!$I31*Adatok!$J31)/(8*(VLOOKUP(AE$19,Számítás!$B$19:$H$63,7,FALSE)))+(Adatok!$C$13^3*Adatok!$C$20^3*Adatok!$I31^3*Adatok!$J31)/(384*(VLOOKUP(AE$19,Számítás!$B$19:$H$63,7,FALSE))^3))*100,$B$19)</f>
        <v>-</v>
      </c>
      <c r="AF32" s="33" t="str">
        <f>IF(AND($I$19+AE$17*Adatok!$F$11&gt;Adatok!$F$10-0.01,Adatok!$C$16+$B32&lt;Adatok!$C$17+1),((Adatok!$C$13*Adatok!$C$20*Adatok!$I31*Adatok!$J31)/(8*(VLOOKUP(AF$19,Számítás!$B$19:$H$63,7,FALSE)))+(Adatok!$C$13^3*Adatok!$C$20^3*Adatok!$I31^3*Adatok!$J31)/(384*(VLOOKUP(AF$19,Számítás!$B$19:$H$63,7,FALSE))^3))*100,$B$19)</f>
        <v>-</v>
      </c>
      <c r="AG32" s="33" t="str">
        <f>IF(AND($I$19+AF$17*Adatok!$F$11&gt;Adatok!$F$10-0.01,Adatok!$C$16+$B32&lt;Adatok!$C$17+1),((Adatok!$C$13*Adatok!$C$20*Adatok!$I31*Adatok!$J31)/(8*(VLOOKUP(AG$19,Számítás!$B$19:$H$63,7,FALSE)))+(Adatok!$C$13^3*Adatok!$C$20^3*Adatok!$I31^3*Adatok!$J31)/(384*(VLOOKUP(AG$19,Számítás!$B$19:$H$63,7,FALSE))^3))*100,$B$19)</f>
        <v>-</v>
      </c>
      <c r="AH32" s="33" t="str">
        <f>IF(AND($I$19+AG$17*Adatok!$F$11&gt;Adatok!$F$10-0.01,Adatok!$C$16+$B32&lt;Adatok!$C$17+1),((Adatok!$C$13*Adatok!$C$20*Adatok!$I31*Adatok!$J31)/(8*(VLOOKUP(AH$19,Számítás!$B$19:$H$63,7,FALSE)))+(Adatok!$C$13^3*Adatok!$C$20^3*Adatok!$I31^3*Adatok!$J31)/(384*(VLOOKUP(AH$19,Számítás!$B$19:$H$63,7,FALSE))^3))*100,$B$19)</f>
        <v>-</v>
      </c>
      <c r="AI32" s="33" t="str">
        <f>IF(AND($I$19+AH$17*Adatok!$F$11&gt;Adatok!$F$10-0.01,Adatok!$C$16+$B32&lt;Adatok!$C$17+1),((Adatok!$C$13*Adatok!$C$20*Adatok!$I31*Adatok!$J31)/(8*(VLOOKUP(AI$19,Számítás!$B$19:$H$63,7,FALSE)))+(Adatok!$C$13^3*Adatok!$C$20^3*Adatok!$I31^3*Adatok!$J31)/(384*(VLOOKUP(AI$19,Számítás!$B$19:$H$63,7,FALSE))^3))*100,$B$19)</f>
        <v>-</v>
      </c>
      <c r="AJ32" s="33" t="str">
        <f>IF(AND($I$19+AI$17*Adatok!$F$11&gt;Adatok!$F$10-0.01,Adatok!$C$16+$B32&lt;Adatok!$C$17+1),((Adatok!$C$13*Adatok!$C$20*Adatok!$I31*Adatok!$J31)/(8*(VLOOKUP(AJ$19,Számítás!$B$19:$H$63,7,FALSE)))+(Adatok!$C$13^3*Adatok!$C$20^3*Adatok!$I31^3*Adatok!$J31)/(384*(VLOOKUP(AJ$19,Számítás!$B$19:$H$63,7,FALSE))^3))*100,$B$19)</f>
        <v>-</v>
      </c>
      <c r="AK32" s="33" t="str">
        <f>IF(AND($I$19+AJ$17*Adatok!$F$11&gt;Adatok!$F$10-0.01,Adatok!$C$16+$B32&lt;Adatok!$C$17+1),((Adatok!$C$13*Adatok!$C$20*Adatok!$I31*Adatok!$J31)/(8*(VLOOKUP(AK$19,Számítás!$B$19:$H$63,7,FALSE)))+(Adatok!$C$13^3*Adatok!$C$20^3*Adatok!$I31^3*Adatok!$J31)/(384*(VLOOKUP(AK$19,Számítás!$B$19:$H$63,7,FALSE))^3))*100,$B$19)</f>
        <v>-</v>
      </c>
      <c r="AL32" s="33" t="str">
        <f>IF(AND($I$19+AK$17*Adatok!$F$11&gt;Adatok!$F$10-0.01,Adatok!$C$16+$B32&lt;Adatok!$C$17+1),((Adatok!$C$13*Adatok!$C$20*Adatok!$I31*Adatok!$J31)/(8*(VLOOKUP(AL$19,Számítás!$B$19:$H$63,7,FALSE)))+(Adatok!$C$13^3*Adatok!$C$20^3*Adatok!$I31^3*Adatok!$J31)/(384*(VLOOKUP(AL$19,Számítás!$B$19:$H$63,7,FALSE))^3))*100,$B$19)</f>
        <v>-</v>
      </c>
      <c r="AM32" s="33" t="str">
        <f>IF(AND($I$19+AL$17*Adatok!$F$11&gt;Adatok!$F$10-0.01,Adatok!$C$16+$B32&lt;Adatok!$C$17+1),((Adatok!$C$13*Adatok!$C$20*Adatok!$I31*Adatok!$J31)/(8*(VLOOKUP(AM$19,Számítás!$B$19:$H$63,7,FALSE)))+(Adatok!$C$13^3*Adatok!$C$20^3*Adatok!$I31^3*Adatok!$J31)/(384*(VLOOKUP(AM$19,Számítás!$B$19:$H$63,7,FALSE))^3))*100,$B$19)</f>
        <v>-</v>
      </c>
      <c r="AN32" s="33" t="str">
        <f>IF(AND($I$19+AM$17*Adatok!$F$11&gt;Adatok!$F$10-0.01,Adatok!$C$16+$B32&lt;Adatok!$C$17+1),((Adatok!$C$13*Adatok!$C$20*Adatok!$I31*Adatok!$J31)/(8*(VLOOKUP(AN$19,Számítás!$B$19:$H$63,7,FALSE)))+(Adatok!$C$13^3*Adatok!$C$20^3*Adatok!$I31^3*Adatok!$J31)/(384*(VLOOKUP(AN$19,Számítás!$B$19:$H$63,7,FALSE))^3))*100,$B$19)</f>
        <v>-</v>
      </c>
      <c r="AO32" s="33" t="str">
        <f>IF(AND($I$19+AN$17*Adatok!$F$11&gt;Adatok!$F$10-0.01,Adatok!$C$16+$B32&lt;Adatok!$C$17+1),((Adatok!$C$13*Adatok!$C$20*Adatok!$I31*Adatok!$J31)/(8*(VLOOKUP(AO$19,Számítás!$B$19:$H$63,7,FALSE)))+(Adatok!$C$13^3*Adatok!$C$20^3*Adatok!$I31^3*Adatok!$J31)/(384*(VLOOKUP(AO$19,Számítás!$B$19:$H$63,7,FALSE))^3))*100,$B$19)</f>
        <v>-</v>
      </c>
      <c r="AP32" s="33" t="str">
        <f>IF(AND($I$19+AO$17*Adatok!$F$11&gt;Adatok!$F$10-0.01,Adatok!$C$16+$B32&lt;Adatok!$C$17+1),((Adatok!$C$13*Adatok!$C$20*Adatok!$I31*Adatok!$J31)/(8*(VLOOKUP(AP$19,Számítás!$B$19:$H$63,7,FALSE)))+(Adatok!$C$13^3*Adatok!$C$20^3*Adatok!$I31^3*Adatok!$J31)/(384*(VLOOKUP(AP$19,Számítás!$B$19:$H$63,7,FALSE))^3))*100,$B$19)</f>
        <v>-</v>
      </c>
      <c r="AQ32" s="33" t="str">
        <f>IF(AND($I$19+AP$17*Adatok!$F$11&gt;Adatok!$F$10-0.01,Adatok!$C$16+$B32&lt;Adatok!$C$17+1),((Adatok!$C$13*Adatok!$C$20*Adatok!$I31*Adatok!$J31)/(8*(VLOOKUP(AQ$19,Számítás!$B$19:$H$63,7,FALSE)))+(Adatok!$C$13^3*Adatok!$C$20^3*Adatok!$I31^3*Adatok!$J31)/(384*(VLOOKUP(AQ$19,Számítás!$B$19:$H$63,7,FALSE))^3))*100,$B$19)</f>
        <v>-</v>
      </c>
      <c r="AR32" s="33" t="str">
        <f>IF(AND($I$19+AQ$17*Adatok!$F$11&gt;Adatok!$F$10-0.01,Adatok!$C$16+$B32&lt;Adatok!$C$17+1),((Adatok!$C$13*Adatok!$C$20*Adatok!$I31*Adatok!$J31)/(8*(VLOOKUP(AR$19,Számítás!$B$19:$H$63,7,FALSE)))+(Adatok!$C$13^3*Adatok!$C$20^3*Adatok!$I31^3*Adatok!$J31)/(384*(VLOOKUP(AR$19,Számítás!$B$19:$H$63,7,FALSE))^3))*100,$B$19)</f>
        <v>-</v>
      </c>
      <c r="AS32" s="33" t="str">
        <f>IF(AND($I$19+AR$17*Adatok!$F$11&gt;Adatok!$F$10-0.01,Adatok!$C$16+$B32&lt;Adatok!$C$17+1),((Adatok!$C$13*Adatok!$C$20*Adatok!$I31*Adatok!$J31)/(8*(VLOOKUP(AS$19,Számítás!$B$19:$H$63,7,FALSE)))+(Adatok!$C$13^3*Adatok!$C$20^3*Adatok!$I31^3*Adatok!$J31)/(384*(VLOOKUP(AS$19,Számítás!$B$19:$H$63,7,FALSE))^3))*100,$B$19)</f>
        <v>-</v>
      </c>
      <c r="AT32" s="33" t="str">
        <f>IF(AND($I$19+AS$17*Adatok!$F$11&gt;Adatok!$F$10-0.01,Adatok!$C$16+$B32&lt;Adatok!$C$17+1),((Adatok!$C$13*Adatok!$C$20*Adatok!$I31*Adatok!$J31)/(8*(VLOOKUP(AT$19,Számítás!$B$19:$H$63,7,FALSE)))+(Adatok!$C$13^3*Adatok!$C$20^3*Adatok!$I31^3*Adatok!$J31)/(384*(VLOOKUP(AT$19,Számítás!$B$19:$H$63,7,FALSE))^3))*100,$B$19)</f>
        <v>-</v>
      </c>
      <c r="AU32" s="33" t="str">
        <f>IF(AND($I$19+AT$17*Adatok!$F$11&gt;Adatok!$F$10-0.01,Adatok!$C$16+$B32&lt;Adatok!$C$17+1),((Adatok!$C$13*Adatok!$C$20*Adatok!$I31*Adatok!$J31)/(8*(VLOOKUP(AU$19,Számítás!$B$19:$H$63,7,FALSE)))+(Adatok!$C$13^3*Adatok!$C$20^3*Adatok!$I31^3*Adatok!$J31)/(384*(VLOOKUP(AU$19,Számítás!$B$19:$H$63,7,FALSE))^3))*100,$B$19)</f>
        <v>-</v>
      </c>
      <c r="AV32" s="33" t="str">
        <f>IF(AND($I$19+AU$17*Adatok!$F$11&gt;Adatok!$F$10-0.01,Adatok!$C$16+$B32&lt;Adatok!$C$17+1),((Adatok!$C$13*Adatok!$C$20*Adatok!$I31*Adatok!$J31)/(8*(VLOOKUP(AV$19,Számítás!$B$19:$H$63,7,FALSE)))+(Adatok!$C$13^3*Adatok!$C$20^3*Adatok!$I31^3*Adatok!$J31)/(384*(VLOOKUP(AV$19,Számítás!$B$19:$H$63,7,FALSE))^3))*100,$B$19)</f>
        <v>-</v>
      </c>
      <c r="AW32" s="33" t="str">
        <f>IF(AND($I$19+AV$17*Adatok!$F$11&gt;Adatok!$F$10-0.01,Adatok!$C$16+$B32&lt;Adatok!$C$17+1),((Adatok!$C$13*Adatok!$C$20*Adatok!$I31*Adatok!$J31)/(8*(VLOOKUP(AW$19,Számítás!$B$19:$H$63,7,FALSE)))+(Adatok!$C$13^3*Adatok!$C$20^3*Adatok!$I31^3*Adatok!$J31)/(384*(VLOOKUP(AW$19,Számítás!$B$19:$H$63,7,FALSE))^3))*100,$B$19)</f>
        <v>-</v>
      </c>
      <c r="AX32" s="33" t="str">
        <f>IF(AND($I$19+AW$17*Adatok!$F$11&gt;Adatok!$F$10-0.01,Adatok!$C$16+$B32&lt;Adatok!$C$17+1),((Adatok!$C$13*Adatok!$C$20*Adatok!$I31*Adatok!$J31)/(8*(VLOOKUP(AX$19,Számítás!$B$19:$H$63,7,FALSE)))+(Adatok!$C$13^3*Adatok!$C$20^3*Adatok!$I31^3*Adatok!$J31)/(384*(VLOOKUP(AX$19,Számítás!$B$19:$H$63,7,FALSE))^3))*100,$B$19)</f>
        <v>-</v>
      </c>
      <c r="AY32" s="33" t="str">
        <f>IF(AND($I$19+AX$17*Adatok!$F$11&gt;Adatok!$F$10-0.01,Adatok!$C$16+$B32&lt;Adatok!$C$17+1),((Adatok!$C$13*Adatok!$C$20*Adatok!$I31*Adatok!$J31)/(8*(VLOOKUP(AY$19,Számítás!$B$19:$H$63,7,FALSE)))+(Adatok!$C$13^3*Adatok!$C$20^3*Adatok!$I31^3*Adatok!$J31)/(384*(VLOOKUP(AY$19,Számítás!$B$19:$H$63,7,FALSE))^3))*100,$B$19)</f>
        <v>-</v>
      </c>
      <c r="AZ32" s="33" t="str">
        <f>IF(AND($I$19+AY$17*Adatok!$F$11&gt;Adatok!$F$10-0.01,Adatok!$C$16+$B32&lt;Adatok!$C$17+1),((Adatok!$C$13*Adatok!$C$20*Adatok!$I31*Adatok!$J31)/(8*(VLOOKUP(AZ$19,Számítás!$B$19:$H$63,7,FALSE)))+(Adatok!$C$13^3*Adatok!$C$20^3*Adatok!$I31^3*Adatok!$J31)/(384*(VLOOKUP(AZ$19,Számítás!$B$19:$H$63,7,FALSE))^3))*100,$B$19)</f>
        <v>-</v>
      </c>
      <c r="BA32" s="33" t="str">
        <f>IF(AND($I$19+AZ$17*Adatok!$F$11&gt;Adatok!$F$10-0.01,Adatok!$C$16+$B32&lt;Adatok!$C$17+1),((Adatok!$C$13*Adatok!$C$20*Adatok!$I31*Adatok!$J31)/(8*(VLOOKUP(BA$19,Számítás!$B$19:$H$63,7,FALSE)))+(Adatok!$C$13^3*Adatok!$C$20^3*Adatok!$I31^3*Adatok!$J31)/(384*(VLOOKUP(BA$19,Számítás!$B$19:$H$63,7,FALSE))^3))*100,$B$19)</f>
        <v>-</v>
      </c>
    </row>
    <row r="33" spans="2:53" ht="18" customHeight="1" x14ac:dyDescent="0.25">
      <c r="B33" s="1">
        <v>14</v>
      </c>
      <c r="C33" s="333" t="str">
        <f>Adatok!F32</f>
        <v>-</v>
      </c>
      <c r="D33" s="32" t="s">
        <v>27</v>
      </c>
      <c r="E33" s="336" t="str">
        <f>Adatok!H32</f>
        <v>-</v>
      </c>
      <c r="F33" s="64" t="str">
        <f>IF(Adatok!$C$16+B33&gt;Adatok!$C$17,$B$19,Adatok!I32)</f>
        <v>-</v>
      </c>
      <c r="G33" s="60"/>
      <c r="H33" s="72" t="str">
        <f>IF(Adatok!$C$16+B33&gt;Adatok!$C$17,$B$19,Adatok!J32/Adatok!I32)</f>
        <v>-</v>
      </c>
      <c r="I33" s="81" t="str">
        <f>IF(Adatok!$C$16+$B33&lt;Adatok!$C$17+1,((((Adatok!$C$13*Adatok!$C$20*Adatok!$I32*Adatok!$J32)/(8*(VLOOKUP(I$19,Számítás!$B$19:$H$63,7,FALSE))))+((Adatok!$C$13^3*Adatok!$C$20^3*Adatok!$I32^3*Adatok!$J32)/(384*(VLOOKUP(I$19,Számítás!$B$19:$H$63,7,FALSE))^3)))*100),$B$19)</f>
        <v>-</v>
      </c>
      <c r="J33" s="33" t="str">
        <f>IF(AND($I$19+I$17*Adatok!$F$11&gt;Adatok!$F$10-0.01,Adatok!$C$16+$B33&lt;Adatok!$C$17+1),((Adatok!$C$13*Adatok!$C$20*Adatok!$I32*Adatok!$J32)/(8*(VLOOKUP(J$19,Számítás!$B$19:$H$63,7,FALSE)))+(Adatok!$C$13^3*Adatok!$C$20^3*Adatok!$I32^3*Adatok!$J32)/(384*(VLOOKUP(J$19,Számítás!$B$19:$H$63,7,FALSE))^3))*100,$B$19)</f>
        <v>-</v>
      </c>
      <c r="K33" s="33" t="str">
        <f>IF(AND($I$19+J$17*Adatok!$F$11&gt;Adatok!$F$10-0.01,Adatok!$C$16+$B33&lt;Adatok!$C$17+1),((Adatok!$C$13*Adatok!$C$20*Adatok!$I32*Adatok!$J32)/(8*(VLOOKUP(K$19,Számítás!$B$19:$H$63,7,FALSE)))+(Adatok!$C$13^3*Adatok!$C$20^3*Adatok!$I32^3*Adatok!$J32)/(384*(VLOOKUP(K$19,Számítás!$B$19:$H$63,7,FALSE))^3))*100,$B$19)</f>
        <v>-</v>
      </c>
      <c r="L33" s="33" t="str">
        <f>IF(AND($I$19+K$17*Adatok!$F$11&gt;Adatok!$F$10-0.01,Adatok!$C$16+$B33&lt;Adatok!$C$17+1),((Adatok!$C$13*Adatok!$C$20*Adatok!$I32*Adatok!$J32)/(8*(VLOOKUP(L$19,Számítás!$B$19:$H$63,7,FALSE)))+(Adatok!$C$13^3*Adatok!$C$20^3*Adatok!$I32^3*Adatok!$J32)/(384*(VLOOKUP(L$19,Számítás!$B$19:$H$63,7,FALSE))^3))*100,$B$19)</f>
        <v>-</v>
      </c>
      <c r="M33" s="33" t="str">
        <f>IF(AND($I$19+L$17*Adatok!$F$11&gt;Adatok!$F$10-0.01,Adatok!$C$16+$B33&lt;Adatok!$C$17+1),((Adatok!$C$13*Adatok!$C$20*Adatok!$I32*Adatok!$J32)/(8*(VLOOKUP(M$19,Számítás!$B$19:$H$63,7,FALSE)))+(Adatok!$C$13^3*Adatok!$C$20^3*Adatok!$I32^3*Adatok!$J32)/(384*(VLOOKUP(M$19,Számítás!$B$19:$H$63,7,FALSE))^3))*100,$B$19)</f>
        <v>-</v>
      </c>
      <c r="N33" s="33" t="str">
        <f>IF(AND($I$19+M$17*Adatok!$F$11&gt;Adatok!$F$10-0.01,Adatok!$C$16+$B33&lt;Adatok!$C$17+1),((Adatok!$C$13*Adatok!$C$20*Adatok!$I32*Adatok!$J32)/(8*(VLOOKUP(N$19,Számítás!$B$19:$H$63,7,FALSE)))+(Adatok!$C$13^3*Adatok!$C$20^3*Adatok!$I32^3*Adatok!$J32)/(384*(VLOOKUP(N$19,Számítás!$B$19:$H$63,7,FALSE))^3))*100,$B$19)</f>
        <v>-</v>
      </c>
      <c r="O33" s="33" t="str">
        <f>IF(AND($I$19+N$17*Adatok!$F$11&gt;Adatok!$F$10-0.01,Adatok!$C$16+$B33&lt;Adatok!$C$17+1),((Adatok!$C$13*Adatok!$C$20*Adatok!$I32*Adatok!$J32)/(8*(VLOOKUP(O$19,Számítás!$B$19:$H$63,7,FALSE)))+(Adatok!$C$13^3*Adatok!$C$20^3*Adatok!$I32^3*Adatok!$J32)/(384*(VLOOKUP(O$19,Számítás!$B$19:$H$63,7,FALSE))^3))*100,$B$19)</f>
        <v>-</v>
      </c>
      <c r="P33" s="33" t="str">
        <f>IF(AND($I$19+O$17*Adatok!$F$11&gt;Adatok!$F$10-0.01,Adatok!$C$16+$B33&lt;Adatok!$C$17+1),((Adatok!$C$13*Adatok!$C$20*Adatok!$I32*Adatok!$J32)/(8*(VLOOKUP(P$19,Számítás!$B$19:$H$63,7,FALSE)))+(Adatok!$C$13^3*Adatok!$C$20^3*Adatok!$I32^3*Adatok!$J32)/(384*(VLOOKUP(P$19,Számítás!$B$19:$H$63,7,FALSE))^3))*100,$B$19)</f>
        <v>-</v>
      </c>
      <c r="Q33" s="33" t="str">
        <f>IF(AND($I$19+P$17*Adatok!$F$11&gt;Adatok!$F$10-0.01,Adatok!$C$16+$B33&lt;Adatok!$C$17+1),((Adatok!$C$13*Adatok!$C$20*Adatok!$I32*Adatok!$J32)/(8*(VLOOKUP(Q$19,Számítás!$B$19:$H$63,7,FALSE)))+(Adatok!$C$13^3*Adatok!$C$20^3*Adatok!$I32^3*Adatok!$J32)/(384*(VLOOKUP(Q$19,Számítás!$B$19:$H$63,7,FALSE))^3))*100,$B$19)</f>
        <v>-</v>
      </c>
      <c r="R33" s="33" t="str">
        <f>IF(AND($I$19+Q$17*Adatok!$F$11&gt;Adatok!$F$10-0.01,Adatok!$C$16+$B33&lt;Adatok!$C$17+1),((Adatok!$C$13*Adatok!$C$20*Adatok!$I32*Adatok!$J32)/(8*(VLOOKUP(R$19,Számítás!$B$19:$H$63,7,FALSE)))+(Adatok!$C$13^3*Adatok!$C$20^3*Adatok!$I32^3*Adatok!$J32)/(384*(VLOOKUP(R$19,Számítás!$B$19:$H$63,7,FALSE))^3))*100,$B$19)</f>
        <v>-</v>
      </c>
      <c r="S33" s="33" t="str">
        <f>IF(AND($I$19+R$17*Adatok!$F$11&gt;Adatok!$F$10-0.01,Adatok!$C$16+$B33&lt;Adatok!$C$17+1),((Adatok!$C$13*Adatok!$C$20*Adatok!$I32*Adatok!$J32)/(8*(VLOOKUP(S$19,Számítás!$B$19:$H$63,7,FALSE)))+(Adatok!$C$13^3*Adatok!$C$20^3*Adatok!$I32^3*Adatok!$J32)/(384*(VLOOKUP(S$19,Számítás!$B$19:$H$63,7,FALSE))^3))*100,$B$19)</f>
        <v>-</v>
      </c>
      <c r="T33" s="33" t="str">
        <f>IF(AND($I$19+S$17*Adatok!$F$11&gt;Adatok!$F$10-0.01,Adatok!$C$16+$B33&lt;Adatok!$C$17+1),((Adatok!$C$13*Adatok!$C$20*Adatok!$I32*Adatok!$J32)/(8*(VLOOKUP(T$19,Számítás!$B$19:$H$63,7,FALSE)))+(Adatok!$C$13^3*Adatok!$C$20^3*Adatok!$I32^3*Adatok!$J32)/(384*(VLOOKUP(T$19,Számítás!$B$19:$H$63,7,FALSE))^3))*100,$B$19)</f>
        <v>-</v>
      </c>
      <c r="U33" s="33" t="str">
        <f>IF(AND($I$19+T$17*Adatok!$F$11&gt;Adatok!$F$10-0.01,Adatok!$C$16+$B33&lt;Adatok!$C$17+1),((Adatok!$C$13*Adatok!$C$20*Adatok!$I32*Adatok!$J32)/(8*(VLOOKUP(U$19,Számítás!$B$19:$H$63,7,FALSE)))+(Adatok!$C$13^3*Adatok!$C$20^3*Adatok!$I32^3*Adatok!$J32)/(384*(VLOOKUP(U$19,Számítás!$B$19:$H$63,7,FALSE))^3))*100,$B$19)</f>
        <v>-</v>
      </c>
      <c r="V33" s="33" t="str">
        <f>IF(AND($I$19+U$17*Adatok!$F$11&gt;Adatok!$F$10-0.01,Adatok!$C$16+$B33&lt;Adatok!$C$17+1),((Adatok!$C$13*Adatok!$C$20*Adatok!$I32*Adatok!$J32)/(8*(VLOOKUP(V$19,Számítás!$B$19:$H$63,7,FALSE)))+(Adatok!$C$13^3*Adatok!$C$20^3*Adatok!$I32^3*Adatok!$J32)/(384*(VLOOKUP(V$19,Számítás!$B$19:$H$63,7,FALSE))^3))*100,$B$19)</f>
        <v>-</v>
      </c>
      <c r="W33" s="33" t="str">
        <f>IF(AND($I$19+V$17*Adatok!$F$11&gt;Adatok!$F$10-0.01,Adatok!$C$16+$B33&lt;Adatok!$C$17+1),((Adatok!$C$13*Adatok!$C$20*Adatok!$I32*Adatok!$J32)/(8*(VLOOKUP(W$19,Számítás!$B$19:$H$63,7,FALSE)))+(Adatok!$C$13^3*Adatok!$C$20^3*Adatok!$I32^3*Adatok!$J32)/(384*(VLOOKUP(W$19,Számítás!$B$19:$H$63,7,FALSE))^3))*100,$B$19)</f>
        <v>-</v>
      </c>
      <c r="X33" s="33" t="str">
        <f>IF(AND($I$19+W$17*Adatok!$F$11&gt;Adatok!$F$10-0.01,Adatok!$C$16+$B33&lt;Adatok!$C$17+1),((Adatok!$C$13*Adatok!$C$20*Adatok!$I32*Adatok!$J32)/(8*(VLOOKUP(X$19,Számítás!$B$19:$H$63,7,FALSE)))+(Adatok!$C$13^3*Adatok!$C$20^3*Adatok!$I32^3*Adatok!$J32)/(384*(VLOOKUP(X$19,Számítás!$B$19:$H$63,7,FALSE))^3))*100,$B$19)</f>
        <v>-</v>
      </c>
      <c r="Y33" s="33" t="str">
        <f>IF(AND($I$19+X$17*Adatok!$F$11&gt;Adatok!$F$10-0.01,Adatok!$C$16+$B33&lt;Adatok!$C$17+1),((Adatok!$C$13*Adatok!$C$20*Adatok!$I32*Adatok!$J32)/(8*(VLOOKUP(Y$19,Számítás!$B$19:$H$63,7,FALSE)))+(Adatok!$C$13^3*Adatok!$C$20^3*Adatok!$I32^3*Adatok!$J32)/(384*(VLOOKUP(Y$19,Számítás!$B$19:$H$63,7,FALSE))^3))*100,$B$19)</f>
        <v>-</v>
      </c>
      <c r="Z33" s="33" t="str">
        <f>IF(AND($I$19+Y$17*Adatok!$F$11&gt;Adatok!$F$10-0.01,Adatok!$C$16+$B33&lt;Adatok!$C$17+1),((Adatok!$C$13*Adatok!$C$20*Adatok!$I32*Adatok!$J32)/(8*(VLOOKUP(Z$19,Számítás!$B$19:$H$63,7,FALSE)))+(Adatok!$C$13^3*Adatok!$C$20^3*Adatok!$I32^3*Adatok!$J32)/(384*(VLOOKUP(Z$19,Számítás!$B$19:$H$63,7,FALSE))^3))*100,$B$19)</f>
        <v>-</v>
      </c>
      <c r="AA33" s="33" t="str">
        <f>IF(AND($I$19+Z$17*Adatok!$F$11&gt;Adatok!$F$10-0.01,Adatok!$C$16+$B33&lt;Adatok!$C$17+1),((Adatok!$C$13*Adatok!$C$20*Adatok!$I32*Adatok!$J32)/(8*(VLOOKUP(AA$19,Számítás!$B$19:$H$63,7,FALSE)))+(Adatok!$C$13^3*Adatok!$C$20^3*Adatok!$I32^3*Adatok!$J32)/(384*(VLOOKUP(AA$19,Számítás!$B$19:$H$63,7,FALSE))^3))*100,$B$19)</f>
        <v>-</v>
      </c>
      <c r="AB33" s="33" t="str">
        <f>IF(AND($I$19+AA$17*Adatok!$F$11&gt;Adatok!$F$10-0.01,Adatok!$C$16+$B33&lt;Adatok!$C$17+1),((Adatok!$C$13*Adatok!$C$20*Adatok!$I32*Adatok!$J32)/(8*(VLOOKUP(AB$19,Számítás!$B$19:$H$63,7,FALSE)))+(Adatok!$C$13^3*Adatok!$C$20^3*Adatok!$I32^3*Adatok!$J32)/(384*(VLOOKUP(AB$19,Számítás!$B$19:$H$63,7,FALSE))^3))*100,$B$19)</f>
        <v>-</v>
      </c>
      <c r="AC33" s="33" t="str">
        <f>IF(AND($I$19+AB$17*Adatok!$F$11&gt;Adatok!$F$10-0.01,Adatok!$C$16+$B33&lt;Adatok!$C$17+1),((Adatok!$C$13*Adatok!$C$20*Adatok!$I32*Adatok!$J32)/(8*(VLOOKUP(AC$19,Számítás!$B$19:$H$63,7,FALSE)))+(Adatok!$C$13^3*Adatok!$C$20^3*Adatok!$I32^3*Adatok!$J32)/(384*(VLOOKUP(AC$19,Számítás!$B$19:$H$63,7,FALSE))^3))*100,$B$19)</f>
        <v>-</v>
      </c>
      <c r="AD33" s="33" t="str">
        <f>IF(AND($I$19+AC$17*Adatok!$F$11&gt;Adatok!$F$10-0.01,Adatok!$C$16+$B33&lt;Adatok!$C$17+1),((Adatok!$C$13*Adatok!$C$20*Adatok!$I32*Adatok!$J32)/(8*(VLOOKUP(AD$19,Számítás!$B$19:$H$63,7,FALSE)))+(Adatok!$C$13^3*Adatok!$C$20^3*Adatok!$I32^3*Adatok!$J32)/(384*(VLOOKUP(AD$19,Számítás!$B$19:$H$63,7,FALSE))^3))*100,$B$19)</f>
        <v>-</v>
      </c>
      <c r="AE33" s="33" t="str">
        <f>IF(AND($I$19+AD$17*Adatok!$F$11&gt;Adatok!$F$10-0.01,Adatok!$C$16+$B33&lt;Adatok!$C$17+1),((Adatok!$C$13*Adatok!$C$20*Adatok!$I32*Adatok!$J32)/(8*(VLOOKUP(AE$19,Számítás!$B$19:$H$63,7,FALSE)))+(Adatok!$C$13^3*Adatok!$C$20^3*Adatok!$I32^3*Adatok!$J32)/(384*(VLOOKUP(AE$19,Számítás!$B$19:$H$63,7,FALSE))^3))*100,$B$19)</f>
        <v>-</v>
      </c>
      <c r="AF33" s="33" t="str">
        <f>IF(AND($I$19+AE$17*Adatok!$F$11&gt;Adatok!$F$10-0.01,Adatok!$C$16+$B33&lt;Adatok!$C$17+1),((Adatok!$C$13*Adatok!$C$20*Adatok!$I32*Adatok!$J32)/(8*(VLOOKUP(AF$19,Számítás!$B$19:$H$63,7,FALSE)))+(Adatok!$C$13^3*Adatok!$C$20^3*Adatok!$I32^3*Adatok!$J32)/(384*(VLOOKUP(AF$19,Számítás!$B$19:$H$63,7,FALSE))^3))*100,$B$19)</f>
        <v>-</v>
      </c>
      <c r="AG33" s="33" t="str">
        <f>IF(AND($I$19+AF$17*Adatok!$F$11&gt;Adatok!$F$10-0.01,Adatok!$C$16+$B33&lt;Adatok!$C$17+1),((Adatok!$C$13*Adatok!$C$20*Adatok!$I32*Adatok!$J32)/(8*(VLOOKUP(AG$19,Számítás!$B$19:$H$63,7,FALSE)))+(Adatok!$C$13^3*Adatok!$C$20^3*Adatok!$I32^3*Adatok!$J32)/(384*(VLOOKUP(AG$19,Számítás!$B$19:$H$63,7,FALSE))^3))*100,$B$19)</f>
        <v>-</v>
      </c>
      <c r="AH33" s="33" t="str">
        <f>IF(AND($I$19+AG$17*Adatok!$F$11&gt;Adatok!$F$10-0.01,Adatok!$C$16+$B33&lt;Adatok!$C$17+1),((Adatok!$C$13*Adatok!$C$20*Adatok!$I32*Adatok!$J32)/(8*(VLOOKUP(AH$19,Számítás!$B$19:$H$63,7,FALSE)))+(Adatok!$C$13^3*Adatok!$C$20^3*Adatok!$I32^3*Adatok!$J32)/(384*(VLOOKUP(AH$19,Számítás!$B$19:$H$63,7,FALSE))^3))*100,$B$19)</f>
        <v>-</v>
      </c>
      <c r="AI33" s="33" t="str">
        <f>IF(AND($I$19+AH$17*Adatok!$F$11&gt;Adatok!$F$10-0.01,Adatok!$C$16+$B33&lt;Adatok!$C$17+1),((Adatok!$C$13*Adatok!$C$20*Adatok!$I32*Adatok!$J32)/(8*(VLOOKUP(AI$19,Számítás!$B$19:$H$63,7,FALSE)))+(Adatok!$C$13^3*Adatok!$C$20^3*Adatok!$I32^3*Adatok!$J32)/(384*(VLOOKUP(AI$19,Számítás!$B$19:$H$63,7,FALSE))^3))*100,$B$19)</f>
        <v>-</v>
      </c>
      <c r="AJ33" s="33" t="str">
        <f>IF(AND($I$19+AI$17*Adatok!$F$11&gt;Adatok!$F$10-0.01,Adatok!$C$16+$B33&lt;Adatok!$C$17+1),((Adatok!$C$13*Adatok!$C$20*Adatok!$I32*Adatok!$J32)/(8*(VLOOKUP(AJ$19,Számítás!$B$19:$H$63,7,FALSE)))+(Adatok!$C$13^3*Adatok!$C$20^3*Adatok!$I32^3*Adatok!$J32)/(384*(VLOOKUP(AJ$19,Számítás!$B$19:$H$63,7,FALSE))^3))*100,$B$19)</f>
        <v>-</v>
      </c>
      <c r="AK33" s="33" t="str">
        <f>IF(AND($I$19+AJ$17*Adatok!$F$11&gt;Adatok!$F$10-0.01,Adatok!$C$16+$B33&lt;Adatok!$C$17+1),((Adatok!$C$13*Adatok!$C$20*Adatok!$I32*Adatok!$J32)/(8*(VLOOKUP(AK$19,Számítás!$B$19:$H$63,7,FALSE)))+(Adatok!$C$13^3*Adatok!$C$20^3*Adatok!$I32^3*Adatok!$J32)/(384*(VLOOKUP(AK$19,Számítás!$B$19:$H$63,7,FALSE))^3))*100,$B$19)</f>
        <v>-</v>
      </c>
      <c r="AL33" s="33" t="str">
        <f>IF(AND($I$19+AK$17*Adatok!$F$11&gt;Adatok!$F$10-0.01,Adatok!$C$16+$B33&lt;Adatok!$C$17+1),((Adatok!$C$13*Adatok!$C$20*Adatok!$I32*Adatok!$J32)/(8*(VLOOKUP(AL$19,Számítás!$B$19:$H$63,7,FALSE)))+(Adatok!$C$13^3*Adatok!$C$20^3*Adatok!$I32^3*Adatok!$J32)/(384*(VLOOKUP(AL$19,Számítás!$B$19:$H$63,7,FALSE))^3))*100,$B$19)</f>
        <v>-</v>
      </c>
      <c r="AM33" s="33" t="str">
        <f>IF(AND($I$19+AL$17*Adatok!$F$11&gt;Adatok!$F$10-0.01,Adatok!$C$16+$B33&lt;Adatok!$C$17+1),((Adatok!$C$13*Adatok!$C$20*Adatok!$I32*Adatok!$J32)/(8*(VLOOKUP(AM$19,Számítás!$B$19:$H$63,7,FALSE)))+(Adatok!$C$13^3*Adatok!$C$20^3*Adatok!$I32^3*Adatok!$J32)/(384*(VLOOKUP(AM$19,Számítás!$B$19:$H$63,7,FALSE))^3))*100,$B$19)</f>
        <v>-</v>
      </c>
      <c r="AN33" s="33" t="str">
        <f>IF(AND($I$19+AM$17*Adatok!$F$11&gt;Adatok!$F$10-0.01,Adatok!$C$16+$B33&lt;Adatok!$C$17+1),((Adatok!$C$13*Adatok!$C$20*Adatok!$I32*Adatok!$J32)/(8*(VLOOKUP(AN$19,Számítás!$B$19:$H$63,7,FALSE)))+(Adatok!$C$13^3*Adatok!$C$20^3*Adatok!$I32^3*Adatok!$J32)/(384*(VLOOKUP(AN$19,Számítás!$B$19:$H$63,7,FALSE))^3))*100,$B$19)</f>
        <v>-</v>
      </c>
      <c r="AO33" s="33" t="str">
        <f>IF(AND($I$19+AN$17*Adatok!$F$11&gt;Adatok!$F$10-0.01,Adatok!$C$16+$B33&lt;Adatok!$C$17+1),((Adatok!$C$13*Adatok!$C$20*Adatok!$I32*Adatok!$J32)/(8*(VLOOKUP(AO$19,Számítás!$B$19:$H$63,7,FALSE)))+(Adatok!$C$13^3*Adatok!$C$20^3*Adatok!$I32^3*Adatok!$J32)/(384*(VLOOKUP(AO$19,Számítás!$B$19:$H$63,7,FALSE))^3))*100,$B$19)</f>
        <v>-</v>
      </c>
      <c r="AP33" s="33" t="str">
        <f>IF(AND($I$19+AO$17*Adatok!$F$11&gt;Adatok!$F$10-0.01,Adatok!$C$16+$B33&lt;Adatok!$C$17+1),((Adatok!$C$13*Adatok!$C$20*Adatok!$I32*Adatok!$J32)/(8*(VLOOKUP(AP$19,Számítás!$B$19:$H$63,7,FALSE)))+(Adatok!$C$13^3*Adatok!$C$20^3*Adatok!$I32^3*Adatok!$J32)/(384*(VLOOKUP(AP$19,Számítás!$B$19:$H$63,7,FALSE))^3))*100,$B$19)</f>
        <v>-</v>
      </c>
      <c r="AQ33" s="33" t="str">
        <f>IF(AND($I$19+AP$17*Adatok!$F$11&gt;Adatok!$F$10-0.01,Adatok!$C$16+$B33&lt;Adatok!$C$17+1),((Adatok!$C$13*Adatok!$C$20*Adatok!$I32*Adatok!$J32)/(8*(VLOOKUP(AQ$19,Számítás!$B$19:$H$63,7,FALSE)))+(Adatok!$C$13^3*Adatok!$C$20^3*Adatok!$I32^3*Adatok!$J32)/(384*(VLOOKUP(AQ$19,Számítás!$B$19:$H$63,7,FALSE))^3))*100,$B$19)</f>
        <v>-</v>
      </c>
      <c r="AR33" s="33" t="str">
        <f>IF(AND($I$19+AQ$17*Adatok!$F$11&gt;Adatok!$F$10-0.01,Adatok!$C$16+$B33&lt;Adatok!$C$17+1),((Adatok!$C$13*Adatok!$C$20*Adatok!$I32*Adatok!$J32)/(8*(VLOOKUP(AR$19,Számítás!$B$19:$H$63,7,FALSE)))+(Adatok!$C$13^3*Adatok!$C$20^3*Adatok!$I32^3*Adatok!$J32)/(384*(VLOOKUP(AR$19,Számítás!$B$19:$H$63,7,FALSE))^3))*100,$B$19)</f>
        <v>-</v>
      </c>
      <c r="AS33" s="33" t="str">
        <f>IF(AND($I$19+AR$17*Adatok!$F$11&gt;Adatok!$F$10-0.01,Adatok!$C$16+$B33&lt;Adatok!$C$17+1),((Adatok!$C$13*Adatok!$C$20*Adatok!$I32*Adatok!$J32)/(8*(VLOOKUP(AS$19,Számítás!$B$19:$H$63,7,FALSE)))+(Adatok!$C$13^3*Adatok!$C$20^3*Adatok!$I32^3*Adatok!$J32)/(384*(VLOOKUP(AS$19,Számítás!$B$19:$H$63,7,FALSE))^3))*100,$B$19)</f>
        <v>-</v>
      </c>
      <c r="AT33" s="33" t="str">
        <f>IF(AND($I$19+AS$17*Adatok!$F$11&gt;Adatok!$F$10-0.01,Adatok!$C$16+$B33&lt;Adatok!$C$17+1),((Adatok!$C$13*Adatok!$C$20*Adatok!$I32*Adatok!$J32)/(8*(VLOOKUP(AT$19,Számítás!$B$19:$H$63,7,FALSE)))+(Adatok!$C$13^3*Adatok!$C$20^3*Adatok!$I32^3*Adatok!$J32)/(384*(VLOOKUP(AT$19,Számítás!$B$19:$H$63,7,FALSE))^3))*100,$B$19)</f>
        <v>-</v>
      </c>
      <c r="AU33" s="33" t="str">
        <f>IF(AND($I$19+AT$17*Adatok!$F$11&gt;Adatok!$F$10-0.01,Adatok!$C$16+$B33&lt;Adatok!$C$17+1),((Adatok!$C$13*Adatok!$C$20*Adatok!$I32*Adatok!$J32)/(8*(VLOOKUP(AU$19,Számítás!$B$19:$H$63,7,FALSE)))+(Adatok!$C$13^3*Adatok!$C$20^3*Adatok!$I32^3*Adatok!$J32)/(384*(VLOOKUP(AU$19,Számítás!$B$19:$H$63,7,FALSE))^3))*100,$B$19)</f>
        <v>-</v>
      </c>
      <c r="AV33" s="33" t="str">
        <f>IF(AND($I$19+AU$17*Adatok!$F$11&gt;Adatok!$F$10-0.01,Adatok!$C$16+$B33&lt;Adatok!$C$17+1),((Adatok!$C$13*Adatok!$C$20*Adatok!$I32*Adatok!$J32)/(8*(VLOOKUP(AV$19,Számítás!$B$19:$H$63,7,FALSE)))+(Adatok!$C$13^3*Adatok!$C$20^3*Adatok!$I32^3*Adatok!$J32)/(384*(VLOOKUP(AV$19,Számítás!$B$19:$H$63,7,FALSE))^3))*100,$B$19)</f>
        <v>-</v>
      </c>
      <c r="AW33" s="33" t="str">
        <f>IF(AND($I$19+AV$17*Adatok!$F$11&gt;Adatok!$F$10-0.01,Adatok!$C$16+$B33&lt;Adatok!$C$17+1),((Adatok!$C$13*Adatok!$C$20*Adatok!$I32*Adatok!$J32)/(8*(VLOOKUP(AW$19,Számítás!$B$19:$H$63,7,FALSE)))+(Adatok!$C$13^3*Adatok!$C$20^3*Adatok!$I32^3*Adatok!$J32)/(384*(VLOOKUP(AW$19,Számítás!$B$19:$H$63,7,FALSE))^3))*100,$B$19)</f>
        <v>-</v>
      </c>
      <c r="AX33" s="33" t="str">
        <f>IF(AND($I$19+AW$17*Adatok!$F$11&gt;Adatok!$F$10-0.01,Adatok!$C$16+$B33&lt;Adatok!$C$17+1),((Adatok!$C$13*Adatok!$C$20*Adatok!$I32*Adatok!$J32)/(8*(VLOOKUP(AX$19,Számítás!$B$19:$H$63,7,FALSE)))+(Adatok!$C$13^3*Adatok!$C$20^3*Adatok!$I32^3*Adatok!$J32)/(384*(VLOOKUP(AX$19,Számítás!$B$19:$H$63,7,FALSE))^3))*100,$B$19)</f>
        <v>-</v>
      </c>
      <c r="AY33" s="33" t="str">
        <f>IF(AND($I$19+AX$17*Adatok!$F$11&gt;Adatok!$F$10-0.01,Adatok!$C$16+$B33&lt;Adatok!$C$17+1),((Adatok!$C$13*Adatok!$C$20*Adatok!$I32*Adatok!$J32)/(8*(VLOOKUP(AY$19,Számítás!$B$19:$H$63,7,FALSE)))+(Adatok!$C$13^3*Adatok!$C$20^3*Adatok!$I32^3*Adatok!$J32)/(384*(VLOOKUP(AY$19,Számítás!$B$19:$H$63,7,FALSE))^3))*100,$B$19)</f>
        <v>-</v>
      </c>
      <c r="AZ33" s="33" t="str">
        <f>IF(AND($I$19+AY$17*Adatok!$F$11&gt;Adatok!$F$10-0.01,Adatok!$C$16+$B33&lt;Adatok!$C$17+1),((Adatok!$C$13*Adatok!$C$20*Adatok!$I32*Adatok!$J32)/(8*(VLOOKUP(AZ$19,Számítás!$B$19:$H$63,7,FALSE)))+(Adatok!$C$13^3*Adatok!$C$20^3*Adatok!$I32^3*Adatok!$J32)/(384*(VLOOKUP(AZ$19,Számítás!$B$19:$H$63,7,FALSE))^3))*100,$B$19)</f>
        <v>-</v>
      </c>
      <c r="BA33" s="33" t="str">
        <f>IF(AND($I$19+AZ$17*Adatok!$F$11&gt;Adatok!$F$10-0.01,Adatok!$C$16+$B33&lt;Adatok!$C$17+1),((Adatok!$C$13*Adatok!$C$20*Adatok!$I32*Adatok!$J32)/(8*(VLOOKUP(BA$19,Számítás!$B$19:$H$63,7,FALSE)))+(Adatok!$C$13^3*Adatok!$C$20^3*Adatok!$I32^3*Adatok!$J32)/(384*(VLOOKUP(BA$19,Számítás!$B$19:$H$63,7,FALSE))^3))*100,$B$19)</f>
        <v>-</v>
      </c>
    </row>
    <row r="34" spans="2:53" ht="18" customHeight="1" x14ac:dyDescent="0.25">
      <c r="B34" s="1">
        <v>15</v>
      </c>
      <c r="C34" s="333" t="str">
        <f>Adatok!F33</f>
        <v>-</v>
      </c>
      <c r="D34" s="32" t="s">
        <v>27</v>
      </c>
      <c r="E34" s="336" t="str">
        <f>Adatok!H33</f>
        <v>-</v>
      </c>
      <c r="F34" s="64" t="str">
        <f>IF(Adatok!$C$16+B34&gt;Adatok!$C$17,$B$19,Adatok!I33)</f>
        <v>-</v>
      </c>
      <c r="G34" s="60"/>
      <c r="H34" s="72" t="str">
        <f>IF(Adatok!$C$16+B34&gt;Adatok!$C$17,$B$19,Adatok!J33/Adatok!I33)</f>
        <v>-</v>
      </c>
      <c r="I34" s="81" t="str">
        <f>IF(Adatok!$C$16+$B34&lt;Adatok!$C$17+1,((((Adatok!$C$13*Adatok!$C$20*Adatok!$I33*Adatok!$J33)/(8*(VLOOKUP(I$19,Számítás!$B$19:$H$63,7,FALSE))))+((Adatok!$C$13^3*Adatok!$C$20^3*Adatok!$I33^3*Adatok!$J33)/(384*(VLOOKUP(I$19,Számítás!$B$19:$H$63,7,FALSE))^3)))*100),$B$19)</f>
        <v>-</v>
      </c>
      <c r="J34" s="33" t="str">
        <f>IF(AND($I$19+I$17*Adatok!$F$11&gt;Adatok!$F$10-0.01,Adatok!$C$16+$B34&lt;Adatok!$C$17+1),((Adatok!$C$13*Adatok!$C$20*Adatok!$I33*Adatok!$J33)/(8*(VLOOKUP(J$19,Számítás!$B$19:$H$63,7,FALSE)))+(Adatok!$C$13^3*Adatok!$C$20^3*Adatok!$I33^3*Adatok!$J33)/(384*(VLOOKUP(J$19,Számítás!$B$19:$H$63,7,FALSE))^3))*100,$B$19)</f>
        <v>-</v>
      </c>
      <c r="K34" s="33" t="str">
        <f>IF(AND($I$19+J$17*Adatok!$F$11&gt;Adatok!$F$10-0.01,Adatok!$C$16+$B34&lt;Adatok!$C$17+1),((Adatok!$C$13*Adatok!$C$20*Adatok!$I33*Adatok!$J33)/(8*(VLOOKUP(K$19,Számítás!$B$19:$H$63,7,FALSE)))+(Adatok!$C$13^3*Adatok!$C$20^3*Adatok!$I33^3*Adatok!$J33)/(384*(VLOOKUP(K$19,Számítás!$B$19:$H$63,7,FALSE))^3))*100,$B$19)</f>
        <v>-</v>
      </c>
      <c r="L34" s="33" t="str">
        <f>IF(AND($I$19+K$17*Adatok!$F$11&gt;Adatok!$F$10-0.01,Adatok!$C$16+$B34&lt;Adatok!$C$17+1),((Adatok!$C$13*Adatok!$C$20*Adatok!$I33*Adatok!$J33)/(8*(VLOOKUP(L$19,Számítás!$B$19:$H$63,7,FALSE)))+(Adatok!$C$13^3*Adatok!$C$20^3*Adatok!$I33^3*Adatok!$J33)/(384*(VLOOKUP(L$19,Számítás!$B$19:$H$63,7,FALSE))^3))*100,$B$19)</f>
        <v>-</v>
      </c>
      <c r="M34" s="33" t="str">
        <f>IF(AND($I$19+L$17*Adatok!$F$11&gt;Adatok!$F$10-0.01,Adatok!$C$16+$B34&lt;Adatok!$C$17+1),((Adatok!$C$13*Adatok!$C$20*Adatok!$I33*Adatok!$J33)/(8*(VLOOKUP(M$19,Számítás!$B$19:$H$63,7,FALSE)))+(Adatok!$C$13^3*Adatok!$C$20^3*Adatok!$I33^3*Adatok!$J33)/(384*(VLOOKUP(M$19,Számítás!$B$19:$H$63,7,FALSE))^3))*100,$B$19)</f>
        <v>-</v>
      </c>
      <c r="N34" s="33" t="str">
        <f>IF(AND($I$19+M$17*Adatok!$F$11&gt;Adatok!$F$10-0.01,Adatok!$C$16+$B34&lt;Adatok!$C$17+1),((Adatok!$C$13*Adatok!$C$20*Adatok!$I33*Adatok!$J33)/(8*(VLOOKUP(N$19,Számítás!$B$19:$H$63,7,FALSE)))+(Adatok!$C$13^3*Adatok!$C$20^3*Adatok!$I33^3*Adatok!$J33)/(384*(VLOOKUP(N$19,Számítás!$B$19:$H$63,7,FALSE))^3))*100,$B$19)</f>
        <v>-</v>
      </c>
      <c r="O34" s="33" t="str">
        <f>IF(AND($I$19+N$17*Adatok!$F$11&gt;Adatok!$F$10-0.01,Adatok!$C$16+$B34&lt;Adatok!$C$17+1),((Adatok!$C$13*Adatok!$C$20*Adatok!$I33*Adatok!$J33)/(8*(VLOOKUP(O$19,Számítás!$B$19:$H$63,7,FALSE)))+(Adatok!$C$13^3*Adatok!$C$20^3*Adatok!$I33^3*Adatok!$J33)/(384*(VLOOKUP(O$19,Számítás!$B$19:$H$63,7,FALSE))^3))*100,$B$19)</f>
        <v>-</v>
      </c>
      <c r="P34" s="33" t="str">
        <f>IF(AND($I$19+O$17*Adatok!$F$11&gt;Adatok!$F$10-0.01,Adatok!$C$16+$B34&lt;Adatok!$C$17+1),((Adatok!$C$13*Adatok!$C$20*Adatok!$I33*Adatok!$J33)/(8*(VLOOKUP(P$19,Számítás!$B$19:$H$63,7,FALSE)))+(Adatok!$C$13^3*Adatok!$C$20^3*Adatok!$I33^3*Adatok!$J33)/(384*(VLOOKUP(P$19,Számítás!$B$19:$H$63,7,FALSE))^3))*100,$B$19)</f>
        <v>-</v>
      </c>
      <c r="Q34" s="33" t="str">
        <f>IF(AND($I$19+P$17*Adatok!$F$11&gt;Adatok!$F$10-0.01,Adatok!$C$16+$B34&lt;Adatok!$C$17+1),((Adatok!$C$13*Adatok!$C$20*Adatok!$I33*Adatok!$J33)/(8*(VLOOKUP(Q$19,Számítás!$B$19:$H$63,7,FALSE)))+(Adatok!$C$13^3*Adatok!$C$20^3*Adatok!$I33^3*Adatok!$J33)/(384*(VLOOKUP(Q$19,Számítás!$B$19:$H$63,7,FALSE))^3))*100,$B$19)</f>
        <v>-</v>
      </c>
      <c r="R34" s="33" t="str">
        <f>IF(AND($I$19+Q$17*Adatok!$F$11&gt;Adatok!$F$10-0.01,Adatok!$C$16+$B34&lt;Adatok!$C$17+1),((Adatok!$C$13*Adatok!$C$20*Adatok!$I33*Adatok!$J33)/(8*(VLOOKUP(R$19,Számítás!$B$19:$H$63,7,FALSE)))+(Adatok!$C$13^3*Adatok!$C$20^3*Adatok!$I33^3*Adatok!$J33)/(384*(VLOOKUP(R$19,Számítás!$B$19:$H$63,7,FALSE))^3))*100,$B$19)</f>
        <v>-</v>
      </c>
      <c r="S34" s="33" t="str">
        <f>IF(AND($I$19+R$17*Adatok!$F$11&gt;Adatok!$F$10-0.01,Adatok!$C$16+$B34&lt;Adatok!$C$17+1),((Adatok!$C$13*Adatok!$C$20*Adatok!$I33*Adatok!$J33)/(8*(VLOOKUP(S$19,Számítás!$B$19:$H$63,7,FALSE)))+(Adatok!$C$13^3*Adatok!$C$20^3*Adatok!$I33^3*Adatok!$J33)/(384*(VLOOKUP(S$19,Számítás!$B$19:$H$63,7,FALSE))^3))*100,$B$19)</f>
        <v>-</v>
      </c>
      <c r="T34" s="33" t="str">
        <f>IF(AND($I$19+S$17*Adatok!$F$11&gt;Adatok!$F$10-0.01,Adatok!$C$16+$B34&lt;Adatok!$C$17+1),((Adatok!$C$13*Adatok!$C$20*Adatok!$I33*Adatok!$J33)/(8*(VLOOKUP(T$19,Számítás!$B$19:$H$63,7,FALSE)))+(Adatok!$C$13^3*Adatok!$C$20^3*Adatok!$I33^3*Adatok!$J33)/(384*(VLOOKUP(T$19,Számítás!$B$19:$H$63,7,FALSE))^3))*100,$B$19)</f>
        <v>-</v>
      </c>
      <c r="U34" s="33" t="str">
        <f>IF(AND($I$19+T$17*Adatok!$F$11&gt;Adatok!$F$10-0.01,Adatok!$C$16+$B34&lt;Adatok!$C$17+1),((Adatok!$C$13*Adatok!$C$20*Adatok!$I33*Adatok!$J33)/(8*(VLOOKUP(U$19,Számítás!$B$19:$H$63,7,FALSE)))+(Adatok!$C$13^3*Adatok!$C$20^3*Adatok!$I33^3*Adatok!$J33)/(384*(VLOOKUP(U$19,Számítás!$B$19:$H$63,7,FALSE))^3))*100,$B$19)</f>
        <v>-</v>
      </c>
      <c r="V34" s="33" t="str">
        <f>IF(AND($I$19+U$17*Adatok!$F$11&gt;Adatok!$F$10-0.01,Adatok!$C$16+$B34&lt;Adatok!$C$17+1),((Adatok!$C$13*Adatok!$C$20*Adatok!$I33*Adatok!$J33)/(8*(VLOOKUP(V$19,Számítás!$B$19:$H$63,7,FALSE)))+(Adatok!$C$13^3*Adatok!$C$20^3*Adatok!$I33^3*Adatok!$J33)/(384*(VLOOKUP(V$19,Számítás!$B$19:$H$63,7,FALSE))^3))*100,$B$19)</f>
        <v>-</v>
      </c>
      <c r="W34" s="33" t="str">
        <f>IF(AND($I$19+V$17*Adatok!$F$11&gt;Adatok!$F$10-0.01,Adatok!$C$16+$B34&lt;Adatok!$C$17+1),((Adatok!$C$13*Adatok!$C$20*Adatok!$I33*Adatok!$J33)/(8*(VLOOKUP(W$19,Számítás!$B$19:$H$63,7,FALSE)))+(Adatok!$C$13^3*Adatok!$C$20^3*Adatok!$I33^3*Adatok!$J33)/(384*(VLOOKUP(W$19,Számítás!$B$19:$H$63,7,FALSE))^3))*100,$B$19)</f>
        <v>-</v>
      </c>
      <c r="X34" s="33" t="str">
        <f>IF(AND($I$19+W$17*Adatok!$F$11&gt;Adatok!$F$10-0.01,Adatok!$C$16+$B34&lt;Adatok!$C$17+1),((Adatok!$C$13*Adatok!$C$20*Adatok!$I33*Adatok!$J33)/(8*(VLOOKUP(X$19,Számítás!$B$19:$H$63,7,FALSE)))+(Adatok!$C$13^3*Adatok!$C$20^3*Adatok!$I33^3*Adatok!$J33)/(384*(VLOOKUP(X$19,Számítás!$B$19:$H$63,7,FALSE))^3))*100,$B$19)</f>
        <v>-</v>
      </c>
      <c r="Y34" s="33" t="str">
        <f>IF(AND($I$19+X$17*Adatok!$F$11&gt;Adatok!$F$10-0.01,Adatok!$C$16+$B34&lt;Adatok!$C$17+1),((Adatok!$C$13*Adatok!$C$20*Adatok!$I33*Adatok!$J33)/(8*(VLOOKUP(Y$19,Számítás!$B$19:$H$63,7,FALSE)))+(Adatok!$C$13^3*Adatok!$C$20^3*Adatok!$I33^3*Adatok!$J33)/(384*(VLOOKUP(Y$19,Számítás!$B$19:$H$63,7,FALSE))^3))*100,$B$19)</f>
        <v>-</v>
      </c>
      <c r="Z34" s="33" t="str">
        <f>IF(AND($I$19+Y$17*Adatok!$F$11&gt;Adatok!$F$10-0.01,Adatok!$C$16+$B34&lt;Adatok!$C$17+1),((Adatok!$C$13*Adatok!$C$20*Adatok!$I33*Adatok!$J33)/(8*(VLOOKUP(Z$19,Számítás!$B$19:$H$63,7,FALSE)))+(Adatok!$C$13^3*Adatok!$C$20^3*Adatok!$I33^3*Adatok!$J33)/(384*(VLOOKUP(Z$19,Számítás!$B$19:$H$63,7,FALSE))^3))*100,$B$19)</f>
        <v>-</v>
      </c>
      <c r="AA34" s="33" t="str">
        <f>IF(AND($I$19+Z$17*Adatok!$F$11&gt;Adatok!$F$10-0.01,Adatok!$C$16+$B34&lt;Adatok!$C$17+1),((Adatok!$C$13*Adatok!$C$20*Adatok!$I33*Adatok!$J33)/(8*(VLOOKUP(AA$19,Számítás!$B$19:$H$63,7,FALSE)))+(Adatok!$C$13^3*Adatok!$C$20^3*Adatok!$I33^3*Adatok!$J33)/(384*(VLOOKUP(AA$19,Számítás!$B$19:$H$63,7,FALSE))^3))*100,$B$19)</f>
        <v>-</v>
      </c>
      <c r="AB34" s="33" t="str">
        <f>IF(AND($I$19+AA$17*Adatok!$F$11&gt;Adatok!$F$10-0.01,Adatok!$C$16+$B34&lt;Adatok!$C$17+1),((Adatok!$C$13*Adatok!$C$20*Adatok!$I33*Adatok!$J33)/(8*(VLOOKUP(AB$19,Számítás!$B$19:$H$63,7,FALSE)))+(Adatok!$C$13^3*Adatok!$C$20^3*Adatok!$I33^3*Adatok!$J33)/(384*(VLOOKUP(AB$19,Számítás!$B$19:$H$63,7,FALSE))^3))*100,$B$19)</f>
        <v>-</v>
      </c>
      <c r="AC34" s="33" t="str">
        <f>IF(AND($I$19+AB$17*Adatok!$F$11&gt;Adatok!$F$10-0.01,Adatok!$C$16+$B34&lt;Adatok!$C$17+1),((Adatok!$C$13*Adatok!$C$20*Adatok!$I33*Adatok!$J33)/(8*(VLOOKUP(AC$19,Számítás!$B$19:$H$63,7,FALSE)))+(Adatok!$C$13^3*Adatok!$C$20^3*Adatok!$I33^3*Adatok!$J33)/(384*(VLOOKUP(AC$19,Számítás!$B$19:$H$63,7,FALSE))^3))*100,$B$19)</f>
        <v>-</v>
      </c>
      <c r="AD34" s="33" t="str">
        <f>IF(AND($I$19+AC$17*Adatok!$F$11&gt;Adatok!$F$10-0.01,Adatok!$C$16+$B34&lt;Adatok!$C$17+1),((Adatok!$C$13*Adatok!$C$20*Adatok!$I33*Adatok!$J33)/(8*(VLOOKUP(AD$19,Számítás!$B$19:$H$63,7,FALSE)))+(Adatok!$C$13^3*Adatok!$C$20^3*Adatok!$I33^3*Adatok!$J33)/(384*(VLOOKUP(AD$19,Számítás!$B$19:$H$63,7,FALSE))^3))*100,$B$19)</f>
        <v>-</v>
      </c>
      <c r="AE34" s="33" t="str">
        <f>IF(AND($I$19+AD$17*Adatok!$F$11&gt;Adatok!$F$10-0.01,Adatok!$C$16+$B34&lt;Adatok!$C$17+1),((Adatok!$C$13*Adatok!$C$20*Adatok!$I33*Adatok!$J33)/(8*(VLOOKUP(AE$19,Számítás!$B$19:$H$63,7,FALSE)))+(Adatok!$C$13^3*Adatok!$C$20^3*Adatok!$I33^3*Adatok!$J33)/(384*(VLOOKUP(AE$19,Számítás!$B$19:$H$63,7,FALSE))^3))*100,$B$19)</f>
        <v>-</v>
      </c>
      <c r="AF34" s="33" t="str">
        <f>IF(AND($I$19+AE$17*Adatok!$F$11&gt;Adatok!$F$10-0.01,Adatok!$C$16+$B34&lt;Adatok!$C$17+1),((Adatok!$C$13*Adatok!$C$20*Adatok!$I33*Adatok!$J33)/(8*(VLOOKUP(AF$19,Számítás!$B$19:$H$63,7,FALSE)))+(Adatok!$C$13^3*Adatok!$C$20^3*Adatok!$I33^3*Adatok!$J33)/(384*(VLOOKUP(AF$19,Számítás!$B$19:$H$63,7,FALSE))^3))*100,$B$19)</f>
        <v>-</v>
      </c>
      <c r="AG34" s="33" t="str">
        <f>IF(AND($I$19+AF$17*Adatok!$F$11&gt;Adatok!$F$10-0.01,Adatok!$C$16+$B34&lt;Adatok!$C$17+1),((Adatok!$C$13*Adatok!$C$20*Adatok!$I33*Adatok!$J33)/(8*(VLOOKUP(AG$19,Számítás!$B$19:$H$63,7,FALSE)))+(Adatok!$C$13^3*Adatok!$C$20^3*Adatok!$I33^3*Adatok!$J33)/(384*(VLOOKUP(AG$19,Számítás!$B$19:$H$63,7,FALSE))^3))*100,$B$19)</f>
        <v>-</v>
      </c>
      <c r="AH34" s="33" t="str">
        <f>IF(AND($I$19+AG$17*Adatok!$F$11&gt;Adatok!$F$10-0.01,Adatok!$C$16+$B34&lt;Adatok!$C$17+1),((Adatok!$C$13*Adatok!$C$20*Adatok!$I33*Adatok!$J33)/(8*(VLOOKUP(AH$19,Számítás!$B$19:$H$63,7,FALSE)))+(Adatok!$C$13^3*Adatok!$C$20^3*Adatok!$I33^3*Adatok!$J33)/(384*(VLOOKUP(AH$19,Számítás!$B$19:$H$63,7,FALSE))^3))*100,$B$19)</f>
        <v>-</v>
      </c>
      <c r="AI34" s="33" t="str">
        <f>IF(AND($I$19+AH$17*Adatok!$F$11&gt;Adatok!$F$10-0.01,Adatok!$C$16+$B34&lt;Adatok!$C$17+1),((Adatok!$C$13*Adatok!$C$20*Adatok!$I33*Adatok!$J33)/(8*(VLOOKUP(AI$19,Számítás!$B$19:$H$63,7,FALSE)))+(Adatok!$C$13^3*Adatok!$C$20^3*Adatok!$I33^3*Adatok!$J33)/(384*(VLOOKUP(AI$19,Számítás!$B$19:$H$63,7,FALSE))^3))*100,$B$19)</f>
        <v>-</v>
      </c>
      <c r="AJ34" s="33" t="str">
        <f>IF(AND($I$19+AI$17*Adatok!$F$11&gt;Adatok!$F$10-0.01,Adatok!$C$16+$B34&lt;Adatok!$C$17+1),((Adatok!$C$13*Adatok!$C$20*Adatok!$I33*Adatok!$J33)/(8*(VLOOKUP(AJ$19,Számítás!$B$19:$H$63,7,FALSE)))+(Adatok!$C$13^3*Adatok!$C$20^3*Adatok!$I33^3*Adatok!$J33)/(384*(VLOOKUP(AJ$19,Számítás!$B$19:$H$63,7,FALSE))^3))*100,$B$19)</f>
        <v>-</v>
      </c>
      <c r="AK34" s="33" t="str">
        <f>IF(AND($I$19+AJ$17*Adatok!$F$11&gt;Adatok!$F$10-0.01,Adatok!$C$16+$B34&lt;Adatok!$C$17+1),((Adatok!$C$13*Adatok!$C$20*Adatok!$I33*Adatok!$J33)/(8*(VLOOKUP(AK$19,Számítás!$B$19:$H$63,7,FALSE)))+(Adatok!$C$13^3*Adatok!$C$20^3*Adatok!$I33^3*Adatok!$J33)/(384*(VLOOKUP(AK$19,Számítás!$B$19:$H$63,7,FALSE))^3))*100,$B$19)</f>
        <v>-</v>
      </c>
      <c r="AL34" s="33" t="str">
        <f>IF(AND($I$19+AK$17*Adatok!$F$11&gt;Adatok!$F$10-0.01,Adatok!$C$16+$B34&lt;Adatok!$C$17+1),((Adatok!$C$13*Adatok!$C$20*Adatok!$I33*Adatok!$J33)/(8*(VLOOKUP(AL$19,Számítás!$B$19:$H$63,7,FALSE)))+(Adatok!$C$13^3*Adatok!$C$20^3*Adatok!$I33^3*Adatok!$J33)/(384*(VLOOKUP(AL$19,Számítás!$B$19:$H$63,7,FALSE))^3))*100,$B$19)</f>
        <v>-</v>
      </c>
      <c r="AM34" s="33" t="str">
        <f>IF(AND($I$19+AL$17*Adatok!$F$11&gt;Adatok!$F$10-0.01,Adatok!$C$16+$B34&lt;Adatok!$C$17+1),((Adatok!$C$13*Adatok!$C$20*Adatok!$I33*Adatok!$J33)/(8*(VLOOKUP(AM$19,Számítás!$B$19:$H$63,7,FALSE)))+(Adatok!$C$13^3*Adatok!$C$20^3*Adatok!$I33^3*Adatok!$J33)/(384*(VLOOKUP(AM$19,Számítás!$B$19:$H$63,7,FALSE))^3))*100,$B$19)</f>
        <v>-</v>
      </c>
      <c r="AN34" s="33" t="str">
        <f>IF(AND($I$19+AM$17*Adatok!$F$11&gt;Adatok!$F$10-0.01,Adatok!$C$16+$B34&lt;Adatok!$C$17+1),((Adatok!$C$13*Adatok!$C$20*Adatok!$I33*Adatok!$J33)/(8*(VLOOKUP(AN$19,Számítás!$B$19:$H$63,7,FALSE)))+(Adatok!$C$13^3*Adatok!$C$20^3*Adatok!$I33^3*Adatok!$J33)/(384*(VLOOKUP(AN$19,Számítás!$B$19:$H$63,7,FALSE))^3))*100,$B$19)</f>
        <v>-</v>
      </c>
      <c r="AO34" s="33" t="str">
        <f>IF(AND($I$19+AN$17*Adatok!$F$11&gt;Adatok!$F$10-0.01,Adatok!$C$16+$B34&lt;Adatok!$C$17+1),((Adatok!$C$13*Adatok!$C$20*Adatok!$I33*Adatok!$J33)/(8*(VLOOKUP(AO$19,Számítás!$B$19:$H$63,7,FALSE)))+(Adatok!$C$13^3*Adatok!$C$20^3*Adatok!$I33^3*Adatok!$J33)/(384*(VLOOKUP(AO$19,Számítás!$B$19:$H$63,7,FALSE))^3))*100,$B$19)</f>
        <v>-</v>
      </c>
      <c r="AP34" s="33" t="str">
        <f>IF(AND($I$19+AO$17*Adatok!$F$11&gt;Adatok!$F$10-0.01,Adatok!$C$16+$B34&lt;Adatok!$C$17+1),((Adatok!$C$13*Adatok!$C$20*Adatok!$I33*Adatok!$J33)/(8*(VLOOKUP(AP$19,Számítás!$B$19:$H$63,7,FALSE)))+(Adatok!$C$13^3*Adatok!$C$20^3*Adatok!$I33^3*Adatok!$J33)/(384*(VLOOKUP(AP$19,Számítás!$B$19:$H$63,7,FALSE))^3))*100,$B$19)</f>
        <v>-</v>
      </c>
      <c r="AQ34" s="33" t="str">
        <f>IF(AND($I$19+AP$17*Adatok!$F$11&gt;Adatok!$F$10-0.01,Adatok!$C$16+$B34&lt;Adatok!$C$17+1),((Adatok!$C$13*Adatok!$C$20*Adatok!$I33*Adatok!$J33)/(8*(VLOOKUP(AQ$19,Számítás!$B$19:$H$63,7,FALSE)))+(Adatok!$C$13^3*Adatok!$C$20^3*Adatok!$I33^3*Adatok!$J33)/(384*(VLOOKUP(AQ$19,Számítás!$B$19:$H$63,7,FALSE))^3))*100,$B$19)</f>
        <v>-</v>
      </c>
      <c r="AR34" s="33" t="str">
        <f>IF(AND($I$19+AQ$17*Adatok!$F$11&gt;Adatok!$F$10-0.01,Adatok!$C$16+$B34&lt;Adatok!$C$17+1),((Adatok!$C$13*Adatok!$C$20*Adatok!$I33*Adatok!$J33)/(8*(VLOOKUP(AR$19,Számítás!$B$19:$H$63,7,FALSE)))+(Adatok!$C$13^3*Adatok!$C$20^3*Adatok!$I33^3*Adatok!$J33)/(384*(VLOOKUP(AR$19,Számítás!$B$19:$H$63,7,FALSE))^3))*100,$B$19)</f>
        <v>-</v>
      </c>
      <c r="AS34" s="33" t="str">
        <f>IF(AND($I$19+AR$17*Adatok!$F$11&gt;Adatok!$F$10-0.01,Adatok!$C$16+$B34&lt;Adatok!$C$17+1),((Adatok!$C$13*Adatok!$C$20*Adatok!$I33*Adatok!$J33)/(8*(VLOOKUP(AS$19,Számítás!$B$19:$H$63,7,FALSE)))+(Adatok!$C$13^3*Adatok!$C$20^3*Adatok!$I33^3*Adatok!$J33)/(384*(VLOOKUP(AS$19,Számítás!$B$19:$H$63,7,FALSE))^3))*100,$B$19)</f>
        <v>-</v>
      </c>
      <c r="AT34" s="33" t="str">
        <f>IF(AND($I$19+AS$17*Adatok!$F$11&gt;Adatok!$F$10-0.01,Adatok!$C$16+$B34&lt;Adatok!$C$17+1),((Adatok!$C$13*Adatok!$C$20*Adatok!$I33*Adatok!$J33)/(8*(VLOOKUP(AT$19,Számítás!$B$19:$H$63,7,FALSE)))+(Adatok!$C$13^3*Adatok!$C$20^3*Adatok!$I33^3*Adatok!$J33)/(384*(VLOOKUP(AT$19,Számítás!$B$19:$H$63,7,FALSE))^3))*100,$B$19)</f>
        <v>-</v>
      </c>
      <c r="AU34" s="33" t="str">
        <f>IF(AND($I$19+AT$17*Adatok!$F$11&gt;Adatok!$F$10-0.01,Adatok!$C$16+$B34&lt;Adatok!$C$17+1),((Adatok!$C$13*Adatok!$C$20*Adatok!$I33*Adatok!$J33)/(8*(VLOOKUP(AU$19,Számítás!$B$19:$H$63,7,FALSE)))+(Adatok!$C$13^3*Adatok!$C$20^3*Adatok!$I33^3*Adatok!$J33)/(384*(VLOOKUP(AU$19,Számítás!$B$19:$H$63,7,FALSE))^3))*100,$B$19)</f>
        <v>-</v>
      </c>
      <c r="AV34" s="33" t="str">
        <f>IF(AND($I$19+AU$17*Adatok!$F$11&gt;Adatok!$F$10-0.01,Adatok!$C$16+$B34&lt;Adatok!$C$17+1),((Adatok!$C$13*Adatok!$C$20*Adatok!$I33*Adatok!$J33)/(8*(VLOOKUP(AV$19,Számítás!$B$19:$H$63,7,FALSE)))+(Adatok!$C$13^3*Adatok!$C$20^3*Adatok!$I33^3*Adatok!$J33)/(384*(VLOOKUP(AV$19,Számítás!$B$19:$H$63,7,FALSE))^3))*100,$B$19)</f>
        <v>-</v>
      </c>
      <c r="AW34" s="33" t="str">
        <f>IF(AND($I$19+AV$17*Adatok!$F$11&gt;Adatok!$F$10-0.01,Adatok!$C$16+$B34&lt;Adatok!$C$17+1),((Adatok!$C$13*Adatok!$C$20*Adatok!$I33*Adatok!$J33)/(8*(VLOOKUP(AW$19,Számítás!$B$19:$H$63,7,FALSE)))+(Adatok!$C$13^3*Adatok!$C$20^3*Adatok!$I33^3*Adatok!$J33)/(384*(VLOOKUP(AW$19,Számítás!$B$19:$H$63,7,FALSE))^3))*100,$B$19)</f>
        <v>-</v>
      </c>
      <c r="AX34" s="33" t="str">
        <f>IF(AND($I$19+AW$17*Adatok!$F$11&gt;Adatok!$F$10-0.01,Adatok!$C$16+$B34&lt;Adatok!$C$17+1),((Adatok!$C$13*Adatok!$C$20*Adatok!$I33*Adatok!$J33)/(8*(VLOOKUP(AX$19,Számítás!$B$19:$H$63,7,FALSE)))+(Adatok!$C$13^3*Adatok!$C$20^3*Adatok!$I33^3*Adatok!$J33)/(384*(VLOOKUP(AX$19,Számítás!$B$19:$H$63,7,FALSE))^3))*100,$B$19)</f>
        <v>-</v>
      </c>
      <c r="AY34" s="33" t="str">
        <f>IF(AND($I$19+AX$17*Adatok!$F$11&gt;Adatok!$F$10-0.01,Adatok!$C$16+$B34&lt;Adatok!$C$17+1),((Adatok!$C$13*Adatok!$C$20*Adatok!$I33*Adatok!$J33)/(8*(VLOOKUP(AY$19,Számítás!$B$19:$H$63,7,FALSE)))+(Adatok!$C$13^3*Adatok!$C$20^3*Adatok!$I33^3*Adatok!$J33)/(384*(VLOOKUP(AY$19,Számítás!$B$19:$H$63,7,FALSE))^3))*100,$B$19)</f>
        <v>-</v>
      </c>
      <c r="AZ34" s="33" t="str">
        <f>IF(AND($I$19+AY$17*Adatok!$F$11&gt;Adatok!$F$10-0.01,Adatok!$C$16+$B34&lt;Adatok!$C$17+1),((Adatok!$C$13*Adatok!$C$20*Adatok!$I33*Adatok!$J33)/(8*(VLOOKUP(AZ$19,Számítás!$B$19:$H$63,7,FALSE)))+(Adatok!$C$13^3*Adatok!$C$20^3*Adatok!$I33^3*Adatok!$J33)/(384*(VLOOKUP(AZ$19,Számítás!$B$19:$H$63,7,FALSE))^3))*100,$B$19)</f>
        <v>-</v>
      </c>
      <c r="BA34" s="33" t="str">
        <f>IF(AND($I$19+AZ$17*Adatok!$F$11&gt;Adatok!$F$10-0.01,Adatok!$C$16+$B34&lt;Adatok!$C$17+1),((Adatok!$C$13*Adatok!$C$20*Adatok!$I33*Adatok!$J33)/(8*(VLOOKUP(BA$19,Számítás!$B$19:$H$63,7,FALSE)))+(Adatok!$C$13^3*Adatok!$C$20^3*Adatok!$I33^3*Adatok!$J33)/(384*(VLOOKUP(BA$19,Számítás!$B$19:$H$63,7,FALSE))^3))*100,$B$19)</f>
        <v>-</v>
      </c>
    </row>
    <row r="35" spans="2:53" ht="18" customHeight="1" x14ac:dyDescent="0.25">
      <c r="B35" s="1">
        <v>16</v>
      </c>
      <c r="C35" s="333" t="str">
        <f>Adatok!F34</f>
        <v>-</v>
      </c>
      <c r="D35" s="32" t="s">
        <v>27</v>
      </c>
      <c r="E35" s="336" t="str">
        <f>Adatok!H34</f>
        <v>-</v>
      </c>
      <c r="F35" s="64" t="str">
        <f>IF(Adatok!$C$16+B35&gt;Adatok!$C$17,$B$19,Adatok!I34)</f>
        <v>-</v>
      </c>
      <c r="G35" s="60"/>
      <c r="H35" s="72" t="str">
        <f>IF(Adatok!$C$16+B35&gt;Adatok!$C$17,$B$19,Adatok!J34/Adatok!I34)</f>
        <v>-</v>
      </c>
      <c r="I35" s="81" t="str">
        <f>IF(Adatok!$C$16+$B35&lt;Adatok!$C$17+1,((((Adatok!$C$13*Adatok!$C$20*Adatok!$I34*Adatok!$J34)/(8*(VLOOKUP(I$19,Számítás!$B$19:$H$63,7,FALSE))))+((Adatok!$C$13^3*Adatok!$C$20^3*Adatok!$I34^3*Adatok!$J34)/(384*(VLOOKUP(I$19,Számítás!$B$19:$H$63,7,FALSE))^3)))*100),$B$19)</f>
        <v>-</v>
      </c>
      <c r="J35" s="33" t="str">
        <f>IF(AND($I$19+I$17*Adatok!$F$11&gt;Adatok!$F$10-0.01,Adatok!$C$16+$B35&lt;Adatok!$C$17+1),((Adatok!$C$13*Adatok!$C$20*Adatok!$I34*Adatok!$J34)/(8*(VLOOKUP(J$19,Számítás!$B$19:$H$63,7,FALSE)))+(Adatok!$C$13^3*Adatok!$C$20^3*Adatok!$I34^3*Adatok!$J34)/(384*(VLOOKUP(J$19,Számítás!$B$19:$H$63,7,FALSE))^3))*100,$B$19)</f>
        <v>-</v>
      </c>
      <c r="K35" s="33" t="str">
        <f>IF(AND($I$19+J$17*Adatok!$F$11&gt;Adatok!$F$10-0.01,Adatok!$C$16+$B35&lt;Adatok!$C$17+1),((Adatok!$C$13*Adatok!$C$20*Adatok!$I34*Adatok!$J34)/(8*(VLOOKUP(K$19,Számítás!$B$19:$H$63,7,FALSE)))+(Adatok!$C$13^3*Adatok!$C$20^3*Adatok!$I34^3*Adatok!$J34)/(384*(VLOOKUP(K$19,Számítás!$B$19:$H$63,7,FALSE))^3))*100,$B$19)</f>
        <v>-</v>
      </c>
      <c r="L35" s="33" t="str">
        <f>IF(AND($I$19+K$17*Adatok!$F$11&gt;Adatok!$F$10-0.01,Adatok!$C$16+$B35&lt;Adatok!$C$17+1),((Adatok!$C$13*Adatok!$C$20*Adatok!$I34*Adatok!$J34)/(8*(VLOOKUP(L$19,Számítás!$B$19:$H$63,7,FALSE)))+(Adatok!$C$13^3*Adatok!$C$20^3*Adatok!$I34^3*Adatok!$J34)/(384*(VLOOKUP(L$19,Számítás!$B$19:$H$63,7,FALSE))^3))*100,$B$19)</f>
        <v>-</v>
      </c>
      <c r="M35" s="33" t="str">
        <f>IF(AND($I$19+L$17*Adatok!$F$11&gt;Adatok!$F$10-0.01,Adatok!$C$16+$B35&lt;Adatok!$C$17+1),((Adatok!$C$13*Adatok!$C$20*Adatok!$I34*Adatok!$J34)/(8*(VLOOKUP(M$19,Számítás!$B$19:$H$63,7,FALSE)))+(Adatok!$C$13^3*Adatok!$C$20^3*Adatok!$I34^3*Adatok!$J34)/(384*(VLOOKUP(M$19,Számítás!$B$19:$H$63,7,FALSE))^3))*100,$B$19)</f>
        <v>-</v>
      </c>
      <c r="N35" s="33" t="str">
        <f>IF(AND($I$19+M$17*Adatok!$F$11&gt;Adatok!$F$10-0.01,Adatok!$C$16+$B35&lt;Adatok!$C$17+1),((Adatok!$C$13*Adatok!$C$20*Adatok!$I34*Adatok!$J34)/(8*(VLOOKUP(N$19,Számítás!$B$19:$H$63,7,FALSE)))+(Adatok!$C$13^3*Adatok!$C$20^3*Adatok!$I34^3*Adatok!$J34)/(384*(VLOOKUP(N$19,Számítás!$B$19:$H$63,7,FALSE))^3))*100,$B$19)</f>
        <v>-</v>
      </c>
      <c r="O35" s="33" t="str">
        <f>IF(AND($I$19+N$17*Adatok!$F$11&gt;Adatok!$F$10-0.01,Adatok!$C$16+$B35&lt;Adatok!$C$17+1),((Adatok!$C$13*Adatok!$C$20*Adatok!$I34*Adatok!$J34)/(8*(VLOOKUP(O$19,Számítás!$B$19:$H$63,7,FALSE)))+(Adatok!$C$13^3*Adatok!$C$20^3*Adatok!$I34^3*Adatok!$J34)/(384*(VLOOKUP(O$19,Számítás!$B$19:$H$63,7,FALSE))^3))*100,$B$19)</f>
        <v>-</v>
      </c>
      <c r="P35" s="33" t="str">
        <f>IF(AND($I$19+O$17*Adatok!$F$11&gt;Adatok!$F$10-0.01,Adatok!$C$16+$B35&lt;Adatok!$C$17+1),((Adatok!$C$13*Adatok!$C$20*Adatok!$I34*Adatok!$J34)/(8*(VLOOKUP(P$19,Számítás!$B$19:$H$63,7,FALSE)))+(Adatok!$C$13^3*Adatok!$C$20^3*Adatok!$I34^3*Adatok!$J34)/(384*(VLOOKUP(P$19,Számítás!$B$19:$H$63,7,FALSE))^3))*100,$B$19)</f>
        <v>-</v>
      </c>
      <c r="Q35" s="33" t="str">
        <f>IF(AND($I$19+P$17*Adatok!$F$11&gt;Adatok!$F$10-0.01,Adatok!$C$16+$B35&lt;Adatok!$C$17+1),((Adatok!$C$13*Adatok!$C$20*Adatok!$I34*Adatok!$J34)/(8*(VLOOKUP(Q$19,Számítás!$B$19:$H$63,7,FALSE)))+(Adatok!$C$13^3*Adatok!$C$20^3*Adatok!$I34^3*Adatok!$J34)/(384*(VLOOKUP(Q$19,Számítás!$B$19:$H$63,7,FALSE))^3))*100,$B$19)</f>
        <v>-</v>
      </c>
      <c r="R35" s="33" t="str">
        <f>IF(AND($I$19+Q$17*Adatok!$F$11&gt;Adatok!$F$10-0.01,Adatok!$C$16+$B35&lt;Adatok!$C$17+1),((Adatok!$C$13*Adatok!$C$20*Adatok!$I34*Adatok!$J34)/(8*(VLOOKUP(R$19,Számítás!$B$19:$H$63,7,FALSE)))+(Adatok!$C$13^3*Adatok!$C$20^3*Adatok!$I34^3*Adatok!$J34)/(384*(VLOOKUP(R$19,Számítás!$B$19:$H$63,7,FALSE))^3))*100,$B$19)</f>
        <v>-</v>
      </c>
      <c r="S35" s="33" t="str">
        <f>IF(AND($I$19+R$17*Adatok!$F$11&gt;Adatok!$F$10-0.01,Adatok!$C$16+$B35&lt;Adatok!$C$17+1),((Adatok!$C$13*Adatok!$C$20*Adatok!$I34*Adatok!$J34)/(8*(VLOOKUP(S$19,Számítás!$B$19:$H$63,7,FALSE)))+(Adatok!$C$13^3*Adatok!$C$20^3*Adatok!$I34^3*Adatok!$J34)/(384*(VLOOKUP(S$19,Számítás!$B$19:$H$63,7,FALSE))^3))*100,$B$19)</f>
        <v>-</v>
      </c>
      <c r="T35" s="33" t="str">
        <f>IF(AND($I$19+S$17*Adatok!$F$11&gt;Adatok!$F$10-0.01,Adatok!$C$16+$B35&lt;Adatok!$C$17+1),((Adatok!$C$13*Adatok!$C$20*Adatok!$I34*Adatok!$J34)/(8*(VLOOKUP(T$19,Számítás!$B$19:$H$63,7,FALSE)))+(Adatok!$C$13^3*Adatok!$C$20^3*Adatok!$I34^3*Adatok!$J34)/(384*(VLOOKUP(T$19,Számítás!$B$19:$H$63,7,FALSE))^3))*100,$B$19)</f>
        <v>-</v>
      </c>
      <c r="U35" s="33" t="str">
        <f>IF(AND($I$19+T$17*Adatok!$F$11&gt;Adatok!$F$10-0.01,Adatok!$C$16+$B35&lt;Adatok!$C$17+1),((Adatok!$C$13*Adatok!$C$20*Adatok!$I34*Adatok!$J34)/(8*(VLOOKUP(U$19,Számítás!$B$19:$H$63,7,FALSE)))+(Adatok!$C$13^3*Adatok!$C$20^3*Adatok!$I34^3*Adatok!$J34)/(384*(VLOOKUP(U$19,Számítás!$B$19:$H$63,7,FALSE))^3))*100,$B$19)</f>
        <v>-</v>
      </c>
      <c r="V35" s="33" t="str">
        <f>IF(AND($I$19+U$17*Adatok!$F$11&gt;Adatok!$F$10-0.01,Adatok!$C$16+$B35&lt;Adatok!$C$17+1),((Adatok!$C$13*Adatok!$C$20*Adatok!$I34*Adatok!$J34)/(8*(VLOOKUP(V$19,Számítás!$B$19:$H$63,7,FALSE)))+(Adatok!$C$13^3*Adatok!$C$20^3*Adatok!$I34^3*Adatok!$J34)/(384*(VLOOKUP(V$19,Számítás!$B$19:$H$63,7,FALSE))^3))*100,$B$19)</f>
        <v>-</v>
      </c>
      <c r="W35" s="33" t="str">
        <f>IF(AND($I$19+V$17*Adatok!$F$11&gt;Adatok!$F$10-0.01,Adatok!$C$16+$B35&lt;Adatok!$C$17+1),((Adatok!$C$13*Adatok!$C$20*Adatok!$I34*Adatok!$J34)/(8*(VLOOKUP(W$19,Számítás!$B$19:$H$63,7,FALSE)))+(Adatok!$C$13^3*Adatok!$C$20^3*Adatok!$I34^3*Adatok!$J34)/(384*(VLOOKUP(W$19,Számítás!$B$19:$H$63,7,FALSE))^3))*100,$B$19)</f>
        <v>-</v>
      </c>
      <c r="X35" s="33" t="str">
        <f>IF(AND($I$19+W$17*Adatok!$F$11&gt;Adatok!$F$10-0.01,Adatok!$C$16+$B35&lt;Adatok!$C$17+1),((Adatok!$C$13*Adatok!$C$20*Adatok!$I34*Adatok!$J34)/(8*(VLOOKUP(X$19,Számítás!$B$19:$H$63,7,FALSE)))+(Adatok!$C$13^3*Adatok!$C$20^3*Adatok!$I34^3*Adatok!$J34)/(384*(VLOOKUP(X$19,Számítás!$B$19:$H$63,7,FALSE))^3))*100,$B$19)</f>
        <v>-</v>
      </c>
      <c r="Y35" s="33" t="str">
        <f>IF(AND($I$19+X$17*Adatok!$F$11&gt;Adatok!$F$10-0.01,Adatok!$C$16+$B35&lt;Adatok!$C$17+1),((Adatok!$C$13*Adatok!$C$20*Adatok!$I34*Adatok!$J34)/(8*(VLOOKUP(Y$19,Számítás!$B$19:$H$63,7,FALSE)))+(Adatok!$C$13^3*Adatok!$C$20^3*Adatok!$I34^3*Adatok!$J34)/(384*(VLOOKUP(Y$19,Számítás!$B$19:$H$63,7,FALSE))^3))*100,$B$19)</f>
        <v>-</v>
      </c>
      <c r="Z35" s="33" t="str">
        <f>IF(AND($I$19+Y$17*Adatok!$F$11&gt;Adatok!$F$10-0.01,Adatok!$C$16+$B35&lt;Adatok!$C$17+1),((Adatok!$C$13*Adatok!$C$20*Adatok!$I34*Adatok!$J34)/(8*(VLOOKUP(Z$19,Számítás!$B$19:$H$63,7,FALSE)))+(Adatok!$C$13^3*Adatok!$C$20^3*Adatok!$I34^3*Adatok!$J34)/(384*(VLOOKUP(Z$19,Számítás!$B$19:$H$63,7,FALSE))^3))*100,$B$19)</f>
        <v>-</v>
      </c>
      <c r="AA35" s="33" t="str">
        <f>IF(AND($I$19+Z$17*Adatok!$F$11&gt;Adatok!$F$10-0.01,Adatok!$C$16+$B35&lt;Adatok!$C$17+1),((Adatok!$C$13*Adatok!$C$20*Adatok!$I34*Adatok!$J34)/(8*(VLOOKUP(AA$19,Számítás!$B$19:$H$63,7,FALSE)))+(Adatok!$C$13^3*Adatok!$C$20^3*Adatok!$I34^3*Adatok!$J34)/(384*(VLOOKUP(AA$19,Számítás!$B$19:$H$63,7,FALSE))^3))*100,$B$19)</f>
        <v>-</v>
      </c>
      <c r="AB35" s="33" t="str">
        <f>IF(AND($I$19+AA$17*Adatok!$F$11&gt;Adatok!$F$10-0.01,Adatok!$C$16+$B35&lt;Adatok!$C$17+1),((Adatok!$C$13*Adatok!$C$20*Adatok!$I34*Adatok!$J34)/(8*(VLOOKUP(AB$19,Számítás!$B$19:$H$63,7,FALSE)))+(Adatok!$C$13^3*Adatok!$C$20^3*Adatok!$I34^3*Adatok!$J34)/(384*(VLOOKUP(AB$19,Számítás!$B$19:$H$63,7,FALSE))^3))*100,$B$19)</f>
        <v>-</v>
      </c>
      <c r="AC35" s="33" t="str">
        <f>IF(AND($I$19+AB$17*Adatok!$F$11&gt;Adatok!$F$10-0.01,Adatok!$C$16+$B35&lt;Adatok!$C$17+1),((Adatok!$C$13*Adatok!$C$20*Adatok!$I34*Adatok!$J34)/(8*(VLOOKUP(AC$19,Számítás!$B$19:$H$63,7,FALSE)))+(Adatok!$C$13^3*Adatok!$C$20^3*Adatok!$I34^3*Adatok!$J34)/(384*(VLOOKUP(AC$19,Számítás!$B$19:$H$63,7,FALSE))^3))*100,$B$19)</f>
        <v>-</v>
      </c>
      <c r="AD35" s="33" t="str">
        <f>IF(AND($I$19+AC$17*Adatok!$F$11&gt;Adatok!$F$10-0.01,Adatok!$C$16+$B35&lt;Adatok!$C$17+1),((Adatok!$C$13*Adatok!$C$20*Adatok!$I34*Adatok!$J34)/(8*(VLOOKUP(AD$19,Számítás!$B$19:$H$63,7,FALSE)))+(Adatok!$C$13^3*Adatok!$C$20^3*Adatok!$I34^3*Adatok!$J34)/(384*(VLOOKUP(AD$19,Számítás!$B$19:$H$63,7,FALSE))^3))*100,$B$19)</f>
        <v>-</v>
      </c>
      <c r="AE35" s="33" t="str">
        <f>IF(AND($I$19+AD$17*Adatok!$F$11&gt;Adatok!$F$10-0.01,Adatok!$C$16+$B35&lt;Adatok!$C$17+1),((Adatok!$C$13*Adatok!$C$20*Adatok!$I34*Adatok!$J34)/(8*(VLOOKUP(AE$19,Számítás!$B$19:$H$63,7,FALSE)))+(Adatok!$C$13^3*Adatok!$C$20^3*Adatok!$I34^3*Adatok!$J34)/(384*(VLOOKUP(AE$19,Számítás!$B$19:$H$63,7,FALSE))^3))*100,$B$19)</f>
        <v>-</v>
      </c>
      <c r="AF35" s="33" t="str">
        <f>IF(AND($I$19+AE$17*Adatok!$F$11&gt;Adatok!$F$10-0.01,Adatok!$C$16+$B35&lt;Adatok!$C$17+1),((Adatok!$C$13*Adatok!$C$20*Adatok!$I34*Adatok!$J34)/(8*(VLOOKUP(AF$19,Számítás!$B$19:$H$63,7,FALSE)))+(Adatok!$C$13^3*Adatok!$C$20^3*Adatok!$I34^3*Adatok!$J34)/(384*(VLOOKUP(AF$19,Számítás!$B$19:$H$63,7,FALSE))^3))*100,$B$19)</f>
        <v>-</v>
      </c>
      <c r="AG35" s="33" t="str">
        <f>IF(AND($I$19+AF$17*Adatok!$F$11&gt;Adatok!$F$10-0.01,Adatok!$C$16+$B35&lt;Adatok!$C$17+1),((Adatok!$C$13*Adatok!$C$20*Adatok!$I34*Adatok!$J34)/(8*(VLOOKUP(AG$19,Számítás!$B$19:$H$63,7,FALSE)))+(Adatok!$C$13^3*Adatok!$C$20^3*Adatok!$I34^3*Adatok!$J34)/(384*(VLOOKUP(AG$19,Számítás!$B$19:$H$63,7,FALSE))^3))*100,$B$19)</f>
        <v>-</v>
      </c>
      <c r="AH35" s="33" t="str">
        <f>IF(AND($I$19+AG$17*Adatok!$F$11&gt;Adatok!$F$10-0.01,Adatok!$C$16+$B35&lt;Adatok!$C$17+1),((Adatok!$C$13*Adatok!$C$20*Adatok!$I34*Adatok!$J34)/(8*(VLOOKUP(AH$19,Számítás!$B$19:$H$63,7,FALSE)))+(Adatok!$C$13^3*Adatok!$C$20^3*Adatok!$I34^3*Adatok!$J34)/(384*(VLOOKUP(AH$19,Számítás!$B$19:$H$63,7,FALSE))^3))*100,$B$19)</f>
        <v>-</v>
      </c>
      <c r="AI35" s="33" t="str">
        <f>IF(AND($I$19+AH$17*Adatok!$F$11&gt;Adatok!$F$10-0.01,Adatok!$C$16+$B35&lt;Adatok!$C$17+1),((Adatok!$C$13*Adatok!$C$20*Adatok!$I34*Adatok!$J34)/(8*(VLOOKUP(AI$19,Számítás!$B$19:$H$63,7,FALSE)))+(Adatok!$C$13^3*Adatok!$C$20^3*Adatok!$I34^3*Adatok!$J34)/(384*(VLOOKUP(AI$19,Számítás!$B$19:$H$63,7,FALSE))^3))*100,$B$19)</f>
        <v>-</v>
      </c>
      <c r="AJ35" s="33" t="str">
        <f>IF(AND($I$19+AI$17*Adatok!$F$11&gt;Adatok!$F$10-0.01,Adatok!$C$16+$B35&lt;Adatok!$C$17+1),((Adatok!$C$13*Adatok!$C$20*Adatok!$I34*Adatok!$J34)/(8*(VLOOKUP(AJ$19,Számítás!$B$19:$H$63,7,FALSE)))+(Adatok!$C$13^3*Adatok!$C$20^3*Adatok!$I34^3*Adatok!$J34)/(384*(VLOOKUP(AJ$19,Számítás!$B$19:$H$63,7,FALSE))^3))*100,$B$19)</f>
        <v>-</v>
      </c>
      <c r="AK35" s="33" t="str">
        <f>IF(AND($I$19+AJ$17*Adatok!$F$11&gt;Adatok!$F$10-0.01,Adatok!$C$16+$B35&lt;Adatok!$C$17+1),((Adatok!$C$13*Adatok!$C$20*Adatok!$I34*Adatok!$J34)/(8*(VLOOKUP(AK$19,Számítás!$B$19:$H$63,7,FALSE)))+(Adatok!$C$13^3*Adatok!$C$20^3*Adatok!$I34^3*Adatok!$J34)/(384*(VLOOKUP(AK$19,Számítás!$B$19:$H$63,7,FALSE))^3))*100,$B$19)</f>
        <v>-</v>
      </c>
      <c r="AL35" s="33" t="str">
        <f>IF(AND($I$19+AK$17*Adatok!$F$11&gt;Adatok!$F$10-0.01,Adatok!$C$16+$B35&lt;Adatok!$C$17+1),((Adatok!$C$13*Adatok!$C$20*Adatok!$I34*Adatok!$J34)/(8*(VLOOKUP(AL$19,Számítás!$B$19:$H$63,7,FALSE)))+(Adatok!$C$13^3*Adatok!$C$20^3*Adatok!$I34^3*Adatok!$J34)/(384*(VLOOKUP(AL$19,Számítás!$B$19:$H$63,7,FALSE))^3))*100,$B$19)</f>
        <v>-</v>
      </c>
      <c r="AM35" s="33" t="str">
        <f>IF(AND($I$19+AL$17*Adatok!$F$11&gt;Adatok!$F$10-0.01,Adatok!$C$16+$B35&lt;Adatok!$C$17+1),((Adatok!$C$13*Adatok!$C$20*Adatok!$I34*Adatok!$J34)/(8*(VLOOKUP(AM$19,Számítás!$B$19:$H$63,7,FALSE)))+(Adatok!$C$13^3*Adatok!$C$20^3*Adatok!$I34^3*Adatok!$J34)/(384*(VLOOKUP(AM$19,Számítás!$B$19:$H$63,7,FALSE))^3))*100,$B$19)</f>
        <v>-</v>
      </c>
      <c r="AN35" s="33" t="str">
        <f>IF(AND($I$19+AM$17*Adatok!$F$11&gt;Adatok!$F$10-0.01,Adatok!$C$16+$B35&lt;Adatok!$C$17+1),((Adatok!$C$13*Adatok!$C$20*Adatok!$I34*Adatok!$J34)/(8*(VLOOKUP(AN$19,Számítás!$B$19:$H$63,7,FALSE)))+(Adatok!$C$13^3*Adatok!$C$20^3*Adatok!$I34^3*Adatok!$J34)/(384*(VLOOKUP(AN$19,Számítás!$B$19:$H$63,7,FALSE))^3))*100,$B$19)</f>
        <v>-</v>
      </c>
      <c r="AO35" s="33" t="str">
        <f>IF(AND($I$19+AN$17*Adatok!$F$11&gt;Adatok!$F$10-0.01,Adatok!$C$16+$B35&lt;Adatok!$C$17+1),((Adatok!$C$13*Adatok!$C$20*Adatok!$I34*Adatok!$J34)/(8*(VLOOKUP(AO$19,Számítás!$B$19:$H$63,7,FALSE)))+(Adatok!$C$13^3*Adatok!$C$20^3*Adatok!$I34^3*Adatok!$J34)/(384*(VLOOKUP(AO$19,Számítás!$B$19:$H$63,7,FALSE))^3))*100,$B$19)</f>
        <v>-</v>
      </c>
      <c r="AP35" s="33" t="str">
        <f>IF(AND($I$19+AO$17*Adatok!$F$11&gt;Adatok!$F$10-0.01,Adatok!$C$16+$B35&lt;Adatok!$C$17+1),((Adatok!$C$13*Adatok!$C$20*Adatok!$I34*Adatok!$J34)/(8*(VLOOKUP(AP$19,Számítás!$B$19:$H$63,7,FALSE)))+(Adatok!$C$13^3*Adatok!$C$20^3*Adatok!$I34^3*Adatok!$J34)/(384*(VLOOKUP(AP$19,Számítás!$B$19:$H$63,7,FALSE))^3))*100,$B$19)</f>
        <v>-</v>
      </c>
      <c r="AQ35" s="33" t="str">
        <f>IF(AND($I$19+AP$17*Adatok!$F$11&gt;Adatok!$F$10-0.01,Adatok!$C$16+$B35&lt;Adatok!$C$17+1),((Adatok!$C$13*Adatok!$C$20*Adatok!$I34*Adatok!$J34)/(8*(VLOOKUP(AQ$19,Számítás!$B$19:$H$63,7,FALSE)))+(Adatok!$C$13^3*Adatok!$C$20^3*Adatok!$I34^3*Adatok!$J34)/(384*(VLOOKUP(AQ$19,Számítás!$B$19:$H$63,7,FALSE))^3))*100,$B$19)</f>
        <v>-</v>
      </c>
      <c r="AR35" s="33" t="str">
        <f>IF(AND($I$19+AQ$17*Adatok!$F$11&gt;Adatok!$F$10-0.01,Adatok!$C$16+$B35&lt;Adatok!$C$17+1),((Adatok!$C$13*Adatok!$C$20*Adatok!$I34*Adatok!$J34)/(8*(VLOOKUP(AR$19,Számítás!$B$19:$H$63,7,FALSE)))+(Adatok!$C$13^3*Adatok!$C$20^3*Adatok!$I34^3*Adatok!$J34)/(384*(VLOOKUP(AR$19,Számítás!$B$19:$H$63,7,FALSE))^3))*100,$B$19)</f>
        <v>-</v>
      </c>
      <c r="AS35" s="33" t="str">
        <f>IF(AND($I$19+AR$17*Adatok!$F$11&gt;Adatok!$F$10-0.01,Adatok!$C$16+$B35&lt;Adatok!$C$17+1),((Adatok!$C$13*Adatok!$C$20*Adatok!$I34*Adatok!$J34)/(8*(VLOOKUP(AS$19,Számítás!$B$19:$H$63,7,FALSE)))+(Adatok!$C$13^3*Adatok!$C$20^3*Adatok!$I34^3*Adatok!$J34)/(384*(VLOOKUP(AS$19,Számítás!$B$19:$H$63,7,FALSE))^3))*100,$B$19)</f>
        <v>-</v>
      </c>
      <c r="AT35" s="33" t="str">
        <f>IF(AND($I$19+AS$17*Adatok!$F$11&gt;Adatok!$F$10-0.01,Adatok!$C$16+$B35&lt;Adatok!$C$17+1),((Adatok!$C$13*Adatok!$C$20*Adatok!$I34*Adatok!$J34)/(8*(VLOOKUP(AT$19,Számítás!$B$19:$H$63,7,FALSE)))+(Adatok!$C$13^3*Adatok!$C$20^3*Adatok!$I34^3*Adatok!$J34)/(384*(VLOOKUP(AT$19,Számítás!$B$19:$H$63,7,FALSE))^3))*100,$B$19)</f>
        <v>-</v>
      </c>
      <c r="AU35" s="33" t="str">
        <f>IF(AND($I$19+AT$17*Adatok!$F$11&gt;Adatok!$F$10-0.01,Adatok!$C$16+$B35&lt;Adatok!$C$17+1),((Adatok!$C$13*Adatok!$C$20*Adatok!$I34*Adatok!$J34)/(8*(VLOOKUP(AU$19,Számítás!$B$19:$H$63,7,FALSE)))+(Adatok!$C$13^3*Adatok!$C$20^3*Adatok!$I34^3*Adatok!$J34)/(384*(VLOOKUP(AU$19,Számítás!$B$19:$H$63,7,FALSE))^3))*100,$B$19)</f>
        <v>-</v>
      </c>
      <c r="AV35" s="33" t="str">
        <f>IF(AND($I$19+AU$17*Adatok!$F$11&gt;Adatok!$F$10-0.01,Adatok!$C$16+$B35&lt;Adatok!$C$17+1),((Adatok!$C$13*Adatok!$C$20*Adatok!$I34*Adatok!$J34)/(8*(VLOOKUP(AV$19,Számítás!$B$19:$H$63,7,FALSE)))+(Adatok!$C$13^3*Adatok!$C$20^3*Adatok!$I34^3*Adatok!$J34)/(384*(VLOOKUP(AV$19,Számítás!$B$19:$H$63,7,FALSE))^3))*100,$B$19)</f>
        <v>-</v>
      </c>
      <c r="AW35" s="33" t="str">
        <f>IF(AND($I$19+AV$17*Adatok!$F$11&gt;Adatok!$F$10-0.01,Adatok!$C$16+$B35&lt;Adatok!$C$17+1),((Adatok!$C$13*Adatok!$C$20*Adatok!$I34*Adatok!$J34)/(8*(VLOOKUP(AW$19,Számítás!$B$19:$H$63,7,FALSE)))+(Adatok!$C$13^3*Adatok!$C$20^3*Adatok!$I34^3*Adatok!$J34)/(384*(VLOOKUP(AW$19,Számítás!$B$19:$H$63,7,FALSE))^3))*100,$B$19)</f>
        <v>-</v>
      </c>
      <c r="AX35" s="33" t="str">
        <f>IF(AND($I$19+AW$17*Adatok!$F$11&gt;Adatok!$F$10-0.01,Adatok!$C$16+$B35&lt;Adatok!$C$17+1),((Adatok!$C$13*Adatok!$C$20*Adatok!$I34*Adatok!$J34)/(8*(VLOOKUP(AX$19,Számítás!$B$19:$H$63,7,FALSE)))+(Adatok!$C$13^3*Adatok!$C$20^3*Adatok!$I34^3*Adatok!$J34)/(384*(VLOOKUP(AX$19,Számítás!$B$19:$H$63,7,FALSE))^3))*100,$B$19)</f>
        <v>-</v>
      </c>
      <c r="AY35" s="33" t="str">
        <f>IF(AND($I$19+AX$17*Adatok!$F$11&gt;Adatok!$F$10-0.01,Adatok!$C$16+$B35&lt;Adatok!$C$17+1),((Adatok!$C$13*Adatok!$C$20*Adatok!$I34*Adatok!$J34)/(8*(VLOOKUP(AY$19,Számítás!$B$19:$H$63,7,FALSE)))+(Adatok!$C$13^3*Adatok!$C$20^3*Adatok!$I34^3*Adatok!$J34)/(384*(VLOOKUP(AY$19,Számítás!$B$19:$H$63,7,FALSE))^3))*100,$B$19)</f>
        <v>-</v>
      </c>
      <c r="AZ35" s="33" t="str">
        <f>IF(AND($I$19+AY$17*Adatok!$F$11&gt;Adatok!$F$10-0.01,Adatok!$C$16+$B35&lt;Adatok!$C$17+1),((Adatok!$C$13*Adatok!$C$20*Adatok!$I34*Adatok!$J34)/(8*(VLOOKUP(AZ$19,Számítás!$B$19:$H$63,7,FALSE)))+(Adatok!$C$13^3*Adatok!$C$20^3*Adatok!$I34^3*Adatok!$J34)/(384*(VLOOKUP(AZ$19,Számítás!$B$19:$H$63,7,FALSE))^3))*100,$B$19)</f>
        <v>-</v>
      </c>
      <c r="BA35" s="33" t="str">
        <f>IF(AND($I$19+AZ$17*Adatok!$F$11&gt;Adatok!$F$10-0.01,Adatok!$C$16+$B35&lt;Adatok!$C$17+1),((Adatok!$C$13*Adatok!$C$20*Adatok!$I34*Adatok!$J34)/(8*(VLOOKUP(BA$19,Számítás!$B$19:$H$63,7,FALSE)))+(Adatok!$C$13^3*Adatok!$C$20^3*Adatok!$I34^3*Adatok!$J34)/(384*(VLOOKUP(BA$19,Számítás!$B$19:$H$63,7,FALSE))^3))*100,$B$19)</f>
        <v>-</v>
      </c>
    </row>
    <row r="36" spans="2:53" ht="18" customHeight="1" x14ac:dyDescent="0.25">
      <c r="B36" s="1">
        <v>17</v>
      </c>
      <c r="C36" s="333" t="str">
        <f>Adatok!F35</f>
        <v>-</v>
      </c>
      <c r="D36" s="32" t="s">
        <v>27</v>
      </c>
      <c r="E36" s="336" t="str">
        <f>Adatok!H35</f>
        <v>-</v>
      </c>
      <c r="F36" s="64" t="str">
        <f>IF(Adatok!$C$16+B36&gt;Adatok!$C$17,$B$19,Adatok!I35)</f>
        <v>-</v>
      </c>
      <c r="G36" s="60"/>
      <c r="H36" s="72" t="str">
        <f>IF(Adatok!$C$16+B36&gt;Adatok!$C$17,$B$19,Adatok!J35/Adatok!I35)</f>
        <v>-</v>
      </c>
      <c r="I36" s="81" t="str">
        <f>IF(Adatok!$C$16+$B36&lt;Adatok!$C$17+1,((((Adatok!$C$13*Adatok!$C$20*Adatok!$I35*Adatok!$J35)/(8*(VLOOKUP(I$19,Számítás!$B$19:$H$63,7,FALSE))))+((Adatok!$C$13^3*Adatok!$C$20^3*Adatok!$I35^3*Adatok!$J35)/(384*(VLOOKUP(I$19,Számítás!$B$19:$H$63,7,FALSE))^3)))*100),$B$19)</f>
        <v>-</v>
      </c>
      <c r="J36" s="33" t="str">
        <f>IF(AND($I$19+I$17*Adatok!$F$11&gt;Adatok!$F$10-0.01,Adatok!$C$16+$B36&lt;Adatok!$C$17+1),((Adatok!$C$13*Adatok!$C$20*Adatok!$I35*Adatok!$J35)/(8*(VLOOKUP(J$19,Számítás!$B$19:$H$63,7,FALSE)))+(Adatok!$C$13^3*Adatok!$C$20^3*Adatok!$I35^3*Adatok!$J35)/(384*(VLOOKUP(J$19,Számítás!$B$19:$H$63,7,FALSE))^3))*100,$B$19)</f>
        <v>-</v>
      </c>
      <c r="K36" s="33" t="str">
        <f>IF(AND($I$19+J$17*Adatok!$F$11&gt;Adatok!$F$10-0.01,Adatok!$C$16+$B36&lt;Adatok!$C$17+1),((Adatok!$C$13*Adatok!$C$20*Adatok!$I35*Adatok!$J35)/(8*(VLOOKUP(K$19,Számítás!$B$19:$H$63,7,FALSE)))+(Adatok!$C$13^3*Adatok!$C$20^3*Adatok!$I35^3*Adatok!$J35)/(384*(VLOOKUP(K$19,Számítás!$B$19:$H$63,7,FALSE))^3))*100,$B$19)</f>
        <v>-</v>
      </c>
      <c r="L36" s="33" t="str">
        <f>IF(AND($I$19+K$17*Adatok!$F$11&gt;Adatok!$F$10-0.01,Adatok!$C$16+$B36&lt;Adatok!$C$17+1),((Adatok!$C$13*Adatok!$C$20*Adatok!$I35*Adatok!$J35)/(8*(VLOOKUP(L$19,Számítás!$B$19:$H$63,7,FALSE)))+(Adatok!$C$13^3*Adatok!$C$20^3*Adatok!$I35^3*Adatok!$J35)/(384*(VLOOKUP(L$19,Számítás!$B$19:$H$63,7,FALSE))^3))*100,$B$19)</f>
        <v>-</v>
      </c>
      <c r="M36" s="33" t="str">
        <f>IF(AND($I$19+L$17*Adatok!$F$11&gt;Adatok!$F$10-0.01,Adatok!$C$16+$B36&lt;Adatok!$C$17+1),((Adatok!$C$13*Adatok!$C$20*Adatok!$I35*Adatok!$J35)/(8*(VLOOKUP(M$19,Számítás!$B$19:$H$63,7,FALSE)))+(Adatok!$C$13^3*Adatok!$C$20^3*Adatok!$I35^3*Adatok!$J35)/(384*(VLOOKUP(M$19,Számítás!$B$19:$H$63,7,FALSE))^3))*100,$B$19)</f>
        <v>-</v>
      </c>
      <c r="N36" s="33" t="str">
        <f>IF(AND($I$19+M$17*Adatok!$F$11&gt;Adatok!$F$10-0.01,Adatok!$C$16+$B36&lt;Adatok!$C$17+1),((Adatok!$C$13*Adatok!$C$20*Adatok!$I35*Adatok!$J35)/(8*(VLOOKUP(N$19,Számítás!$B$19:$H$63,7,FALSE)))+(Adatok!$C$13^3*Adatok!$C$20^3*Adatok!$I35^3*Adatok!$J35)/(384*(VLOOKUP(N$19,Számítás!$B$19:$H$63,7,FALSE))^3))*100,$B$19)</f>
        <v>-</v>
      </c>
      <c r="O36" s="33" t="str">
        <f>IF(AND($I$19+N$17*Adatok!$F$11&gt;Adatok!$F$10-0.01,Adatok!$C$16+$B36&lt;Adatok!$C$17+1),((Adatok!$C$13*Adatok!$C$20*Adatok!$I35*Adatok!$J35)/(8*(VLOOKUP(O$19,Számítás!$B$19:$H$63,7,FALSE)))+(Adatok!$C$13^3*Adatok!$C$20^3*Adatok!$I35^3*Adatok!$J35)/(384*(VLOOKUP(O$19,Számítás!$B$19:$H$63,7,FALSE))^3))*100,$B$19)</f>
        <v>-</v>
      </c>
      <c r="P36" s="33" t="str">
        <f>IF(AND($I$19+O$17*Adatok!$F$11&gt;Adatok!$F$10-0.01,Adatok!$C$16+$B36&lt;Adatok!$C$17+1),((Adatok!$C$13*Adatok!$C$20*Adatok!$I35*Adatok!$J35)/(8*(VLOOKUP(P$19,Számítás!$B$19:$H$63,7,FALSE)))+(Adatok!$C$13^3*Adatok!$C$20^3*Adatok!$I35^3*Adatok!$J35)/(384*(VLOOKUP(P$19,Számítás!$B$19:$H$63,7,FALSE))^3))*100,$B$19)</f>
        <v>-</v>
      </c>
      <c r="Q36" s="33" t="str">
        <f>IF(AND($I$19+P$17*Adatok!$F$11&gt;Adatok!$F$10-0.01,Adatok!$C$16+$B36&lt;Adatok!$C$17+1),((Adatok!$C$13*Adatok!$C$20*Adatok!$I35*Adatok!$J35)/(8*(VLOOKUP(Q$19,Számítás!$B$19:$H$63,7,FALSE)))+(Adatok!$C$13^3*Adatok!$C$20^3*Adatok!$I35^3*Adatok!$J35)/(384*(VLOOKUP(Q$19,Számítás!$B$19:$H$63,7,FALSE))^3))*100,$B$19)</f>
        <v>-</v>
      </c>
      <c r="R36" s="33" t="str">
        <f>IF(AND($I$19+Q$17*Adatok!$F$11&gt;Adatok!$F$10-0.01,Adatok!$C$16+$B36&lt;Adatok!$C$17+1),((Adatok!$C$13*Adatok!$C$20*Adatok!$I35*Adatok!$J35)/(8*(VLOOKUP(R$19,Számítás!$B$19:$H$63,7,FALSE)))+(Adatok!$C$13^3*Adatok!$C$20^3*Adatok!$I35^3*Adatok!$J35)/(384*(VLOOKUP(R$19,Számítás!$B$19:$H$63,7,FALSE))^3))*100,$B$19)</f>
        <v>-</v>
      </c>
      <c r="S36" s="33" t="str">
        <f>IF(AND($I$19+R$17*Adatok!$F$11&gt;Adatok!$F$10-0.01,Adatok!$C$16+$B36&lt;Adatok!$C$17+1),((Adatok!$C$13*Adatok!$C$20*Adatok!$I35*Adatok!$J35)/(8*(VLOOKUP(S$19,Számítás!$B$19:$H$63,7,FALSE)))+(Adatok!$C$13^3*Adatok!$C$20^3*Adatok!$I35^3*Adatok!$J35)/(384*(VLOOKUP(S$19,Számítás!$B$19:$H$63,7,FALSE))^3))*100,$B$19)</f>
        <v>-</v>
      </c>
      <c r="T36" s="33" t="str">
        <f>IF(AND($I$19+S$17*Adatok!$F$11&gt;Adatok!$F$10-0.01,Adatok!$C$16+$B36&lt;Adatok!$C$17+1),((Adatok!$C$13*Adatok!$C$20*Adatok!$I35*Adatok!$J35)/(8*(VLOOKUP(T$19,Számítás!$B$19:$H$63,7,FALSE)))+(Adatok!$C$13^3*Adatok!$C$20^3*Adatok!$I35^3*Adatok!$J35)/(384*(VLOOKUP(T$19,Számítás!$B$19:$H$63,7,FALSE))^3))*100,$B$19)</f>
        <v>-</v>
      </c>
      <c r="U36" s="33" t="str">
        <f>IF(AND($I$19+T$17*Adatok!$F$11&gt;Adatok!$F$10-0.01,Adatok!$C$16+$B36&lt;Adatok!$C$17+1),((Adatok!$C$13*Adatok!$C$20*Adatok!$I35*Adatok!$J35)/(8*(VLOOKUP(U$19,Számítás!$B$19:$H$63,7,FALSE)))+(Adatok!$C$13^3*Adatok!$C$20^3*Adatok!$I35^3*Adatok!$J35)/(384*(VLOOKUP(U$19,Számítás!$B$19:$H$63,7,FALSE))^3))*100,$B$19)</f>
        <v>-</v>
      </c>
      <c r="V36" s="33" t="str">
        <f>IF(AND($I$19+U$17*Adatok!$F$11&gt;Adatok!$F$10-0.01,Adatok!$C$16+$B36&lt;Adatok!$C$17+1),((Adatok!$C$13*Adatok!$C$20*Adatok!$I35*Adatok!$J35)/(8*(VLOOKUP(V$19,Számítás!$B$19:$H$63,7,FALSE)))+(Adatok!$C$13^3*Adatok!$C$20^3*Adatok!$I35^3*Adatok!$J35)/(384*(VLOOKUP(V$19,Számítás!$B$19:$H$63,7,FALSE))^3))*100,$B$19)</f>
        <v>-</v>
      </c>
      <c r="W36" s="33" t="str">
        <f>IF(AND($I$19+V$17*Adatok!$F$11&gt;Adatok!$F$10-0.01,Adatok!$C$16+$B36&lt;Adatok!$C$17+1),((Adatok!$C$13*Adatok!$C$20*Adatok!$I35*Adatok!$J35)/(8*(VLOOKUP(W$19,Számítás!$B$19:$H$63,7,FALSE)))+(Adatok!$C$13^3*Adatok!$C$20^3*Adatok!$I35^3*Adatok!$J35)/(384*(VLOOKUP(W$19,Számítás!$B$19:$H$63,7,FALSE))^3))*100,$B$19)</f>
        <v>-</v>
      </c>
      <c r="X36" s="33" t="str">
        <f>IF(AND($I$19+W$17*Adatok!$F$11&gt;Adatok!$F$10-0.01,Adatok!$C$16+$B36&lt;Adatok!$C$17+1),((Adatok!$C$13*Adatok!$C$20*Adatok!$I35*Adatok!$J35)/(8*(VLOOKUP(X$19,Számítás!$B$19:$H$63,7,FALSE)))+(Adatok!$C$13^3*Adatok!$C$20^3*Adatok!$I35^3*Adatok!$J35)/(384*(VLOOKUP(X$19,Számítás!$B$19:$H$63,7,FALSE))^3))*100,$B$19)</f>
        <v>-</v>
      </c>
      <c r="Y36" s="33" t="str">
        <f>IF(AND($I$19+X$17*Adatok!$F$11&gt;Adatok!$F$10-0.01,Adatok!$C$16+$B36&lt;Adatok!$C$17+1),((Adatok!$C$13*Adatok!$C$20*Adatok!$I35*Adatok!$J35)/(8*(VLOOKUP(Y$19,Számítás!$B$19:$H$63,7,FALSE)))+(Adatok!$C$13^3*Adatok!$C$20^3*Adatok!$I35^3*Adatok!$J35)/(384*(VLOOKUP(Y$19,Számítás!$B$19:$H$63,7,FALSE))^3))*100,$B$19)</f>
        <v>-</v>
      </c>
      <c r="Z36" s="33" t="str">
        <f>IF(AND($I$19+Y$17*Adatok!$F$11&gt;Adatok!$F$10-0.01,Adatok!$C$16+$B36&lt;Adatok!$C$17+1),((Adatok!$C$13*Adatok!$C$20*Adatok!$I35*Adatok!$J35)/(8*(VLOOKUP(Z$19,Számítás!$B$19:$H$63,7,FALSE)))+(Adatok!$C$13^3*Adatok!$C$20^3*Adatok!$I35^3*Adatok!$J35)/(384*(VLOOKUP(Z$19,Számítás!$B$19:$H$63,7,FALSE))^3))*100,$B$19)</f>
        <v>-</v>
      </c>
      <c r="AA36" s="33" t="str">
        <f>IF(AND($I$19+Z$17*Adatok!$F$11&gt;Adatok!$F$10-0.01,Adatok!$C$16+$B36&lt;Adatok!$C$17+1),((Adatok!$C$13*Adatok!$C$20*Adatok!$I35*Adatok!$J35)/(8*(VLOOKUP(AA$19,Számítás!$B$19:$H$63,7,FALSE)))+(Adatok!$C$13^3*Adatok!$C$20^3*Adatok!$I35^3*Adatok!$J35)/(384*(VLOOKUP(AA$19,Számítás!$B$19:$H$63,7,FALSE))^3))*100,$B$19)</f>
        <v>-</v>
      </c>
      <c r="AB36" s="33" t="str">
        <f>IF(AND($I$19+AA$17*Adatok!$F$11&gt;Adatok!$F$10-0.01,Adatok!$C$16+$B36&lt;Adatok!$C$17+1),((Adatok!$C$13*Adatok!$C$20*Adatok!$I35*Adatok!$J35)/(8*(VLOOKUP(AB$19,Számítás!$B$19:$H$63,7,FALSE)))+(Adatok!$C$13^3*Adatok!$C$20^3*Adatok!$I35^3*Adatok!$J35)/(384*(VLOOKUP(AB$19,Számítás!$B$19:$H$63,7,FALSE))^3))*100,$B$19)</f>
        <v>-</v>
      </c>
      <c r="AC36" s="33" t="str">
        <f>IF(AND($I$19+AB$17*Adatok!$F$11&gt;Adatok!$F$10-0.01,Adatok!$C$16+$B36&lt;Adatok!$C$17+1),((Adatok!$C$13*Adatok!$C$20*Adatok!$I35*Adatok!$J35)/(8*(VLOOKUP(AC$19,Számítás!$B$19:$H$63,7,FALSE)))+(Adatok!$C$13^3*Adatok!$C$20^3*Adatok!$I35^3*Adatok!$J35)/(384*(VLOOKUP(AC$19,Számítás!$B$19:$H$63,7,FALSE))^3))*100,$B$19)</f>
        <v>-</v>
      </c>
      <c r="AD36" s="33" t="str">
        <f>IF(AND($I$19+AC$17*Adatok!$F$11&gt;Adatok!$F$10-0.01,Adatok!$C$16+$B36&lt;Adatok!$C$17+1),((Adatok!$C$13*Adatok!$C$20*Adatok!$I35*Adatok!$J35)/(8*(VLOOKUP(AD$19,Számítás!$B$19:$H$63,7,FALSE)))+(Adatok!$C$13^3*Adatok!$C$20^3*Adatok!$I35^3*Adatok!$J35)/(384*(VLOOKUP(AD$19,Számítás!$B$19:$H$63,7,FALSE))^3))*100,$B$19)</f>
        <v>-</v>
      </c>
      <c r="AE36" s="33" t="str">
        <f>IF(AND($I$19+AD$17*Adatok!$F$11&gt;Adatok!$F$10-0.01,Adatok!$C$16+$B36&lt;Adatok!$C$17+1),((Adatok!$C$13*Adatok!$C$20*Adatok!$I35*Adatok!$J35)/(8*(VLOOKUP(AE$19,Számítás!$B$19:$H$63,7,FALSE)))+(Adatok!$C$13^3*Adatok!$C$20^3*Adatok!$I35^3*Adatok!$J35)/(384*(VLOOKUP(AE$19,Számítás!$B$19:$H$63,7,FALSE))^3))*100,$B$19)</f>
        <v>-</v>
      </c>
      <c r="AF36" s="33" t="str">
        <f>IF(AND($I$19+AE$17*Adatok!$F$11&gt;Adatok!$F$10-0.01,Adatok!$C$16+$B36&lt;Adatok!$C$17+1),((Adatok!$C$13*Adatok!$C$20*Adatok!$I35*Adatok!$J35)/(8*(VLOOKUP(AF$19,Számítás!$B$19:$H$63,7,FALSE)))+(Adatok!$C$13^3*Adatok!$C$20^3*Adatok!$I35^3*Adatok!$J35)/(384*(VLOOKUP(AF$19,Számítás!$B$19:$H$63,7,FALSE))^3))*100,$B$19)</f>
        <v>-</v>
      </c>
      <c r="AG36" s="33" t="str">
        <f>IF(AND($I$19+AF$17*Adatok!$F$11&gt;Adatok!$F$10-0.01,Adatok!$C$16+$B36&lt;Adatok!$C$17+1),((Adatok!$C$13*Adatok!$C$20*Adatok!$I35*Adatok!$J35)/(8*(VLOOKUP(AG$19,Számítás!$B$19:$H$63,7,FALSE)))+(Adatok!$C$13^3*Adatok!$C$20^3*Adatok!$I35^3*Adatok!$J35)/(384*(VLOOKUP(AG$19,Számítás!$B$19:$H$63,7,FALSE))^3))*100,$B$19)</f>
        <v>-</v>
      </c>
      <c r="AH36" s="33" t="str">
        <f>IF(AND($I$19+AG$17*Adatok!$F$11&gt;Adatok!$F$10-0.01,Adatok!$C$16+$B36&lt;Adatok!$C$17+1),((Adatok!$C$13*Adatok!$C$20*Adatok!$I35*Adatok!$J35)/(8*(VLOOKUP(AH$19,Számítás!$B$19:$H$63,7,FALSE)))+(Adatok!$C$13^3*Adatok!$C$20^3*Adatok!$I35^3*Adatok!$J35)/(384*(VLOOKUP(AH$19,Számítás!$B$19:$H$63,7,FALSE))^3))*100,$B$19)</f>
        <v>-</v>
      </c>
      <c r="AI36" s="33" t="str">
        <f>IF(AND($I$19+AH$17*Adatok!$F$11&gt;Adatok!$F$10-0.01,Adatok!$C$16+$B36&lt;Adatok!$C$17+1),((Adatok!$C$13*Adatok!$C$20*Adatok!$I35*Adatok!$J35)/(8*(VLOOKUP(AI$19,Számítás!$B$19:$H$63,7,FALSE)))+(Adatok!$C$13^3*Adatok!$C$20^3*Adatok!$I35^3*Adatok!$J35)/(384*(VLOOKUP(AI$19,Számítás!$B$19:$H$63,7,FALSE))^3))*100,$B$19)</f>
        <v>-</v>
      </c>
      <c r="AJ36" s="33" t="str">
        <f>IF(AND($I$19+AI$17*Adatok!$F$11&gt;Adatok!$F$10-0.01,Adatok!$C$16+$B36&lt;Adatok!$C$17+1),((Adatok!$C$13*Adatok!$C$20*Adatok!$I35*Adatok!$J35)/(8*(VLOOKUP(AJ$19,Számítás!$B$19:$H$63,7,FALSE)))+(Adatok!$C$13^3*Adatok!$C$20^3*Adatok!$I35^3*Adatok!$J35)/(384*(VLOOKUP(AJ$19,Számítás!$B$19:$H$63,7,FALSE))^3))*100,$B$19)</f>
        <v>-</v>
      </c>
      <c r="AK36" s="33" t="str">
        <f>IF(AND($I$19+AJ$17*Adatok!$F$11&gt;Adatok!$F$10-0.01,Adatok!$C$16+$B36&lt;Adatok!$C$17+1),((Adatok!$C$13*Adatok!$C$20*Adatok!$I35*Adatok!$J35)/(8*(VLOOKUP(AK$19,Számítás!$B$19:$H$63,7,FALSE)))+(Adatok!$C$13^3*Adatok!$C$20^3*Adatok!$I35^3*Adatok!$J35)/(384*(VLOOKUP(AK$19,Számítás!$B$19:$H$63,7,FALSE))^3))*100,$B$19)</f>
        <v>-</v>
      </c>
      <c r="AL36" s="33" t="str">
        <f>IF(AND($I$19+AK$17*Adatok!$F$11&gt;Adatok!$F$10-0.01,Adatok!$C$16+$B36&lt;Adatok!$C$17+1),((Adatok!$C$13*Adatok!$C$20*Adatok!$I35*Adatok!$J35)/(8*(VLOOKUP(AL$19,Számítás!$B$19:$H$63,7,FALSE)))+(Adatok!$C$13^3*Adatok!$C$20^3*Adatok!$I35^3*Adatok!$J35)/(384*(VLOOKUP(AL$19,Számítás!$B$19:$H$63,7,FALSE))^3))*100,$B$19)</f>
        <v>-</v>
      </c>
      <c r="AM36" s="33" t="str">
        <f>IF(AND($I$19+AL$17*Adatok!$F$11&gt;Adatok!$F$10-0.01,Adatok!$C$16+$B36&lt;Adatok!$C$17+1),((Adatok!$C$13*Adatok!$C$20*Adatok!$I35*Adatok!$J35)/(8*(VLOOKUP(AM$19,Számítás!$B$19:$H$63,7,FALSE)))+(Adatok!$C$13^3*Adatok!$C$20^3*Adatok!$I35^3*Adatok!$J35)/(384*(VLOOKUP(AM$19,Számítás!$B$19:$H$63,7,FALSE))^3))*100,$B$19)</f>
        <v>-</v>
      </c>
      <c r="AN36" s="33" t="str">
        <f>IF(AND($I$19+AM$17*Adatok!$F$11&gt;Adatok!$F$10-0.01,Adatok!$C$16+$B36&lt;Adatok!$C$17+1),((Adatok!$C$13*Adatok!$C$20*Adatok!$I35*Adatok!$J35)/(8*(VLOOKUP(AN$19,Számítás!$B$19:$H$63,7,FALSE)))+(Adatok!$C$13^3*Adatok!$C$20^3*Adatok!$I35^3*Adatok!$J35)/(384*(VLOOKUP(AN$19,Számítás!$B$19:$H$63,7,FALSE))^3))*100,$B$19)</f>
        <v>-</v>
      </c>
      <c r="AO36" s="33" t="str">
        <f>IF(AND($I$19+AN$17*Adatok!$F$11&gt;Adatok!$F$10-0.01,Adatok!$C$16+$B36&lt;Adatok!$C$17+1),((Adatok!$C$13*Adatok!$C$20*Adatok!$I35*Adatok!$J35)/(8*(VLOOKUP(AO$19,Számítás!$B$19:$H$63,7,FALSE)))+(Adatok!$C$13^3*Adatok!$C$20^3*Adatok!$I35^3*Adatok!$J35)/(384*(VLOOKUP(AO$19,Számítás!$B$19:$H$63,7,FALSE))^3))*100,$B$19)</f>
        <v>-</v>
      </c>
      <c r="AP36" s="33" t="str">
        <f>IF(AND($I$19+AO$17*Adatok!$F$11&gt;Adatok!$F$10-0.01,Adatok!$C$16+$B36&lt;Adatok!$C$17+1),((Adatok!$C$13*Adatok!$C$20*Adatok!$I35*Adatok!$J35)/(8*(VLOOKUP(AP$19,Számítás!$B$19:$H$63,7,FALSE)))+(Adatok!$C$13^3*Adatok!$C$20^3*Adatok!$I35^3*Adatok!$J35)/(384*(VLOOKUP(AP$19,Számítás!$B$19:$H$63,7,FALSE))^3))*100,$B$19)</f>
        <v>-</v>
      </c>
      <c r="AQ36" s="33" t="str">
        <f>IF(AND($I$19+AP$17*Adatok!$F$11&gt;Adatok!$F$10-0.01,Adatok!$C$16+$B36&lt;Adatok!$C$17+1),((Adatok!$C$13*Adatok!$C$20*Adatok!$I35*Adatok!$J35)/(8*(VLOOKUP(AQ$19,Számítás!$B$19:$H$63,7,FALSE)))+(Adatok!$C$13^3*Adatok!$C$20^3*Adatok!$I35^3*Adatok!$J35)/(384*(VLOOKUP(AQ$19,Számítás!$B$19:$H$63,7,FALSE))^3))*100,$B$19)</f>
        <v>-</v>
      </c>
      <c r="AR36" s="33" t="str">
        <f>IF(AND($I$19+AQ$17*Adatok!$F$11&gt;Adatok!$F$10-0.01,Adatok!$C$16+$B36&lt;Adatok!$C$17+1),((Adatok!$C$13*Adatok!$C$20*Adatok!$I35*Adatok!$J35)/(8*(VLOOKUP(AR$19,Számítás!$B$19:$H$63,7,FALSE)))+(Adatok!$C$13^3*Adatok!$C$20^3*Adatok!$I35^3*Adatok!$J35)/(384*(VLOOKUP(AR$19,Számítás!$B$19:$H$63,7,FALSE))^3))*100,$B$19)</f>
        <v>-</v>
      </c>
      <c r="AS36" s="33" t="str">
        <f>IF(AND($I$19+AR$17*Adatok!$F$11&gt;Adatok!$F$10-0.01,Adatok!$C$16+$B36&lt;Adatok!$C$17+1),((Adatok!$C$13*Adatok!$C$20*Adatok!$I35*Adatok!$J35)/(8*(VLOOKUP(AS$19,Számítás!$B$19:$H$63,7,FALSE)))+(Adatok!$C$13^3*Adatok!$C$20^3*Adatok!$I35^3*Adatok!$J35)/(384*(VLOOKUP(AS$19,Számítás!$B$19:$H$63,7,FALSE))^3))*100,$B$19)</f>
        <v>-</v>
      </c>
      <c r="AT36" s="33" t="str">
        <f>IF(AND($I$19+AS$17*Adatok!$F$11&gt;Adatok!$F$10-0.01,Adatok!$C$16+$B36&lt;Adatok!$C$17+1),((Adatok!$C$13*Adatok!$C$20*Adatok!$I35*Adatok!$J35)/(8*(VLOOKUP(AT$19,Számítás!$B$19:$H$63,7,FALSE)))+(Adatok!$C$13^3*Adatok!$C$20^3*Adatok!$I35^3*Adatok!$J35)/(384*(VLOOKUP(AT$19,Számítás!$B$19:$H$63,7,FALSE))^3))*100,$B$19)</f>
        <v>-</v>
      </c>
      <c r="AU36" s="33" t="str">
        <f>IF(AND($I$19+AT$17*Adatok!$F$11&gt;Adatok!$F$10-0.01,Adatok!$C$16+$B36&lt;Adatok!$C$17+1),((Adatok!$C$13*Adatok!$C$20*Adatok!$I35*Adatok!$J35)/(8*(VLOOKUP(AU$19,Számítás!$B$19:$H$63,7,FALSE)))+(Adatok!$C$13^3*Adatok!$C$20^3*Adatok!$I35^3*Adatok!$J35)/(384*(VLOOKUP(AU$19,Számítás!$B$19:$H$63,7,FALSE))^3))*100,$B$19)</f>
        <v>-</v>
      </c>
      <c r="AV36" s="33" t="str">
        <f>IF(AND($I$19+AU$17*Adatok!$F$11&gt;Adatok!$F$10-0.01,Adatok!$C$16+$B36&lt;Adatok!$C$17+1),((Adatok!$C$13*Adatok!$C$20*Adatok!$I35*Adatok!$J35)/(8*(VLOOKUP(AV$19,Számítás!$B$19:$H$63,7,FALSE)))+(Adatok!$C$13^3*Adatok!$C$20^3*Adatok!$I35^3*Adatok!$J35)/(384*(VLOOKUP(AV$19,Számítás!$B$19:$H$63,7,FALSE))^3))*100,$B$19)</f>
        <v>-</v>
      </c>
      <c r="AW36" s="33" t="str">
        <f>IF(AND($I$19+AV$17*Adatok!$F$11&gt;Adatok!$F$10-0.01,Adatok!$C$16+$B36&lt;Adatok!$C$17+1),((Adatok!$C$13*Adatok!$C$20*Adatok!$I35*Adatok!$J35)/(8*(VLOOKUP(AW$19,Számítás!$B$19:$H$63,7,FALSE)))+(Adatok!$C$13^3*Adatok!$C$20^3*Adatok!$I35^3*Adatok!$J35)/(384*(VLOOKUP(AW$19,Számítás!$B$19:$H$63,7,FALSE))^3))*100,$B$19)</f>
        <v>-</v>
      </c>
      <c r="AX36" s="33" t="str">
        <f>IF(AND($I$19+AW$17*Adatok!$F$11&gt;Adatok!$F$10-0.01,Adatok!$C$16+$B36&lt;Adatok!$C$17+1),((Adatok!$C$13*Adatok!$C$20*Adatok!$I35*Adatok!$J35)/(8*(VLOOKUP(AX$19,Számítás!$B$19:$H$63,7,FALSE)))+(Adatok!$C$13^3*Adatok!$C$20^3*Adatok!$I35^3*Adatok!$J35)/(384*(VLOOKUP(AX$19,Számítás!$B$19:$H$63,7,FALSE))^3))*100,$B$19)</f>
        <v>-</v>
      </c>
      <c r="AY36" s="33" t="str">
        <f>IF(AND($I$19+AX$17*Adatok!$F$11&gt;Adatok!$F$10-0.01,Adatok!$C$16+$B36&lt;Adatok!$C$17+1),((Adatok!$C$13*Adatok!$C$20*Adatok!$I35*Adatok!$J35)/(8*(VLOOKUP(AY$19,Számítás!$B$19:$H$63,7,FALSE)))+(Adatok!$C$13^3*Adatok!$C$20^3*Adatok!$I35^3*Adatok!$J35)/(384*(VLOOKUP(AY$19,Számítás!$B$19:$H$63,7,FALSE))^3))*100,$B$19)</f>
        <v>-</v>
      </c>
      <c r="AZ36" s="33" t="str">
        <f>IF(AND($I$19+AY$17*Adatok!$F$11&gt;Adatok!$F$10-0.01,Adatok!$C$16+$B36&lt;Adatok!$C$17+1),((Adatok!$C$13*Adatok!$C$20*Adatok!$I35*Adatok!$J35)/(8*(VLOOKUP(AZ$19,Számítás!$B$19:$H$63,7,FALSE)))+(Adatok!$C$13^3*Adatok!$C$20^3*Adatok!$I35^3*Adatok!$J35)/(384*(VLOOKUP(AZ$19,Számítás!$B$19:$H$63,7,FALSE))^3))*100,$B$19)</f>
        <v>-</v>
      </c>
      <c r="BA36" s="33" t="str">
        <f>IF(AND($I$19+AZ$17*Adatok!$F$11&gt;Adatok!$F$10-0.01,Adatok!$C$16+$B36&lt;Adatok!$C$17+1),((Adatok!$C$13*Adatok!$C$20*Adatok!$I35*Adatok!$J35)/(8*(VLOOKUP(BA$19,Számítás!$B$19:$H$63,7,FALSE)))+(Adatok!$C$13^3*Adatok!$C$20^3*Adatok!$I35^3*Adatok!$J35)/(384*(VLOOKUP(BA$19,Számítás!$B$19:$H$63,7,FALSE))^3))*100,$B$19)</f>
        <v>-</v>
      </c>
    </row>
    <row r="37" spans="2:53" ht="18" customHeight="1" x14ac:dyDescent="0.25">
      <c r="B37" s="1">
        <v>18</v>
      </c>
      <c r="C37" s="333" t="str">
        <f>Adatok!F36</f>
        <v>-</v>
      </c>
      <c r="D37" s="32" t="s">
        <v>27</v>
      </c>
      <c r="E37" s="336" t="str">
        <f>Adatok!H36</f>
        <v>-</v>
      </c>
      <c r="F37" s="64" t="str">
        <f>IF(Adatok!$C$16+B37&gt;Adatok!$C$17,$B$19,Adatok!I36)</f>
        <v>-</v>
      </c>
      <c r="G37" s="60"/>
      <c r="H37" s="72" t="str">
        <f>IF(Adatok!$C$16+B37&gt;Adatok!$C$17,$B$19,Adatok!J36/Adatok!I36)</f>
        <v>-</v>
      </c>
      <c r="I37" s="81" t="str">
        <f>IF(Adatok!$C$16+$B37&lt;Adatok!$C$17+1,((((Adatok!$C$13*Adatok!$C$20*Adatok!$I36*Adatok!$J36)/(8*(VLOOKUP(I$19,Számítás!$B$19:$H$63,7,FALSE))))+((Adatok!$C$13^3*Adatok!$C$20^3*Adatok!$I36^3*Adatok!$J36)/(384*(VLOOKUP(I$19,Számítás!$B$19:$H$63,7,FALSE))^3)))*100),$B$19)</f>
        <v>-</v>
      </c>
      <c r="J37" s="33" t="str">
        <f>IF(AND($I$19+I$17*Adatok!$F$11&gt;Adatok!$F$10-0.01,Adatok!$C$16+$B37&lt;Adatok!$C$17+1),((Adatok!$C$13*Adatok!$C$20*Adatok!$I36*Adatok!$J36)/(8*(VLOOKUP(J$19,Számítás!$B$19:$H$63,7,FALSE)))+(Adatok!$C$13^3*Adatok!$C$20^3*Adatok!$I36^3*Adatok!$J36)/(384*(VLOOKUP(J$19,Számítás!$B$19:$H$63,7,FALSE))^3))*100,$B$19)</f>
        <v>-</v>
      </c>
      <c r="K37" s="33" t="str">
        <f>IF(AND($I$19+J$17*Adatok!$F$11&gt;Adatok!$F$10-0.01,Adatok!$C$16+$B37&lt;Adatok!$C$17+1),((Adatok!$C$13*Adatok!$C$20*Adatok!$I36*Adatok!$J36)/(8*(VLOOKUP(K$19,Számítás!$B$19:$H$63,7,FALSE)))+(Adatok!$C$13^3*Adatok!$C$20^3*Adatok!$I36^3*Adatok!$J36)/(384*(VLOOKUP(K$19,Számítás!$B$19:$H$63,7,FALSE))^3))*100,$B$19)</f>
        <v>-</v>
      </c>
      <c r="L37" s="33" t="str">
        <f>IF(AND($I$19+K$17*Adatok!$F$11&gt;Adatok!$F$10-0.01,Adatok!$C$16+$B37&lt;Adatok!$C$17+1),((Adatok!$C$13*Adatok!$C$20*Adatok!$I36*Adatok!$J36)/(8*(VLOOKUP(L$19,Számítás!$B$19:$H$63,7,FALSE)))+(Adatok!$C$13^3*Adatok!$C$20^3*Adatok!$I36^3*Adatok!$J36)/(384*(VLOOKUP(L$19,Számítás!$B$19:$H$63,7,FALSE))^3))*100,$B$19)</f>
        <v>-</v>
      </c>
      <c r="M37" s="33" t="str">
        <f>IF(AND($I$19+L$17*Adatok!$F$11&gt;Adatok!$F$10-0.01,Adatok!$C$16+$B37&lt;Adatok!$C$17+1),((Adatok!$C$13*Adatok!$C$20*Adatok!$I36*Adatok!$J36)/(8*(VLOOKUP(M$19,Számítás!$B$19:$H$63,7,FALSE)))+(Adatok!$C$13^3*Adatok!$C$20^3*Adatok!$I36^3*Adatok!$J36)/(384*(VLOOKUP(M$19,Számítás!$B$19:$H$63,7,FALSE))^3))*100,$B$19)</f>
        <v>-</v>
      </c>
      <c r="N37" s="33" t="str">
        <f>IF(AND($I$19+M$17*Adatok!$F$11&gt;Adatok!$F$10-0.01,Adatok!$C$16+$B37&lt;Adatok!$C$17+1),((Adatok!$C$13*Adatok!$C$20*Adatok!$I36*Adatok!$J36)/(8*(VLOOKUP(N$19,Számítás!$B$19:$H$63,7,FALSE)))+(Adatok!$C$13^3*Adatok!$C$20^3*Adatok!$I36^3*Adatok!$J36)/(384*(VLOOKUP(N$19,Számítás!$B$19:$H$63,7,FALSE))^3))*100,$B$19)</f>
        <v>-</v>
      </c>
      <c r="O37" s="33" t="str">
        <f>IF(AND($I$19+N$17*Adatok!$F$11&gt;Adatok!$F$10-0.01,Adatok!$C$16+$B37&lt;Adatok!$C$17+1),((Adatok!$C$13*Adatok!$C$20*Adatok!$I36*Adatok!$J36)/(8*(VLOOKUP(O$19,Számítás!$B$19:$H$63,7,FALSE)))+(Adatok!$C$13^3*Adatok!$C$20^3*Adatok!$I36^3*Adatok!$J36)/(384*(VLOOKUP(O$19,Számítás!$B$19:$H$63,7,FALSE))^3))*100,$B$19)</f>
        <v>-</v>
      </c>
      <c r="P37" s="33" t="str">
        <f>IF(AND($I$19+O$17*Adatok!$F$11&gt;Adatok!$F$10-0.01,Adatok!$C$16+$B37&lt;Adatok!$C$17+1),((Adatok!$C$13*Adatok!$C$20*Adatok!$I36*Adatok!$J36)/(8*(VLOOKUP(P$19,Számítás!$B$19:$H$63,7,FALSE)))+(Adatok!$C$13^3*Adatok!$C$20^3*Adatok!$I36^3*Adatok!$J36)/(384*(VLOOKUP(P$19,Számítás!$B$19:$H$63,7,FALSE))^3))*100,$B$19)</f>
        <v>-</v>
      </c>
      <c r="Q37" s="33" t="str">
        <f>IF(AND($I$19+P$17*Adatok!$F$11&gt;Adatok!$F$10-0.01,Adatok!$C$16+$B37&lt;Adatok!$C$17+1),((Adatok!$C$13*Adatok!$C$20*Adatok!$I36*Adatok!$J36)/(8*(VLOOKUP(Q$19,Számítás!$B$19:$H$63,7,FALSE)))+(Adatok!$C$13^3*Adatok!$C$20^3*Adatok!$I36^3*Adatok!$J36)/(384*(VLOOKUP(Q$19,Számítás!$B$19:$H$63,7,FALSE))^3))*100,$B$19)</f>
        <v>-</v>
      </c>
      <c r="R37" s="33" t="str">
        <f>IF(AND($I$19+Q$17*Adatok!$F$11&gt;Adatok!$F$10-0.01,Adatok!$C$16+$B37&lt;Adatok!$C$17+1),((Adatok!$C$13*Adatok!$C$20*Adatok!$I36*Adatok!$J36)/(8*(VLOOKUP(R$19,Számítás!$B$19:$H$63,7,FALSE)))+(Adatok!$C$13^3*Adatok!$C$20^3*Adatok!$I36^3*Adatok!$J36)/(384*(VLOOKUP(R$19,Számítás!$B$19:$H$63,7,FALSE))^3))*100,$B$19)</f>
        <v>-</v>
      </c>
      <c r="S37" s="33" t="str">
        <f>IF(AND($I$19+R$17*Adatok!$F$11&gt;Adatok!$F$10-0.01,Adatok!$C$16+$B37&lt;Adatok!$C$17+1),((Adatok!$C$13*Adatok!$C$20*Adatok!$I36*Adatok!$J36)/(8*(VLOOKUP(S$19,Számítás!$B$19:$H$63,7,FALSE)))+(Adatok!$C$13^3*Adatok!$C$20^3*Adatok!$I36^3*Adatok!$J36)/(384*(VLOOKUP(S$19,Számítás!$B$19:$H$63,7,FALSE))^3))*100,$B$19)</f>
        <v>-</v>
      </c>
      <c r="T37" s="33" t="str">
        <f>IF(AND($I$19+S$17*Adatok!$F$11&gt;Adatok!$F$10-0.01,Adatok!$C$16+$B37&lt;Adatok!$C$17+1),((Adatok!$C$13*Adatok!$C$20*Adatok!$I36*Adatok!$J36)/(8*(VLOOKUP(T$19,Számítás!$B$19:$H$63,7,FALSE)))+(Adatok!$C$13^3*Adatok!$C$20^3*Adatok!$I36^3*Adatok!$J36)/(384*(VLOOKUP(T$19,Számítás!$B$19:$H$63,7,FALSE))^3))*100,$B$19)</f>
        <v>-</v>
      </c>
      <c r="U37" s="33" t="str">
        <f>IF(AND($I$19+T$17*Adatok!$F$11&gt;Adatok!$F$10-0.01,Adatok!$C$16+$B37&lt;Adatok!$C$17+1),((Adatok!$C$13*Adatok!$C$20*Adatok!$I36*Adatok!$J36)/(8*(VLOOKUP(U$19,Számítás!$B$19:$H$63,7,FALSE)))+(Adatok!$C$13^3*Adatok!$C$20^3*Adatok!$I36^3*Adatok!$J36)/(384*(VLOOKUP(U$19,Számítás!$B$19:$H$63,7,FALSE))^3))*100,$B$19)</f>
        <v>-</v>
      </c>
      <c r="V37" s="33" t="str">
        <f>IF(AND($I$19+U$17*Adatok!$F$11&gt;Adatok!$F$10-0.01,Adatok!$C$16+$B37&lt;Adatok!$C$17+1),((Adatok!$C$13*Adatok!$C$20*Adatok!$I36*Adatok!$J36)/(8*(VLOOKUP(V$19,Számítás!$B$19:$H$63,7,FALSE)))+(Adatok!$C$13^3*Adatok!$C$20^3*Adatok!$I36^3*Adatok!$J36)/(384*(VLOOKUP(V$19,Számítás!$B$19:$H$63,7,FALSE))^3))*100,$B$19)</f>
        <v>-</v>
      </c>
      <c r="W37" s="33" t="str">
        <f>IF(AND($I$19+V$17*Adatok!$F$11&gt;Adatok!$F$10-0.01,Adatok!$C$16+$B37&lt;Adatok!$C$17+1),((Adatok!$C$13*Adatok!$C$20*Adatok!$I36*Adatok!$J36)/(8*(VLOOKUP(W$19,Számítás!$B$19:$H$63,7,FALSE)))+(Adatok!$C$13^3*Adatok!$C$20^3*Adatok!$I36^3*Adatok!$J36)/(384*(VLOOKUP(W$19,Számítás!$B$19:$H$63,7,FALSE))^3))*100,$B$19)</f>
        <v>-</v>
      </c>
      <c r="X37" s="33" t="str">
        <f>IF(AND($I$19+W$17*Adatok!$F$11&gt;Adatok!$F$10-0.01,Adatok!$C$16+$B37&lt;Adatok!$C$17+1),((Adatok!$C$13*Adatok!$C$20*Adatok!$I36*Adatok!$J36)/(8*(VLOOKUP(X$19,Számítás!$B$19:$H$63,7,FALSE)))+(Adatok!$C$13^3*Adatok!$C$20^3*Adatok!$I36^3*Adatok!$J36)/(384*(VLOOKUP(X$19,Számítás!$B$19:$H$63,7,FALSE))^3))*100,$B$19)</f>
        <v>-</v>
      </c>
      <c r="Y37" s="33" t="str">
        <f>IF(AND($I$19+X$17*Adatok!$F$11&gt;Adatok!$F$10-0.01,Adatok!$C$16+$B37&lt;Adatok!$C$17+1),((Adatok!$C$13*Adatok!$C$20*Adatok!$I36*Adatok!$J36)/(8*(VLOOKUP(Y$19,Számítás!$B$19:$H$63,7,FALSE)))+(Adatok!$C$13^3*Adatok!$C$20^3*Adatok!$I36^3*Adatok!$J36)/(384*(VLOOKUP(Y$19,Számítás!$B$19:$H$63,7,FALSE))^3))*100,$B$19)</f>
        <v>-</v>
      </c>
      <c r="Z37" s="33" t="str">
        <f>IF(AND($I$19+Y$17*Adatok!$F$11&gt;Adatok!$F$10-0.01,Adatok!$C$16+$B37&lt;Adatok!$C$17+1),((Adatok!$C$13*Adatok!$C$20*Adatok!$I36*Adatok!$J36)/(8*(VLOOKUP(Z$19,Számítás!$B$19:$H$63,7,FALSE)))+(Adatok!$C$13^3*Adatok!$C$20^3*Adatok!$I36^3*Adatok!$J36)/(384*(VLOOKUP(Z$19,Számítás!$B$19:$H$63,7,FALSE))^3))*100,$B$19)</f>
        <v>-</v>
      </c>
      <c r="AA37" s="33" t="str">
        <f>IF(AND($I$19+Z$17*Adatok!$F$11&gt;Adatok!$F$10-0.01,Adatok!$C$16+$B37&lt;Adatok!$C$17+1),((Adatok!$C$13*Adatok!$C$20*Adatok!$I36*Adatok!$J36)/(8*(VLOOKUP(AA$19,Számítás!$B$19:$H$63,7,FALSE)))+(Adatok!$C$13^3*Adatok!$C$20^3*Adatok!$I36^3*Adatok!$J36)/(384*(VLOOKUP(AA$19,Számítás!$B$19:$H$63,7,FALSE))^3))*100,$B$19)</f>
        <v>-</v>
      </c>
      <c r="AB37" s="33" t="str">
        <f>IF(AND($I$19+AA$17*Adatok!$F$11&gt;Adatok!$F$10-0.01,Adatok!$C$16+$B37&lt;Adatok!$C$17+1),((Adatok!$C$13*Adatok!$C$20*Adatok!$I36*Adatok!$J36)/(8*(VLOOKUP(AB$19,Számítás!$B$19:$H$63,7,FALSE)))+(Adatok!$C$13^3*Adatok!$C$20^3*Adatok!$I36^3*Adatok!$J36)/(384*(VLOOKUP(AB$19,Számítás!$B$19:$H$63,7,FALSE))^3))*100,$B$19)</f>
        <v>-</v>
      </c>
      <c r="AC37" s="33" t="str">
        <f>IF(AND($I$19+AB$17*Adatok!$F$11&gt;Adatok!$F$10-0.01,Adatok!$C$16+$B37&lt;Adatok!$C$17+1),((Adatok!$C$13*Adatok!$C$20*Adatok!$I36*Adatok!$J36)/(8*(VLOOKUP(AC$19,Számítás!$B$19:$H$63,7,FALSE)))+(Adatok!$C$13^3*Adatok!$C$20^3*Adatok!$I36^3*Adatok!$J36)/(384*(VLOOKUP(AC$19,Számítás!$B$19:$H$63,7,FALSE))^3))*100,$B$19)</f>
        <v>-</v>
      </c>
      <c r="AD37" s="33" t="str">
        <f>IF(AND($I$19+AC$17*Adatok!$F$11&gt;Adatok!$F$10-0.01,Adatok!$C$16+$B37&lt;Adatok!$C$17+1),((Adatok!$C$13*Adatok!$C$20*Adatok!$I36*Adatok!$J36)/(8*(VLOOKUP(AD$19,Számítás!$B$19:$H$63,7,FALSE)))+(Adatok!$C$13^3*Adatok!$C$20^3*Adatok!$I36^3*Adatok!$J36)/(384*(VLOOKUP(AD$19,Számítás!$B$19:$H$63,7,FALSE))^3))*100,$B$19)</f>
        <v>-</v>
      </c>
      <c r="AE37" s="33" t="str">
        <f>IF(AND($I$19+AD$17*Adatok!$F$11&gt;Adatok!$F$10-0.01,Adatok!$C$16+$B37&lt;Adatok!$C$17+1),((Adatok!$C$13*Adatok!$C$20*Adatok!$I36*Adatok!$J36)/(8*(VLOOKUP(AE$19,Számítás!$B$19:$H$63,7,FALSE)))+(Adatok!$C$13^3*Adatok!$C$20^3*Adatok!$I36^3*Adatok!$J36)/(384*(VLOOKUP(AE$19,Számítás!$B$19:$H$63,7,FALSE))^3))*100,$B$19)</f>
        <v>-</v>
      </c>
      <c r="AF37" s="33" t="str">
        <f>IF(AND($I$19+AE$17*Adatok!$F$11&gt;Adatok!$F$10-0.01,Adatok!$C$16+$B37&lt;Adatok!$C$17+1),((Adatok!$C$13*Adatok!$C$20*Adatok!$I36*Adatok!$J36)/(8*(VLOOKUP(AF$19,Számítás!$B$19:$H$63,7,FALSE)))+(Adatok!$C$13^3*Adatok!$C$20^3*Adatok!$I36^3*Adatok!$J36)/(384*(VLOOKUP(AF$19,Számítás!$B$19:$H$63,7,FALSE))^3))*100,$B$19)</f>
        <v>-</v>
      </c>
      <c r="AG37" s="33" t="str">
        <f>IF(AND($I$19+AF$17*Adatok!$F$11&gt;Adatok!$F$10-0.01,Adatok!$C$16+$B37&lt;Adatok!$C$17+1),((Adatok!$C$13*Adatok!$C$20*Adatok!$I36*Adatok!$J36)/(8*(VLOOKUP(AG$19,Számítás!$B$19:$H$63,7,FALSE)))+(Adatok!$C$13^3*Adatok!$C$20^3*Adatok!$I36^3*Adatok!$J36)/(384*(VLOOKUP(AG$19,Számítás!$B$19:$H$63,7,FALSE))^3))*100,$B$19)</f>
        <v>-</v>
      </c>
      <c r="AH37" s="33" t="str">
        <f>IF(AND($I$19+AG$17*Adatok!$F$11&gt;Adatok!$F$10-0.01,Adatok!$C$16+$B37&lt;Adatok!$C$17+1),((Adatok!$C$13*Adatok!$C$20*Adatok!$I36*Adatok!$J36)/(8*(VLOOKUP(AH$19,Számítás!$B$19:$H$63,7,FALSE)))+(Adatok!$C$13^3*Adatok!$C$20^3*Adatok!$I36^3*Adatok!$J36)/(384*(VLOOKUP(AH$19,Számítás!$B$19:$H$63,7,FALSE))^3))*100,$B$19)</f>
        <v>-</v>
      </c>
      <c r="AI37" s="33" t="str">
        <f>IF(AND($I$19+AH$17*Adatok!$F$11&gt;Adatok!$F$10-0.01,Adatok!$C$16+$B37&lt;Adatok!$C$17+1),((Adatok!$C$13*Adatok!$C$20*Adatok!$I36*Adatok!$J36)/(8*(VLOOKUP(AI$19,Számítás!$B$19:$H$63,7,FALSE)))+(Adatok!$C$13^3*Adatok!$C$20^3*Adatok!$I36^3*Adatok!$J36)/(384*(VLOOKUP(AI$19,Számítás!$B$19:$H$63,7,FALSE))^3))*100,$B$19)</f>
        <v>-</v>
      </c>
      <c r="AJ37" s="33" t="str">
        <f>IF(AND($I$19+AI$17*Adatok!$F$11&gt;Adatok!$F$10-0.01,Adatok!$C$16+$B37&lt;Adatok!$C$17+1),((Adatok!$C$13*Adatok!$C$20*Adatok!$I36*Adatok!$J36)/(8*(VLOOKUP(AJ$19,Számítás!$B$19:$H$63,7,FALSE)))+(Adatok!$C$13^3*Adatok!$C$20^3*Adatok!$I36^3*Adatok!$J36)/(384*(VLOOKUP(AJ$19,Számítás!$B$19:$H$63,7,FALSE))^3))*100,$B$19)</f>
        <v>-</v>
      </c>
      <c r="AK37" s="33" t="str">
        <f>IF(AND($I$19+AJ$17*Adatok!$F$11&gt;Adatok!$F$10-0.01,Adatok!$C$16+$B37&lt;Adatok!$C$17+1),((Adatok!$C$13*Adatok!$C$20*Adatok!$I36*Adatok!$J36)/(8*(VLOOKUP(AK$19,Számítás!$B$19:$H$63,7,FALSE)))+(Adatok!$C$13^3*Adatok!$C$20^3*Adatok!$I36^3*Adatok!$J36)/(384*(VLOOKUP(AK$19,Számítás!$B$19:$H$63,7,FALSE))^3))*100,$B$19)</f>
        <v>-</v>
      </c>
      <c r="AL37" s="33" t="str">
        <f>IF(AND($I$19+AK$17*Adatok!$F$11&gt;Adatok!$F$10-0.01,Adatok!$C$16+$B37&lt;Adatok!$C$17+1),((Adatok!$C$13*Adatok!$C$20*Adatok!$I36*Adatok!$J36)/(8*(VLOOKUP(AL$19,Számítás!$B$19:$H$63,7,FALSE)))+(Adatok!$C$13^3*Adatok!$C$20^3*Adatok!$I36^3*Adatok!$J36)/(384*(VLOOKUP(AL$19,Számítás!$B$19:$H$63,7,FALSE))^3))*100,$B$19)</f>
        <v>-</v>
      </c>
      <c r="AM37" s="33" t="str">
        <f>IF(AND($I$19+AL$17*Adatok!$F$11&gt;Adatok!$F$10-0.01,Adatok!$C$16+$B37&lt;Adatok!$C$17+1),((Adatok!$C$13*Adatok!$C$20*Adatok!$I36*Adatok!$J36)/(8*(VLOOKUP(AM$19,Számítás!$B$19:$H$63,7,FALSE)))+(Adatok!$C$13^3*Adatok!$C$20^3*Adatok!$I36^3*Adatok!$J36)/(384*(VLOOKUP(AM$19,Számítás!$B$19:$H$63,7,FALSE))^3))*100,$B$19)</f>
        <v>-</v>
      </c>
      <c r="AN37" s="33" t="str">
        <f>IF(AND($I$19+AM$17*Adatok!$F$11&gt;Adatok!$F$10-0.01,Adatok!$C$16+$B37&lt;Adatok!$C$17+1),((Adatok!$C$13*Adatok!$C$20*Adatok!$I36*Adatok!$J36)/(8*(VLOOKUP(AN$19,Számítás!$B$19:$H$63,7,FALSE)))+(Adatok!$C$13^3*Adatok!$C$20^3*Adatok!$I36^3*Adatok!$J36)/(384*(VLOOKUP(AN$19,Számítás!$B$19:$H$63,7,FALSE))^3))*100,$B$19)</f>
        <v>-</v>
      </c>
      <c r="AO37" s="33" t="str">
        <f>IF(AND($I$19+AN$17*Adatok!$F$11&gt;Adatok!$F$10-0.01,Adatok!$C$16+$B37&lt;Adatok!$C$17+1),((Adatok!$C$13*Adatok!$C$20*Adatok!$I36*Adatok!$J36)/(8*(VLOOKUP(AO$19,Számítás!$B$19:$H$63,7,FALSE)))+(Adatok!$C$13^3*Adatok!$C$20^3*Adatok!$I36^3*Adatok!$J36)/(384*(VLOOKUP(AO$19,Számítás!$B$19:$H$63,7,FALSE))^3))*100,$B$19)</f>
        <v>-</v>
      </c>
      <c r="AP37" s="33" t="str">
        <f>IF(AND($I$19+AO$17*Adatok!$F$11&gt;Adatok!$F$10-0.01,Adatok!$C$16+$B37&lt;Adatok!$C$17+1),((Adatok!$C$13*Adatok!$C$20*Adatok!$I36*Adatok!$J36)/(8*(VLOOKUP(AP$19,Számítás!$B$19:$H$63,7,FALSE)))+(Adatok!$C$13^3*Adatok!$C$20^3*Adatok!$I36^3*Adatok!$J36)/(384*(VLOOKUP(AP$19,Számítás!$B$19:$H$63,7,FALSE))^3))*100,$B$19)</f>
        <v>-</v>
      </c>
      <c r="AQ37" s="33" t="str">
        <f>IF(AND($I$19+AP$17*Adatok!$F$11&gt;Adatok!$F$10-0.01,Adatok!$C$16+$B37&lt;Adatok!$C$17+1),((Adatok!$C$13*Adatok!$C$20*Adatok!$I36*Adatok!$J36)/(8*(VLOOKUP(AQ$19,Számítás!$B$19:$H$63,7,FALSE)))+(Adatok!$C$13^3*Adatok!$C$20^3*Adatok!$I36^3*Adatok!$J36)/(384*(VLOOKUP(AQ$19,Számítás!$B$19:$H$63,7,FALSE))^3))*100,$B$19)</f>
        <v>-</v>
      </c>
      <c r="AR37" s="33" t="str">
        <f>IF(AND($I$19+AQ$17*Adatok!$F$11&gt;Adatok!$F$10-0.01,Adatok!$C$16+$B37&lt;Adatok!$C$17+1),((Adatok!$C$13*Adatok!$C$20*Adatok!$I36*Adatok!$J36)/(8*(VLOOKUP(AR$19,Számítás!$B$19:$H$63,7,FALSE)))+(Adatok!$C$13^3*Adatok!$C$20^3*Adatok!$I36^3*Adatok!$J36)/(384*(VLOOKUP(AR$19,Számítás!$B$19:$H$63,7,FALSE))^3))*100,$B$19)</f>
        <v>-</v>
      </c>
      <c r="AS37" s="33" t="str">
        <f>IF(AND($I$19+AR$17*Adatok!$F$11&gt;Adatok!$F$10-0.01,Adatok!$C$16+$B37&lt;Adatok!$C$17+1),((Adatok!$C$13*Adatok!$C$20*Adatok!$I36*Adatok!$J36)/(8*(VLOOKUP(AS$19,Számítás!$B$19:$H$63,7,FALSE)))+(Adatok!$C$13^3*Adatok!$C$20^3*Adatok!$I36^3*Adatok!$J36)/(384*(VLOOKUP(AS$19,Számítás!$B$19:$H$63,7,FALSE))^3))*100,$B$19)</f>
        <v>-</v>
      </c>
      <c r="AT37" s="33" t="str">
        <f>IF(AND($I$19+AS$17*Adatok!$F$11&gt;Adatok!$F$10-0.01,Adatok!$C$16+$B37&lt;Adatok!$C$17+1),((Adatok!$C$13*Adatok!$C$20*Adatok!$I36*Adatok!$J36)/(8*(VLOOKUP(AT$19,Számítás!$B$19:$H$63,7,FALSE)))+(Adatok!$C$13^3*Adatok!$C$20^3*Adatok!$I36^3*Adatok!$J36)/(384*(VLOOKUP(AT$19,Számítás!$B$19:$H$63,7,FALSE))^3))*100,$B$19)</f>
        <v>-</v>
      </c>
      <c r="AU37" s="33" t="str">
        <f>IF(AND($I$19+AT$17*Adatok!$F$11&gt;Adatok!$F$10-0.01,Adatok!$C$16+$B37&lt;Adatok!$C$17+1),((Adatok!$C$13*Adatok!$C$20*Adatok!$I36*Adatok!$J36)/(8*(VLOOKUP(AU$19,Számítás!$B$19:$H$63,7,FALSE)))+(Adatok!$C$13^3*Adatok!$C$20^3*Adatok!$I36^3*Adatok!$J36)/(384*(VLOOKUP(AU$19,Számítás!$B$19:$H$63,7,FALSE))^3))*100,$B$19)</f>
        <v>-</v>
      </c>
      <c r="AV37" s="33" t="str">
        <f>IF(AND($I$19+AU$17*Adatok!$F$11&gt;Adatok!$F$10-0.01,Adatok!$C$16+$B37&lt;Adatok!$C$17+1),((Adatok!$C$13*Adatok!$C$20*Adatok!$I36*Adatok!$J36)/(8*(VLOOKUP(AV$19,Számítás!$B$19:$H$63,7,FALSE)))+(Adatok!$C$13^3*Adatok!$C$20^3*Adatok!$I36^3*Adatok!$J36)/(384*(VLOOKUP(AV$19,Számítás!$B$19:$H$63,7,FALSE))^3))*100,$B$19)</f>
        <v>-</v>
      </c>
      <c r="AW37" s="33" t="str">
        <f>IF(AND($I$19+AV$17*Adatok!$F$11&gt;Adatok!$F$10-0.01,Adatok!$C$16+$B37&lt;Adatok!$C$17+1),((Adatok!$C$13*Adatok!$C$20*Adatok!$I36*Adatok!$J36)/(8*(VLOOKUP(AW$19,Számítás!$B$19:$H$63,7,FALSE)))+(Adatok!$C$13^3*Adatok!$C$20^3*Adatok!$I36^3*Adatok!$J36)/(384*(VLOOKUP(AW$19,Számítás!$B$19:$H$63,7,FALSE))^3))*100,$B$19)</f>
        <v>-</v>
      </c>
      <c r="AX37" s="33" t="str">
        <f>IF(AND($I$19+AW$17*Adatok!$F$11&gt;Adatok!$F$10-0.01,Adatok!$C$16+$B37&lt;Adatok!$C$17+1),((Adatok!$C$13*Adatok!$C$20*Adatok!$I36*Adatok!$J36)/(8*(VLOOKUP(AX$19,Számítás!$B$19:$H$63,7,FALSE)))+(Adatok!$C$13^3*Adatok!$C$20^3*Adatok!$I36^3*Adatok!$J36)/(384*(VLOOKUP(AX$19,Számítás!$B$19:$H$63,7,FALSE))^3))*100,$B$19)</f>
        <v>-</v>
      </c>
      <c r="AY37" s="33" t="str">
        <f>IF(AND($I$19+AX$17*Adatok!$F$11&gt;Adatok!$F$10-0.01,Adatok!$C$16+$B37&lt;Adatok!$C$17+1),((Adatok!$C$13*Adatok!$C$20*Adatok!$I36*Adatok!$J36)/(8*(VLOOKUP(AY$19,Számítás!$B$19:$H$63,7,FALSE)))+(Adatok!$C$13^3*Adatok!$C$20^3*Adatok!$I36^3*Adatok!$J36)/(384*(VLOOKUP(AY$19,Számítás!$B$19:$H$63,7,FALSE))^3))*100,$B$19)</f>
        <v>-</v>
      </c>
      <c r="AZ37" s="33" t="str">
        <f>IF(AND($I$19+AY$17*Adatok!$F$11&gt;Adatok!$F$10-0.01,Adatok!$C$16+$B37&lt;Adatok!$C$17+1),((Adatok!$C$13*Adatok!$C$20*Adatok!$I36*Adatok!$J36)/(8*(VLOOKUP(AZ$19,Számítás!$B$19:$H$63,7,FALSE)))+(Adatok!$C$13^3*Adatok!$C$20^3*Adatok!$I36^3*Adatok!$J36)/(384*(VLOOKUP(AZ$19,Számítás!$B$19:$H$63,7,FALSE))^3))*100,$B$19)</f>
        <v>-</v>
      </c>
      <c r="BA37" s="33" t="str">
        <f>IF(AND($I$19+AZ$17*Adatok!$F$11&gt;Adatok!$F$10-0.01,Adatok!$C$16+$B37&lt;Adatok!$C$17+1),((Adatok!$C$13*Adatok!$C$20*Adatok!$I36*Adatok!$J36)/(8*(VLOOKUP(BA$19,Számítás!$B$19:$H$63,7,FALSE)))+(Adatok!$C$13^3*Adatok!$C$20^3*Adatok!$I36^3*Adatok!$J36)/(384*(VLOOKUP(BA$19,Számítás!$B$19:$H$63,7,FALSE))^3))*100,$B$19)</f>
        <v>-</v>
      </c>
    </row>
    <row r="38" spans="2:53" ht="18" customHeight="1" x14ac:dyDescent="0.25">
      <c r="B38" s="1">
        <v>19</v>
      </c>
      <c r="C38" s="333" t="str">
        <f>Adatok!F37</f>
        <v>-</v>
      </c>
      <c r="D38" s="32" t="s">
        <v>27</v>
      </c>
      <c r="E38" s="336" t="str">
        <f>Adatok!H37</f>
        <v>-</v>
      </c>
      <c r="F38" s="64" t="str">
        <f>IF(Adatok!$C$16+B38&gt;Adatok!$C$17,$B$19,Adatok!I37)</f>
        <v>-</v>
      </c>
      <c r="G38" s="60"/>
      <c r="H38" s="72" t="str">
        <f>IF(Adatok!$C$16+B38&gt;Adatok!$C$17,$B$19,Adatok!J37/Adatok!I37)</f>
        <v>-</v>
      </c>
      <c r="I38" s="81" t="str">
        <f>IF(Adatok!$C$16+$B38&lt;Adatok!$C$17+1,((((Adatok!$C$13*Adatok!$C$20*Adatok!$I37*Adatok!$J37)/(8*(VLOOKUP(I$19,Számítás!$B$19:$H$63,7,FALSE))))+((Adatok!$C$13^3*Adatok!$C$20^3*Adatok!$I37^3*Adatok!$J37)/(384*(VLOOKUP(I$19,Számítás!$B$19:$H$63,7,FALSE))^3)))*100),$B$19)</f>
        <v>-</v>
      </c>
      <c r="J38" s="33" t="str">
        <f>IF(AND($I$19+I$17*Adatok!$F$11&gt;Adatok!$F$10-0.01,Adatok!$C$16+$B38&lt;Adatok!$C$17+1),((Adatok!$C$13*Adatok!$C$20*Adatok!$I37*Adatok!$J37)/(8*(VLOOKUP(J$19,Számítás!$B$19:$H$63,7,FALSE)))+(Adatok!$C$13^3*Adatok!$C$20^3*Adatok!$I37^3*Adatok!$J37)/(384*(VLOOKUP(J$19,Számítás!$B$19:$H$63,7,FALSE))^3))*100,$B$19)</f>
        <v>-</v>
      </c>
      <c r="K38" s="33" t="str">
        <f>IF(AND($I$19+J$17*Adatok!$F$11&gt;Adatok!$F$10-0.01,Adatok!$C$16+$B38&lt;Adatok!$C$17+1),((Adatok!$C$13*Adatok!$C$20*Adatok!$I37*Adatok!$J37)/(8*(VLOOKUP(K$19,Számítás!$B$19:$H$63,7,FALSE)))+(Adatok!$C$13^3*Adatok!$C$20^3*Adatok!$I37^3*Adatok!$J37)/(384*(VLOOKUP(K$19,Számítás!$B$19:$H$63,7,FALSE))^3))*100,$B$19)</f>
        <v>-</v>
      </c>
      <c r="L38" s="33" t="str">
        <f>IF(AND($I$19+K$17*Adatok!$F$11&gt;Adatok!$F$10-0.01,Adatok!$C$16+$B38&lt;Adatok!$C$17+1),((Adatok!$C$13*Adatok!$C$20*Adatok!$I37*Adatok!$J37)/(8*(VLOOKUP(L$19,Számítás!$B$19:$H$63,7,FALSE)))+(Adatok!$C$13^3*Adatok!$C$20^3*Adatok!$I37^3*Adatok!$J37)/(384*(VLOOKUP(L$19,Számítás!$B$19:$H$63,7,FALSE))^3))*100,$B$19)</f>
        <v>-</v>
      </c>
      <c r="M38" s="33" t="str">
        <f>IF(AND($I$19+L$17*Adatok!$F$11&gt;Adatok!$F$10-0.01,Adatok!$C$16+$B38&lt;Adatok!$C$17+1),((Adatok!$C$13*Adatok!$C$20*Adatok!$I37*Adatok!$J37)/(8*(VLOOKUP(M$19,Számítás!$B$19:$H$63,7,FALSE)))+(Adatok!$C$13^3*Adatok!$C$20^3*Adatok!$I37^3*Adatok!$J37)/(384*(VLOOKUP(M$19,Számítás!$B$19:$H$63,7,FALSE))^3))*100,$B$19)</f>
        <v>-</v>
      </c>
      <c r="N38" s="33" t="str">
        <f>IF(AND($I$19+M$17*Adatok!$F$11&gt;Adatok!$F$10-0.01,Adatok!$C$16+$B38&lt;Adatok!$C$17+1),((Adatok!$C$13*Adatok!$C$20*Adatok!$I37*Adatok!$J37)/(8*(VLOOKUP(N$19,Számítás!$B$19:$H$63,7,FALSE)))+(Adatok!$C$13^3*Adatok!$C$20^3*Adatok!$I37^3*Adatok!$J37)/(384*(VLOOKUP(N$19,Számítás!$B$19:$H$63,7,FALSE))^3))*100,$B$19)</f>
        <v>-</v>
      </c>
      <c r="O38" s="33" t="str">
        <f>IF(AND($I$19+N$17*Adatok!$F$11&gt;Adatok!$F$10-0.01,Adatok!$C$16+$B38&lt;Adatok!$C$17+1),((Adatok!$C$13*Adatok!$C$20*Adatok!$I37*Adatok!$J37)/(8*(VLOOKUP(O$19,Számítás!$B$19:$H$63,7,FALSE)))+(Adatok!$C$13^3*Adatok!$C$20^3*Adatok!$I37^3*Adatok!$J37)/(384*(VLOOKUP(O$19,Számítás!$B$19:$H$63,7,FALSE))^3))*100,$B$19)</f>
        <v>-</v>
      </c>
      <c r="P38" s="33" t="str">
        <f>IF(AND($I$19+O$17*Adatok!$F$11&gt;Adatok!$F$10-0.01,Adatok!$C$16+$B38&lt;Adatok!$C$17+1),((Adatok!$C$13*Adatok!$C$20*Adatok!$I37*Adatok!$J37)/(8*(VLOOKUP(P$19,Számítás!$B$19:$H$63,7,FALSE)))+(Adatok!$C$13^3*Adatok!$C$20^3*Adatok!$I37^3*Adatok!$J37)/(384*(VLOOKUP(P$19,Számítás!$B$19:$H$63,7,FALSE))^3))*100,$B$19)</f>
        <v>-</v>
      </c>
      <c r="Q38" s="33" t="str">
        <f>IF(AND($I$19+P$17*Adatok!$F$11&gt;Adatok!$F$10-0.01,Adatok!$C$16+$B38&lt;Adatok!$C$17+1),((Adatok!$C$13*Adatok!$C$20*Adatok!$I37*Adatok!$J37)/(8*(VLOOKUP(Q$19,Számítás!$B$19:$H$63,7,FALSE)))+(Adatok!$C$13^3*Adatok!$C$20^3*Adatok!$I37^3*Adatok!$J37)/(384*(VLOOKUP(Q$19,Számítás!$B$19:$H$63,7,FALSE))^3))*100,$B$19)</f>
        <v>-</v>
      </c>
      <c r="R38" s="33" t="str">
        <f>IF(AND($I$19+Q$17*Adatok!$F$11&gt;Adatok!$F$10-0.01,Adatok!$C$16+$B38&lt;Adatok!$C$17+1),((Adatok!$C$13*Adatok!$C$20*Adatok!$I37*Adatok!$J37)/(8*(VLOOKUP(R$19,Számítás!$B$19:$H$63,7,FALSE)))+(Adatok!$C$13^3*Adatok!$C$20^3*Adatok!$I37^3*Adatok!$J37)/(384*(VLOOKUP(R$19,Számítás!$B$19:$H$63,7,FALSE))^3))*100,$B$19)</f>
        <v>-</v>
      </c>
      <c r="S38" s="33" t="str">
        <f>IF(AND($I$19+R$17*Adatok!$F$11&gt;Adatok!$F$10-0.01,Adatok!$C$16+$B38&lt;Adatok!$C$17+1),((Adatok!$C$13*Adatok!$C$20*Adatok!$I37*Adatok!$J37)/(8*(VLOOKUP(S$19,Számítás!$B$19:$H$63,7,FALSE)))+(Adatok!$C$13^3*Adatok!$C$20^3*Adatok!$I37^3*Adatok!$J37)/(384*(VLOOKUP(S$19,Számítás!$B$19:$H$63,7,FALSE))^3))*100,$B$19)</f>
        <v>-</v>
      </c>
      <c r="T38" s="33" t="str">
        <f>IF(AND($I$19+S$17*Adatok!$F$11&gt;Adatok!$F$10-0.01,Adatok!$C$16+$B38&lt;Adatok!$C$17+1),((Adatok!$C$13*Adatok!$C$20*Adatok!$I37*Adatok!$J37)/(8*(VLOOKUP(T$19,Számítás!$B$19:$H$63,7,FALSE)))+(Adatok!$C$13^3*Adatok!$C$20^3*Adatok!$I37^3*Adatok!$J37)/(384*(VLOOKUP(T$19,Számítás!$B$19:$H$63,7,FALSE))^3))*100,$B$19)</f>
        <v>-</v>
      </c>
      <c r="U38" s="33" t="str">
        <f>IF(AND($I$19+T$17*Adatok!$F$11&gt;Adatok!$F$10-0.01,Adatok!$C$16+$B38&lt;Adatok!$C$17+1),((Adatok!$C$13*Adatok!$C$20*Adatok!$I37*Adatok!$J37)/(8*(VLOOKUP(U$19,Számítás!$B$19:$H$63,7,FALSE)))+(Adatok!$C$13^3*Adatok!$C$20^3*Adatok!$I37^3*Adatok!$J37)/(384*(VLOOKUP(U$19,Számítás!$B$19:$H$63,7,FALSE))^3))*100,$B$19)</f>
        <v>-</v>
      </c>
      <c r="V38" s="33" t="str">
        <f>IF(AND($I$19+U$17*Adatok!$F$11&gt;Adatok!$F$10-0.01,Adatok!$C$16+$B38&lt;Adatok!$C$17+1),((Adatok!$C$13*Adatok!$C$20*Adatok!$I37*Adatok!$J37)/(8*(VLOOKUP(V$19,Számítás!$B$19:$H$63,7,FALSE)))+(Adatok!$C$13^3*Adatok!$C$20^3*Adatok!$I37^3*Adatok!$J37)/(384*(VLOOKUP(V$19,Számítás!$B$19:$H$63,7,FALSE))^3))*100,$B$19)</f>
        <v>-</v>
      </c>
      <c r="W38" s="33" t="str">
        <f>IF(AND($I$19+V$17*Adatok!$F$11&gt;Adatok!$F$10-0.01,Adatok!$C$16+$B38&lt;Adatok!$C$17+1),((Adatok!$C$13*Adatok!$C$20*Adatok!$I37*Adatok!$J37)/(8*(VLOOKUP(W$19,Számítás!$B$19:$H$63,7,FALSE)))+(Adatok!$C$13^3*Adatok!$C$20^3*Adatok!$I37^3*Adatok!$J37)/(384*(VLOOKUP(W$19,Számítás!$B$19:$H$63,7,FALSE))^3))*100,$B$19)</f>
        <v>-</v>
      </c>
      <c r="X38" s="33" t="str">
        <f>IF(AND($I$19+W$17*Adatok!$F$11&gt;Adatok!$F$10-0.01,Adatok!$C$16+$B38&lt;Adatok!$C$17+1),((Adatok!$C$13*Adatok!$C$20*Adatok!$I37*Adatok!$J37)/(8*(VLOOKUP(X$19,Számítás!$B$19:$H$63,7,FALSE)))+(Adatok!$C$13^3*Adatok!$C$20^3*Adatok!$I37^3*Adatok!$J37)/(384*(VLOOKUP(X$19,Számítás!$B$19:$H$63,7,FALSE))^3))*100,$B$19)</f>
        <v>-</v>
      </c>
      <c r="Y38" s="33" t="str">
        <f>IF(AND($I$19+X$17*Adatok!$F$11&gt;Adatok!$F$10-0.01,Adatok!$C$16+$B38&lt;Adatok!$C$17+1),((Adatok!$C$13*Adatok!$C$20*Adatok!$I37*Adatok!$J37)/(8*(VLOOKUP(Y$19,Számítás!$B$19:$H$63,7,FALSE)))+(Adatok!$C$13^3*Adatok!$C$20^3*Adatok!$I37^3*Adatok!$J37)/(384*(VLOOKUP(Y$19,Számítás!$B$19:$H$63,7,FALSE))^3))*100,$B$19)</f>
        <v>-</v>
      </c>
      <c r="Z38" s="33" t="str">
        <f>IF(AND($I$19+Y$17*Adatok!$F$11&gt;Adatok!$F$10-0.01,Adatok!$C$16+$B38&lt;Adatok!$C$17+1),((Adatok!$C$13*Adatok!$C$20*Adatok!$I37*Adatok!$J37)/(8*(VLOOKUP(Z$19,Számítás!$B$19:$H$63,7,FALSE)))+(Adatok!$C$13^3*Adatok!$C$20^3*Adatok!$I37^3*Adatok!$J37)/(384*(VLOOKUP(Z$19,Számítás!$B$19:$H$63,7,FALSE))^3))*100,$B$19)</f>
        <v>-</v>
      </c>
      <c r="AA38" s="33" t="str">
        <f>IF(AND($I$19+Z$17*Adatok!$F$11&gt;Adatok!$F$10-0.01,Adatok!$C$16+$B38&lt;Adatok!$C$17+1),((Adatok!$C$13*Adatok!$C$20*Adatok!$I37*Adatok!$J37)/(8*(VLOOKUP(AA$19,Számítás!$B$19:$H$63,7,FALSE)))+(Adatok!$C$13^3*Adatok!$C$20^3*Adatok!$I37^3*Adatok!$J37)/(384*(VLOOKUP(AA$19,Számítás!$B$19:$H$63,7,FALSE))^3))*100,$B$19)</f>
        <v>-</v>
      </c>
      <c r="AB38" s="33" t="str">
        <f>IF(AND($I$19+AA$17*Adatok!$F$11&gt;Adatok!$F$10-0.01,Adatok!$C$16+$B38&lt;Adatok!$C$17+1),((Adatok!$C$13*Adatok!$C$20*Adatok!$I37*Adatok!$J37)/(8*(VLOOKUP(AB$19,Számítás!$B$19:$H$63,7,FALSE)))+(Adatok!$C$13^3*Adatok!$C$20^3*Adatok!$I37^3*Adatok!$J37)/(384*(VLOOKUP(AB$19,Számítás!$B$19:$H$63,7,FALSE))^3))*100,$B$19)</f>
        <v>-</v>
      </c>
      <c r="AC38" s="33" t="str">
        <f>IF(AND($I$19+AB$17*Adatok!$F$11&gt;Adatok!$F$10-0.01,Adatok!$C$16+$B38&lt;Adatok!$C$17+1),((Adatok!$C$13*Adatok!$C$20*Adatok!$I37*Adatok!$J37)/(8*(VLOOKUP(AC$19,Számítás!$B$19:$H$63,7,FALSE)))+(Adatok!$C$13^3*Adatok!$C$20^3*Adatok!$I37^3*Adatok!$J37)/(384*(VLOOKUP(AC$19,Számítás!$B$19:$H$63,7,FALSE))^3))*100,$B$19)</f>
        <v>-</v>
      </c>
      <c r="AD38" s="33" t="str">
        <f>IF(AND($I$19+AC$17*Adatok!$F$11&gt;Adatok!$F$10-0.01,Adatok!$C$16+$B38&lt;Adatok!$C$17+1),((Adatok!$C$13*Adatok!$C$20*Adatok!$I37*Adatok!$J37)/(8*(VLOOKUP(AD$19,Számítás!$B$19:$H$63,7,FALSE)))+(Adatok!$C$13^3*Adatok!$C$20^3*Adatok!$I37^3*Adatok!$J37)/(384*(VLOOKUP(AD$19,Számítás!$B$19:$H$63,7,FALSE))^3))*100,$B$19)</f>
        <v>-</v>
      </c>
      <c r="AE38" s="33" t="str">
        <f>IF(AND($I$19+AD$17*Adatok!$F$11&gt;Adatok!$F$10-0.01,Adatok!$C$16+$B38&lt;Adatok!$C$17+1),((Adatok!$C$13*Adatok!$C$20*Adatok!$I37*Adatok!$J37)/(8*(VLOOKUP(AE$19,Számítás!$B$19:$H$63,7,FALSE)))+(Adatok!$C$13^3*Adatok!$C$20^3*Adatok!$I37^3*Adatok!$J37)/(384*(VLOOKUP(AE$19,Számítás!$B$19:$H$63,7,FALSE))^3))*100,$B$19)</f>
        <v>-</v>
      </c>
      <c r="AF38" s="33" t="str">
        <f>IF(AND($I$19+AE$17*Adatok!$F$11&gt;Adatok!$F$10-0.01,Adatok!$C$16+$B38&lt;Adatok!$C$17+1),((Adatok!$C$13*Adatok!$C$20*Adatok!$I37*Adatok!$J37)/(8*(VLOOKUP(AF$19,Számítás!$B$19:$H$63,7,FALSE)))+(Adatok!$C$13^3*Adatok!$C$20^3*Adatok!$I37^3*Adatok!$J37)/(384*(VLOOKUP(AF$19,Számítás!$B$19:$H$63,7,FALSE))^3))*100,$B$19)</f>
        <v>-</v>
      </c>
      <c r="AG38" s="33" t="str">
        <f>IF(AND($I$19+AF$17*Adatok!$F$11&gt;Adatok!$F$10-0.01,Adatok!$C$16+$B38&lt;Adatok!$C$17+1),((Adatok!$C$13*Adatok!$C$20*Adatok!$I37*Adatok!$J37)/(8*(VLOOKUP(AG$19,Számítás!$B$19:$H$63,7,FALSE)))+(Adatok!$C$13^3*Adatok!$C$20^3*Adatok!$I37^3*Adatok!$J37)/(384*(VLOOKUP(AG$19,Számítás!$B$19:$H$63,7,FALSE))^3))*100,$B$19)</f>
        <v>-</v>
      </c>
      <c r="AH38" s="33" t="str">
        <f>IF(AND($I$19+AG$17*Adatok!$F$11&gt;Adatok!$F$10-0.01,Adatok!$C$16+$B38&lt;Adatok!$C$17+1),((Adatok!$C$13*Adatok!$C$20*Adatok!$I37*Adatok!$J37)/(8*(VLOOKUP(AH$19,Számítás!$B$19:$H$63,7,FALSE)))+(Adatok!$C$13^3*Adatok!$C$20^3*Adatok!$I37^3*Adatok!$J37)/(384*(VLOOKUP(AH$19,Számítás!$B$19:$H$63,7,FALSE))^3))*100,$B$19)</f>
        <v>-</v>
      </c>
      <c r="AI38" s="33" t="str">
        <f>IF(AND($I$19+AH$17*Adatok!$F$11&gt;Adatok!$F$10-0.01,Adatok!$C$16+$B38&lt;Adatok!$C$17+1),((Adatok!$C$13*Adatok!$C$20*Adatok!$I37*Adatok!$J37)/(8*(VLOOKUP(AI$19,Számítás!$B$19:$H$63,7,FALSE)))+(Adatok!$C$13^3*Adatok!$C$20^3*Adatok!$I37^3*Adatok!$J37)/(384*(VLOOKUP(AI$19,Számítás!$B$19:$H$63,7,FALSE))^3))*100,$B$19)</f>
        <v>-</v>
      </c>
      <c r="AJ38" s="33" t="str">
        <f>IF(AND($I$19+AI$17*Adatok!$F$11&gt;Adatok!$F$10-0.01,Adatok!$C$16+$B38&lt;Adatok!$C$17+1),((Adatok!$C$13*Adatok!$C$20*Adatok!$I37*Adatok!$J37)/(8*(VLOOKUP(AJ$19,Számítás!$B$19:$H$63,7,FALSE)))+(Adatok!$C$13^3*Adatok!$C$20^3*Adatok!$I37^3*Adatok!$J37)/(384*(VLOOKUP(AJ$19,Számítás!$B$19:$H$63,7,FALSE))^3))*100,$B$19)</f>
        <v>-</v>
      </c>
      <c r="AK38" s="33" t="str">
        <f>IF(AND($I$19+AJ$17*Adatok!$F$11&gt;Adatok!$F$10-0.01,Adatok!$C$16+$B38&lt;Adatok!$C$17+1),((Adatok!$C$13*Adatok!$C$20*Adatok!$I37*Adatok!$J37)/(8*(VLOOKUP(AK$19,Számítás!$B$19:$H$63,7,FALSE)))+(Adatok!$C$13^3*Adatok!$C$20^3*Adatok!$I37^3*Adatok!$J37)/(384*(VLOOKUP(AK$19,Számítás!$B$19:$H$63,7,FALSE))^3))*100,$B$19)</f>
        <v>-</v>
      </c>
      <c r="AL38" s="33" t="str">
        <f>IF(AND($I$19+AK$17*Adatok!$F$11&gt;Adatok!$F$10-0.01,Adatok!$C$16+$B38&lt;Adatok!$C$17+1),((Adatok!$C$13*Adatok!$C$20*Adatok!$I37*Adatok!$J37)/(8*(VLOOKUP(AL$19,Számítás!$B$19:$H$63,7,FALSE)))+(Adatok!$C$13^3*Adatok!$C$20^3*Adatok!$I37^3*Adatok!$J37)/(384*(VLOOKUP(AL$19,Számítás!$B$19:$H$63,7,FALSE))^3))*100,$B$19)</f>
        <v>-</v>
      </c>
      <c r="AM38" s="33" t="str">
        <f>IF(AND($I$19+AL$17*Adatok!$F$11&gt;Adatok!$F$10-0.01,Adatok!$C$16+$B38&lt;Adatok!$C$17+1),((Adatok!$C$13*Adatok!$C$20*Adatok!$I37*Adatok!$J37)/(8*(VLOOKUP(AM$19,Számítás!$B$19:$H$63,7,FALSE)))+(Adatok!$C$13^3*Adatok!$C$20^3*Adatok!$I37^3*Adatok!$J37)/(384*(VLOOKUP(AM$19,Számítás!$B$19:$H$63,7,FALSE))^3))*100,$B$19)</f>
        <v>-</v>
      </c>
      <c r="AN38" s="33" t="str">
        <f>IF(AND($I$19+AM$17*Adatok!$F$11&gt;Adatok!$F$10-0.01,Adatok!$C$16+$B38&lt;Adatok!$C$17+1),((Adatok!$C$13*Adatok!$C$20*Adatok!$I37*Adatok!$J37)/(8*(VLOOKUP(AN$19,Számítás!$B$19:$H$63,7,FALSE)))+(Adatok!$C$13^3*Adatok!$C$20^3*Adatok!$I37^3*Adatok!$J37)/(384*(VLOOKUP(AN$19,Számítás!$B$19:$H$63,7,FALSE))^3))*100,$B$19)</f>
        <v>-</v>
      </c>
      <c r="AO38" s="33" t="str">
        <f>IF(AND($I$19+AN$17*Adatok!$F$11&gt;Adatok!$F$10-0.01,Adatok!$C$16+$B38&lt;Adatok!$C$17+1),((Adatok!$C$13*Adatok!$C$20*Adatok!$I37*Adatok!$J37)/(8*(VLOOKUP(AO$19,Számítás!$B$19:$H$63,7,FALSE)))+(Adatok!$C$13^3*Adatok!$C$20^3*Adatok!$I37^3*Adatok!$J37)/(384*(VLOOKUP(AO$19,Számítás!$B$19:$H$63,7,FALSE))^3))*100,$B$19)</f>
        <v>-</v>
      </c>
      <c r="AP38" s="33" t="str">
        <f>IF(AND($I$19+AO$17*Adatok!$F$11&gt;Adatok!$F$10-0.01,Adatok!$C$16+$B38&lt;Adatok!$C$17+1),((Adatok!$C$13*Adatok!$C$20*Adatok!$I37*Adatok!$J37)/(8*(VLOOKUP(AP$19,Számítás!$B$19:$H$63,7,FALSE)))+(Adatok!$C$13^3*Adatok!$C$20^3*Adatok!$I37^3*Adatok!$J37)/(384*(VLOOKUP(AP$19,Számítás!$B$19:$H$63,7,FALSE))^3))*100,$B$19)</f>
        <v>-</v>
      </c>
      <c r="AQ38" s="33" t="str">
        <f>IF(AND($I$19+AP$17*Adatok!$F$11&gt;Adatok!$F$10-0.01,Adatok!$C$16+$B38&lt;Adatok!$C$17+1),((Adatok!$C$13*Adatok!$C$20*Adatok!$I37*Adatok!$J37)/(8*(VLOOKUP(AQ$19,Számítás!$B$19:$H$63,7,FALSE)))+(Adatok!$C$13^3*Adatok!$C$20^3*Adatok!$I37^3*Adatok!$J37)/(384*(VLOOKUP(AQ$19,Számítás!$B$19:$H$63,7,FALSE))^3))*100,$B$19)</f>
        <v>-</v>
      </c>
      <c r="AR38" s="33" t="str">
        <f>IF(AND($I$19+AQ$17*Adatok!$F$11&gt;Adatok!$F$10-0.01,Adatok!$C$16+$B38&lt;Adatok!$C$17+1),((Adatok!$C$13*Adatok!$C$20*Adatok!$I37*Adatok!$J37)/(8*(VLOOKUP(AR$19,Számítás!$B$19:$H$63,7,FALSE)))+(Adatok!$C$13^3*Adatok!$C$20^3*Adatok!$I37^3*Adatok!$J37)/(384*(VLOOKUP(AR$19,Számítás!$B$19:$H$63,7,FALSE))^3))*100,$B$19)</f>
        <v>-</v>
      </c>
      <c r="AS38" s="33" t="str">
        <f>IF(AND($I$19+AR$17*Adatok!$F$11&gt;Adatok!$F$10-0.01,Adatok!$C$16+$B38&lt;Adatok!$C$17+1),((Adatok!$C$13*Adatok!$C$20*Adatok!$I37*Adatok!$J37)/(8*(VLOOKUP(AS$19,Számítás!$B$19:$H$63,7,FALSE)))+(Adatok!$C$13^3*Adatok!$C$20^3*Adatok!$I37^3*Adatok!$J37)/(384*(VLOOKUP(AS$19,Számítás!$B$19:$H$63,7,FALSE))^3))*100,$B$19)</f>
        <v>-</v>
      </c>
      <c r="AT38" s="33" t="str">
        <f>IF(AND($I$19+AS$17*Adatok!$F$11&gt;Adatok!$F$10-0.01,Adatok!$C$16+$B38&lt;Adatok!$C$17+1),((Adatok!$C$13*Adatok!$C$20*Adatok!$I37*Adatok!$J37)/(8*(VLOOKUP(AT$19,Számítás!$B$19:$H$63,7,FALSE)))+(Adatok!$C$13^3*Adatok!$C$20^3*Adatok!$I37^3*Adatok!$J37)/(384*(VLOOKUP(AT$19,Számítás!$B$19:$H$63,7,FALSE))^3))*100,$B$19)</f>
        <v>-</v>
      </c>
      <c r="AU38" s="33" t="str">
        <f>IF(AND($I$19+AT$17*Adatok!$F$11&gt;Adatok!$F$10-0.01,Adatok!$C$16+$B38&lt;Adatok!$C$17+1),((Adatok!$C$13*Adatok!$C$20*Adatok!$I37*Adatok!$J37)/(8*(VLOOKUP(AU$19,Számítás!$B$19:$H$63,7,FALSE)))+(Adatok!$C$13^3*Adatok!$C$20^3*Adatok!$I37^3*Adatok!$J37)/(384*(VLOOKUP(AU$19,Számítás!$B$19:$H$63,7,FALSE))^3))*100,$B$19)</f>
        <v>-</v>
      </c>
      <c r="AV38" s="33" t="str">
        <f>IF(AND($I$19+AU$17*Adatok!$F$11&gt;Adatok!$F$10-0.01,Adatok!$C$16+$B38&lt;Adatok!$C$17+1),((Adatok!$C$13*Adatok!$C$20*Adatok!$I37*Adatok!$J37)/(8*(VLOOKUP(AV$19,Számítás!$B$19:$H$63,7,FALSE)))+(Adatok!$C$13^3*Adatok!$C$20^3*Adatok!$I37^3*Adatok!$J37)/(384*(VLOOKUP(AV$19,Számítás!$B$19:$H$63,7,FALSE))^3))*100,$B$19)</f>
        <v>-</v>
      </c>
      <c r="AW38" s="33" t="str">
        <f>IF(AND($I$19+AV$17*Adatok!$F$11&gt;Adatok!$F$10-0.01,Adatok!$C$16+$B38&lt;Adatok!$C$17+1),((Adatok!$C$13*Adatok!$C$20*Adatok!$I37*Adatok!$J37)/(8*(VLOOKUP(AW$19,Számítás!$B$19:$H$63,7,FALSE)))+(Adatok!$C$13^3*Adatok!$C$20^3*Adatok!$I37^3*Adatok!$J37)/(384*(VLOOKUP(AW$19,Számítás!$B$19:$H$63,7,FALSE))^3))*100,$B$19)</f>
        <v>-</v>
      </c>
      <c r="AX38" s="33" t="str">
        <f>IF(AND($I$19+AW$17*Adatok!$F$11&gt;Adatok!$F$10-0.01,Adatok!$C$16+$B38&lt;Adatok!$C$17+1),((Adatok!$C$13*Adatok!$C$20*Adatok!$I37*Adatok!$J37)/(8*(VLOOKUP(AX$19,Számítás!$B$19:$H$63,7,FALSE)))+(Adatok!$C$13^3*Adatok!$C$20^3*Adatok!$I37^3*Adatok!$J37)/(384*(VLOOKUP(AX$19,Számítás!$B$19:$H$63,7,FALSE))^3))*100,$B$19)</f>
        <v>-</v>
      </c>
      <c r="AY38" s="33" t="str">
        <f>IF(AND($I$19+AX$17*Adatok!$F$11&gt;Adatok!$F$10-0.01,Adatok!$C$16+$B38&lt;Adatok!$C$17+1),((Adatok!$C$13*Adatok!$C$20*Adatok!$I37*Adatok!$J37)/(8*(VLOOKUP(AY$19,Számítás!$B$19:$H$63,7,FALSE)))+(Adatok!$C$13^3*Adatok!$C$20^3*Adatok!$I37^3*Adatok!$J37)/(384*(VLOOKUP(AY$19,Számítás!$B$19:$H$63,7,FALSE))^3))*100,$B$19)</f>
        <v>-</v>
      </c>
      <c r="AZ38" s="33" t="str">
        <f>IF(AND($I$19+AY$17*Adatok!$F$11&gt;Adatok!$F$10-0.01,Adatok!$C$16+$B38&lt;Adatok!$C$17+1),((Adatok!$C$13*Adatok!$C$20*Adatok!$I37*Adatok!$J37)/(8*(VLOOKUP(AZ$19,Számítás!$B$19:$H$63,7,FALSE)))+(Adatok!$C$13^3*Adatok!$C$20^3*Adatok!$I37^3*Adatok!$J37)/(384*(VLOOKUP(AZ$19,Számítás!$B$19:$H$63,7,FALSE))^3))*100,$B$19)</f>
        <v>-</v>
      </c>
      <c r="BA38" s="33" t="str">
        <f>IF(AND($I$19+AZ$17*Adatok!$F$11&gt;Adatok!$F$10-0.01,Adatok!$C$16+$B38&lt;Adatok!$C$17+1),((Adatok!$C$13*Adatok!$C$20*Adatok!$I37*Adatok!$J37)/(8*(VLOOKUP(BA$19,Számítás!$B$19:$H$63,7,FALSE)))+(Adatok!$C$13^3*Adatok!$C$20^3*Adatok!$I37^3*Adatok!$J37)/(384*(VLOOKUP(BA$19,Számítás!$B$19:$H$63,7,FALSE))^3))*100,$B$19)</f>
        <v>-</v>
      </c>
    </row>
    <row r="39" spans="2:53" ht="18" customHeight="1" x14ac:dyDescent="0.25">
      <c r="B39" s="1">
        <v>20</v>
      </c>
      <c r="C39" s="333" t="str">
        <f>Adatok!F38</f>
        <v>-</v>
      </c>
      <c r="D39" s="32" t="s">
        <v>27</v>
      </c>
      <c r="E39" s="336" t="str">
        <f>Adatok!H38</f>
        <v>-</v>
      </c>
      <c r="F39" s="64" t="str">
        <f>IF(Adatok!$C$16+B39&gt;Adatok!$C$17,$B$19,Adatok!I38)</f>
        <v>-</v>
      </c>
      <c r="G39" s="60"/>
      <c r="H39" s="72" t="str">
        <f>IF(Adatok!$C$16+B39&gt;Adatok!$C$17,$B$19,Adatok!J38/Adatok!I38)</f>
        <v>-</v>
      </c>
      <c r="I39" s="81" t="str">
        <f>IF(Adatok!$C$16+$B39&lt;Adatok!$C$17+1,((((Adatok!$C$13*Adatok!$C$20*Adatok!$I38*Adatok!$J38)/(8*(VLOOKUP(I$19,Számítás!$B$19:$H$63,7,FALSE))))+((Adatok!$C$13^3*Adatok!$C$20^3*Adatok!$I38^3*Adatok!$J38)/(384*(VLOOKUP(I$19,Számítás!$B$19:$H$63,7,FALSE))^3)))*100),$B$19)</f>
        <v>-</v>
      </c>
      <c r="J39" s="33" t="str">
        <f>IF(AND($I$19+I$17*Adatok!$F$11&gt;Adatok!$F$10-0.01,Adatok!$C$16+$B39&lt;Adatok!$C$17+1),((Adatok!$C$13*Adatok!$C$20*Adatok!$I38*Adatok!$J38)/(8*(VLOOKUP(J$19,Számítás!$B$19:$H$63,7,FALSE)))+(Adatok!$C$13^3*Adatok!$C$20^3*Adatok!$I38^3*Adatok!$J38)/(384*(VLOOKUP(J$19,Számítás!$B$19:$H$63,7,FALSE))^3))*100,$B$19)</f>
        <v>-</v>
      </c>
      <c r="K39" s="33" t="str">
        <f>IF(AND($I$19+J$17*Adatok!$F$11&gt;Adatok!$F$10-0.01,Adatok!$C$16+$B39&lt;Adatok!$C$17+1),((Adatok!$C$13*Adatok!$C$20*Adatok!$I38*Adatok!$J38)/(8*(VLOOKUP(K$19,Számítás!$B$19:$H$63,7,FALSE)))+(Adatok!$C$13^3*Adatok!$C$20^3*Adatok!$I38^3*Adatok!$J38)/(384*(VLOOKUP(K$19,Számítás!$B$19:$H$63,7,FALSE))^3))*100,$B$19)</f>
        <v>-</v>
      </c>
      <c r="L39" s="33" t="str">
        <f>IF(AND($I$19+K$17*Adatok!$F$11&gt;Adatok!$F$10-0.01,Adatok!$C$16+$B39&lt;Adatok!$C$17+1),((Adatok!$C$13*Adatok!$C$20*Adatok!$I38*Adatok!$J38)/(8*(VLOOKUP(L$19,Számítás!$B$19:$H$63,7,FALSE)))+(Adatok!$C$13^3*Adatok!$C$20^3*Adatok!$I38^3*Adatok!$J38)/(384*(VLOOKUP(L$19,Számítás!$B$19:$H$63,7,FALSE))^3))*100,$B$19)</f>
        <v>-</v>
      </c>
      <c r="M39" s="33" t="str">
        <f>IF(AND($I$19+L$17*Adatok!$F$11&gt;Adatok!$F$10-0.01,Adatok!$C$16+$B39&lt;Adatok!$C$17+1),((Adatok!$C$13*Adatok!$C$20*Adatok!$I38*Adatok!$J38)/(8*(VLOOKUP(M$19,Számítás!$B$19:$H$63,7,FALSE)))+(Adatok!$C$13^3*Adatok!$C$20^3*Adatok!$I38^3*Adatok!$J38)/(384*(VLOOKUP(M$19,Számítás!$B$19:$H$63,7,FALSE))^3))*100,$B$19)</f>
        <v>-</v>
      </c>
      <c r="N39" s="33" t="str">
        <f>IF(AND($I$19+M$17*Adatok!$F$11&gt;Adatok!$F$10-0.01,Adatok!$C$16+$B39&lt;Adatok!$C$17+1),((Adatok!$C$13*Adatok!$C$20*Adatok!$I38*Adatok!$J38)/(8*(VLOOKUP(N$19,Számítás!$B$19:$H$63,7,FALSE)))+(Adatok!$C$13^3*Adatok!$C$20^3*Adatok!$I38^3*Adatok!$J38)/(384*(VLOOKUP(N$19,Számítás!$B$19:$H$63,7,FALSE))^3))*100,$B$19)</f>
        <v>-</v>
      </c>
      <c r="O39" s="33" t="str">
        <f>IF(AND($I$19+N$17*Adatok!$F$11&gt;Adatok!$F$10-0.01,Adatok!$C$16+$B39&lt;Adatok!$C$17+1),((Adatok!$C$13*Adatok!$C$20*Adatok!$I38*Adatok!$J38)/(8*(VLOOKUP(O$19,Számítás!$B$19:$H$63,7,FALSE)))+(Adatok!$C$13^3*Adatok!$C$20^3*Adatok!$I38^3*Adatok!$J38)/(384*(VLOOKUP(O$19,Számítás!$B$19:$H$63,7,FALSE))^3))*100,$B$19)</f>
        <v>-</v>
      </c>
      <c r="P39" s="33" t="str">
        <f>IF(AND($I$19+O$17*Adatok!$F$11&gt;Adatok!$F$10-0.01,Adatok!$C$16+$B39&lt;Adatok!$C$17+1),((Adatok!$C$13*Adatok!$C$20*Adatok!$I38*Adatok!$J38)/(8*(VLOOKUP(P$19,Számítás!$B$19:$H$63,7,FALSE)))+(Adatok!$C$13^3*Adatok!$C$20^3*Adatok!$I38^3*Adatok!$J38)/(384*(VLOOKUP(P$19,Számítás!$B$19:$H$63,7,FALSE))^3))*100,$B$19)</f>
        <v>-</v>
      </c>
      <c r="Q39" s="33" t="str">
        <f>IF(AND($I$19+P$17*Adatok!$F$11&gt;Adatok!$F$10-0.01,Adatok!$C$16+$B39&lt;Adatok!$C$17+1),((Adatok!$C$13*Adatok!$C$20*Adatok!$I38*Adatok!$J38)/(8*(VLOOKUP(Q$19,Számítás!$B$19:$H$63,7,FALSE)))+(Adatok!$C$13^3*Adatok!$C$20^3*Adatok!$I38^3*Adatok!$J38)/(384*(VLOOKUP(Q$19,Számítás!$B$19:$H$63,7,FALSE))^3))*100,$B$19)</f>
        <v>-</v>
      </c>
      <c r="R39" s="33" t="str">
        <f>IF(AND($I$19+Q$17*Adatok!$F$11&gt;Adatok!$F$10-0.01,Adatok!$C$16+$B39&lt;Adatok!$C$17+1),((Adatok!$C$13*Adatok!$C$20*Adatok!$I38*Adatok!$J38)/(8*(VLOOKUP(R$19,Számítás!$B$19:$H$63,7,FALSE)))+(Adatok!$C$13^3*Adatok!$C$20^3*Adatok!$I38^3*Adatok!$J38)/(384*(VLOOKUP(R$19,Számítás!$B$19:$H$63,7,FALSE))^3))*100,$B$19)</f>
        <v>-</v>
      </c>
      <c r="S39" s="33" t="str">
        <f>IF(AND($I$19+R$17*Adatok!$F$11&gt;Adatok!$F$10-0.01,Adatok!$C$16+$B39&lt;Adatok!$C$17+1),((Adatok!$C$13*Adatok!$C$20*Adatok!$I38*Adatok!$J38)/(8*(VLOOKUP(S$19,Számítás!$B$19:$H$63,7,FALSE)))+(Adatok!$C$13^3*Adatok!$C$20^3*Adatok!$I38^3*Adatok!$J38)/(384*(VLOOKUP(S$19,Számítás!$B$19:$H$63,7,FALSE))^3))*100,$B$19)</f>
        <v>-</v>
      </c>
      <c r="T39" s="33" t="str">
        <f>IF(AND($I$19+S$17*Adatok!$F$11&gt;Adatok!$F$10-0.01,Adatok!$C$16+$B39&lt;Adatok!$C$17+1),((Adatok!$C$13*Adatok!$C$20*Adatok!$I38*Adatok!$J38)/(8*(VLOOKUP(T$19,Számítás!$B$19:$H$63,7,FALSE)))+(Adatok!$C$13^3*Adatok!$C$20^3*Adatok!$I38^3*Adatok!$J38)/(384*(VLOOKUP(T$19,Számítás!$B$19:$H$63,7,FALSE))^3))*100,$B$19)</f>
        <v>-</v>
      </c>
      <c r="U39" s="33" t="str">
        <f>IF(AND($I$19+T$17*Adatok!$F$11&gt;Adatok!$F$10-0.01,Adatok!$C$16+$B39&lt;Adatok!$C$17+1),((Adatok!$C$13*Adatok!$C$20*Adatok!$I38*Adatok!$J38)/(8*(VLOOKUP(U$19,Számítás!$B$19:$H$63,7,FALSE)))+(Adatok!$C$13^3*Adatok!$C$20^3*Adatok!$I38^3*Adatok!$J38)/(384*(VLOOKUP(U$19,Számítás!$B$19:$H$63,7,FALSE))^3))*100,$B$19)</f>
        <v>-</v>
      </c>
      <c r="V39" s="33" t="str">
        <f>IF(AND($I$19+U$17*Adatok!$F$11&gt;Adatok!$F$10-0.01,Adatok!$C$16+$B39&lt;Adatok!$C$17+1),((Adatok!$C$13*Adatok!$C$20*Adatok!$I38*Adatok!$J38)/(8*(VLOOKUP(V$19,Számítás!$B$19:$H$63,7,FALSE)))+(Adatok!$C$13^3*Adatok!$C$20^3*Adatok!$I38^3*Adatok!$J38)/(384*(VLOOKUP(V$19,Számítás!$B$19:$H$63,7,FALSE))^3))*100,$B$19)</f>
        <v>-</v>
      </c>
      <c r="W39" s="33" t="str">
        <f>IF(AND($I$19+V$17*Adatok!$F$11&gt;Adatok!$F$10-0.01,Adatok!$C$16+$B39&lt;Adatok!$C$17+1),((Adatok!$C$13*Adatok!$C$20*Adatok!$I38*Adatok!$J38)/(8*(VLOOKUP(W$19,Számítás!$B$19:$H$63,7,FALSE)))+(Adatok!$C$13^3*Adatok!$C$20^3*Adatok!$I38^3*Adatok!$J38)/(384*(VLOOKUP(W$19,Számítás!$B$19:$H$63,7,FALSE))^3))*100,$B$19)</f>
        <v>-</v>
      </c>
      <c r="X39" s="33" t="str">
        <f>IF(AND($I$19+W$17*Adatok!$F$11&gt;Adatok!$F$10-0.01,Adatok!$C$16+$B39&lt;Adatok!$C$17+1),((Adatok!$C$13*Adatok!$C$20*Adatok!$I38*Adatok!$J38)/(8*(VLOOKUP(X$19,Számítás!$B$19:$H$63,7,FALSE)))+(Adatok!$C$13^3*Adatok!$C$20^3*Adatok!$I38^3*Adatok!$J38)/(384*(VLOOKUP(X$19,Számítás!$B$19:$H$63,7,FALSE))^3))*100,$B$19)</f>
        <v>-</v>
      </c>
      <c r="Y39" s="33" t="str">
        <f>IF(AND($I$19+X$17*Adatok!$F$11&gt;Adatok!$F$10-0.01,Adatok!$C$16+$B39&lt;Adatok!$C$17+1),((Adatok!$C$13*Adatok!$C$20*Adatok!$I38*Adatok!$J38)/(8*(VLOOKUP(Y$19,Számítás!$B$19:$H$63,7,FALSE)))+(Adatok!$C$13^3*Adatok!$C$20^3*Adatok!$I38^3*Adatok!$J38)/(384*(VLOOKUP(Y$19,Számítás!$B$19:$H$63,7,FALSE))^3))*100,$B$19)</f>
        <v>-</v>
      </c>
      <c r="Z39" s="33" t="str">
        <f>IF(AND($I$19+Y$17*Adatok!$F$11&gt;Adatok!$F$10-0.01,Adatok!$C$16+$B39&lt;Adatok!$C$17+1),((Adatok!$C$13*Adatok!$C$20*Adatok!$I38*Adatok!$J38)/(8*(VLOOKUP(Z$19,Számítás!$B$19:$H$63,7,FALSE)))+(Adatok!$C$13^3*Adatok!$C$20^3*Adatok!$I38^3*Adatok!$J38)/(384*(VLOOKUP(Z$19,Számítás!$B$19:$H$63,7,FALSE))^3))*100,$B$19)</f>
        <v>-</v>
      </c>
      <c r="AA39" s="33" t="str">
        <f>IF(AND($I$19+Z$17*Adatok!$F$11&gt;Adatok!$F$10-0.01,Adatok!$C$16+$B39&lt;Adatok!$C$17+1),((Adatok!$C$13*Adatok!$C$20*Adatok!$I38*Adatok!$J38)/(8*(VLOOKUP(AA$19,Számítás!$B$19:$H$63,7,FALSE)))+(Adatok!$C$13^3*Adatok!$C$20^3*Adatok!$I38^3*Adatok!$J38)/(384*(VLOOKUP(AA$19,Számítás!$B$19:$H$63,7,FALSE))^3))*100,$B$19)</f>
        <v>-</v>
      </c>
      <c r="AB39" s="33" t="str">
        <f>IF(AND($I$19+AA$17*Adatok!$F$11&gt;Adatok!$F$10-0.01,Adatok!$C$16+$B39&lt;Adatok!$C$17+1),((Adatok!$C$13*Adatok!$C$20*Adatok!$I38*Adatok!$J38)/(8*(VLOOKUP(AB$19,Számítás!$B$19:$H$63,7,FALSE)))+(Adatok!$C$13^3*Adatok!$C$20^3*Adatok!$I38^3*Adatok!$J38)/(384*(VLOOKUP(AB$19,Számítás!$B$19:$H$63,7,FALSE))^3))*100,$B$19)</f>
        <v>-</v>
      </c>
      <c r="AC39" s="33" t="str">
        <f>IF(AND($I$19+AB$17*Adatok!$F$11&gt;Adatok!$F$10-0.01,Adatok!$C$16+$B39&lt;Adatok!$C$17+1),((Adatok!$C$13*Adatok!$C$20*Adatok!$I38*Adatok!$J38)/(8*(VLOOKUP(AC$19,Számítás!$B$19:$H$63,7,FALSE)))+(Adatok!$C$13^3*Adatok!$C$20^3*Adatok!$I38^3*Adatok!$J38)/(384*(VLOOKUP(AC$19,Számítás!$B$19:$H$63,7,FALSE))^3))*100,$B$19)</f>
        <v>-</v>
      </c>
      <c r="AD39" s="33" t="str">
        <f>IF(AND($I$19+AC$17*Adatok!$F$11&gt;Adatok!$F$10-0.01,Adatok!$C$16+$B39&lt;Adatok!$C$17+1),((Adatok!$C$13*Adatok!$C$20*Adatok!$I38*Adatok!$J38)/(8*(VLOOKUP(AD$19,Számítás!$B$19:$H$63,7,FALSE)))+(Adatok!$C$13^3*Adatok!$C$20^3*Adatok!$I38^3*Adatok!$J38)/(384*(VLOOKUP(AD$19,Számítás!$B$19:$H$63,7,FALSE))^3))*100,$B$19)</f>
        <v>-</v>
      </c>
      <c r="AE39" s="33" t="str">
        <f>IF(AND($I$19+AD$17*Adatok!$F$11&gt;Adatok!$F$10-0.01,Adatok!$C$16+$B39&lt;Adatok!$C$17+1),((Adatok!$C$13*Adatok!$C$20*Adatok!$I38*Adatok!$J38)/(8*(VLOOKUP(AE$19,Számítás!$B$19:$H$63,7,FALSE)))+(Adatok!$C$13^3*Adatok!$C$20^3*Adatok!$I38^3*Adatok!$J38)/(384*(VLOOKUP(AE$19,Számítás!$B$19:$H$63,7,FALSE))^3))*100,$B$19)</f>
        <v>-</v>
      </c>
      <c r="AF39" s="33" t="str">
        <f>IF(AND($I$19+AE$17*Adatok!$F$11&gt;Adatok!$F$10-0.01,Adatok!$C$16+$B39&lt;Adatok!$C$17+1),((Adatok!$C$13*Adatok!$C$20*Adatok!$I38*Adatok!$J38)/(8*(VLOOKUP(AF$19,Számítás!$B$19:$H$63,7,FALSE)))+(Adatok!$C$13^3*Adatok!$C$20^3*Adatok!$I38^3*Adatok!$J38)/(384*(VLOOKUP(AF$19,Számítás!$B$19:$H$63,7,FALSE))^3))*100,$B$19)</f>
        <v>-</v>
      </c>
      <c r="AG39" s="33" t="str">
        <f>IF(AND($I$19+AF$17*Adatok!$F$11&gt;Adatok!$F$10-0.01,Adatok!$C$16+$B39&lt;Adatok!$C$17+1),((Adatok!$C$13*Adatok!$C$20*Adatok!$I38*Adatok!$J38)/(8*(VLOOKUP(AG$19,Számítás!$B$19:$H$63,7,FALSE)))+(Adatok!$C$13^3*Adatok!$C$20^3*Adatok!$I38^3*Adatok!$J38)/(384*(VLOOKUP(AG$19,Számítás!$B$19:$H$63,7,FALSE))^3))*100,$B$19)</f>
        <v>-</v>
      </c>
      <c r="AH39" s="33" t="str">
        <f>IF(AND($I$19+AG$17*Adatok!$F$11&gt;Adatok!$F$10-0.01,Adatok!$C$16+$B39&lt;Adatok!$C$17+1),((Adatok!$C$13*Adatok!$C$20*Adatok!$I38*Adatok!$J38)/(8*(VLOOKUP(AH$19,Számítás!$B$19:$H$63,7,FALSE)))+(Adatok!$C$13^3*Adatok!$C$20^3*Adatok!$I38^3*Adatok!$J38)/(384*(VLOOKUP(AH$19,Számítás!$B$19:$H$63,7,FALSE))^3))*100,$B$19)</f>
        <v>-</v>
      </c>
      <c r="AI39" s="33" t="str">
        <f>IF(AND($I$19+AH$17*Adatok!$F$11&gt;Adatok!$F$10-0.01,Adatok!$C$16+$B39&lt;Adatok!$C$17+1),((Adatok!$C$13*Adatok!$C$20*Adatok!$I38*Adatok!$J38)/(8*(VLOOKUP(AI$19,Számítás!$B$19:$H$63,7,FALSE)))+(Adatok!$C$13^3*Adatok!$C$20^3*Adatok!$I38^3*Adatok!$J38)/(384*(VLOOKUP(AI$19,Számítás!$B$19:$H$63,7,FALSE))^3))*100,$B$19)</f>
        <v>-</v>
      </c>
      <c r="AJ39" s="33" t="str">
        <f>IF(AND($I$19+AI$17*Adatok!$F$11&gt;Adatok!$F$10-0.01,Adatok!$C$16+$B39&lt;Adatok!$C$17+1),((Adatok!$C$13*Adatok!$C$20*Adatok!$I38*Adatok!$J38)/(8*(VLOOKUP(AJ$19,Számítás!$B$19:$H$63,7,FALSE)))+(Adatok!$C$13^3*Adatok!$C$20^3*Adatok!$I38^3*Adatok!$J38)/(384*(VLOOKUP(AJ$19,Számítás!$B$19:$H$63,7,FALSE))^3))*100,$B$19)</f>
        <v>-</v>
      </c>
      <c r="AK39" s="33" t="str">
        <f>IF(AND($I$19+AJ$17*Adatok!$F$11&gt;Adatok!$F$10-0.01,Adatok!$C$16+$B39&lt;Adatok!$C$17+1),((Adatok!$C$13*Adatok!$C$20*Adatok!$I38*Adatok!$J38)/(8*(VLOOKUP(AK$19,Számítás!$B$19:$H$63,7,FALSE)))+(Adatok!$C$13^3*Adatok!$C$20^3*Adatok!$I38^3*Adatok!$J38)/(384*(VLOOKUP(AK$19,Számítás!$B$19:$H$63,7,FALSE))^3))*100,$B$19)</f>
        <v>-</v>
      </c>
      <c r="AL39" s="33" t="str">
        <f>IF(AND($I$19+AK$17*Adatok!$F$11&gt;Adatok!$F$10-0.01,Adatok!$C$16+$B39&lt;Adatok!$C$17+1),((Adatok!$C$13*Adatok!$C$20*Adatok!$I38*Adatok!$J38)/(8*(VLOOKUP(AL$19,Számítás!$B$19:$H$63,7,FALSE)))+(Adatok!$C$13^3*Adatok!$C$20^3*Adatok!$I38^3*Adatok!$J38)/(384*(VLOOKUP(AL$19,Számítás!$B$19:$H$63,7,FALSE))^3))*100,$B$19)</f>
        <v>-</v>
      </c>
      <c r="AM39" s="33" t="str">
        <f>IF(AND($I$19+AL$17*Adatok!$F$11&gt;Adatok!$F$10-0.01,Adatok!$C$16+$B39&lt;Adatok!$C$17+1),((Adatok!$C$13*Adatok!$C$20*Adatok!$I38*Adatok!$J38)/(8*(VLOOKUP(AM$19,Számítás!$B$19:$H$63,7,FALSE)))+(Adatok!$C$13^3*Adatok!$C$20^3*Adatok!$I38^3*Adatok!$J38)/(384*(VLOOKUP(AM$19,Számítás!$B$19:$H$63,7,FALSE))^3))*100,$B$19)</f>
        <v>-</v>
      </c>
      <c r="AN39" s="33" t="str">
        <f>IF(AND($I$19+AM$17*Adatok!$F$11&gt;Adatok!$F$10-0.01,Adatok!$C$16+$B39&lt;Adatok!$C$17+1),((Adatok!$C$13*Adatok!$C$20*Adatok!$I38*Adatok!$J38)/(8*(VLOOKUP(AN$19,Számítás!$B$19:$H$63,7,FALSE)))+(Adatok!$C$13^3*Adatok!$C$20^3*Adatok!$I38^3*Adatok!$J38)/(384*(VLOOKUP(AN$19,Számítás!$B$19:$H$63,7,FALSE))^3))*100,$B$19)</f>
        <v>-</v>
      </c>
      <c r="AO39" s="33" t="str">
        <f>IF(AND($I$19+AN$17*Adatok!$F$11&gt;Adatok!$F$10-0.01,Adatok!$C$16+$B39&lt;Adatok!$C$17+1),((Adatok!$C$13*Adatok!$C$20*Adatok!$I38*Adatok!$J38)/(8*(VLOOKUP(AO$19,Számítás!$B$19:$H$63,7,FALSE)))+(Adatok!$C$13^3*Adatok!$C$20^3*Adatok!$I38^3*Adatok!$J38)/(384*(VLOOKUP(AO$19,Számítás!$B$19:$H$63,7,FALSE))^3))*100,$B$19)</f>
        <v>-</v>
      </c>
      <c r="AP39" s="33" t="str">
        <f>IF(AND($I$19+AO$17*Adatok!$F$11&gt;Adatok!$F$10-0.01,Adatok!$C$16+$B39&lt;Adatok!$C$17+1),((Adatok!$C$13*Adatok!$C$20*Adatok!$I38*Adatok!$J38)/(8*(VLOOKUP(AP$19,Számítás!$B$19:$H$63,7,FALSE)))+(Adatok!$C$13^3*Adatok!$C$20^3*Adatok!$I38^3*Adatok!$J38)/(384*(VLOOKUP(AP$19,Számítás!$B$19:$H$63,7,FALSE))^3))*100,$B$19)</f>
        <v>-</v>
      </c>
      <c r="AQ39" s="33" t="str">
        <f>IF(AND($I$19+AP$17*Adatok!$F$11&gt;Adatok!$F$10-0.01,Adatok!$C$16+$B39&lt;Adatok!$C$17+1),((Adatok!$C$13*Adatok!$C$20*Adatok!$I38*Adatok!$J38)/(8*(VLOOKUP(AQ$19,Számítás!$B$19:$H$63,7,FALSE)))+(Adatok!$C$13^3*Adatok!$C$20^3*Adatok!$I38^3*Adatok!$J38)/(384*(VLOOKUP(AQ$19,Számítás!$B$19:$H$63,7,FALSE))^3))*100,$B$19)</f>
        <v>-</v>
      </c>
      <c r="AR39" s="33" t="str">
        <f>IF(AND($I$19+AQ$17*Adatok!$F$11&gt;Adatok!$F$10-0.01,Adatok!$C$16+$B39&lt;Adatok!$C$17+1),((Adatok!$C$13*Adatok!$C$20*Adatok!$I38*Adatok!$J38)/(8*(VLOOKUP(AR$19,Számítás!$B$19:$H$63,7,FALSE)))+(Adatok!$C$13^3*Adatok!$C$20^3*Adatok!$I38^3*Adatok!$J38)/(384*(VLOOKUP(AR$19,Számítás!$B$19:$H$63,7,FALSE))^3))*100,$B$19)</f>
        <v>-</v>
      </c>
      <c r="AS39" s="33" t="str">
        <f>IF(AND($I$19+AR$17*Adatok!$F$11&gt;Adatok!$F$10-0.01,Adatok!$C$16+$B39&lt;Adatok!$C$17+1),((Adatok!$C$13*Adatok!$C$20*Adatok!$I38*Adatok!$J38)/(8*(VLOOKUP(AS$19,Számítás!$B$19:$H$63,7,FALSE)))+(Adatok!$C$13^3*Adatok!$C$20^3*Adatok!$I38^3*Adatok!$J38)/(384*(VLOOKUP(AS$19,Számítás!$B$19:$H$63,7,FALSE))^3))*100,$B$19)</f>
        <v>-</v>
      </c>
      <c r="AT39" s="33" t="str">
        <f>IF(AND($I$19+AS$17*Adatok!$F$11&gt;Adatok!$F$10-0.01,Adatok!$C$16+$B39&lt;Adatok!$C$17+1),((Adatok!$C$13*Adatok!$C$20*Adatok!$I38*Adatok!$J38)/(8*(VLOOKUP(AT$19,Számítás!$B$19:$H$63,7,FALSE)))+(Adatok!$C$13^3*Adatok!$C$20^3*Adatok!$I38^3*Adatok!$J38)/(384*(VLOOKUP(AT$19,Számítás!$B$19:$H$63,7,FALSE))^3))*100,$B$19)</f>
        <v>-</v>
      </c>
      <c r="AU39" s="33" t="str">
        <f>IF(AND($I$19+AT$17*Adatok!$F$11&gt;Adatok!$F$10-0.01,Adatok!$C$16+$B39&lt;Adatok!$C$17+1),((Adatok!$C$13*Adatok!$C$20*Adatok!$I38*Adatok!$J38)/(8*(VLOOKUP(AU$19,Számítás!$B$19:$H$63,7,FALSE)))+(Adatok!$C$13^3*Adatok!$C$20^3*Adatok!$I38^3*Adatok!$J38)/(384*(VLOOKUP(AU$19,Számítás!$B$19:$H$63,7,FALSE))^3))*100,$B$19)</f>
        <v>-</v>
      </c>
      <c r="AV39" s="33" t="str">
        <f>IF(AND($I$19+AU$17*Adatok!$F$11&gt;Adatok!$F$10-0.01,Adatok!$C$16+$B39&lt;Adatok!$C$17+1),((Adatok!$C$13*Adatok!$C$20*Adatok!$I38*Adatok!$J38)/(8*(VLOOKUP(AV$19,Számítás!$B$19:$H$63,7,FALSE)))+(Adatok!$C$13^3*Adatok!$C$20^3*Adatok!$I38^3*Adatok!$J38)/(384*(VLOOKUP(AV$19,Számítás!$B$19:$H$63,7,FALSE))^3))*100,$B$19)</f>
        <v>-</v>
      </c>
      <c r="AW39" s="33" t="str">
        <f>IF(AND($I$19+AV$17*Adatok!$F$11&gt;Adatok!$F$10-0.01,Adatok!$C$16+$B39&lt;Adatok!$C$17+1),((Adatok!$C$13*Adatok!$C$20*Adatok!$I38*Adatok!$J38)/(8*(VLOOKUP(AW$19,Számítás!$B$19:$H$63,7,FALSE)))+(Adatok!$C$13^3*Adatok!$C$20^3*Adatok!$I38^3*Adatok!$J38)/(384*(VLOOKUP(AW$19,Számítás!$B$19:$H$63,7,FALSE))^3))*100,$B$19)</f>
        <v>-</v>
      </c>
      <c r="AX39" s="33" t="str">
        <f>IF(AND($I$19+AW$17*Adatok!$F$11&gt;Adatok!$F$10-0.01,Adatok!$C$16+$B39&lt;Adatok!$C$17+1),((Adatok!$C$13*Adatok!$C$20*Adatok!$I38*Adatok!$J38)/(8*(VLOOKUP(AX$19,Számítás!$B$19:$H$63,7,FALSE)))+(Adatok!$C$13^3*Adatok!$C$20^3*Adatok!$I38^3*Adatok!$J38)/(384*(VLOOKUP(AX$19,Számítás!$B$19:$H$63,7,FALSE))^3))*100,$B$19)</f>
        <v>-</v>
      </c>
      <c r="AY39" s="33" t="str">
        <f>IF(AND($I$19+AX$17*Adatok!$F$11&gt;Adatok!$F$10-0.01,Adatok!$C$16+$B39&lt;Adatok!$C$17+1),((Adatok!$C$13*Adatok!$C$20*Adatok!$I38*Adatok!$J38)/(8*(VLOOKUP(AY$19,Számítás!$B$19:$H$63,7,FALSE)))+(Adatok!$C$13^3*Adatok!$C$20^3*Adatok!$I38^3*Adatok!$J38)/(384*(VLOOKUP(AY$19,Számítás!$B$19:$H$63,7,FALSE))^3))*100,$B$19)</f>
        <v>-</v>
      </c>
      <c r="AZ39" s="33" t="str">
        <f>IF(AND($I$19+AY$17*Adatok!$F$11&gt;Adatok!$F$10-0.01,Adatok!$C$16+$B39&lt;Adatok!$C$17+1),((Adatok!$C$13*Adatok!$C$20*Adatok!$I38*Adatok!$J38)/(8*(VLOOKUP(AZ$19,Számítás!$B$19:$H$63,7,FALSE)))+(Adatok!$C$13^3*Adatok!$C$20^3*Adatok!$I38^3*Adatok!$J38)/(384*(VLOOKUP(AZ$19,Számítás!$B$19:$H$63,7,FALSE))^3))*100,$B$19)</f>
        <v>-</v>
      </c>
      <c r="BA39" s="33" t="str">
        <f>IF(AND($I$19+AZ$17*Adatok!$F$11&gt;Adatok!$F$10-0.01,Adatok!$C$16+$B39&lt;Adatok!$C$17+1),((Adatok!$C$13*Adatok!$C$20*Adatok!$I38*Adatok!$J38)/(8*(VLOOKUP(BA$19,Számítás!$B$19:$H$63,7,FALSE)))+(Adatok!$C$13^3*Adatok!$C$20^3*Adatok!$I38^3*Adatok!$J38)/(384*(VLOOKUP(BA$19,Számítás!$B$19:$H$63,7,FALSE))^3))*100,$B$19)</f>
        <v>-</v>
      </c>
    </row>
    <row r="40" spans="2:53" ht="18" customHeight="1" x14ac:dyDescent="0.25">
      <c r="B40" s="1">
        <v>21</v>
      </c>
      <c r="C40" s="333" t="str">
        <f>Adatok!F39</f>
        <v>-</v>
      </c>
      <c r="D40" s="32" t="s">
        <v>27</v>
      </c>
      <c r="E40" s="336" t="str">
        <f>Adatok!H39</f>
        <v>-</v>
      </c>
      <c r="F40" s="64" t="str">
        <f>IF(Adatok!$C$16+B40&gt;Adatok!$C$17,$B$19,Adatok!I39)</f>
        <v>-</v>
      </c>
      <c r="G40" s="60"/>
      <c r="H40" s="72" t="str">
        <f>IF(Adatok!$C$16+B40&gt;Adatok!$C$17,$B$19,Adatok!J39/Adatok!I39)</f>
        <v>-</v>
      </c>
      <c r="I40" s="81" t="str">
        <f>IF(Adatok!$C$16+$B40&lt;Adatok!$C$17+1,((((Adatok!$C$13*Adatok!$C$20*Adatok!$I39*Adatok!$J39)/(8*(VLOOKUP(I$19,Számítás!$B$19:$H$63,7,FALSE))))+((Adatok!$C$13^3*Adatok!$C$20^3*Adatok!$I39^3*Adatok!$J39)/(384*(VLOOKUP(I$19,Számítás!$B$19:$H$63,7,FALSE))^3)))*100),$B$19)</f>
        <v>-</v>
      </c>
      <c r="J40" s="33" t="str">
        <f>IF(AND($I$19+I$17*Adatok!$F$11&gt;Adatok!$F$10-0.01,Adatok!$C$16+$B40&lt;Adatok!$C$17+1),((Adatok!$C$13*Adatok!$C$20*Adatok!$I39*Adatok!$J39)/(8*(VLOOKUP(J$19,Számítás!$B$19:$H$63,7,FALSE)))+(Adatok!$C$13^3*Adatok!$C$20^3*Adatok!$I39^3*Adatok!$J39)/(384*(VLOOKUP(J$19,Számítás!$B$19:$H$63,7,FALSE))^3))*100,$B$19)</f>
        <v>-</v>
      </c>
      <c r="K40" s="33" t="str">
        <f>IF(AND($I$19+J$17*Adatok!$F$11&gt;Adatok!$F$10-0.01,Adatok!$C$16+$B40&lt;Adatok!$C$17+1),((Adatok!$C$13*Adatok!$C$20*Adatok!$I39*Adatok!$J39)/(8*(VLOOKUP(K$19,Számítás!$B$19:$H$63,7,FALSE)))+(Adatok!$C$13^3*Adatok!$C$20^3*Adatok!$I39^3*Adatok!$J39)/(384*(VLOOKUP(K$19,Számítás!$B$19:$H$63,7,FALSE))^3))*100,$B$19)</f>
        <v>-</v>
      </c>
      <c r="L40" s="33" t="str">
        <f>IF(AND($I$19+K$17*Adatok!$F$11&gt;Adatok!$F$10-0.01,Adatok!$C$16+$B40&lt;Adatok!$C$17+1),((Adatok!$C$13*Adatok!$C$20*Adatok!$I39*Adatok!$J39)/(8*(VLOOKUP(L$19,Számítás!$B$19:$H$63,7,FALSE)))+(Adatok!$C$13^3*Adatok!$C$20^3*Adatok!$I39^3*Adatok!$J39)/(384*(VLOOKUP(L$19,Számítás!$B$19:$H$63,7,FALSE))^3))*100,$B$19)</f>
        <v>-</v>
      </c>
      <c r="M40" s="33" t="str">
        <f>IF(AND($I$19+L$17*Adatok!$F$11&gt;Adatok!$F$10-0.01,Adatok!$C$16+$B40&lt;Adatok!$C$17+1),((Adatok!$C$13*Adatok!$C$20*Adatok!$I39*Adatok!$J39)/(8*(VLOOKUP(M$19,Számítás!$B$19:$H$63,7,FALSE)))+(Adatok!$C$13^3*Adatok!$C$20^3*Adatok!$I39^3*Adatok!$J39)/(384*(VLOOKUP(M$19,Számítás!$B$19:$H$63,7,FALSE))^3))*100,$B$19)</f>
        <v>-</v>
      </c>
      <c r="N40" s="33" t="str">
        <f>IF(AND($I$19+M$17*Adatok!$F$11&gt;Adatok!$F$10-0.01,Adatok!$C$16+$B40&lt;Adatok!$C$17+1),((Adatok!$C$13*Adatok!$C$20*Adatok!$I39*Adatok!$J39)/(8*(VLOOKUP(N$19,Számítás!$B$19:$H$63,7,FALSE)))+(Adatok!$C$13^3*Adatok!$C$20^3*Adatok!$I39^3*Adatok!$J39)/(384*(VLOOKUP(N$19,Számítás!$B$19:$H$63,7,FALSE))^3))*100,$B$19)</f>
        <v>-</v>
      </c>
      <c r="O40" s="33" t="str">
        <f>IF(AND($I$19+N$17*Adatok!$F$11&gt;Adatok!$F$10-0.01,Adatok!$C$16+$B40&lt;Adatok!$C$17+1),((Adatok!$C$13*Adatok!$C$20*Adatok!$I39*Adatok!$J39)/(8*(VLOOKUP(O$19,Számítás!$B$19:$H$63,7,FALSE)))+(Adatok!$C$13^3*Adatok!$C$20^3*Adatok!$I39^3*Adatok!$J39)/(384*(VLOOKUP(O$19,Számítás!$B$19:$H$63,7,FALSE))^3))*100,$B$19)</f>
        <v>-</v>
      </c>
      <c r="P40" s="33" t="str">
        <f>IF(AND($I$19+O$17*Adatok!$F$11&gt;Adatok!$F$10-0.01,Adatok!$C$16+$B40&lt;Adatok!$C$17+1),((Adatok!$C$13*Adatok!$C$20*Adatok!$I39*Adatok!$J39)/(8*(VLOOKUP(P$19,Számítás!$B$19:$H$63,7,FALSE)))+(Adatok!$C$13^3*Adatok!$C$20^3*Adatok!$I39^3*Adatok!$J39)/(384*(VLOOKUP(P$19,Számítás!$B$19:$H$63,7,FALSE))^3))*100,$B$19)</f>
        <v>-</v>
      </c>
      <c r="Q40" s="33" t="str">
        <f>IF(AND($I$19+P$17*Adatok!$F$11&gt;Adatok!$F$10-0.01,Adatok!$C$16+$B40&lt;Adatok!$C$17+1),((Adatok!$C$13*Adatok!$C$20*Adatok!$I39*Adatok!$J39)/(8*(VLOOKUP(Q$19,Számítás!$B$19:$H$63,7,FALSE)))+(Adatok!$C$13^3*Adatok!$C$20^3*Adatok!$I39^3*Adatok!$J39)/(384*(VLOOKUP(Q$19,Számítás!$B$19:$H$63,7,FALSE))^3))*100,$B$19)</f>
        <v>-</v>
      </c>
      <c r="R40" s="33" t="str">
        <f>IF(AND($I$19+Q$17*Adatok!$F$11&gt;Adatok!$F$10-0.01,Adatok!$C$16+$B40&lt;Adatok!$C$17+1),((Adatok!$C$13*Adatok!$C$20*Adatok!$I39*Adatok!$J39)/(8*(VLOOKUP(R$19,Számítás!$B$19:$H$63,7,FALSE)))+(Adatok!$C$13^3*Adatok!$C$20^3*Adatok!$I39^3*Adatok!$J39)/(384*(VLOOKUP(R$19,Számítás!$B$19:$H$63,7,FALSE))^3))*100,$B$19)</f>
        <v>-</v>
      </c>
      <c r="S40" s="33" t="str">
        <f>IF(AND($I$19+R$17*Adatok!$F$11&gt;Adatok!$F$10-0.01,Adatok!$C$16+$B40&lt;Adatok!$C$17+1),((Adatok!$C$13*Adatok!$C$20*Adatok!$I39*Adatok!$J39)/(8*(VLOOKUP(S$19,Számítás!$B$19:$H$63,7,FALSE)))+(Adatok!$C$13^3*Adatok!$C$20^3*Adatok!$I39^3*Adatok!$J39)/(384*(VLOOKUP(S$19,Számítás!$B$19:$H$63,7,FALSE))^3))*100,$B$19)</f>
        <v>-</v>
      </c>
      <c r="T40" s="33" t="str">
        <f>IF(AND($I$19+S$17*Adatok!$F$11&gt;Adatok!$F$10-0.01,Adatok!$C$16+$B40&lt;Adatok!$C$17+1),((Adatok!$C$13*Adatok!$C$20*Adatok!$I39*Adatok!$J39)/(8*(VLOOKUP(T$19,Számítás!$B$19:$H$63,7,FALSE)))+(Adatok!$C$13^3*Adatok!$C$20^3*Adatok!$I39^3*Adatok!$J39)/(384*(VLOOKUP(T$19,Számítás!$B$19:$H$63,7,FALSE))^3))*100,$B$19)</f>
        <v>-</v>
      </c>
      <c r="U40" s="33" t="str">
        <f>IF(AND($I$19+T$17*Adatok!$F$11&gt;Adatok!$F$10-0.01,Adatok!$C$16+$B40&lt;Adatok!$C$17+1),((Adatok!$C$13*Adatok!$C$20*Adatok!$I39*Adatok!$J39)/(8*(VLOOKUP(U$19,Számítás!$B$19:$H$63,7,FALSE)))+(Adatok!$C$13^3*Adatok!$C$20^3*Adatok!$I39^3*Adatok!$J39)/(384*(VLOOKUP(U$19,Számítás!$B$19:$H$63,7,FALSE))^3))*100,$B$19)</f>
        <v>-</v>
      </c>
      <c r="V40" s="33" t="str">
        <f>IF(AND($I$19+U$17*Adatok!$F$11&gt;Adatok!$F$10-0.01,Adatok!$C$16+$B40&lt;Adatok!$C$17+1),((Adatok!$C$13*Adatok!$C$20*Adatok!$I39*Adatok!$J39)/(8*(VLOOKUP(V$19,Számítás!$B$19:$H$63,7,FALSE)))+(Adatok!$C$13^3*Adatok!$C$20^3*Adatok!$I39^3*Adatok!$J39)/(384*(VLOOKUP(V$19,Számítás!$B$19:$H$63,7,FALSE))^3))*100,$B$19)</f>
        <v>-</v>
      </c>
      <c r="W40" s="33" t="str">
        <f>IF(AND($I$19+V$17*Adatok!$F$11&gt;Adatok!$F$10-0.01,Adatok!$C$16+$B40&lt;Adatok!$C$17+1),((Adatok!$C$13*Adatok!$C$20*Adatok!$I39*Adatok!$J39)/(8*(VLOOKUP(W$19,Számítás!$B$19:$H$63,7,FALSE)))+(Adatok!$C$13^3*Adatok!$C$20^3*Adatok!$I39^3*Adatok!$J39)/(384*(VLOOKUP(W$19,Számítás!$B$19:$H$63,7,FALSE))^3))*100,$B$19)</f>
        <v>-</v>
      </c>
      <c r="X40" s="33" t="str">
        <f>IF(AND($I$19+W$17*Adatok!$F$11&gt;Adatok!$F$10-0.01,Adatok!$C$16+$B40&lt;Adatok!$C$17+1),((Adatok!$C$13*Adatok!$C$20*Adatok!$I39*Adatok!$J39)/(8*(VLOOKUP(X$19,Számítás!$B$19:$H$63,7,FALSE)))+(Adatok!$C$13^3*Adatok!$C$20^3*Adatok!$I39^3*Adatok!$J39)/(384*(VLOOKUP(X$19,Számítás!$B$19:$H$63,7,FALSE))^3))*100,$B$19)</f>
        <v>-</v>
      </c>
      <c r="Y40" s="33" t="str">
        <f>IF(AND($I$19+X$17*Adatok!$F$11&gt;Adatok!$F$10-0.01,Adatok!$C$16+$B40&lt;Adatok!$C$17+1),((Adatok!$C$13*Adatok!$C$20*Adatok!$I39*Adatok!$J39)/(8*(VLOOKUP(Y$19,Számítás!$B$19:$H$63,7,FALSE)))+(Adatok!$C$13^3*Adatok!$C$20^3*Adatok!$I39^3*Adatok!$J39)/(384*(VLOOKUP(Y$19,Számítás!$B$19:$H$63,7,FALSE))^3))*100,$B$19)</f>
        <v>-</v>
      </c>
      <c r="Z40" s="33" t="str">
        <f>IF(AND($I$19+Y$17*Adatok!$F$11&gt;Adatok!$F$10-0.01,Adatok!$C$16+$B40&lt;Adatok!$C$17+1),((Adatok!$C$13*Adatok!$C$20*Adatok!$I39*Adatok!$J39)/(8*(VLOOKUP(Z$19,Számítás!$B$19:$H$63,7,FALSE)))+(Adatok!$C$13^3*Adatok!$C$20^3*Adatok!$I39^3*Adatok!$J39)/(384*(VLOOKUP(Z$19,Számítás!$B$19:$H$63,7,FALSE))^3))*100,$B$19)</f>
        <v>-</v>
      </c>
      <c r="AA40" s="33" t="str">
        <f>IF(AND($I$19+Z$17*Adatok!$F$11&gt;Adatok!$F$10-0.01,Adatok!$C$16+$B40&lt;Adatok!$C$17+1),((Adatok!$C$13*Adatok!$C$20*Adatok!$I39*Adatok!$J39)/(8*(VLOOKUP(AA$19,Számítás!$B$19:$H$63,7,FALSE)))+(Adatok!$C$13^3*Adatok!$C$20^3*Adatok!$I39^3*Adatok!$J39)/(384*(VLOOKUP(AA$19,Számítás!$B$19:$H$63,7,FALSE))^3))*100,$B$19)</f>
        <v>-</v>
      </c>
      <c r="AB40" s="33" t="str">
        <f>IF(AND($I$19+AA$17*Adatok!$F$11&gt;Adatok!$F$10-0.01,Adatok!$C$16+$B40&lt;Adatok!$C$17+1),((Adatok!$C$13*Adatok!$C$20*Adatok!$I39*Adatok!$J39)/(8*(VLOOKUP(AB$19,Számítás!$B$19:$H$63,7,FALSE)))+(Adatok!$C$13^3*Adatok!$C$20^3*Adatok!$I39^3*Adatok!$J39)/(384*(VLOOKUP(AB$19,Számítás!$B$19:$H$63,7,FALSE))^3))*100,$B$19)</f>
        <v>-</v>
      </c>
      <c r="AC40" s="33" t="str">
        <f>IF(AND($I$19+AB$17*Adatok!$F$11&gt;Adatok!$F$10-0.01,Adatok!$C$16+$B40&lt;Adatok!$C$17+1),((Adatok!$C$13*Adatok!$C$20*Adatok!$I39*Adatok!$J39)/(8*(VLOOKUP(AC$19,Számítás!$B$19:$H$63,7,FALSE)))+(Adatok!$C$13^3*Adatok!$C$20^3*Adatok!$I39^3*Adatok!$J39)/(384*(VLOOKUP(AC$19,Számítás!$B$19:$H$63,7,FALSE))^3))*100,$B$19)</f>
        <v>-</v>
      </c>
      <c r="AD40" s="33" t="str">
        <f>IF(AND($I$19+AC$17*Adatok!$F$11&gt;Adatok!$F$10-0.01,Adatok!$C$16+$B40&lt;Adatok!$C$17+1),((Adatok!$C$13*Adatok!$C$20*Adatok!$I39*Adatok!$J39)/(8*(VLOOKUP(AD$19,Számítás!$B$19:$H$63,7,FALSE)))+(Adatok!$C$13^3*Adatok!$C$20^3*Adatok!$I39^3*Adatok!$J39)/(384*(VLOOKUP(AD$19,Számítás!$B$19:$H$63,7,FALSE))^3))*100,$B$19)</f>
        <v>-</v>
      </c>
      <c r="AE40" s="33" t="str">
        <f>IF(AND($I$19+AD$17*Adatok!$F$11&gt;Adatok!$F$10-0.01,Adatok!$C$16+$B40&lt;Adatok!$C$17+1),((Adatok!$C$13*Adatok!$C$20*Adatok!$I39*Adatok!$J39)/(8*(VLOOKUP(AE$19,Számítás!$B$19:$H$63,7,FALSE)))+(Adatok!$C$13^3*Adatok!$C$20^3*Adatok!$I39^3*Adatok!$J39)/(384*(VLOOKUP(AE$19,Számítás!$B$19:$H$63,7,FALSE))^3))*100,$B$19)</f>
        <v>-</v>
      </c>
      <c r="AF40" s="33" t="str">
        <f>IF(AND($I$19+AE$17*Adatok!$F$11&gt;Adatok!$F$10-0.01,Adatok!$C$16+$B40&lt;Adatok!$C$17+1),((Adatok!$C$13*Adatok!$C$20*Adatok!$I39*Adatok!$J39)/(8*(VLOOKUP(AF$19,Számítás!$B$19:$H$63,7,FALSE)))+(Adatok!$C$13^3*Adatok!$C$20^3*Adatok!$I39^3*Adatok!$J39)/(384*(VLOOKUP(AF$19,Számítás!$B$19:$H$63,7,FALSE))^3))*100,$B$19)</f>
        <v>-</v>
      </c>
      <c r="AG40" s="33" t="str">
        <f>IF(AND($I$19+AF$17*Adatok!$F$11&gt;Adatok!$F$10-0.01,Adatok!$C$16+$B40&lt;Adatok!$C$17+1),((Adatok!$C$13*Adatok!$C$20*Adatok!$I39*Adatok!$J39)/(8*(VLOOKUP(AG$19,Számítás!$B$19:$H$63,7,FALSE)))+(Adatok!$C$13^3*Adatok!$C$20^3*Adatok!$I39^3*Adatok!$J39)/(384*(VLOOKUP(AG$19,Számítás!$B$19:$H$63,7,FALSE))^3))*100,$B$19)</f>
        <v>-</v>
      </c>
      <c r="AH40" s="33" t="str">
        <f>IF(AND($I$19+AG$17*Adatok!$F$11&gt;Adatok!$F$10-0.01,Adatok!$C$16+$B40&lt;Adatok!$C$17+1),((Adatok!$C$13*Adatok!$C$20*Adatok!$I39*Adatok!$J39)/(8*(VLOOKUP(AH$19,Számítás!$B$19:$H$63,7,FALSE)))+(Adatok!$C$13^3*Adatok!$C$20^3*Adatok!$I39^3*Adatok!$J39)/(384*(VLOOKUP(AH$19,Számítás!$B$19:$H$63,7,FALSE))^3))*100,$B$19)</f>
        <v>-</v>
      </c>
      <c r="AI40" s="33" t="str">
        <f>IF(AND($I$19+AH$17*Adatok!$F$11&gt;Adatok!$F$10-0.01,Adatok!$C$16+$B40&lt;Adatok!$C$17+1),((Adatok!$C$13*Adatok!$C$20*Adatok!$I39*Adatok!$J39)/(8*(VLOOKUP(AI$19,Számítás!$B$19:$H$63,7,FALSE)))+(Adatok!$C$13^3*Adatok!$C$20^3*Adatok!$I39^3*Adatok!$J39)/(384*(VLOOKUP(AI$19,Számítás!$B$19:$H$63,7,FALSE))^3))*100,$B$19)</f>
        <v>-</v>
      </c>
      <c r="AJ40" s="33" t="str">
        <f>IF(AND($I$19+AI$17*Adatok!$F$11&gt;Adatok!$F$10-0.01,Adatok!$C$16+$B40&lt;Adatok!$C$17+1),((Adatok!$C$13*Adatok!$C$20*Adatok!$I39*Adatok!$J39)/(8*(VLOOKUP(AJ$19,Számítás!$B$19:$H$63,7,FALSE)))+(Adatok!$C$13^3*Adatok!$C$20^3*Adatok!$I39^3*Adatok!$J39)/(384*(VLOOKUP(AJ$19,Számítás!$B$19:$H$63,7,FALSE))^3))*100,$B$19)</f>
        <v>-</v>
      </c>
      <c r="AK40" s="33" t="str">
        <f>IF(AND($I$19+AJ$17*Adatok!$F$11&gt;Adatok!$F$10-0.01,Adatok!$C$16+$B40&lt;Adatok!$C$17+1),((Adatok!$C$13*Adatok!$C$20*Adatok!$I39*Adatok!$J39)/(8*(VLOOKUP(AK$19,Számítás!$B$19:$H$63,7,FALSE)))+(Adatok!$C$13^3*Adatok!$C$20^3*Adatok!$I39^3*Adatok!$J39)/(384*(VLOOKUP(AK$19,Számítás!$B$19:$H$63,7,FALSE))^3))*100,$B$19)</f>
        <v>-</v>
      </c>
      <c r="AL40" s="33" t="str">
        <f>IF(AND($I$19+AK$17*Adatok!$F$11&gt;Adatok!$F$10-0.01,Adatok!$C$16+$B40&lt;Adatok!$C$17+1),((Adatok!$C$13*Adatok!$C$20*Adatok!$I39*Adatok!$J39)/(8*(VLOOKUP(AL$19,Számítás!$B$19:$H$63,7,FALSE)))+(Adatok!$C$13^3*Adatok!$C$20^3*Adatok!$I39^3*Adatok!$J39)/(384*(VLOOKUP(AL$19,Számítás!$B$19:$H$63,7,FALSE))^3))*100,$B$19)</f>
        <v>-</v>
      </c>
      <c r="AM40" s="33" t="str">
        <f>IF(AND($I$19+AL$17*Adatok!$F$11&gt;Adatok!$F$10-0.01,Adatok!$C$16+$B40&lt;Adatok!$C$17+1),((Adatok!$C$13*Adatok!$C$20*Adatok!$I39*Adatok!$J39)/(8*(VLOOKUP(AM$19,Számítás!$B$19:$H$63,7,FALSE)))+(Adatok!$C$13^3*Adatok!$C$20^3*Adatok!$I39^3*Adatok!$J39)/(384*(VLOOKUP(AM$19,Számítás!$B$19:$H$63,7,FALSE))^3))*100,$B$19)</f>
        <v>-</v>
      </c>
      <c r="AN40" s="33" t="str">
        <f>IF(AND($I$19+AM$17*Adatok!$F$11&gt;Adatok!$F$10-0.01,Adatok!$C$16+$B40&lt;Adatok!$C$17+1),((Adatok!$C$13*Adatok!$C$20*Adatok!$I39*Adatok!$J39)/(8*(VLOOKUP(AN$19,Számítás!$B$19:$H$63,7,FALSE)))+(Adatok!$C$13^3*Adatok!$C$20^3*Adatok!$I39^3*Adatok!$J39)/(384*(VLOOKUP(AN$19,Számítás!$B$19:$H$63,7,FALSE))^3))*100,$B$19)</f>
        <v>-</v>
      </c>
      <c r="AO40" s="33" t="str">
        <f>IF(AND($I$19+AN$17*Adatok!$F$11&gt;Adatok!$F$10-0.01,Adatok!$C$16+$B40&lt;Adatok!$C$17+1),((Adatok!$C$13*Adatok!$C$20*Adatok!$I39*Adatok!$J39)/(8*(VLOOKUP(AO$19,Számítás!$B$19:$H$63,7,FALSE)))+(Adatok!$C$13^3*Adatok!$C$20^3*Adatok!$I39^3*Adatok!$J39)/(384*(VLOOKUP(AO$19,Számítás!$B$19:$H$63,7,FALSE))^3))*100,$B$19)</f>
        <v>-</v>
      </c>
      <c r="AP40" s="33" t="str">
        <f>IF(AND($I$19+AO$17*Adatok!$F$11&gt;Adatok!$F$10-0.01,Adatok!$C$16+$B40&lt;Adatok!$C$17+1),((Adatok!$C$13*Adatok!$C$20*Adatok!$I39*Adatok!$J39)/(8*(VLOOKUP(AP$19,Számítás!$B$19:$H$63,7,FALSE)))+(Adatok!$C$13^3*Adatok!$C$20^3*Adatok!$I39^3*Adatok!$J39)/(384*(VLOOKUP(AP$19,Számítás!$B$19:$H$63,7,FALSE))^3))*100,$B$19)</f>
        <v>-</v>
      </c>
      <c r="AQ40" s="33" t="str">
        <f>IF(AND($I$19+AP$17*Adatok!$F$11&gt;Adatok!$F$10-0.01,Adatok!$C$16+$B40&lt;Adatok!$C$17+1),((Adatok!$C$13*Adatok!$C$20*Adatok!$I39*Adatok!$J39)/(8*(VLOOKUP(AQ$19,Számítás!$B$19:$H$63,7,FALSE)))+(Adatok!$C$13^3*Adatok!$C$20^3*Adatok!$I39^3*Adatok!$J39)/(384*(VLOOKUP(AQ$19,Számítás!$B$19:$H$63,7,FALSE))^3))*100,$B$19)</f>
        <v>-</v>
      </c>
      <c r="AR40" s="33" t="str">
        <f>IF(AND($I$19+AQ$17*Adatok!$F$11&gt;Adatok!$F$10-0.01,Adatok!$C$16+$B40&lt;Adatok!$C$17+1),((Adatok!$C$13*Adatok!$C$20*Adatok!$I39*Adatok!$J39)/(8*(VLOOKUP(AR$19,Számítás!$B$19:$H$63,7,FALSE)))+(Adatok!$C$13^3*Adatok!$C$20^3*Adatok!$I39^3*Adatok!$J39)/(384*(VLOOKUP(AR$19,Számítás!$B$19:$H$63,7,FALSE))^3))*100,$B$19)</f>
        <v>-</v>
      </c>
      <c r="AS40" s="33" t="str">
        <f>IF(AND($I$19+AR$17*Adatok!$F$11&gt;Adatok!$F$10-0.01,Adatok!$C$16+$B40&lt;Adatok!$C$17+1),((Adatok!$C$13*Adatok!$C$20*Adatok!$I39*Adatok!$J39)/(8*(VLOOKUP(AS$19,Számítás!$B$19:$H$63,7,FALSE)))+(Adatok!$C$13^3*Adatok!$C$20^3*Adatok!$I39^3*Adatok!$J39)/(384*(VLOOKUP(AS$19,Számítás!$B$19:$H$63,7,FALSE))^3))*100,$B$19)</f>
        <v>-</v>
      </c>
      <c r="AT40" s="33" t="str">
        <f>IF(AND($I$19+AS$17*Adatok!$F$11&gt;Adatok!$F$10-0.01,Adatok!$C$16+$B40&lt;Adatok!$C$17+1),((Adatok!$C$13*Adatok!$C$20*Adatok!$I39*Adatok!$J39)/(8*(VLOOKUP(AT$19,Számítás!$B$19:$H$63,7,FALSE)))+(Adatok!$C$13^3*Adatok!$C$20^3*Adatok!$I39^3*Adatok!$J39)/(384*(VLOOKUP(AT$19,Számítás!$B$19:$H$63,7,FALSE))^3))*100,$B$19)</f>
        <v>-</v>
      </c>
      <c r="AU40" s="33" t="str">
        <f>IF(AND($I$19+AT$17*Adatok!$F$11&gt;Adatok!$F$10-0.01,Adatok!$C$16+$B40&lt;Adatok!$C$17+1),((Adatok!$C$13*Adatok!$C$20*Adatok!$I39*Adatok!$J39)/(8*(VLOOKUP(AU$19,Számítás!$B$19:$H$63,7,FALSE)))+(Adatok!$C$13^3*Adatok!$C$20^3*Adatok!$I39^3*Adatok!$J39)/(384*(VLOOKUP(AU$19,Számítás!$B$19:$H$63,7,FALSE))^3))*100,$B$19)</f>
        <v>-</v>
      </c>
      <c r="AV40" s="33" t="str">
        <f>IF(AND($I$19+AU$17*Adatok!$F$11&gt;Adatok!$F$10-0.01,Adatok!$C$16+$B40&lt;Adatok!$C$17+1),((Adatok!$C$13*Adatok!$C$20*Adatok!$I39*Adatok!$J39)/(8*(VLOOKUP(AV$19,Számítás!$B$19:$H$63,7,FALSE)))+(Adatok!$C$13^3*Adatok!$C$20^3*Adatok!$I39^3*Adatok!$J39)/(384*(VLOOKUP(AV$19,Számítás!$B$19:$H$63,7,FALSE))^3))*100,$B$19)</f>
        <v>-</v>
      </c>
      <c r="AW40" s="33" t="str">
        <f>IF(AND($I$19+AV$17*Adatok!$F$11&gt;Adatok!$F$10-0.01,Adatok!$C$16+$B40&lt;Adatok!$C$17+1),((Adatok!$C$13*Adatok!$C$20*Adatok!$I39*Adatok!$J39)/(8*(VLOOKUP(AW$19,Számítás!$B$19:$H$63,7,FALSE)))+(Adatok!$C$13^3*Adatok!$C$20^3*Adatok!$I39^3*Adatok!$J39)/(384*(VLOOKUP(AW$19,Számítás!$B$19:$H$63,7,FALSE))^3))*100,$B$19)</f>
        <v>-</v>
      </c>
      <c r="AX40" s="33" t="str">
        <f>IF(AND($I$19+AW$17*Adatok!$F$11&gt;Adatok!$F$10-0.01,Adatok!$C$16+$B40&lt;Adatok!$C$17+1),((Adatok!$C$13*Adatok!$C$20*Adatok!$I39*Adatok!$J39)/(8*(VLOOKUP(AX$19,Számítás!$B$19:$H$63,7,FALSE)))+(Adatok!$C$13^3*Adatok!$C$20^3*Adatok!$I39^3*Adatok!$J39)/(384*(VLOOKUP(AX$19,Számítás!$B$19:$H$63,7,FALSE))^3))*100,$B$19)</f>
        <v>-</v>
      </c>
      <c r="AY40" s="33" t="str">
        <f>IF(AND($I$19+AX$17*Adatok!$F$11&gt;Adatok!$F$10-0.01,Adatok!$C$16+$B40&lt;Adatok!$C$17+1),((Adatok!$C$13*Adatok!$C$20*Adatok!$I39*Adatok!$J39)/(8*(VLOOKUP(AY$19,Számítás!$B$19:$H$63,7,FALSE)))+(Adatok!$C$13^3*Adatok!$C$20^3*Adatok!$I39^3*Adatok!$J39)/(384*(VLOOKUP(AY$19,Számítás!$B$19:$H$63,7,FALSE))^3))*100,$B$19)</f>
        <v>-</v>
      </c>
      <c r="AZ40" s="33" t="str">
        <f>IF(AND($I$19+AY$17*Adatok!$F$11&gt;Adatok!$F$10-0.01,Adatok!$C$16+$B40&lt;Adatok!$C$17+1),((Adatok!$C$13*Adatok!$C$20*Adatok!$I39*Adatok!$J39)/(8*(VLOOKUP(AZ$19,Számítás!$B$19:$H$63,7,FALSE)))+(Adatok!$C$13^3*Adatok!$C$20^3*Adatok!$I39^3*Adatok!$J39)/(384*(VLOOKUP(AZ$19,Számítás!$B$19:$H$63,7,FALSE))^3))*100,$B$19)</f>
        <v>-</v>
      </c>
      <c r="BA40" s="33" t="str">
        <f>IF(AND($I$19+AZ$17*Adatok!$F$11&gt;Adatok!$F$10-0.01,Adatok!$C$16+$B40&lt;Adatok!$C$17+1),((Adatok!$C$13*Adatok!$C$20*Adatok!$I39*Adatok!$J39)/(8*(VLOOKUP(BA$19,Számítás!$B$19:$H$63,7,FALSE)))+(Adatok!$C$13^3*Adatok!$C$20^3*Adatok!$I39^3*Adatok!$J39)/(384*(VLOOKUP(BA$19,Számítás!$B$19:$H$63,7,FALSE))^3))*100,$B$19)</f>
        <v>-</v>
      </c>
    </row>
    <row r="41" spans="2:53" ht="18" customHeight="1" x14ac:dyDescent="0.25">
      <c r="B41" s="1">
        <v>22</v>
      </c>
      <c r="C41" s="333" t="str">
        <f>Adatok!F40</f>
        <v>-</v>
      </c>
      <c r="D41" s="32" t="s">
        <v>27</v>
      </c>
      <c r="E41" s="336" t="str">
        <f>Adatok!H40</f>
        <v>-</v>
      </c>
      <c r="F41" s="64" t="str">
        <f>IF(Adatok!$C$16+B41&gt;Adatok!$C$17,$B$19,Adatok!I40)</f>
        <v>-</v>
      </c>
      <c r="G41" s="60"/>
      <c r="H41" s="72" t="str">
        <f>IF(Adatok!$C$16+B41&gt;Adatok!$C$17,$B$19,Adatok!J40/Adatok!I40)</f>
        <v>-</v>
      </c>
      <c r="I41" s="81" t="str">
        <f>IF(Adatok!$C$16+$B41&lt;Adatok!$C$17+1,((((Adatok!$C$13*Adatok!$C$20*Adatok!$I40*Adatok!$J40)/(8*(VLOOKUP(I$19,Számítás!$B$19:$H$63,7,FALSE))))+((Adatok!$C$13^3*Adatok!$C$20^3*Adatok!$I40^3*Adatok!$J40)/(384*(VLOOKUP(I$19,Számítás!$B$19:$H$63,7,FALSE))^3)))*100),$B$19)</f>
        <v>-</v>
      </c>
      <c r="J41" s="33" t="str">
        <f>IF(AND($I$19+I$17*Adatok!$F$11&gt;Adatok!$F$10-0.01,Adatok!$C$16+$B41&lt;Adatok!$C$17+1),((Adatok!$C$13*Adatok!$C$20*Adatok!$I40*Adatok!$J40)/(8*(VLOOKUP(J$19,Számítás!$B$19:$H$63,7,FALSE)))+(Adatok!$C$13^3*Adatok!$C$20^3*Adatok!$I40^3*Adatok!$J40)/(384*(VLOOKUP(J$19,Számítás!$B$19:$H$63,7,FALSE))^3))*100,$B$19)</f>
        <v>-</v>
      </c>
      <c r="K41" s="33" t="str">
        <f>IF(AND($I$19+J$17*Adatok!$F$11&gt;Adatok!$F$10-0.01,Adatok!$C$16+$B41&lt;Adatok!$C$17+1),((Adatok!$C$13*Adatok!$C$20*Adatok!$I40*Adatok!$J40)/(8*(VLOOKUP(K$19,Számítás!$B$19:$H$63,7,FALSE)))+(Adatok!$C$13^3*Adatok!$C$20^3*Adatok!$I40^3*Adatok!$J40)/(384*(VLOOKUP(K$19,Számítás!$B$19:$H$63,7,FALSE))^3))*100,$B$19)</f>
        <v>-</v>
      </c>
      <c r="L41" s="33" t="str">
        <f>IF(AND($I$19+K$17*Adatok!$F$11&gt;Adatok!$F$10-0.01,Adatok!$C$16+$B41&lt;Adatok!$C$17+1),((Adatok!$C$13*Adatok!$C$20*Adatok!$I40*Adatok!$J40)/(8*(VLOOKUP(L$19,Számítás!$B$19:$H$63,7,FALSE)))+(Adatok!$C$13^3*Adatok!$C$20^3*Adatok!$I40^3*Adatok!$J40)/(384*(VLOOKUP(L$19,Számítás!$B$19:$H$63,7,FALSE))^3))*100,$B$19)</f>
        <v>-</v>
      </c>
      <c r="M41" s="33" t="str">
        <f>IF(AND($I$19+L$17*Adatok!$F$11&gt;Adatok!$F$10-0.01,Adatok!$C$16+$B41&lt;Adatok!$C$17+1),((Adatok!$C$13*Adatok!$C$20*Adatok!$I40*Adatok!$J40)/(8*(VLOOKUP(M$19,Számítás!$B$19:$H$63,7,FALSE)))+(Adatok!$C$13^3*Adatok!$C$20^3*Adatok!$I40^3*Adatok!$J40)/(384*(VLOOKUP(M$19,Számítás!$B$19:$H$63,7,FALSE))^3))*100,$B$19)</f>
        <v>-</v>
      </c>
      <c r="N41" s="33" t="str">
        <f>IF(AND($I$19+M$17*Adatok!$F$11&gt;Adatok!$F$10-0.01,Adatok!$C$16+$B41&lt;Adatok!$C$17+1),((Adatok!$C$13*Adatok!$C$20*Adatok!$I40*Adatok!$J40)/(8*(VLOOKUP(N$19,Számítás!$B$19:$H$63,7,FALSE)))+(Adatok!$C$13^3*Adatok!$C$20^3*Adatok!$I40^3*Adatok!$J40)/(384*(VLOOKUP(N$19,Számítás!$B$19:$H$63,7,FALSE))^3))*100,$B$19)</f>
        <v>-</v>
      </c>
      <c r="O41" s="33" t="str">
        <f>IF(AND($I$19+N$17*Adatok!$F$11&gt;Adatok!$F$10-0.01,Adatok!$C$16+$B41&lt;Adatok!$C$17+1),((Adatok!$C$13*Adatok!$C$20*Adatok!$I40*Adatok!$J40)/(8*(VLOOKUP(O$19,Számítás!$B$19:$H$63,7,FALSE)))+(Adatok!$C$13^3*Adatok!$C$20^3*Adatok!$I40^3*Adatok!$J40)/(384*(VLOOKUP(O$19,Számítás!$B$19:$H$63,7,FALSE))^3))*100,$B$19)</f>
        <v>-</v>
      </c>
      <c r="P41" s="33" t="str">
        <f>IF(AND($I$19+O$17*Adatok!$F$11&gt;Adatok!$F$10-0.01,Adatok!$C$16+$B41&lt;Adatok!$C$17+1),((Adatok!$C$13*Adatok!$C$20*Adatok!$I40*Adatok!$J40)/(8*(VLOOKUP(P$19,Számítás!$B$19:$H$63,7,FALSE)))+(Adatok!$C$13^3*Adatok!$C$20^3*Adatok!$I40^3*Adatok!$J40)/(384*(VLOOKUP(P$19,Számítás!$B$19:$H$63,7,FALSE))^3))*100,$B$19)</f>
        <v>-</v>
      </c>
      <c r="Q41" s="33" t="str">
        <f>IF(AND($I$19+P$17*Adatok!$F$11&gt;Adatok!$F$10-0.01,Adatok!$C$16+$B41&lt;Adatok!$C$17+1),((Adatok!$C$13*Adatok!$C$20*Adatok!$I40*Adatok!$J40)/(8*(VLOOKUP(Q$19,Számítás!$B$19:$H$63,7,FALSE)))+(Adatok!$C$13^3*Adatok!$C$20^3*Adatok!$I40^3*Adatok!$J40)/(384*(VLOOKUP(Q$19,Számítás!$B$19:$H$63,7,FALSE))^3))*100,$B$19)</f>
        <v>-</v>
      </c>
      <c r="R41" s="33" t="str">
        <f>IF(AND($I$19+Q$17*Adatok!$F$11&gt;Adatok!$F$10-0.01,Adatok!$C$16+$B41&lt;Adatok!$C$17+1),((Adatok!$C$13*Adatok!$C$20*Adatok!$I40*Adatok!$J40)/(8*(VLOOKUP(R$19,Számítás!$B$19:$H$63,7,FALSE)))+(Adatok!$C$13^3*Adatok!$C$20^3*Adatok!$I40^3*Adatok!$J40)/(384*(VLOOKUP(R$19,Számítás!$B$19:$H$63,7,FALSE))^3))*100,$B$19)</f>
        <v>-</v>
      </c>
      <c r="S41" s="33" t="str">
        <f>IF(AND($I$19+R$17*Adatok!$F$11&gt;Adatok!$F$10-0.01,Adatok!$C$16+$B41&lt;Adatok!$C$17+1),((Adatok!$C$13*Adatok!$C$20*Adatok!$I40*Adatok!$J40)/(8*(VLOOKUP(S$19,Számítás!$B$19:$H$63,7,FALSE)))+(Adatok!$C$13^3*Adatok!$C$20^3*Adatok!$I40^3*Adatok!$J40)/(384*(VLOOKUP(S$19,Számítás!$B$19:$H$63,7,FALSE))^3))*100,$B$19)</f>
        <v>-</v>
      </c>
      <c r="T41" s="33" t="str">
        <f>IF(AND($I$19+S$17*Adatok!$F$11&gt;Adatok!$F$10-0.01,Adatok!$C$16+$B41&lt;Adatok!$C$17+1),((Adatok!$C$13*Adatok!$C$20*Adatok!$I40*Adatok!$J40)/(8*(VLOOKUP(T$19,Számítás!$B$19:$H$63,7,FALSE)))+(Adatok!$C$13^3*Adatok!$C$20^3*Adatok!$I40^3*Adatok!$J40)/(384*(VLOOKUP(T$19,Számítás!$B$19:$H$63,7,FALSE))^3))*100,$B$19)</f>
        <v>-</v>
      </c>
      <c r="U41" s="33" t="str">
        <f>IF(AND($I$19+T$17*Adatok!$F$11&gt;Adatok!$F$10-0.01,Adatok!$C$16+$B41&lt;Adatok!$C$17+1),((Adatok!$C$13*Adatok!$C$20*Adatok!$I40*Adatok!$J40)/(8*(VLOOKUP(U$19,Számítás!$B$19:$H$63,7,FALSE)))+(Adatok!$C$13^3*Adatok!$C$20^3*Adatok!$I40^3*Adatok!$J40)/(384*(VLOOKUP(U$19,Számítás!$B$19:$H$63,7,FALSE))^3))*100,$B$19)</f>
        <v>-</v>
      </c>
      <c r="V41" s="33" t="str">
        <f>IF(AND($I$19+U$17*Adatok!$F$11&gt;Adatok!$F$10-0.01,Adatok!$C$16+$B41&lt;Adatok!$C$17+1),((Adatok!$C$13*Adatok!$C$20*Adatok!$I40*Adatok!$J40)/(8*(VLOOKUP(V$19,Számítás!$B$19:$H$63,7,FALSE)))+(Adatok!$C$13^3*Adatok!$C$20^3*Adatok!$I40^3*Adatok!$J40)/(384*(VLOOKUP(V$19,Számítás!$B$19:$H$63,7,FALSE))^3))*100,$B$19)</f>
        <v>-</v>
      </c>
      <c r="W41" s="33" t="str">
        <f>IF(AND($I$19+V$17*Adatok!$F$11&gt;Adatok!$F$10-0.01,Adatok!$C$16+$B41&lt;Adatok!$C$17+1),((Adatok!$C$13*Adatok!$C$20*Adatok!$I40*Adatok!$J40)/(8*(VLOOKUP(W$19,Számítás!$B$19:$H$63,7,FALSE)))+(Adatok!$C$13^3*Adatok!$C$20^3*Adatok!$I40^3*Adatok!$J40)/(384*(VLOOKUP(W$19,Számítás!$B$19:$H$63,7,FALSE))^3))*100,$B$19)</f>
        <v>-</v>
      </c>
      <c r="X41" s="33" t="str">
        <f>IF(AND($I$19+W$17*Adatok!$F$11&gt;Adatok!$F$10-0.01,Adatok!$C$16+$B41&lt;Adatok!$C$17+1),((Adatok!$C$13*Adatok!$C$20*Adatok!$I40*Adatok!$J40)/(8*(VLOOKUP(X$19,Számítás!$B$19:$H$63,7,FALSE)))+(Adatok!$C$13^3*Adatok!$C$20^3*Adatok!$I40^3*Adatok!$J40)/(384*(VLOOKUP(X$19,Számítás!$B$19:$H$63,7,FALSE))^3))*100,$B$19)</f>
        <v>-</v>
      </c>
      <c r="Y41" s="33" t="str">
        <f>IF(AND($I$19+X$17*Adatok!$F$11&gt;Adatok!$F$10-0.01,Adatok!$C$16+$B41&lt;Adatok!$C$17+1),((Adatok!$C$13*Adatok!$C$20*Adatok!$I40*Adatok!$J40)/(8*(VLOOKUP(Y$19,Számítás!$B$19:$H$63,7,FALSE)))+(Adatok!$C$13^3*Adatok!$C$20^3*Adatok!$I40^3*Adatok!$J40)/(384*(VLOOKUP(Y$19,Számítás!$B$19:$H$63,7,FALSE))^3))*100,$B$19)</f>
        <v>-</v>
      </c>
      <c r="Z41" s="33" t="str">
        <f>IF(AND($I$19+Y$17*Adatok!$F$11&gt;Adatok!$F$10-0.01,Adatok!$C$16+$B41&lt;Adatok!$C$17+1),((Adatok!$C$13*Adatok!$C$20*Adatok!$I40*Adatok!$J40)/(8*(VLOOKUP(Z$19,Számítás!$B$19:$H$63,7,FALSE)))+(Adatok!$C$13^3*Adatok!$C$20^3*Adatok!$I40^3*Adatok!$J40)/(384*(VLOOKUP(Z$19,Számítás!$B$19:$H$63,7,FALSE))^3))*100,$B$19)</f>
        <v>-</v>
      </c>
      <c r="AA41" s="33" t="str">
        <f>IF(AND($I$19+Z$17*Adatok!$F$11&gt;Adatok!$F$10-0.01,Adatok!$C$16+$B41&lt;Adatok!$C$17+1),((Adatok!$C$13*Adatok!$C$20*Adatok!$I40*Adatok!$J40)/(8*(VLOOKUP(AA$19,Számítás!$B$19:$H$63,7,FALSE)))+(Adatok!$C$13^3*Adatok!$C$20^3*Adatok!$I40^3*Adatok!$J40)/(384*(VLOOKUP(AA$19,Számítás!$B$19:$H$63,7,FALSE))^3))*100,$B$19)</f>
        <v>-</v>
      </c>
      <c r="AB41" s="33" t="str">
        <f>IF(AND($I$19+AA$17*Adatok!$F$11&gt;Adatok!$F$10-0.01,Adatok!$C$16+$B41&lt;Adatok!$C$17+1),((Adatok!$C$13*Adatok!$C$20*Adatok!$I40*Adatok!$J40)/(8*(VLOOKUP(AB$19,Számítás!$B$19:$H$63,7,FALSE)))+(Adatok!$C$13^3*Adatok!$C$20^3*Adatok!$I40^3*Adatok!$J40)/(384*(VLOOKUP(AB$19,Számítás!$B$19:$H$63,7,FALSE))^3))*100,$B$19)</f>
        <v>-</v>
      </c>
      <c r="AC41" s="33" t="str">
        <f>IF(AND($I$19+AB$17*Adatok!$F$11&gt;Adatok!$F$10-0.01,Adatok!$C$16+$B41&lt;Adatok!$C$17+1),((Adatok!$C$13*Adatok!$C$20*Adatok!$I40*Adatok!$J40)/(8*(VLOOKUP(AC$19,Számítás!$B$19:$H$63,7,FALSE)))+(Adatok!$C$13^3*Adatok!$C$20^3*Adatok!$I40^3*Adatok!$J40)/(384*(VLOOKUP(AC$19,Számítás!$B$19:$H$63,7,FALSE))^3))*100,$B$19)</f>
        <v>-</v>
      </c>
      <c r="AD41" s="33" t="str">
        <f>IF(AND($I$19+AC$17*Adatok!$F$11&gt;Adatok!$F$10-0.01,Adatok!$C$16+$B41&lt;Adatok!$C$17+1),((Adatok!$C$13*Adatok!$C$20*Adatok!$I40*Adatok!$J40)/(8*(VLOOKUP(AD$19,Számítás!$B$19:$H$63,7,FALSE)))+(Adatok!$C$13^3*Adatok!$C$20^3*Adatok!$I40^3*Adatok!$J40)/(384*(VLOOKUP(AD$19,Számítás!$B$19:$H$63,7,FALSE))^3))*100,$B$19)</f>
        <v>-</v>
      </c>
      <c r="AE41" s="33" t="str">
        <f>IF(AND($I$19+AD$17*Adatok!$F$11&gt;Adatok!$F$10-0.01,Adatok!$C$16+$B41&lt;Adatok!$C$17+1),((Adatok!$C$13*Adatok!$C$20*Adatok!$I40*Adatok!$J40)/(8*(VLOOKUP(AE$19,Számítás!$B$19:$H$63,7,FALSE)))+(Adatok!$C$13^3*Adatok!$C$20^3*Adatok!$I40^3*Adatok!$J40)/(384*(VLOOKUP(AE$19,Számítás!$B$19:$H$63,7,FALSE))^3))*100,$B$19)</f>
        <v>-</v>
      </c>
      <c r="AF41" s="33" t="str">
        <f>IF(AND($I$19+AE$17*Adatok!$F$11&gt;Adatok!$F$10-0.01,Adatok!$C$16+$B41&lt;Adatok!$C$17+1),((Adatok!$C$13*Adatok!$C$20*Adatok!$I40*Adatok!$J40)/(8*(VLOOKUP(AF$19,Számítás!$B$19:$H$63,7,FALSE)))+(Adatok!$C$13^3*Adatok!$C$20^3*Adatok!$I40^3*Adatok!$J40)/(384*(VLOOKUP(AF$19,Számítás!$B$19:$H$63,7,FALSE))^3))*100,$B$19)</f>
        <v>-</v>
      </c>
      <c r="AG41" s="33" t="str">
        <f>IF(AND($I$19+AF$17*Adatok!$F$11&gt;Adatok!$F$10-0.01,Adatok!$C$16+$B41&lt;Adatok!$C$17+1),((Adatok!$C$13*Adatok!$C$20*Adatok!$I40*Adatok!$J40)/(8*(VLOOKUP(AG$19,Számítás!$B$19:$H$63,7,FALSE)))+(Adatok!$C$13^3*Adatok!$C$20^3*Adatok!$I40^3*Adatok!$J40)/(384*(VLOOKUP(AG$19,Számítás!$B$19:$H$63,7,FALSE))^3))*100,$B$19)</f>
        <v>-</v>
      </c>
      <c r="AH41" s="33" t="str">
        <f>IF(AND($I$19+AG$17*Adatok!$F$11&gt;Adatok!$F$10-0.01,Adatok!$C$16+$B41&lt;Adatok!$C$17+1),((Adatok!$C$13*Adatok!$C$20*Adatok!$I40*Adatok!$J40)/(8*(VLOOKUP(AH$19,Számítás!$B$19:$H$63,7,FALSE)))+(Adatok!$C$13^3*Adatok!$C$20^3*Adatok!$I40^3*Adatok!$J40)/(384*(VLOOKUP(AH$19,Számítás!$B$19:$H$63,7,FALSE))^3))*100,$B$19)</f>
        <v>-</v>
      </c>
      <c r="AI41" s="33" t="str">
        <f>IF(AND($I$19+AH$17*Adatok!$F$11&gt;Adatok!$F$10-0.01,Adatok!$C$16+$B41&lt;Adatok!$C$17+1),((Adatok!$C$13*Adatok!$C$20*Adatok!$I40*Adatok!$J40)/(8*(VLOOKUP(AI$19,Számítás!$B$19:$H$63,7,FALSE)))+(Adatok!$C$13^3*Adatok!$C$20^3*Adatok!$I40^3*Adatok!$J40)/(384*(VLOOKUP(AI$19,Számítás!$B$19:$H$63,7,FALSE))^3))*100,$B$19)</f>
        <v>-</v>
      </c>
      <c r="AJ41" s="33" t="str">
        <f>IF(AND($I$19+AI$17*Adatok!$F$11&gt;Adatok!$F$10-0.01,Adatok!$C$16+$B41&lt;Adatok!$C$17+1),((Adatok!$C$13*Adatok!$C$20*Adatok!$I40*Adatok!$J40)/(8*(VLOOKUP(AJ$19,Számítás!$B$19:$H$63,7,FALSE)))+(Adatok!$C$13^3*Adatok!$C$20^3*Adatok!$I40^3*Adatok!$J40)/(384*(VLOOKUP(AJ$19,Számítás!$B$19:$H$63,7,FALSE))^3))*100,$B$19)</f>
        <v>-</v>
      </c>
      <c r="AK41" s="33" t="str">
        <f>IF(AND($I$19+AJ$17*Adatok!$F$11&gt;Adatok!$F$10-0.01,Adatok!$C$16+$B41&lt;Adatok!$C$17+1),((Adatok!$C$13*Adatok!$C$20*Adatok!$I40*Adatok!$J40)/(8*(VLOOKUP(AK$19,Számítás!$B$19:$H$63,7,FALSE)))+(Adatok!$C$13^3*Adatok!$C$20^3*Adatok!$I40^3*Adatok!$J40)/(384*(VLOOKUP(AK$19,Számítás!$B$19:$H$63,7,FALSE))^3))*100,$B$19)</f>
        <v>-</v>
      </c>
      <c r="AL41" s="33" t="str">
        <f>IF(AND($I$19+AK$17*Adatok!$F$11&gt;Adatok!$F$10-0.01,Adatok!$C$16+$B41&lt;Adatok!$C$17+1),((Adatok!$C$13*Adatok!$C$20*Adatok!$I40*Adatok!$J40)/(8*(VLOOKUP(AL$19,Számítás!$B$19:$H$63,7,FALSE)))+(Adatok!$C$13^3*Adatok!$C$20^3*Adatok!$I40^3*Adatok!$J40)/(384*(VLOOKUP(AL$19,Számítás!$B$19:$H$63,7,FALSE))^3))*100,$B$19)</f>
        <v>-</v>
      </c>
      <c r="AM41" s="33" t="str">
        <f>IF(AND($I$19+AL$17*Adatok!$F$11&gt;Adatok!$F$10-0.01,Adatok!$C$16+$B41&lt;Adatok!$C$17+1),((Adatok!$C$13*Adatok!$C$20*Adatok!$I40*Adatok!$J40)/(8*(VLOOKUP(AM$19,Számítás!$B$19:$H$63,7,FALSE)))+(Adatok!$C$13^3*Adatok!$C$20^3*Adatok!$I40^3*Adatok!$J40)/(384*(VLOOKUP(AM$19,Számítás!$B$19:$H$63,7,FALSE))^3))*100,$B$19)</f>
        <v>-</v>
      </c>
      <c r="AN41" s="33" t="str">
        <f>IF(AND($I$19+AM$17*Adatok!$F$11&gt;Adatok!$F$10-0.01,Adatok!$C$16+$B41&lt;Adatok!$C$17+1),((Adatok!$C$13*Adatok!$C$20*Adatok!$I40*Adatok!$J40)/(8*(VLOOKUP(AN$19,Számítás!$B$19:$H$63,7,FALSE)))+(Adatok!$C$13^3*Adatok!$C$20^3*Adatok!$I40^3*Adatok!$J40)/(384*(VLOOKUP(AN$19,Számítás!$B$19:$H$63,7,FALSE))^3))*100,$B$19)</f>
        <v>-</v>
      </c>
      <c r="AO41" s="33" t="str">
        <f>IF(AND($I$19+AN$17*Adatok!$F$11&gt;Adatok!$F$10-0.01,Adatok!$C$16+$B41&lt;Adatok!$C$17+1),((Adatok!$C$13*Adatok!$C$20*Adatok!$I40*Adatok!$J40)/(8*(VLOOKUP(AO$19,Számítás!$B$19:$H$63,7,FALSE)))+(Adatok!$C$13^3*Adatok!$C$20^3*Adatok!$I40^3*Adatok!$J40)/(384*(VLOOKUP(AO$19,Számítás!$B$19:$H$63,7,FALSE))^3))*100,$B$19)</f>
        <v>-</v>
      </c>
      <c r="AP41" s="33" t="str">
        <f>IF(AND($I$19+AO$17*Adatok!$F$11&gt;Adatok!$F$10-0.01,Adatok!$C$16+$B41&lt;Adatok!$C$17+1),((Adatok!$C$13*Adatok!$C$20*Adatok!$I40*Adatok!$J40)/(8*(VLOOKUP(AP$19,Számítás!$B$19:$H$63,7,FALSE)))+(Adatok!$C$13^3*Adatok!$C$20^3*Adatok!$I40^3*Adatok!$J40)/(384*(VLOOKUP(AP$19,Számítás!$B$19:$H$63,7,FALSE))^3))*100,$B$19)</f>
        <v>-</v>
      </c>
      <c r="AQ41" s="33" t="str">
        <f>IF(AND($I$19+AP$17*Adatok!$F$11&gt;Adatok!$F$10-0.01,Adatok!$C$16+$B41&lt;Adatok!$C$17+1),((Adatok!$C$13*Adatok!$C$20*Adatok!$I40*Adatok!$J40)/(8*(VLOOKUP(AQ$19,Számítás!$B$19:$H$63,7,FALSE)))+(Adatok!$C$13^3*Adatok!$C$20^3*Adatok!$I40^3*Adatok!$J40)/(384*(VLOOKUP(AQ$19,Számítás!$B$19:$H$63,7,FALSE))^3))*100,$B$19)</f>
        <v>-</v>
      </c>
      <c r="AR41" s="33" t="str">
        <f>IF(AND($I$19+AQ$17*Adatok!$F$11&gt;Adatok!$F$10-0.01,Adatok!$C$16+$B41&lt;Adatok!$C$17+1),((Adatok!$C$13*Adatok!$C$20*Adatok!$I40*Adatok!$J40)/(8*(VLOOKUP(AR$19,Számítás!$B$19:$H$63,7,FALSE)))+(Adatok!$C$13^3*Adatok!$C$20^3*Adatok!$I40^3*Adatok!$J40)/(384*(VLOOKUP(AR$19,Számítás!$B$19:$H$63,7,FALSE))^3))*100,$B$19)</f>
        <v>-</v>
      </c>
      <c r="AS41" s="33" t="str">
        <f>IF(AND($I$19+AR$17*Adatok!$F$11&gt;Adatok!$F$10-0.01,Adatok!$C$16+$B41&lt;Adatok!$C$17+1),((Adatok!$C$13*Adatok!$C$20*Adatok!$I40*Adatok!$J40)/(8*(VLOOKUP(AS$19,Számítás!$B$19:$H$63,7,FALSE)))+(Adatok!$C$13^3*Adatok!$C$20^3*Adatok!$I40^3*Adatok!$J40)/(384*(VLOOKUP(AS$19,Számítás!$B$19:$H$63,7,FALSE))^3))*100,$B$19)</f>
        <v>-</v>
      </c>
      <c r="AT41" s="33" t="str">
        <f>IF(AND($I$19+AS$17*Adatok!$F$11&gt;Adatok!$F$10-0.01,Adatok!$C$16+$B41&lt;Adatok!$C$17+1),((Adatok!$C$13*Adatok!$C$20*Adatok!$I40*Adatok!$J40)/(8*(VLOOKUP(AT$19,Számítás!$B$19:$H$63,7,FALSE)))+(Adatok!$C$13^3*Adatok!$C$20^3*Adatok!$I40^3*Adatok!$J40)/(384*(VLOOKUP(AT$19,Számítás!$B$19:$H$63,7,FALSE))^3))*100,$B$19)</f>
        <v>-</v>
      </c>
      <c r="AU41" s="33" t="str">
        <f>IF(AND($I$19+AT$17*Adatok!$F$11&gt;Adatok!$F$10-0.01,Adatok!$C$16+$B41&lt;Adatok!$C$17+1),((Adatok!$C$13*Adatok!$C$20*Adatok!$I40*Adatok!$J40)/(8*(VLOOKUP(AU$19,Számítás!$B$19:$H$63,7,FALSE)))+(Adatok!$C$13^3*Adatok!$C$20^3*Adatok!$I40^3*Adatok!$J40)/(384*(VLOOKUP(AU$19,Számítás!$B$19:$H$63,7,FALSE))^3))*100,$B$19)</f>
        <v>-</v>
      </c>
      <c r="AV41" s="33" t="str">
        <f>IF(AND($I$19+AU$17*Adatok!$F$11&gt;Adatok!$F$10-0.01,Adatok!$C$16+$B41&lt;Adatok!$C$17+1),((Adatok!$C$13*Adatok!$C$20*Adatok!$I40*Adatok!$J40)/(8*(VLOOKUP(AV$19,Számítás!$B$19:$H$63,7,FALSE)))+(Adatok!$C$13^3*Adatok!$C$20^3*Adatok!$I40^3*Adatok!$J40)/(384*(VLOOKUP(AV$19,Számítás!$B$19:$H$63,7,FALSE))^3))*100,$B$19)</f>
        <v>-</v>
      </c>
      <c r="AW41" s="33" t="str">
        <f>IF(AND($I$19+AV$17*Adatok!$F$11&gt;Adatok!$F$10-0.01,Adatok!$C$16+$B41&lt;Adatok!$C$17+1),((Adatok!$C$13*Adatok!$C$20*Adatok!$I40*Adatok!$J40)/(8*(VLOOKUP(AW$19,Számítás!$B$19:$H$63,7,FALSE)))+(Adatok!$C$13^3*Adatok!$C$20^3*Adatok!$I40^3*Adatok!$J40)/(384*(VLOOKUP(AW$19,Számítás!$B$19:$H$63,7,FALSE))^3))*100,$B$19)</f>
        <v>-</v>
      </c>
      <c r="AX41" s="33" t="str">
        <f>IF(AND($I$19+AW$17*Adatok!$F$11&gt;Adatok!$F$10-0.01,Adatok!$C$16+$B41&lt;Adatok!$C$17+1),((Adatok!$C$13*Adatok!$C$20*Adatok!$I40*Adatok!$J40)/(8*(VLOOKUP(AX$19,Számítás!$B$19:$H$63,7,FALSE)))+(Adatok!$C$13^3*Adatok!$C$20^3*Adatok!$I40^3*Adatok!$J40)/(384*(VLOOKUP(AX$19,Számítás!$B$19:$H$63,7,FALSE))^3))*100,$B$19)</f>
        <v>-</v>
      </c>
      <c r="AY41" s="33" t="str">
        <f>IF(AND($I$19+AX$17*Adatok!$F$11&gt;Adatok!$F$10-0.01,Adatok!$C$16+$B41&lt;Adatok!$C$17+1),((Adatok!$C$13*Adatok!$C$20*Adatok!$I40*Adatok!$J40)/(8*(VLOOKUP(AY$19,Számítás!$B$19:$H$63,7,FALSE)))+(Adatok!$C$13^3*Adatok!$C$20^3*Adatok!$I40^3*Adatok!$J40)/(384*(VLOOKUP(AY$19,Számítás!$B$19:$H$63,7,FALSE))^3))*100,$B$19)</f>
        <v>-</v>
      </c>
      <c r="AZ41" s="33" t="str">
        <f>IF(AND($I$19+AY$17*Adatok!$F$11&gt;Adatok!$F$10-0.01,Adatok!$C$16+$B41&lt;Adatok!$C$17+1),((Adatok!$C$13*Adatok!$C$20*Adatok!$I40*Adatok!$J40)/(8*(VLOOKUP(AZ$19,Számítás!$B$19:$H$63,7,FALSE)))+(Adatok!$C$13^3*Adatok!$C$20^3*Adatok!$I40^3*Adatok!$J40)/(384*(VLOOKUP(AZ$19,Számítás!$B$19:$H$63,7,FALSE))^3))*100,$B$19)</f>
        <v>-</v>
      </c>
      <c r="BA41" s="33" t="str">
        <f>IF(AND($I$19+AZ$17*Adatok!$F$11&gt;Adatok!$F$10-0.01,Adatok!$C$16+$B41&lt;Adatok!$C$17+1),((Adatok!$C$13*Adatok!$C$20*Adatok!$I40*Adatok!$J40)/(8*(VLOOKUP(BA$19,Számítás!$B$19:$H$63,7,FALSE)))+(Adatok!$C$13^3*Adatok!$C$20^3*Adatok!$I40^3*Adatok!$J40)/(384*(VLOOKUP(BA$19,Számítás!$B$19:$H$63,7,FALSE))^3))*100,$B$19)</f>
        <v>-</v>
      </c>
    </row>
    <row r="42" spans="2:53" ht="18" customHeight="1" x14ac:dyDescent="0.25">
      <c r="B42" s="1">
        <v>23</v>
      </c>
      <c r="C42" s="333" t="str">
        <f>Adatok!F41</f>
        <v>-</v>
      </c>
      <c r="D42" s="32" t="s">
        <v>27</v>
      </c>
      <c r="E42" s="336" t="str">
        <f>Adatok!H41</f>
        <v>-</v>
      </c>
      <c r="F42" s="64" t="str">
        <f>IF(Adatok!$C$16+B42&gt;Adatok!$C$17,$B$19,Adatok!I41)</f>
        <v>-</v>
      </c>
      <c r="G42" s="60"/>
      <c r="H42" s="72" t="str">
        <f>IF(Adatok!$C$16+B42&gt;Adatok!$C$17,$B$19,Adatok!J41/Adatok!I41)</f>
        <v>-</v>
      </c>
      <c r="I42" s="81" t="str">
        <f>IF(Adatok!$C$16+$B42&lt;Adatok!$C$17+1,((((Adatok!$C$13*Adatok!$C$20*Adatok!$I41*Adatok!$J41)/(8*(VLOOKUP(I$19,Számítás!$B$19:$H$63,7,FALSE))))+((Adatok!$C$13^3*Adatok!$C$20^3*Adatok!$I41^3*Adatok!$J41)/(384*(VLOOKUP(I$19,Számítás!$B$19:$H$63,7,FALSE))^3)))*100),$B$19)</f>
        <v>-</v>
      </c>
      <c r="J42" s="33" t="str">
        <f>IF(AND($I$19+I$17*Adatok!$F$11&gt;Adatok!$F$10-0.01,Adatok!$C$16+$B42&lt;Adatok!$C$17+1),((Adatok!$C$13*Adatok!$C$20*Adatok!$I41*Adatok!$J41)/(8*(VLOOKUP(J$19,Számítás!$B$19:$H$63,7,FALSE)))+(Adatok!$C$13^3*Adatok!$C$20^3*Adatok!$I41^3*Adatok!$J41)/(384*(VLOOKUP(J$19,Számítás!$B$19:$H$63,7,FALSE))^3))*100,$B$19)</f>
        <v>-</v>
      </c>
      <c r="K42" s="33" t="str">
        <f>IF(AND($I$19+J$17*Adatok!$F$11&gt;Adatok!$F$10-0.01,Adatok!$C$16+$B42&lt;Adatok!$C$17+1),((Adatok!$C$13*Adatok!$C$20*Adatok!$I41*Adatok!$J41)/(8*(VLOOKUP(K$19,Számítás!$B$19:$H$63,7,FALSE)))+(Adatok!$C$13^3*Adatok!$C$20^3*Adatok!$I41^3*Adatok!$J41)/(384*(VLOOKUP(K$19,Számítás!$B$19:$H$63,7,FALSE))^3))*100,$B$19)</f>
        <v>-</v>
      </c>
      <c r="L42" s="33" t="str">
        <f>IF(AND($I$19+K$17*Adatok!$F$11&gt;Adatok!$F$10-0.01,Adatok!$C$16+$B42&lt;Adatok!$C$17+1),((Adatok!$C$13*Adatok!$C$20*Adatok!$I41*Adatok!$J41)/(8*(VLOOKUP(L$19,Számítás!$B$19:$H$63,7,FALSE)))+(Adatok!$C$13^3*Adatok!$C$20^3*Adatok!$I41^3*Adatok!$J41)/(384*(VLOOKUP(L$19,Számítás!$B$19:$H$63,7,FALSE))^3))*100,$B$19)</f>
        <v>-</v>
      </c>
      <c r="M42" s="33" t="str">
        <f>IF(AND($I$19+L$17*Adatok!$F$11&gt;Adatok!$F$10-0.01,Adatok!$C$16+$B42&lt;Adatok!$C$17+1),((Adatok!$C$13*Adatok!$C$20*Adatok!$I41*Adatok!$J41)/(8*(VLOOKUP(M$19,Számítás!$B$19:$H$63,7,FALSE)))+(Adatok!$C$13^3*Adatok!$C$20^3*Adatok!$I41^3*Adatok!$J41)/(384*(VLOOKUP(M$19,Számítás!$B$19:$H$63,7,FALSE))^3))*100,$B$19)</f>
        <v>-</v>
      </c>
      <c r="N42" s="33" t="str">
        <f>IF(AND($I$19+M$17*Adatok!$F$11&gt;Adatok!$F$10-0.01,Adatok!$C$16+$B42&lt;Adatok!$C$17+1),((Adatok!$C$13*Adatok!$C$20*Adatok!$I41*Adatok!$J41)/(8*(VLOOKUP(N$19,Számítás!$B$19:$H$63,7,FALSE)))+(Adatok!$C$13^3*Adatok!$C$20^3*Adatok!$I41^3*Adatok!$J41)/(384*(VLOOKUP(N$19,Számítás!$B$19:$H$63,7,FALSE))^3))*100,$B$19)</f>
        <v>-</v>
      </c>
      <c r="O42" s="33" t="str">
        <f>IF(AND($I$19+N$17*Adatok!$F$11&gt;Adatok!$F$10-0.01,Adatok!$C$16+$B42&lt;Adatok!$C$17+1),((Adatok!$C$13*Adatok!$C$20*Adatok!$I41*Adatok!$J41)/(8*(VLOOKUP(O$19,Számítás!$B$19:$H$63,7,FALSE)))+(Adatok!$C$13^3*Adatok!$C$20^3*Adatok!$I41^3*Adatok!$J41)/(384*(VLOOKUP(O$19,Számítás!$B$19:$H$63,7,FALSE))^3))*100,$B$19)</f>
        <v>-</v>
      </c>
      <c r="P42" s="33" t="str">
        <f>IF(AND($I$19+O$17*Adatok!$F$11&gt;Adatok!$F$10-0.01,Adatok!$C$16+$B42&lt;Adatok!$C$17+1),((Adatok!$C$13*Adatok!$C$20*Adatok!$I41*Adatok!$J41)/(8*(VLOOKUP(P$19,Számítás!$B$19:$H$63,7,FALSE)))+(Adatok!$C$13^3*Adatok!$C$20^3*Adatok!$I41^3*Adatok!$J41)/(384*(VLOOKUP(P$19,Számítás!$B$19:$H$63,7,FALSE))^3))*100,$B$19)</f>
        <v>-</v>
      </c>
      <c r="Q42" s="33" t="str">
        <f>IF(AND($I$19+P$17*Adatok!$F$11&gt;Adatok!$F$10-0.01,Adatok!$C$16+$B42&lt;Adatok!$C$17+1),((Adatok!$C$13*Adatok!$C$20*Adatok!$I41*Adatok!$J41)/(8*(VLOOKUP(Q$19,Számítás!$B$19:$H$63,7,FALSE)))+(Adatok!$C$13^3*Adatok!$C$20^3*Adatok!$I41^3*Adatok!$J41)/(384*(VLOOKUP(Q$19,Számítás!$B$19:$H$63,7,FALSE))^3))*100,$B$19)</f>
        <v>-</v>
      </c>
      <c r="R42" s="33" t="str">
        <f>IF(AND($I$19+Q$17*Adatok!$F$11&gt;Adatok!$F$10-0.01,Adatok!$C$16+$B42&lt;Adatok!$C$17+1),((Adatok!$C$13*Adatok!$C$20*Adatok!$I41*Adatok!$J41)/(8*(VLOOKUP(R$19,Számítás!$B$19:$H$63,7,FALSE)))+(Adatok!$C$13^3*Adatok!$C$20^3*Adatok!$I41^3*Adatok!$J41)/(384*(VLOOKUP(R$19,Számítás!$B$19:$H$63,7,FALSE))^3))*100,$B$19)</f>
        <v>-</v>
      </c>
      <c r="S42" s="33" t="str">
        <f>IF(AND($I$19+R$17*Adatok!$F$11&gt;Adatok!$F$10-0.01,Adatok!$C$16+$B42&lt;Adatok!$C$17+1),((Adatok!$C$13*Adatok!$C$20*Adatok!$I41*Adatok!$J41)/(8*(VLOOKUP(S$19,Számítás!$B$19:$H$63,7,FALSE)))+(Adatok!$C$13^3*Adatok!$C$20^3*Adatok!$I41^3*Adatok!$J41)/(384*(VLOOKUP(S$19,Számítás!$B$19:$H$63,7,FALSE))^3))*100,$B$19)</f>
        <v>-</v>
      </c>
      <c r="T42" s="33" t="str">
        <f>IF(AND($I$19+S$17*Adatok!$F$11&gt;Adatok!$F$10-0.01,Adatok!$C$16+$B42&lt;Adatok!$C$17+1),((Adatok!$C$13*Adatok!$C$20*Adatok!$I41*Adatok!$J41)/(8*(VLOOKUP(T$19,Számítás!$B$19:$H$63,7,FALSE)))+(Adatok!$C$13^3*Adatok!$C$20^3*Adatok!$I41^3*Adatok!$J41)/(384*(VLOOKUP(T$19,Számítás!$B$19:$H$63,7,FALSE))^3))*100,$B$19)</f>
        <v>-</v>
      </c>
      <c r="U42" s="33" t="str">
        <f>IF(AND($I$19+T$17*Adatok!$F$11&gt;Adatok!$F$10-0.01,Adatok!$C$16+$B42&lt;Adatok!$C$17+1),((Adatok!$C$13*Adatok!$C$20*Adatok!$I41*Adatok!$J41)/(8*(VLOOKUP(U$19,Számítás!$B$19:$H$63,7,FALSE)))+(Adatok!$C$13^3*Adatok!$C$20^3*Adatok!$I41^3*Adatok!$J41)/(384*(VLOOKUP(U$19,Számítás!$B$19:$H$63,7,FALSE))^3))*100,$B$19)</f>
        <v>-</v>
      </c>
      <c r="V42" s="33" t="str">
        <f>IF(AND($I$19+U$17*Adatok!$F$11&gt;Adatok!$F$10-0.01,Adatok!$C$16+$B42&lt;Adatok!$C$17+1),((Adatok!$C$13*Adatok!$C$20*Adatok!$I41*Adatok!$J41)/(8*(VLOOKUP(V$19,Számítás!$B$19:$H$63,7,FALSE)))+(Adatok!$C$13^3*Adatok!$C$20^3*Adatok!$I41^3*Adatok!$J41)/(384*(VLOOKUP(V$19,Számítás!$B$19:$H$63,7,FALSE))^3))*100,$B$19)</f>
        <v>-</v>
      </c>
      <c r="W42" s="33" t="str">
        <f>IF(AND($I$19+V$17*Adatok!$F$11&gt;Adatok!$F$10-0.01,Adatok!$C$16+$B42&lt;Adatok!$C$17+1),((Adatok!$C$13*Adatok!$C$20*Adatok!$I41*Adatok!$J41)/(8*(VLOOKUP(W$19,Számítás!$B$19:$H$63,7,FALSE)))+(Adatok!$C$13^3*Adatok!$C$20^3*Adatok!$I41^3*Adatok!$J41)/(384*(VLOOKUP(W$19,Számítás!$B$19:$H$63,7,FALSE))^3))*100,$B$19)</f>
        <v>-</v>
      </c>
      <c r="X42" s="33" t="str">
        <f>IF(AND($I$19+W$17*Adatok!$F$11&gt;Adatok!$F$10-0.01,Adatok!$C$16+$B42&lt;Adatok!$C$17+1),((Adatok!$C$13*Adatok!$C$20*Adatok!$I41*Adatok!$J41)/(8*(VLOOKUP(X$19,Számítás!$B$19:$H$63,7,FALSE)))+(Adatok!$C$13^3*Adatok!$C$20^3*Adatok!$I41^3*Adatok!$J41)/(384*(VLOOKUP(X$19,Számítás!$B$19:$H$63,7,FALSE))^3))*100,$B$19)</f>
        <v>-</v>
      </c>
      <c r="Y42" s="33" t="str">
        <f>IF(AND($I$19+X$17*Adatok!$F$11&gt;Adatok!$F$10-0.01,Adatok!$C$16+$B42&lt;Adatok!$C$17+1),((Adatok!$C$13*Adatok!$C$20*Adatok!$I41*Adatok!$J41)/(8*(VLOOKUP(Y$19,Számítás!$B$19:$H$63,7,FALSE)))+(Adatok!$C$13^3*Adatok!$C$20^3*Adatok!$I41^3*Adatok!$J41)/(384*(VLOOKUP(Y$19,Számítás!$B$19:$H$63,7,FALSE))^3))*100,$B$19)</f>
        <v>-</v>
      </c>
      <c r="Z42" s="33" t="str">
        <f>IF(AND($I$19+Y$17*Adatok!$F$11&gt;Adatok!$F$10-0.01,Adatok!$C$16+$B42&lt;Adatok!$C$17+1),((Adatok!$C$13*Adatok!$C$20*Adatok!$I41*Adatok!$J41)/(8*(VLOOKUP(Z$19,Számítás!$B$19:$H$63,7,FALSE)))+(Adatok!$C$13^3*Adatok!$C$20^3*Adatok!$I41^3*Adatok!$J41)/(384*(VLOOKUP(Z$19,Számítás!$B$19:$H$63,7,FALSE))^3))*100,$B$19)</f>
        <v>-</v>
      </c>
      <c r="AA42" s="33" t="str">
        <f>IF(AND($I$19+Z$17*Adatok!$F$11&gt;Adatok!$F$10-0.01,Adatok!$C$16+$B42&lt;Adatok!$C$17+1),((Adatok!$C$13*Adatok!$C$20*Adatok!$I41*Adatok!$J41)/(8*(VLOOKUP(AA$19,Számítás!$B$19:$H$63,7,FALSE)))+(Adatok!$C$13^3*Adatok!$C$20^3*Adatok!$I41^3*Adatok!$J41)/(384*(VLOOKUP(AA$19,Számítás!$B$19:$H$63,7,FALSE))^3))*100,$B$19)</f>
        <v>-</v>
      </c>
      <c r="AB42" s="33" t="str">
        <f>IF(AND($I$19+AA$17*Adatok!$F$11&gt;Adatok!$F$10-0.01,Adatok!$C$16+$B42&lt;Adatok!$C$17+1),((Adatok!$C$13*Adatok!$C$20*Adatok!$I41*Adatok!$J41)/(8*(VLOOKUP(AB$19,Számítás!$B$19:$H$63,7,FALSE)))+(Adatok!$C$13^3*Adatok!$C$20^3*Adatok!$I41^3*Adatok!$J41)/(384*(VLOOKUP(AB$19,Számítás!$B$19:$H$63,7,FALSE))^3))*100,$B$19)</f>
        <v>-</v>
      </c>
      <c r="AC42" s="33" t="str">
        <f>IF(AND($I$19+AB$17*Adatok!$F$11&gt;Adatok!$F$10-0.01,Adatok!$C$16+$B42&lt;Adatok!$C$17+1),((Adatok!$C$13*Adatok!$C$20*Adatok!$I41*Adatok!$J41)/(8*(VLOOKUP(AC$19,Számítás!$B$19:$H$63,7,FALSE)))+(Adatok!$C$13^3*Adatok!$C$20^3*Adatok!$I41^3*Adatok!$J41)/(384*(VLOOKUP(AC$19,Számítás!$B$19:$H$63,7,FALSE))^3))*100,$B$19)</f>
        <v>-</v>
      </c>
      <c r="AD42" s="33" t="str">
        <f>IF(AND($I$19+AC$17*Adatok!$F$11&gt;Adatok!$F$10-0.01,Adatok!$C$16+$B42&lt;Adatok!$C$17+1),((Adatok!$C$13*Adatok!$C$20*Adatok!$I41*Adatok!$J41)/(8*(VLOOKUP(AD$19,Számítás!$B$19:$H$63,7,FALSE)))+(Adatok!$C$13^3*Adatok!$C$20^3*Adatok!$I41^3*Adatok!$J41)/(384*(VLOOKUP(AD$19,Számítás!$B$19:$H$63,7,FALSE))^3))*100,$B$19)</f>
        <v>-</v>
      </c>
      <c r="AE42" s="33" t="str">
        <f>IF(AND($I$19+AD$17*Adatok!$F$11&gt;Adatok!$F$10-0.01,Adatok!$C$16+$B42&lt;Adatok!$C$17+1),((Adatok!$C$13*Adatok!$C$20*Adatok!$I41*Adatok!$J41)/(8*(VLOOKUP(AE$19,Számítás!$B$19:$H$63,7,FALSE)))+(Adatok!$C$13^3*Adatok!$C$20^3*Adatok!$I41^3*Adatok!$J41)/(384*(VLOOKUP(AE$19,Számítás!$B$19:$H$63,7,FALSE))^3))*100,$B$19)</f>
        <v>-</v>
      </c>
      <c r="AF42" s="33" t="str">
        <f>IF(AND($I$19+AE$17*Adatok!$F$11&gt;Adatok!$F$10-0.01,Adatok!$C$16+$B42&lt;Adatok!$C$17+1),((Adatok!$C$13*Adatok!$C$20*Adatok!$I41*Adatok!$J41)/(8*(VLOOKUP(AF$19,Számítás!$B$19:$H$63,7,FALSE)))+(Adatok!$C$13^3*Adatok!$C$20^3*Adatok!$I41^3*Adatok!$J41)/(384*(VLOOKUP(AF$19,Számítás!$B$19:$H$63,7,FALSE))^3))*100,$B$19)</f>
        <v>-</v>
      </c>
      <c r="AG42" s="33" t="str">
        <f>IF(AND($I$19+AF$17*Adatok!$F$11&gt;Adatok!$F$10-0.01,Adatok!$C$16+$B42&lt;Adatok!$C$17+1),((Adatok!$C$13*Adatok!$C$20*Adatok!$I41*Adatok!$J41)/(8*(VLOOKUP(AG$19,Számítás!$B$19:$H$63,7,FALSE)))+(Adatok!$C$13^3*Adatok!$C$20^3*Adatok!$I41^3*Adatok!$J41)/(384*(VLOOKUP(AG$19,Számítás!$B$19:$H$63,7,FALSE))^3))*100,$B$19)</f>
        <v>-</v>
      </c>
      <c r="AH42" s="33" t="str">
        <f>IF(AND($I$19+AG$17*Adatok!$F$11&gt;Adatok!$F$10-0.01,Adatok!$C$16+$B42&lt;Adatok!$C$17+1),((Adatok!$C$13*Adatok!$C$20*Adatok!$I41*Adatok!$J41)/(8*(VLOOKUP(AH$19,Számítás!$B$19:$H$63,7,FALSE)))+(Adatok!$C$13^3*Adatok!$C$20^3*Adatok!$I41^3*Adatok!$J41)/(384*(VLOOKUP(AH$19,Számítás!$B$19:$H$63,7,FALSE))^3))*100,$B$19)</f>
        <v>-</v>
      </c>
      <c r="AI42" s="33" t="str">
        <f>IF(AND($I$19+AH$17*Adatok!$F$11&gt;Adatok!$F$10-0.01,Adatok!$C$16+$B42&lt;Adatok!$C$17+1),((Adatok!$C$13*Adatok!$C$20*Adatok!$I41*Adatok!$J41)/(8*(VLOOKUP(AI$19,Számítás!$B$19:$H$63,7,FALSE)))+(Adatok!$C$13^3*Adatok!$C$20^3*Adatok!$I41^3*Adatok!$J41)/(384*(VLOOKUP(AI$19,Számítás!$B$19:$H$63,7,FALSE))^3))*100,$B$19)</f>
        <v>-</v>
      </c>
      <c r="AJ42" s="33" t="str">
        <f>IF(AND($I$19+AI$17*Adatok!$F$11&gt;Adatok!$F$10-0.01,Adatok!$C$16+$B42&lt;Adatok!$C$17+1),((Adatok!$C$13*Adatok!$C$20*Adatok!$I41*Adatok!$J41)/(8*(VLOOKUP(AJ$19,Számítás!$B$19:$H$63,7,FALSE)))+(Adatok!$C$13^3*Adatok!$C$20^3*Adatok!$I41^3*Adatok!$J41)/(384*(VLOOKUP(AJ$19,Számítás!$B$19:$H$63,7,FALSE))^3))*100,$B$19)</f>
        <v>-</v>
      </c>
      <c r="AK42" s="33" t="str">
        <f>IF(AND($I$19+AJ$17*Adatok!$F$11&gt;Adatok!$F$10-0.01,Adatok!$C$16+$B42&lt;Adatok!$C$17+1),((Adatok!$C$13*Adatok!$C$20*Adatok!$I41*Adatok!$J41)/(8*(VLOOKUP(AK$19,Számítás!$B$19:$H$63,7,FALSE)))+(Adatok!$C$13^3*Adatok!$C$20^3*Adatok!$I41^3*Adatok!$J41)/(384*(VLOOKUP(AK$19,Számítás!$B$19:$H$63,7,FALSE))^3))*100,$B$19)</f>
        <v>-</v>
      </c>
      <c r="AL42" s="33" t="str">
        <f>IF(AND($I$19+AK$17*Adatok!$F$11&gt;Adatok!$F$10-0.01,Adatok!$C$16+$B42&lt;Adatok!$C$17+1),((Adatok!$C$13*Adatok!$C$20*Adatok!$I41*Adatok!$J41)/(8*(VLOOKUP(AL$19,Számítás!$B$19:$H$63,7,FALSE)))+(Adatok!$C$13^3*Adatok!$C$20^3*Adatok!$I41^3*Adatok!$J41)/(384*(VLOOKUP(AL$19,Számítás!$B$19:$H$63,7,FALSE))^3))*100,$B$19)</f>
        <v>-</v>
      </c>
      <c r="AM42" s="33" t="str">
        <f>IF(AND($I$19+AL$17*Adatok!$F$11&gt;Adatok!$F$10-0.01,Adatok!$C$16+$B42&lt;Adatok!$C$17+1),((Adatok!$C$13*Adatok!$C$20*Adatok!$I41*Adatok!$J41)/(8*(VLOOKUP(AM$19,Számítás!$B$19:$H$63,7,FALSE)))+(Adatok!$C$13^3*Adatok!$C$20^3*Adatok!$I41^3*Adatok!$J41)/(384*(VLOOKUP(AM$19,Számítás!$B$19:$H$63,7,FALSE))^3))*100,$B$19)</f>
        <v>-</v>
      </c>
      <c r="AN42" s="33" t="str">
        <f>IF(AND($I$19+AM$17*Adatok!$F$11&gt;Adatok!$F$10-0.01,Adatok!$C$16+$B42&lt;Adatok!$C$17+1),((Adatok!$C$13*Adatok!$C$20*Adatok!$I41*Adatok!$J41)/(8*(VLOOKUP(AN$19,Számítás!$B$19:$H$63,7,FALSE)))+(Adatok!$C$13^3*Adatok!$C$20^3*Adatok!$I41^3*Adatok!$J41)/(384*(VLOOKUP(AN$19,Számítás!$B$19:$H$63,7,FALSE))^3))*100,$B$19)</f>
        <v>-</v>
      </c>
      <c r="AO42" s="33" t="str">
        <f>IF(AND($I$19+AN$17*Adatok!$F$11&gt;Adatok!$F$10-0.01,Adatok!$C$16+$B42&lt;Adatok!$C$17+1),((Adatok!$C$13*Adatok!$C$20*Adatok!$I41*Adatok!$J41)/(8*(VLOOKUP(AO$19,Számítás!$B$19:$H$63,7,FALSE)))+(Adatok!$C$13^3*Adatok!$C$20^3*Adatok!$I41^3*Adatok!$J41)/(384*(VLOOKUP(AO$19,Számítás!$B$19:$H$63,7,FALSE))^3))*100,$B$19)</f>
        <v>-</v>
      </c>
      <c r="AP42" s="33" t="str">
        <f>IF(AND($I$19+AO$17*Adatok!$F$11&gt;Adatok!$F$10-0.01,Adatok!$C$16+$B42&lt;Adatok!$C$17+1),((Adatok!$C$13*Adatok!$C$20*Adatok!$I41*Adatok!$J41)/(8*(VLOOKUP(AP$19,Számítás!$B$19:$H$63,7,FALSE)))+(Adatok!$C$13^3*Adatok!$C$20^3*Adatok!$I41^3*Adatok!$J41)/(384*(VLOOKUP(AP$19,Számítás!$B$19:$H$63,7,FALSE))^3))*100,$B$19)</f>
        <v>-</v>
      </c>
      <c r="AQ42" s="33" t="str">
        <f>IF(AND($I$19+AP$17*Adatok!$F$11&gt;Adatok!$F$10-0.01,Adatok!$C$16+$B42&lt;Adatok!$C$17+1),((Adatok!$C$13*Adatok!$C$20*Adatok!$I41*Adatok!$J41)/(8*(VLOOKUP(AQ$19,Számítás!$B$19:$H$63,7,FALSE)))+(Adatok!$C$13^3*Adatok!$C$20^3*Adatok!$I41^3*Adatok!$J41)/(384*(VLOOKUP(AQ$19,Számítás!$B$19:$H$63,7,FALSE))^3))*100,$B$19)</f>
        <v>-</v>
      </c>
      <c r="AR42" s="33" t="str">
        <f>IF(AND($I$19+AQ$17*Adatok!$F$11&gt;Adatok!$F$10-0.01,Adatok!$C$16+$B42&lt;Adatok!$C$17+1),((Adatok!$C$13*Adatok!$C$20*Adatok!$I41*Adatok!$J41)/(8*(VLOOKUP(AR$19,Számítás!$B$19:$H$63,7,FALSE)))+(Adatok!$C$13^3*Adatok!$C$20^3*Adatok!$I41^3*Adatok!$J41)/(384*(VLOOKUP(AR$19,Számítás!$B$19:$H$63,7,FALSE))^3))*100,$B$19)</f>
        <v>-</v>
      </c>
      <c r="AS42" s="33" t="str">
        <f>IF(AND($I$19+AR$17*Adatok!$F$11&gt;Adatok!$F$10-0.01,Adatok!$C$16+$B42&lt;Adatok!$C$17+1),((Adatok!$C$13*Adatok!$C$20*Adatok!$I41*Adatok!$J41)/(8*(VLOOKUP(AS$19,Számítás!$B$19:$H$63,7,FALSE)))+(Adatok!$C$13^3*Adatok!$C$20^3*Adatok!$I41^3*Adatok!$J41)/(384*(VLOOKUP(AS$19,Számítás!$B$19:$H$63,7,FALSE))^3))*100,$B$19)</f>
        <v>-</v>
      </c>
      <c r="AT42" s="33" t="str">
        <f>IF(AND($I$19+AS$17*Adatok!$F$11&gt;Adatok!$F$10-0.01,Adatok!$C$16+$B42&lt;Adatok!$C$17+1),((Adatok!$C$13*Adatok!$C$20*Adatok!$I41*Adatok!$J41)/(8*(VLOOKUP(AT$19,Számítás!$B$19:$H$63,7,FALSE)))+(Adatok!$C$13^3*Adatok!$C$20^3*Adatok!$I41^3*Adatok!$J41)/(384*(VLOOKUP(AT$19,Számítás!$B$19:$H$63,7,FALSE))^3))*100,$B$19)</f>
        <v>-</v>
      </c>
      <c r="AU42" s="33" t="str">
        <f>IF(AND($I$19+AT$17*Adatok!$F$11&gt;Adatok!$F$10-0.01,Adatok!$C$16+$B42&lt;Adatok!$C$17+1),((Adatok!$C$13*Adatok!$C$20*Adatok!$I41*Adatok!$J41)/(8*(VLOOKUP(AU$19,Számítás!$B$19:$H$63,7,FALSE)))+(Adatok!$C$13^3*Adatok!$C$20^3*Adatok!$I41^3*Adatok!$J41)/(384*(VLOOKUP(AU$19,Számítás!$B$19:$H$63,7,FALSE))^3))*100,$B$19)</f>
        <v>-</v>
      </c>
      <c r="AV42" s="33" t="str">
        <f>IF(AND($I$19+AU$17*Adatok!$F$11&gt;Adatok!$F$10-0.01,Adatok!$C$16+$B42&lt;Adatok!$C$17+1),((Adatok!$C$13*Adatok!$C$20*Adatok!$I41*Adatok!$J41)/(8*(VLOOKUP(AV$19,Számítás!$B$19:$H$63,7,FALSE)))+(Adatok!$C$13^3*Adatok!$C$20^3*Adatok!$I41^3*Adatok!$J41)/(384*(VLOOKUP(AV$19,Számítás!$B$19:$H$63,7,FALSE))^3))*100,$B$19)</f>
        <v>-</v>
      </c>
      <c r="AW42" s="33" t="str">
        <f>IF(AND($I$19+AV$17*Adatok!$F$11&gt;Adatok!$F$10-0.01,Adatok!$C$16+$B42&lt;Adatok!$C$17+1),((Adatok!$C$13*Adatok!$C$20*Adatok!$I41*Adatok!$J41)/(8*(VLOOKUP(AW$19,Számítás!$B$19:$H$63,7,FALSE)))+(Adatok!$C$13^3*Adatok!$C$20^3*Adatok!$I41^3*Adatok!$J41)/(384*(VLOOKUP(AW$19,Számítás!$B$19:$H$63,7,FALSE))^3))*100,$B$19)</f>
        <v>-</v>
      </c>
      <c r="AX42" s="33" t="str">
        <f>IF(AND($I$19+AW$17*Adatok!$F$11&gt;Adatok!$F$10-0.01,Adatok!$C$16+$B42&lt;Adatok!$C$17+1),((Adatok!$C$13*Adatok!$C$20*Adatok!$I41*Adatok!$J41)/(8*(VLOOKUP(AX$19,Számítás!$B$19:$H$63,7,FALSE)))+(Adatok!$C$13^3*Adatok!$C$20^3*Adatok!$I41^3*Adatok!$J41)/(384*(VLOOKUP(AX$19,Számítás!$B$19:$H$63,7,FALSE))^3))*100,$B$19)</f>
        <v>-</v>
      </c>
      <c r="AY42" s="33" t="str">
        <f>IF(AND($I$19+AX$17*Adatok!$F$11&gt;Adatok!$F$10-0.01,Adatok!$C$16+$B42&lt;Adatok!$C$17+1),((Adatok!$C$13*Adatok!$C$20*Adatok!$I41*Adatok!$J41)/(8*(VLOOKUP(AY$19,Számítás!$B$19:$H$63,7,FALSE)))+(Adatok!$C$13^3*Adatok!$C$20^3*Adatok!$I41^3*Adatok!$J41)/(384*(VLOOKUP(AY$19,Számítás!$B$19:$H$63,7,FALSE))^3))*100,$B$19)</f>
        <v>-</v>
      </c>
      <c r="AZ42" s="33" t="str">
        <f>IF(AND($I$19+AY$17*Adatok!$F$11&gt;Adatok!$F$10-0.01,Adatok!$C$16+$B42&lt;Adatok!$C$17+1),((Adatok!$C$13*Adatok!$C$20*Adatok!$I41*Adatok!$J41)/(8*(VLOOKUP(AZ$19,Számítás!$B$19:$H$63,7,FALSE)))+(Adatok!$C$13^3*Adatok!$C$20^3*Adatok!$I41^3*Adatok!$J41)/(384*(VLOOKUP(AZ$19,Számítás!$B$19:$H$63,7,FALSE))^3))*100,$B$19)</f>
        <v>-</v>
      </c>
      <c r="BA42" s="33" t="str">
        <f>IF(AND($I$19+AZ$17*Adatok!$F$11&gt;Adatok!$F$10-0.01,Adatok!$C$16+$B42&lt;Adatok!$C$17+1),((Adatok!$C$13*Adatok!$C$20*Adatok!$I41*Adatok!$J41)/(8*(VLOOKUP(BA$19,Számítás!$B$19:$H$63,7,FALSE)))+(Adatok!$C$13^3*Adatok!$C$20^3*Adatok!$I41^3*Adatok!$J41)/(384*(VLOOKUP(BA$19,Számítás!$B$19:$H$63,7,FALSE))^3))*100,$B$19)</f>
        <v>-</v>
      </c>
    </row>
    <row r="43" spans="2:53" ht="18" customHeight="1" x14ac:dyDescent="0.25">
      <c r="B43" s="1">
        <v>24</v>
      </c>
      <c r="C43" s="333" t="str">
        <f>Adatok!F42</f>
        <v>-</v>
      </c>
      <c r="D43" s="32" t="s">
        <v>27</v>
      </c>
      <c r="E43" s="336" t="str">
        <f>Adatok!H42</f>
        <v>-</v>
      </c>
      <c r="F43" s="64" t="str">
        <f>IF(Adatok!$C$16+B43&gt;Adatok!$C$17,$B$19,Adatok!I42)</f>
        <v>-</v>
      </c>
      <c r="G43" s="60"/>
      <c r="H43" s="72" t="str">
        <f>IF(Adatok!$C$16+B43&gt;Adatok!$C$17,$B$19,Adatok!J42/Adatok!I42)</f>
        <v>-</v>
      </c>
      <c r="I43" s="81" t="str">
        <f>IF(Adatok!$C$16+$B43&lt;Adatok!$C$17+1,((((Adatok!$C$13*Adatok!$C$20*Adatok!$I42*Adatok!$J42)/(8*(VLOOKUP(I$19,Számítás!$B$19:$H$63,7,FALSE))))+((Adatok!$C$13^3*Adatok!$C$20^3*Adatok!$I42^3*Adatok!$J42)/(384*(VLOOKUP(I$19,Számítás!$B$19:$H$63,7,FALSE))^3)))*100),$B$19)</f>
        <v>-</v>
      </c>
      <c r="J43" s="33" t="str">
        <f>IF(AND($I$19+I$17*Adatok!$F$11&gt;Adatok!$F$10-0.01,Adatok!$C$16+$B43&lt;Adatok!$C$17+1),((Adatok!$C$13*Adatok!$C$20*Adatok!$I42*Adatok!$J42)/(8*(VLOOKUP(J$19,Számítás!$B$19:$H$63,7,FALSE)))+(Adatok!$C$13^3*Adatok!$C$20^3*Adatok!$I42^3*Adatok!$J42)/(384*(VLOOKUP(J$19,Számítás!$B$19:$H$63,7,FALSE))^3))*100,$B$19)</f>
        <v>-</v>
      </c>
      <c r="K43" s="33" t="str">
        <f>IF(AND($I$19+J$17*Adatok!$F$11&gt;Adatok!$F$10-0.01,Adatok!$C$16+$B43&lt;Adatok!$C$17+1),((Adatok!$C$13*Adatok!$C$20*Adatok!$I42*Adatok!$J42)/(8*(VLOOKUP(K$19,Számítás!$B$19:$H$63,7,FALSE)))+(Adatok!$C$13^3*Adatok!$C$20^3*Adatok!$I42^3*Adatok!$J42)/(384*(VLOOKUP(K$19,Számítás!$B$19:$H$63,7,FALSE))^3))*100,$B$19)</f>
        <v>-</v>
      </c>
      <c r="L43" s="33" t="str">
        <f>IF(AND($I$19+K$17*Adatok!$F$11&gt;Adatok!$F$10-0.01,Adatok!$C$16+$B43&lt;Adatok!$C$17+1),((Adatok!$C$13*Adatok!$C$20*Adatok!$I42*Adatok!$J42)/(8*(VLOOKUP(L$19,Számítás!$B$19:$H$63,7,FALSE)))+(Adatok!$C$13^3*Adatok!$C$20^3*Adatok!$I42^3*Adatok!$J42)/(384*(VLOOKUP(L$19,Számítás!$B$19:$H$63,7,FALSE))^3))*100,$B$19)</f>
        <v>-</v>
      </c>
      <c r="M43" s="33" t="str">
        <f>IF(AND($I$19+L$17*Adatok!$F$11&gt;Adatok!$F$10-0.01,Adatok!$C$16+$B43&lt;Adatok!$C$17+1),((Adatok!$C$13*Adatok!$C$20*Adatok!$I42*Adatok!$J42)/(8*(VLOOKUP(M$19,Számítás!$B$19:$H$63,7,FALSE)))+(Adatok!$C$13^3*Adatok!$C$20^3*Adatok!$I42^3*Adatok!$J42)/(384*(VLOOKUP(M$19,Számítás!$B$19:$H$63,7,FALSE))^3))*100,$B$19)</f>
        <v>-</v>
      </c>
      <c r="N43" s="33" t="str">
        <f>IF(AND($I$19+M$17*Adatok!$F$11&gt;Adatok!$F$10-0.01,Adatok!$C$16+$B43&lt;Adatok!$C$17+1),((Adatok!$C$13*Adatok!$C$20*Adatok!$I42*Adatok!$J42)/(8*(VLOOKUP(N$19,Számítás!$B$19:$H$63,7,FALSE)))+(Adatok!$C$13^3*Adatok!$C$20^3*Adatok!$I42^3*Adatok!$J42)/(384*(VLOOKUP(N$19,Számítás!$B$19:$H$63,7,FALSE))^3))*100,$B$19)</f>
        <v>-</v>
      </c>
      <c r="O43" s="33" t="str">
        <f>IF(AND($I$19+N$17*Adatok!$F$11&gt;Adatok!$F$10-0.01,Adatok!$C$16+$B43&lt;Adatok!$C$17+1),((Adatok!$C$13*Adatok!$C$20*Adatok!$I42*Adatok!$J42)/(8*(VLOOKUP(O$19,Számítás!$B$19:$H$63,7,FALSE)))+(Adatok!$C$13^3*Adatok!$C$20^3*Adatok!$I42^3*Adatok!$J42)/(384*(VLOOKUP(O$19,Számítás!$B$19:$H$63,7,FALSE))^3))*100,$B$19)</f>
        <v>-</v>
      </c>
      <c r="P43" s="33" t="str">
        <f>IF(AND($I$19+O$17*Adatok!$F$11&gt;Adatok!$F$10-0.01,Adatok!$C$16+$B43&lt;Adatok!$C$17+1),((Adatok!$C$13*Adatok!$C$20*Adatok!$I42*Adatok!$J42)/(8*(VLOOKUP(P$19,Számítás!$B$19:$H$63,7,FALSE)))+(Adatok!$C$13^3*Adatok!$C$20^3*Adatok!$I42^3*Adatok!$J42)/(384*(VLOOKUP(P$19,Számítás!$B$19:$H$63,7,FALSE))^3))*100,$B$19)</f>
        <v>-</v>
      </c>
      <c r="Q43" s="33" t="str">
        <f>IF(AND($I$19+P$17*Adatok!$F$11&gt;Adatok!$F$10-0.01,Adatok!$C$16+$B43&lt;Adatok!$C$17+1),((Adatok!$C$13*Adatok!$C$20*Adatok!$I42*Adatok!$J42)/(8*(VLOOKUP(Q$19,Számítás!$B$19:$H$63,7,FALSE)))+(Adatok!$C$13^3*Adatok!$C$20^3*Adatok!$I42^3*Adatok!$J42)/(384*(VLOOKUP(Q$19,Számítás!$B$19:$H$63,7,FALSE))^3))*100,$B$19)</f>
        <v>-</v>
      </c>
      <c r="R43" s="33" t="str">
        <f>IF(AND($I$19+Q$17*Adatok!$F$11&gt;Adatok!$F$10-0.01,Adatok!$C$16+$B43&lt;Adatok!$C$17+1),((Adatok!$C$13*Adatok!$C$20*Adatok!$I42*Adatok!$J42)/(8*(VLOOKUP(R$19,Számítás!$B$19:$H$63,7,FALSE)))+(Adatok!$C$13^3*Adatok!$C$20^3*Adatok!$I42^3*Adatok!$J42)/(384*(VLOOKUP(R$19,Számítás!$B$19:$H$63,7,FALSE))^3))*100,$B$19)</f>
        <v>-</v>
      </c>
      <c r="S43" s="33" t="str">
        <f>IF(AND($I$19+R$17*Adatok!$F$11&gt;Adatok!$F$10-0.01,Adatok!$C$16+$B43&lt;Adatok!$C$17+1),((Adatok!$C$13*Adatok!$C$20*Adatok!$I42*Adatok!$J42)/(8*(VLOOKUP(S$19,Számítás!$B$19:$H$63,7,FALSE)))+(Adatok!$C$13^3*Adatok!$C$20^3*Adatok!$I42^3*Adatok!$J42)/(384*(VLOOKUP(S$19,Számítás!$B$19:$H$63,7,FALSE))^3))*100,$B$19)</f>
        <v>-</v>
      </c>
      <c r="T43" s="33" t="str">
        <f>IF(AND($I$19+S$17*Adatok!$F$11&gt;Adatok!$F$10-0.01,Adatok!$C$16+$B43&lt;Adatok!$C$17+1),((Adatok!$C$13*Adatok!$C$20*Adatok!$I42*Adatok!$J42)/(8*(VLOOKUP(T$19,Számítás!$B$19:$H$63,7,FALSE)))+(Adatok!$C$13^3*Adatok!$C$20^3*Adatok!$I42^3*Adatok!$J42)/(384*(VLOOKUP(T$19,Számítás!$B$19:$H$63,7,FALSE))^3))*100,$B$19)</f>
        <v>-</v>
      </c>
      <c r="U43" s="33" t="str">
        <f>IF(AND($I$19+T$17*Adatok!$F$11&gt;Adatok!$F$10-0.01,Adatok!$C$16+$B43&lt;Adatok!$C$17+1),((Adatok!$C$13*Adatok!$C$20*Adatok!$I42*Adatok!$J42)/(8*(VLOOKUP(U$19,Számítás!$B$19:$H$63,7,FALSE)))+(Adatok!$C$13^3*Adatok!$C$20^3*Adatok!$I42^3*Adatok!$J42)/(384*(VLOOKUP(U$19,Számítás!$B$19:$H$63,7,FALSE))^3))*100,$B$19)</f>
        <v>-</v>
      </c>
      <c r="V43" s="33" t="str">
        <f>IF(AND($I$19+U$17*Adatok!$F$11&gt;Adatok!$F$10-0.01,Adatok!$C$16+$B43&lt;Adatok!$C$17+1),((Adatok!$C$13*Adatok!$C$20*Adatok!$I42*Adatok!$J42)/(8*(VLOOKUP(V$19,Számítás!$B$19:$H$63,7,FALSE)))+(Adatok!$C$13^3*Adatok!$C$20^3*Adatok!$I42^3*Adatok!$J42)/(384*(VLOOKUP(V$19,Számítás!$B$19:$H$63,7,FALSE))^3))*100,$B$19)</f>
        <v>-</v>
      </c>
      <c r="W43" s="33" t="str">
        <f>IF(AND($I$19+V$17*Adatok!$F$11&gt;Adatok!$F$10-0.01,Adatok!$C$16+$B43&lt;Adatok!$C$17+1),((Adatok!$C$13*Adatok!$C$20*Adatok!$I42*Adatok!$J42)/(8*(VLOOKUP(W$19,Számítás!$B$19:$H$63,7,FALSE)))+(Adatok!$C$13^3*Adatok!$C$20^3*Adatok!$I42^3*Adatok!$J42)/(384*(VLOOKUP(W$19,Számítás!$B$19:$H$63,7,FALSE))^3))*100,$B$19)</f>
        <v>-</v>
      </c>
      <c r="X43" s="33" t="str">
        <f>IF(AND($I$19+W$17*Adatok!$F$11&gt;Adatok!$F$10-0.01,Adatok!$C$16+$B43&lt;Adatok!$C$17+1),((Adatok!$C$13*Adatok!$C$20*Adatok!$I42*Adatok!$J42)/(8*(VLOOKUP(X$19,Számítás!$B$19:$H$63,7,FALSE)))+(Adatok!$C$13^3*Adatok!$C$20^3*Adatok!$I42^3*Adatok!$J42)/(384*(VLOOKUP(X$19,Számítás!$B$19:$H$63,7,FALSE))^3))*100,$B$19)</f>
        <v>-</v>
      </c>
      <c r="Y43" s="33" t="str">
        <f>IF(AND($I$19+X$17*Adatok!$F$11&gt;Adatok!$F$10-0.01,Adatok!$C$16+$B43&lt;Adatok!$C$17+1),((Adatok!$C$13*Adatok!$C$20*Adatok!$I42*Adatok!$J42)/(8*(VLOOKUP(Y$19,Számítás!$B$19:$H$63,7,FALSE)))+(Adatok!$C$13^3*Adatok!$C$20^3*Adatok!$I42^3*Adatok!$J42)/(384*(VLOOKUP(Y$19,Számítás!$B$19:$H$63,7,FALSE))^3))*100,$B$19)</f>
        <v>-</v>
      </c>
      <c r="Z43" s="33" t="str">
        <f>IF(AND($I$19+Y$17*Adatok!$F$11&gt;Adatok!$F$10-0.01,Adatok!$C$16+$B43&lt;Adatok!$C$17+1),((Adatok!$C$13*Adatok!$C$20*Adatok!$I42*Adatok!$J42)/(8*(VLOOKUP(Z$19,Számítás!$B$19:$H$63,7,FALSE)))+(Adatok!$C$13^3*Adatok!$C$20^3*Adatok!$I42^3*Adatok!$J42)/(384*(VLOOKUP(Z$19,Számítás!$B$19:$H$63,7,FALSE))^3))*100,$B$19)</f>
        <v>-</v>
      </c>
      <c r="AA43" s="33" t="str">
        <f>IF(AND($I$19+Z$17*Adatok!$F$11&gt;Adatok!$F$10-0.01,Adatok!$C$16+$B43&lt;Adatok!$C$17+1),((Adatok!$C$13*Adatok!$C$20*Adatok!$I42*Adatok!$J42)/(8*(VLOOKUP(AA$19,Számítás!$B$19:$H$63,7,FALSE)))+(Adatok!$C$13^3*Adatok!$C$20^3*Adatok!$I42^3*Adatok!$J42)/(384*(VLOOKUP(AA$19,Számítás!$B$19:$H$63,7,FALSE))^3))*100,$B$19)</f>
        <v>-</v>
      </c>
      <c r="AB43" s="33" t="str">
        <f>IF(AND($I$19+AA$17*Adatok!$F$11&gt;Adatok!$F$10-0.01,Adatok!$C$16+$B43&lt;Adatok!$C$17+1),((Adatok!$C$13*Adatok!$C$20*Adatok!$I42*Adatok!$J42)/(8*(VLOOKUP(AB$19,Számítás!$B$19:$H$63,7,FALSE)))+(Adatok!$C$13^3*Adatok!$C$20^3*Adatok!$I42^3*Adatok!$J42)/(384*(VLOOKUP(AB$19,Számítás!$B$19:$H$63,7,FALSE))^3))*100,$B$19)</f>
        <v>-</v>
      </c>
      <c r="AC43" s="33" t="str">
        <f>IF(AND($I$19+AB$17*Adatok!$F$11&gt;Adatok!$F$10-0.01,Adatok!$C$16+$B43&lt;Adatok!$C$17+1),((Adatok!$C$13*Adatok!$C$20*Adatok!$I42*Adatok!$J42)/(8*(VLOOKUP(AC$19,Számítás!$B$19:$H$63,7,FALSE)))+(Adatok!$C$13^3*Adatok!$C$20^3*Adatok!$I42^3*Adatok!$J42)/(384*(VLOOKUP(AC$19,Számítás!$B$19:$H$63,7,FALSE))^3))*100,$B$19)</f>
        <v>-</v>
      </c>
      <c r="AD43" s="33" t="str">
        <f>IF(AND($I$19+AC$17*Adatok!$F$11&gt;Adatok!$F$10-0.01,Adatok!$C$16+$B43&lt;Adatok!$C$17+1),((Adatok!$C$13*Adatok!$C$20*Adatok!$I42*Adatok!$J42)/(8*(VLOOKUP(AD$19,Számítás!$B$19:$H$63,7,FALSE)))+(Adatok!$C$13^3*Adatok!$C$20^3*Adatok!$I42^3*Adatok!$J42)/(384*(VLOOKUP(AD$19,Számítás!$B$19:$H$63,7,FALSE))^3))*100,$B$19)</f>
        <v>-</v>
      </c>
      <c r="AE43" s="33" t="str">
        <f>IF(AND($I$19+AD$17*Adatok!$F$11&gt;Adatok!$F$10-0.01,Adatok!$C$16+$B43&lt;Adatok!$C$17+1),((Adatok!$C$13*Adatok!$C$20*Adatok!$I42*Adatok!$J42)/(8*(VLOOKUP(AE$19,Számítás!$B$19:$H$63,7,FALSE)))+(Adatok!$C$13^3*Adatok!$C$20^3*Adatok!$I42^3*Adatok!$J42)/(384*(VLOOKUP(AE$19,Számítás!$B$19:$H$63,7,FALSE))^3))*100,$B$19)</f>
        <v>-</v>
      </c>
      <c r="AF43" s="33" t="str">
        <f>IF(AND($I$19+AE$17*Adatok!$F$11&gt;Adatok!$F$10-0.01,Adatok!$C$16+$B43&lt;Adatok!$C$17+1),((Adatok!$C$13*Adatok!$C$20*Adatok!$I42*Adatok!$J42)/(8*(VLOOKUP(AF$19,Számítás!$B$19:$H$63,7,FALSE)))+(Adatok!$C$13^3*Adatok!$C$20^3*Adatok!$I42^3*Adatok!$J42)/(384*(VLOOKUP(AF$19,Számítás!$B$19:$H$63,7,FALSE))^3))*100,$B$19)</f>
        <v>-</v>
      </c>
      <c r="AG43" s="33" t="str">
        <f>IF(AND($I$19+AF$17*Adatok!$F$11&gt;Adatok!$F$10-0.01,Adatok!$C$16+$B43&lt;Adatok!$C$17+1),((Adatok!$C$13*Adatok!$C$20*Adatok!$I42*Adatok!$J42)/(8*(VLOOKUP(AG$19,Számítás!$B$19:$H$63,7,FALSE)))+(Adatok!$C$13^3*Adatok!$C$20^3*Adatok!$I42^3*Adatok!$J42)/(384*(VLOOKUP(AG$19,Számítás!$B$19:$H$63,7,FALSE))^3))*100,$B$19)</f>
        <v>-</v>
      </c>
      <c r="AH43" s="33" t="str">
        <f>IF(AND($I$19+AG$17*Adatok!$F$11&gt;Adatok!$F$10-0.01,Adatok!$C$16+$B43&lt;Adatok!$C$17+1),((Adatok!$C$13*Adatok!$C$20*Adatok!$I42*Adatok!$J42)/(8*(VLOOKUP(AH$19,Számítás!$B$19:$H$63,7,FALSE)))+(Adatok!$C$13^3*Adatok!$C$20^3*Adatok!$I42^3*Adatok!$J42)/(384*(VLOOKUP(AH$19,Számítás!$B$19:$H$63,7,FALSE))^3))*100,$B$19)</f>
        <v>-</v>
      </c>
      <c r="AI43" s="33" t="str">
        <f>IF(AND($I$19+AH$17*Adatok!$F$11&gt;Adatok!$F$10-0.01,Adatok!$C$16+$B43&lt;Adatok!$C$17+1),((Adatok!$C$13*Adatok!$C$20*Adatok!$I42*Adatok!$J42)/(8*(VLOOKUP(AI$19,Számítás!$B$19:$H$63,7,FALSE)))+(Adatok!$C$13^3*Adatok!$C$20^3*Adatok!$I42^3*Adatok!$J42)/(384*(VLOOKUP(AI$19,Számítás!$B$19:$H$63,7,FALSE))^3))*100,$B$19)</f>
        <v>-</v>
      </c>
      <c r="AJ43" s="33" t="str">
        <f>IF(AND($I$19+AI$17*Adatok!$F$11&gt;Adatok!$F$10-0.01,Adatok!$C$16+$B43&lt;Adatok!$C$17+1),((Adatok!$C$13*Adatok!$C$20*Adatok!$I42*Adatok!$J42)/(8*(VLOOKUP(AJ$19,Számítás!$B$19:$H$63,7,FALSE)))+(Adatok!$C$13^3*Adatok!$C$20^3*Adatok!$I42^3*Adatok!$J42)/(384*(VLOOKUP(AJ$19,Számítás!$B$19:$H$63,7,FALSE))^3))*100,$B$19)</f>
        <v>-</v>
      </c>
      <c r="AK43" s="33" t="str">
        <f>IF(AND($I$19+AJ$17*Adatok!$F$11&gt;Adatok!$F$10-0.01,Adatok!$C$16+$B43&lt;Adatok!$C$17+1),((Adatok!$C$13*Adatok!$C$20*Adatok!$I42*Adatok!$J42)/(8*(VLOOKUP(AK$19,Számítás!$B$19:$H$63,7,FALSE)))+(Adatok!$C$13^3*Adatok!$C$20^3*Adatok!$I42^3*Adatok!$J42)/(384*(VLOOKUP(AK$19,Számítás!$B$19:$H$63,7,FALSE))^3))*100,$B$19)</f>
        <v>-</v>
      </c>
      <c r="AL43" s="33" t="str">
        <f>IF(AND($I$19+AK$17*Adatok!$F$11&gt;Adatok!$F$10-0.01,Adatok!$C$16+$B43&lt;Adatok!$C$17+1),((Adatok!$C$13*Adatok!$C$20*Adatok!$I42*Adatok!$J42)/(8*(VLOOKUP(AL$19,Számítás!$B$19:$H$63,7,FALSE)))+(Adatok!$C$13^3*Adatok!$C$20^3*Adatok!$I42^3*Adatok!$J42)/(384*(VLOOKUP(AL$19,Számítás!$B$19:$H$63,7,FALSE))^3))*100,$B$19)</f>
        <v>-</v>
      </c>
      <c r="AM43" s="33" t="str">
        <f>IF(AND($I$19+AL$17*Adatok!$F$11&gt;Adatok!$F$10-0.01,Adatok!$C$16+$B43&lt;Adatok!$C$17+1),((Adatok!$C$13*Adatok!$C$20*Adatok!$I42*Adatok!$J42)/(8*(VLOOKUP(AM$19,Számítás!$B$19:$H$63,7,FALSE)))+(Adatok!$C$13^3*Adatok!$C$20^3*Adatok!$I42^3*Adatok!$J42)/(384*(VLOOKUP(AM$19,Számítás!$B$19:$H$63,7,FALSE))^3))*100,$B$19)</f>
        <v>-</v>
      </c>
      <c r="AN43" s="33" t="str">
        <f>IF(AND($I$19+AM$17*Adatok!$F$11&gt;Adatok!$F$10-0.01,Adatok!$C$16+$B43&lt;Adatok!$C$17+1),((Adatok!$C$13*Adatok!$C$20*Adatok!$I42*Adatok!$J42)/(8*(VLOOKUP(AN$19,Számítás!$B$19:$H$63,7,FALSE)))+(Adatok!$C$13^3*Adatok!$C$20^3*Adatok!$I42^3*Adatok!$J42)/(384*(VLOOKUP(AN$19,Számítás!$B$19:$H$63,7,FALSE))^3))*100,$B$19)</f>
        <v>-</v>
      </c>
      <c r="AO43" s="33" t="str">
        <f>IF(AND($I$19+AN$17*Adatok!$F$11&gt;Adatok!$F$10-0.01,Adatok!$C$16+$B43&lt;Adatok!$C$17+1),((Adatok!$C$13*Adatok!$C$20*Adatok!$I42*Adatok!$J42)/(8*(VLOOKUP(AO$19,Számítás!$B$19:$H$63,7,FALSE)))+(Adatok!$C$13^3*Adatok!$C$20^3*Adatok!$I42^3*Adatok!$J42)/(384*(VLOOKUP(AO$19,Számítás!$B$19:$H$63,7,FALSE))^3))*100,$B$19)</f>
        <v>-</v>
      </c>
      <c r="AP43" s="33" t="str">
        <f>IF(AND($I$19+AO$17*Adatok!$F$11&gt;Adatok!$F$10-0.01,Adatok!$C$16+$B43&lt;Adatok!$C$17+1),((Adatok!$C$13*Adatok!$C$20*Adatok!$I42*Adatok!$J42)/(8*(VLOOKUP(AP$19,Számítás!$B$19:$H$63,7,FALSE)))+(Adatok!$C$13^3*Adatok!$C$20^3*Adatok!$I42^3*Adatok!$J42)/(384*(VLOOKUP(AP$19,Számítás!$B$19:$H$63,7,FALSE))^3))*100,$B$19)</f>
        <v>-</v>
      </c>
      <c r="AQ43" s="33" t="str">
        <f>IF(AND($I$19+AP$17*Adatok!$F$11&gt;Adatok!$F$10-0.01,Adatok!$C$16+$B43&lt;Adatok!$C$17+1),((Adatok!$C$13*Adatok!$C$20*Adatok!$I42*Adatok!$J42)/(8*(VLOOKUP(AQ$19,Számítás!$B$19:$H$63,7,FALSE)))+(Adatok!$C$13^3*Adatok!$C$20^3*Adatok!$I42^3*Adatok!$J42)/(384*(VLOOKUP(AQ$19,Számítás!$B$19:$H$63,7,FALSE))^3))*100,$B$19)</f>
        <v>-</v>
      </c>
      <c r="AR43" s="33" t="str">
        <f>IF(AND($I$19+AQ$17*Adatok!$F$11&gt;Adatok!$F$10-0.01,Adatok!$C$16+$B43&lt;Adatok!$C$17+1),((Adatok!$C$13*Adatok!$C$20*Adatok!$I42*Adatok!$J42)/(8*(VLOOKUP(AR$19,Számítás!$B$19:$H$63,7,FALSE)))+(Adatok!$C$13^3*Adatok!$C$20^3*Adatok!$I42^3*Adatok!$J42)/(384*(VLOOKUP(AR$19,Számítás!$B$19:$H$63,7,FALSE))^3))*100,$B$19)</f>
        <v>-</v>
      </c>
      <c r="AS43" s="33" t="str">
        <f>IF(AND($I$19+AR$17*Adatok!$F$11&gt;Adatok!$F$10-0.01,Adatok!$C$16+$B43&lt;Adatok!$C$17+1),((Adatok!$C$13*Adatok!$C$20*Adatok!$I42*Adatok!$J42)/(8*(VLOOKUP(AS$19,Számítás!$B$19:$H$63,7,FALSE)))+(Adatok!$C$13^3*Adatok!$C$20^3*Adatok!$I42^3*Adatok!$J42)/(384*(VLOOKUP(AS$19,Számítás!$B$19:$H$63,7,FALSE))^3))*100,$B$19)</f>
        <v>-</v>
      </c>
      <c r="AT43" s="33" t="str">
        <f>IF(AND($I$19+AS$17*Adatok!$F$11&gt;Adatok!$F$10-0.01,Adatok!$C$16+$B43&lt;Adatok!$C$17+1),((Adatok!$C$13*Adatok!$C$20*Adatok!$I42*Adatok!$J42)/(8*(VLOOKUP(AT$19,Számítás!$B$19:$H$63,7,FALSE)))+(Adatok!$C$13^3*Adatok!$C$20^3*Adatok!$I42^3*Adatok!$J42)/(384*(VLOOKUP(AT$19,Számítás!$B$19:$H$63,7,FALSE))^3))*100,$B$19)</f>
        <v>-</v>
      </c>
      <c r="AU43" s="33" t="str">
        <f>IF(AND($I$19+AT$17*Adatok!$F$11&gt;Adatok!$F$10-0.01,Adatok!$C$16+$B43&lt;Adatok!$C$17+1),((Adatok!$C$13*Adatok!$C$20*Adatok!$I42*Adatok!$J42)/(8*(VLOOKUP(AU$19,Számítás!$B$19:$H$63,7,FALSE)))+(Adatok!$C$13^3*Adatok!$C$20^3*Adatok!$I42^3*Adatok!$J42)/(384*(VLOOKUP(AU$19,Számítás!$B$19:$H$63,7,FALSE))^3))*100,$B$19)</f>
        <v>-</v>
      </c>
      <c r="AV43" s="33" t="str">
        <f>IF(AND($I$19+AU$17*Adatok!$F$11&gt;Adatok!$F$10-0.01,Adatok!$C$16+$B43&lt;Adatok!$C$17+1),((Adatok!$C$13*Adatok!$C$20*Adatok!$I42*Adatok!$J42)/(8*(VLOOKUP(AV$19,Számítás!$B$19:$H$63,7,FALSE)))+(Adatok!$C$13^3*Adatok!$C$20^3*Adatok!$I42^3*Adatok!$J42)/(384*(VLOOKUP(AV$19,Számítás!$B$19:$H$63,7,FALSE))^3))*100,$B$19)</f>
        <v>-</v>
      </c>
      <c r="AW43" s="33" t="str">
        <f>IF(AND($I$19+AV$17*Adatok!$F$11&gt;Adatok!$F$10-0.01,Adatok!$C$16+$B43&lt;Adatok!$C$17+1),((Adatok!$C$13*Adatok!$C$20*Adatok!$I42*Adatok!$J42)/(8*(VLOOKUP(AW$19,Számítás!$B$19:$H$63,7,FALSE)))+(Adatok!$C$13^3*Adatok!$C$20^3*Adatok!$I42^3*Adatok!$J42)/(384*(VLOOKUP(AW$19,Számítás!$B$19:$H$63,7,FALSE))^3))*100,$B$19)</f>
        <v>-</v>
      </c>
      <c r="AX43" s="33" t="str">
        <f>IF(AND($I$19+AW$17*Adatok!$F$11&gt;Adatok!$F$10-0.01,Adatok!$C$16+$B43&lt;Adatok!$C$17+1),((Adatok!$C$13*Adatok!$C$20*Adatok!$I42*Adatok!$J42)/(8*(VLOOKUP(AX$19,Számítás!$B$19:$H$63,7,FALSE)))+(Adatok!$C$13^3*Adatok!$C$20^3*Adatok!$I42^3*Adatok!$J42)/(384*(VLOOKUP(AX$19,Számítás!$B$19:$H$63,7,FALSE))^3))*100,$B$19)</f>
        <v>-</v>
      </c>
      <c r="AY43" s="33" t="str">
        <f>IF(AND($I$19+AX$17*Adatok!$F$11&gt;Adatok!$F$10-0.01,Adatok!$C$16+$B43&lt;Adatok!$C$17+1),((Adatok!$C$13*Adatok!$C$20*Adatok!$I42*Adatok!$J42)/(8*(VLOOKUP(AY$19,Számítás!$B$19:$H$63,7,FALSE)))+(Adatok!$C$13^3*Adatok!$C$20^3*Adatok!$I42^3*Adatok!$J42)/(384*(VLOOKUP(AY$19,Számítás!$B$19:$H$63,7,FALSE))^3))*100,$B$19)</f>
        <v>-</v>
      </c>
      <c r="AZ43" s="33" t="str">
        <f>IF(AND($I$19+AY$17*Adatok!$F$11&gt;Adatok!$F$10-0.01,Adatok!$C$16+$B43&lt;Adatok!$C$17+1),((Adatok!$C$13*Adatok!$C$20*Adatok!$I42*Adatok!$J42)/(8*(VLOOKUP(AZ$19,Számítás!$B$19:$H$63,7,FALSE)))+(Adatok!$C$13^3*Adatok!$C$20^3*Adatok!$I42^3*Adatok!$J42)/(384*(VLOOKUP(AZ$19,Számítás!$B$19:$H$63,7,FALSE))^3))*100,$B$19)</f>
        <v>-</v>
      </c>
      <c r="BA43" s="33" t="str">
        <f>IF(AND($I$19+AZ$17*Adatok!$F$11&gt;Adatok!$F$10-0.01,Adatok!$C$16+$B43&lt;Adatok!$C$17+1),((Adatok!$C$13*Adatok!$C$20*Adatok!$I42*Adatok!$J42)/(8*(VLOOKUP(BA$19,Számítás!$B$19:$H$63,7,FALSE)))+(Adatok!$C$13^3*Adatok!$C$20^3*Adatok!$I42^3*Adatok!$J42)/(384*(VLOOKUP(BA$19,Számítás!$B$19:$H$63,7,FALSE))^3))*100,$B$19)</f>
        <v>-</v>
      </c>
    </row>
    <row r="44" spans="2:53" ht="18" customHeight="1" x14ac:dyDescent="0.25">
      <c r="B44" s="1">
        <v>25</v>
      </c>
      <c r="C44" s="333" t="str">
        <f>Adatok!F43</f>
        <v>-</v>
      </c>
      <c r="D44" s="32" t="s">
        <v>27</v>
      </c>
      <c r="E44" s="336" t="str">
        <f>Adatok!H43</f>
        <v>-</v>
      </c>
      <c r="F44" s="64" t="str">
        <f>IF(Adatok!$C$16+B44&gt;Adatok!$C$17,$B$19,Adatok!I43)</f>
        <v>-</v>
      </c>
      <c r="G44" s="60"/>
      <c r="H44" s="72" t="str">
        <f>IF(Adatok!$C$16+B44&gt;Adatok!$C$17,$B$19,Adatok!J43/Adatok!I43)</f>
        <v>-</v>
      </c>
      <c r="I44" s="81" t="str">
        <f>IF(Adatok!$C$16+$B44&lt;Adatok!$C$17+1,((((Adatok!$C$13*Adatok!$C$20*Adatok!$I43*Adatok!$J43)/(8*(VLOOKUP(I$19,Számítás!$B$19:$H$63,7,FALSE))))+((Adatok!$C$13^3*Adatok!$C$20^3*Adatok!$I43^3*Adatok!$J43)/(384*(VLOOKUP(I$19,Számítás!$B$19:$H$63,7,FALSE))^3)))*100),$B$19)</f>
        <v>-</v>
      </c>
      <c r="J44" s="33" t="str">
        <f>IF(AND($I$19+I$17*Adatok!$F$11&gt;Adatok!$F$10-0.01,Adatok!$C$16+$B44&lt;Adatok!$C$17+1),((Adatok!$C$13*Adatok!$C$20*Adatok!$I43*Adatok!$J43)/(8*(VLOOKUP(J$19,Számítás!$B$19:$H$63,7,FALSE)))+(Adatok!$C$13^3*Adatok!$C$20^3*Adatok!$I43^3*Adatok!$J43)/(384*(VLOOKUP(J$19,Számítás!$B$19:$H$63,7,FALSE))^3))*100,$B$19)</f>
        <v>-</v>
      </c>
      <c r="K44" s="33" t="str">
        <f>IF(AND($I$19+J$17*Adatok!$F$11&gt;Adatok!$F$10-0.01,Adatok!$C$16+$B44&lt;Adatok!$C$17+1),((Adatok!$C$13*Adatok!$C$20*Adatok!$I43*Adatok!$J43)/(8*(VLOOKUP(K$19,Számítás!$B$19:$H$63,7,FALSE)))+(Adatok!$C$13^3*Adatok!$C$20^3*Adatok!$I43^3*Adatok!$J43)/(384*(VLOOKUP(K$19,Számítás!$B$19:$H$63,7,FALSE))^3))*100,$B$19)</f>
        <v>-</v>
      </c>
      <c r="L44" s="33" t="str">
        <f>IF(AND($I$19+K$17*Adatok!$F$11&gt;Adatok!$F$10-0.01,Adatok!$C$16+$B44&lt;Adatok!$C$17+1),((Adatok!$C$13*Adatok!$C$20*Adatok!$I43*Adatok!$J43)/(8*(VLOOKUP(L$19,Számítás!$B$19:$H$63,7,FALSE)))+(Adatok!$C$13^3*Adatok!$C$20^3*Adatok!$I43^3*Adatok!$J43)/(384*(VLOOKUP(L$19,Számítás!$B$19:$H$63,7,FALSE))^3))*100,$B$19)</f>
        <v>-</v>
      </c>
      <c r="M44" s="33" t="str">
        <f>IF(AND($I$19+L$17*Adatok!$F$11&gt;Adatok!$F$10-0.01,Adatok!$C$16+$B44&lt;Adatok!$C$17+1),((Adatok!$C$13*Adatok!$C$20*Adatok!$I43*Adatok!$J43)/(8*(VLOOKUP(M$19,Számítás!$B$19:$H$63,7,FALSE)))+(Adatok!$C$13^3*Adatok!$C$20^3*Adatok!$I43^3*Adatok!$J43)/(384*(VLOOKUP(M$19,Számítás!$B$19:$H$63,7,FALSE))^3))*100,$B$19)</f>
        <v>-</v>
      </c>
      <c r="N44" s="33" t="str">
        <f>IF(AND($I$19+M$17*Adatok!$F$11&gt;Adatok!$F$10-0.01,Adatok!$C$16+$B44&lt;Adatok!$C$17+1),((Adatok!$C$13*Adatok!$C$20*Adatok!$I43*Adatok!$J43)/(8*(VLOOKUP(N$19,Számítás!$B$19:$H$63,7,FALSE)))+(Adatok!$C$13^3*Adatok!$C$20^3*Adatok!$I43^3*Adatok!$J43)/(384*(VLOOKUP(N$19,Számítás!$B$19:$H$63,7,FALSE))^3))*100,$B$19)</f>
        <v>-</v>
      </c>
      <c r="O44" s="33" t="str">
        <f>IF(AND($I$19+N$17*Adatok!$F$11&gt;Adatok!$F$10-0.01,Adatok!$C$16+$B44&lt;Adatok!$C$17+1),((Adatok!$C$13*Adatok!$C$20*Adatok!$I43*Adatok!$J43)/(8*(VLOOKUP(O$19,Számítás!$B$19:$H$63,7,FALSE)))+(Adatok!$C$13^3*Adatok!$C$20^3*Adatok!$I43^3*Adatok!$J43)/(384*(VLOOKUP(O$19,Számítás!$B$19:$H$63,7,FALSE))^3))*100,$B$19)</f>
        <v>-</v>
      </c>
      <c r="P44" s="33" t="str">
        <f>IF(AND($I$19+O$17*Adatok!$F$11&gt;Adatok!$F$10-0.01,Adatok!$C$16+$B44&lt;Adatok!$C$17+1),((Adatok!$C$13*Adatok!$C$20*Adatok!$I43*Adatok!$J43)/(8*(VLOOKUP(P$19,Számítás!$B$19:$H$63,7,FALSE)))+(Adatok!$C$13^3*Adatok!$C$20^3*Adatok!$I43^3*Adatok!$J43)/(384*(VLOOKUP(P$19,Számítás!$B$19:$H$63,7,FALSE))^3))*100,$B$19)</f>
        <v>-</v>
      </c>
      <c r="Q44" s="33" t="str">
        <f>IF(AND($I$19+P$17*Adatok!$F$11&gt;Adatok!$F$10-0.01,Adatok!$C$16+$B44&lt;Adatok!$C$17+1),((Adatok!$C$13*Adatok!$C$20*Adatok!$I43*Adatok!$J43)/(8*(VLOOKUP(Q$19,Számítás!$B$19:$H$63,7,FALSE)))+(Adatok!$C$13^3*Adatok!$C$20^3*Adatok!$I43^3*Adatok!$J43)/(384*(VLOOKUP(Q$19,Számítás!$B$19:$H$63,7,FALSE))^3))*100,$B$19)</f>
        <v>-</v>
      </c>
      <c r="R44" s="33" t="str">
        <f>IF(AND($I$19+Q$17*Adatok!$F$11&gt;Adatok!$F$10-0.01,Adatok!$C$16+$B44&lt;Adatok!$C$17+1),((Adatok!$C$13*Adatok!$C$20*Adatok!$I43*Adatok!$J43)/(8*(VLOOKUP(R$19,Számítás!$B$19:$H$63,7,FALSE)))+(Adatok!$C$13^3*Adatok!$C$20^3*Adatok!$I43^3*Adatok!$J43)/(384*(VLOOKUP(R$19,Számítás!$B$19:$H$63,7,FALSE))^3))*100,$B$19)</f>
        <v>-</v>
      </c>
      <c r="S44" s="33" t="str">
        <f>IF(AND($I$19+R$17*Adatok!$F$11&gt;Adatok!$F$10-0.01,Adatok!$C$16+$B44&lt;Adatok!$C$17+1),((Adatok!$C$13*Adatok!$C$20*Adatok!$I43*Adatok!$J43)/(8*(VLOOKUP(S$19,Számítás!$B$19:$H$63,7,FALSE)))+(Adatok!$C$13^3*Adatok!$C$20^3*Adatok!$I43^3*Adatok!$J43)/(384*(VLOOKUP(S$19,Számítás!$B$19:$H$63,7,FALSE))^3))*100,$B$19)</f>
        <v>-</v>
      </c>
      <c r="T44" s="33" t="str">
        <f>IF(AND($I$19+S$17*Adatok!$F$11&gt;Adatok!$F$10-0.01,Adatok!$C$16+$B44&lt;Adatok!$C$17+1),((Adatok!$C$13*Adatok!$C$20*Adatok!$I43*Adatok!$J43)/(8*(VLOOKUP(T$19,Számítás!$B$19:$H$63,7,FALSE)))+(Adatok!$C$13^3*Adatok!$C$20^3*Adatok!$I43^3*Adatok!$J43)/(384*(VLOOKUP(T$19,Számítás!$B$19:$H$63,7,FALSE))^3))*100,$B$19)</f>
        <v>-</v>
      </c>
      <c r="U44" s="33" t="str">
        <f>IF(AND($I$19+T$17*Adatok!$F$11&gt;Adatok!$F$10-0.01,Adatok!$C$16+$B44&lt;Adatok!$C$17+1),((Adatok!$C$13*Adatok!$C$20*Adatok!$I43*Adatok!$J43)/(8*(VLOOKUP(U$19,Számítás!$B$19:$H$63,7,FALSE)))+(Adatok!$C$13^3*Adatok!$C$20^3*Adatok!$I43^3*Adatok!$J43)/(384*(VLOOKUP(U$19,Számítás!$B$19:$H$63,7,FALSE))^3))*100,$B$19)</f>
        <v>-</v>
      </c>
      <c r="V44" s="33" t="str">
        <f>IF(AND($I$19+U$17*Adatok!$F$11&gt;Adatok!$F$10-0.01,Adatok!$C$16+$B44&lt;Adatok!$C$17+1),((Adatok!$C$13*Adatok!$C$20*Adatok!$I43*Adatok!$J43)/(8*(VLOOKUP(V$19,Számítás!$B$19:$H$63,7,FALSE)))+(Adatok!$C$13^3*Adatok!$C$20^3*Adatok!$I43^3*Adatok!$J43)/(384*(VLOOKUP(V$19,Számítás!$B$19:$H$63,7,FALSE))^3))*100,$B$19)</f>
        <v>-</v>
      </c>
      <c r="W44" s="33" t="str">
        <f>IF(AND($I$19+V$17*Adatok!$F$11&gt;Adatok!$F$10-0.01,Adatok!$C$16+$B44&lt;Adatok!$C$17+1),((Adatok!$C$13*Adatok!$C$20*Adatok!$I43*Adatok!$J43)/(8*(VLOOKUP(W$19,Számítás!$B$19:$H$63,7,FALSE)))+(Adatok!$C$13^3*Adatok!$C$20^3*Adatok!$I43^3*Adatok!$J43)/(384*(VLOOKUP(W$19,Számítás!$B$19:$H$63,7,FALSE))^3))*100,$B$19)</f>
        <v>-</v>
      </c>
      <c r="X44" s="33" t="str">
        <f>IF(AND($I$19+W$17*Adatok!$F$11&gt;Adatok!$F$10-0.01,Adatok!$C$16+$B44&lt;Adatok!$C$17+1),((Adatok!$C$13*Adatok!$C$20*Adatok!$I43*Adatok!$J43)/(8*(VLOOKUP(X$19,Számítás!$B$19:$H$63,7,FALSE)))+(Adatok!$C$13^3*Adatok!$C$20^3*Adatok!$I43^3*Adatok!$J43)/(384*(VLOOKUP(X$19,Számítás!$B$19:$H$63,7,FALSE))^3))*100,$B$19)</f>
        <v>-</v>
      </c>
      <c r="Y44" s="33" t="str">
        <f>IF(AND($I$19+X$17*Adatok!$F$11&gt;Adatok!$F$10-0.01,Adatok!$C$16+$B44&lt;Adatok!$C$17+1),((Adatok!$C$13*Adatok!$C$20*Adatok!$I43*Adatok!$J43)/(8*(VLOOKUP(Y$19,Számítás!$B$19:$H$63,7,FALSE)))+(Adatok!$C$13^3*Adatok!$C$20^3*Adatok!$I43^3*Adatok!$J43)/(384*(VLOOKUP(Y$19,Számítás!$B$19:$H$63,7,FALSE))^3))*100,$B$19)</f>
        <v>-</v>
      </c>
      <c r="Z44" s="33" t="str">
        <f>IF(AND($I$19+Y$17*Adatok!$F$11&gt;Adatok!$F$10-0.01,Adatok!$C$16+$B44&lt;Adatok!$C$17+1),((Adatok!$C$13*Adatok!$C$20*Adatok!$I43*Adatok!$J43)/(8*(VLOOKUP(Z$19,Számítás!$B$19:$H$63,7,FALSE)))+(Adatok!$C$13^3*Adatok!$C$20^3*Adatok!$I43^3*Adatok!$J43)/(384*(VLOOKUP(Z$19,Számítás!$B$19:$H$63,7,FALSE))^3))*100,$B$19)</f>
        <v>-</v>
      </c>
      <c r="AA44" s="33" t="str">
        <f>IF(AND($I$19+Z$17*Adatok!$F$11&gt;Adatok!$F$10-0.01,Adatok!$C$16+$B44&lt;Adatok!$C$17+1),((Adatok!$C$13*Adatok!$C$20*Adatok!$I43*Adatok!$J43)/(8*(VLOOKUP(AA$19,Számítás!$B$19:$H$63,7,FALSE)))+(Adatok!$C$13^3*Adatok!$C$20^3*Adatok!$I43^3*Adatok!$J43)/(384*(VLOOKUP(AA$19,Számítás!$B$19:$H$63,7,FALSE))^3))*100,$B$19)</f>
        <v>-</v>
      </c>
      <c r="AB44" s="33" t="str">
        <f>IF(AND($I$19+AA$17*Adatok!$F$11&gt;Adatok!$F$10-0.01,Adatok!$C$16+$B44&lt;Adatok!$C$17+1),((Adatok!$C$13*Adatok!$C$20*Adatok!$I43*Adatok!$J43)/(8*(VLOOKUP(AB$19,Számítás!$B$19:$H$63,7,FALSE)))+(Adatok!$C$13^3*Adatok!$C$20^3*Adatok!$I43^3*Adatok!$J43)/(384*(VLOOKUP(AB$19,Számítás!$B$19:$H$63,7,FALSE))^3))*100,$B$19)</f>
        <v>-</v>
      </c>
      <c r="AC44" s="33" t="str">
        <f>IF(AND($I$19+AB$17*Adatok!$F$11&gt;Adatok!$F$10-0.01,Adatok!$C$16+$B44&lt;Adatok!$C$17+1),((Adatok!$C$13*Adatok!$C$20*Adatok!$I43*Adatok!$J43)/(8*(VLOOKUP(AC$19,Számítás!$B$19:$H$63,7,FALSE)))+(Adatok!$C$13^3*Adatok!$C$20^3*Adatok!$I43^3*Adatok!$J43)/(384*(VLOOKUP(AC$19,Számítás!$B$19:$H$63,7,FALSE))^3))*100,$B$19)</f>
        <v>-</v>
      </c>
      <c r="AD44" s="33" t="str">
        <f>IF(AND($I$19+AC$17*Adatok!$F$11&gt;Adatok!$F$10-0.01,Adatok!$C$16+$B44&lt;Adatok!$C$17+1),((Adatok!$C$13*Adatok!$C$20*Adatok!$I43*Adatok!$J43)/(8*(VLOOKUP(AD$19,Számítás!$B$19:$H$63,7,FALSE)))+(Adatok!$C$13^3*Adatok!$C$20^3*Adatok!$I43^3*Adatok!$J43)/(384*(VLOOKUP(AD$19,Számítás!$B$19:$H$63,7,FALSE))^3))*100,$B$19)</f>
        <v>-</v>
      </c>
      <c r="AE44" s="33" t="str">
        <f>IF(AND($I$19+AD$17*Adatok!$F$11&gt;Adatok!$F$10-0.01,Adatok!$C$16+$B44&lt;Adatok!$C$17+1),((Adatok!$C$13*Adatok!$C$20*Adatok!$I43*Adatok!$J43)/(8*(VLOOKUP(AE$19,Számítás!$B$19:$H$63,7,FALSE)))+(Adatok!$C$13^3*Adatok!$C$20^3*Adatok!$I43^3*Adatok!$J43)/(384*(VLOOKUP(AE$19,Számítás!$B$19:$H$63,7,FALSE))^3))*100,$B$19)</f>
        <v>-</v>
      </c>
      <c r="AF44" s="33" t="str">
        <f>IF(AND($I$19+AE$17*Adatok!$F$11&gt;Adatok!$F$10-0.01,Adatok!$C$16+$B44&lt;Adatok!$C$17+1),((Adatok!$C$13*Adatok!$C$20*Adatok!$I43*Adatok!$J43)/(8*(VLOOKUP(AF$19,Számítás!$B$19:$H$63,7,FALSE)))+(Adatok!$C$13^3*Adatok!$C$20^3*Adatok!$I43^3*Adatok!$J43)/(384*(VLOOKUP(AF$19,Számítás!$B$19:$H$63,7,FALSE))^3))*100,$B$19)</f>
        <v>-</v>
      </c>
      <c r="AG44" s="33" t="str">
        <f>IF(AND($I$19+AF$17*Adatok!$F$11&gt;Adatok!$F$10-0.01,Adatok!$C$16+$B44&lt;Adatok!$C$17+1),((Adatok!$C$13*Adatok!$C$20*Adatok!$I43*Adatok!$J43)/(8*(VLOOKUP(AG$19,Számítás!$B$19:$H$63,7,FALSE)))+(Adatok!$C$13^3*Adatok!$C$20^3*Adatok!$I43^3*Adatok!$J43)/(384*(VLOOKUP(AG$19,Számítás!$B$19:$H$63,7,FALSE))^3))*100,$B$19)</f>
        <v>-</v>
      </c>
      <c r="AH44" s="33" t="str">
        <f>IF(AND($I$19+AG$17*Adatok!$F$11&gt;Adatok!$F$10-0.01,Adatok!$C$16+$B44&lt;Adatok!$C$17+1),((Adatok!$C$13*Adatok!$C$20*Adatok!$I43*Adatok!$J43)/(8*(VLOOKUP(AH$19,Számítás!$B$19:$H$63,7,FALSE)))+(Adatok!$C$13^3*Adatok!$C$20^3*Adatok!$I43^3*Adatok!$J43)/(384*(VLOOKUP(AH$19,Számítás!$B$19:$H$63,7,FALSE))^3))*100,$B$19)</f>
        <v>-</v>
      </c>
      <c r="AI44" s="33" t="str">
        <f>IF(AND($I$19+AH$17*Adatok!$F$11&gt;Adatok!$F$10-0.01,Adatok!$C$16+$B44&lt;Adatok!$C$17+1),((Adatok!$C$13*Adatok!$C$20*Adatok!$I43*Adatok!$J43)/(8*(VLOOKUP(AI$19,Számítás!$B$19:$H$63,7,FALSE)))+(Adatok!$C$13^3*Adatok!$C$20^3*Adatok!$I43^3*Adatok!$J43)/(384*(VLOOKUP(AI$19,Számítás!$B$19:$H$63,7,FALSE))^3))*100,$B$19)</f>
        <v>-</v>
      </c>
      <c r="AJ44" s="33" t="str">
        <f>IF(AND($I$19+AI$17*Adatok!$F$11&gt;Adatok!$F$10-0.01,Adatok!$C$16+$B44&lt;Adatok!$C$17+1),((Adatok!$C$13*Adatok!$C$20*Adatok!$I43*Adatok!$J43)/(8*(VLOOKUP(AJ$19,Számítás!$B$19:$H$63,7,FALSE)))+(Adatok!$C$13^3*Adatok!$C$20^3*Adatok!$I43^3*Adatok!$J43)/(384*(VLOOKUP(AJ$19,Számítás!$B$19:$H$63,7,FALSE))^3))*100,$B$19)</f>
        <v>-</v>
      </c>
      <c r="AK44" s="33" t="str">
        <f>IF(AND($I$19+AJ$17*Adatok!$F$11&gt;Adatok!$F$10-0.01,Adatok!$C$16+$B44&lt;Adatok!$C$17+1),((Adatok!$C$13*Adatok!$C$20*Adatok!$I43*Adatok!$J43)/(8*(VLOOKUP(AK$19,Számítás!$B$19:$H$63,7,FALSE)))+(Adatok!$C$13^3*Adatok!$C$20^3*Adatok!$I43^3*Adatok!$J43)/(384*(VLOOKUP(AK$19,Számítás!$B$19:$H$63,7,FALSE))^3))*100,$B$19)</f>
        <v>-</v>
      </c>
      <c r="AL44" s="33" t="str">
        <f>IF(AND($I$19+AK$17*Adatok!$F$11&gt;Adatok!$F$10-0.01,Adatok!$C$16+$B44&lt;Adatok!$C$17+1),((Adatok!$C$13*Adatok!$C$20*Adatok!$I43*Adatok!$J43)/(8*(VLOOKUP(AL$19,Számítás!$B$19:$H$63,7,FALSE)))+(Adatok!$C$13^3*Adatok!$C$20^3*Adatok!$I43^3*Adatok!$J43)/(384*(VLOOKUP(AL$19,Számítás!$B$19:$H$63,7,FALSE))^3))*100,$B$19)</f>
        <v>-</v>
      </c>
      <c r="AM44" s="33" t="str">
        <f>IF(AND($I$19+AL$17*Adatok!$F$11&gt;Adatok!$F$10-0.01,Adatok!$C$16+$B44&lt;Adatok!$C$17+1),((Adatok!$C$13*Adatok!$C$20*Adatok!$I43*Adatok!$J43)/(8*(VLOOKUP(AM$19,Számítás!$B$19:$H$63,7,FALSE)))+(Adatok!$C$13^3*Adatok!$C$20^3*Adatok!$I43^3*Adatok!$J43)/(384*(VLOOKUP(AM$19,Számítás!$B$19:$H$63,7,FALSE))^3))*100,$B$19)</f>
        <v>-</v>
      </c>
      <c r="AN44" s="33" t="str">
        <f>IF(AND($I$19+AM$17*Adatok!$F$11&gt;Adatok!$F$10-0.01,Adatok!$C$16+$B44&lt;Adatok!$C$17+1),((Adatok!$C$13*Adatok!$C$20*Adatok!$I43*Adatok!$J43)/(8*(VLOOKUP(AN$19,Számítás!$B$19:$H$63,7,FALSE)))+(Adatok!$C$13^3*Adatok!$C$20^3*Adatok!$I43^3*Adatok!$J43)/(384*(VLOOKUP(AN$19,Számítás!$B$19:$H$63,7,FALSE))^3))*100,$B$19)</f>
        <v>-</v>
      </c>
      <c r="AO44" s="33" t="str">
        <f>IF(AND($I$19+AN$17*Adatok!$F$11&gt;Adatok!$F$10-0.01,Adatok!$C$16+$B44&lt;Adatok!$C$17+1),((Adatok!$C$13*Adatok!$C$20*Adatok!$I43*Adatok!$J43)/(8*(VLOOKUP(AO$19,Számítás!$B$19:$H$63,7,FALSE)))+(Adatok!$C$13^3*Adatok!$C$20^3*Adatok!$I43^3*Adatok!$J43)/(384*(VLOOKUP(AO$19,Számítás!$B$19:$H$63,7,FALSE))^3))*100,$B$19)</f>
        <v>-</v>
      </c>
      <c r="AP44" s="33" t="str">
        <f>IF(AND($I$19+AO$17*Adatok!$F$11&gt;Adatok!$F$10-0.01,Adatok!$C$16+$B44&lt;Adatok!$C$17+1),((Adatok!$C$13*Adatok!$C$20*Adatok!$I43*Adatok!$J43)/(8*(VLOOKUP(AP$19,Számítás!$B$19:$H$63,7,FALSE)))+(Adatok!$C$13^3*Adatok!$C$20^3*Adatok!$I43^3*Adatok!$J43)/(384*(VLOOKUP(AP$19,Számítás!$B$19:$H$63,7,FALSE))^3))*100,$B$19)</f>
        <v>-</v>
      </c>
      <c r="AQ44" s="33" t="str">
        <f>IF(AND($I$19+AP$17*Adatok!$F$11&gt;Adatok!$F$10-0.01,Adatok!$C$16+$B44&lt;Adatok!$C$17+1),((Adatok!$C$13*Adatok!$C$20*Adatok!$I43*Adatok!$J43)/(8*(VLOOKUP(AQ$19,Számítás!$B$19:$H$63,7,FALSE)))+(Adatok!$C$13^3*Adatok!$C$20^3*Adatok!$I43^3*Adatok!$J43)/(384*(VLOOKUP(AQ$19,Számítás!$B$19:$H$63,7,FALSE))^3))*100,$B$19)</f>
        <v>-</v>
      </c>
      <c r="AR44" s="33" t="str">
        <f>IF(AND($I$19+AQ$17*Adatok!$F$11&gt;Adatok!$F$10-0.01,Adatok!$C$16+$B44&lt;Adatok!$C$17+1),((Adatok!$C$13*Adatok!$C$20*Adatok!$I43*Adatok!$J43)/(8*(VLOOKUP(AR$19,Számítás!$B$19:$H$63,7,FALSE)))+(Adatok!$C$13^3*Adatok!$C$20^3*Adatok!$I43^3*Adatok!$J43)/(384*(VLOOKUP(AR$19,Számítás!$B$19:$H$63,7,FALSE))^3))*100,$B$19)</f>
        <v>-</v>
      </c>
      <c r="AS44" s="33" t="str">
        <f>IF(AND($I$19+AR$17*Adatok!$F$11&gt;Adatok!$F$10-0.01,Adatok!$C$16+$B44&lt;Adatok!$C$17+1),((Adatok!$C$13*Adatok!$C$20*Adatok!$I43*Adatok!$J43)/(8*(VLOOKUP(AS$19,Számítás!$B$19:$H$63,7,FALSE)))+(Adatok!$C$13^3*Adatok!$C$20^3*Adatok!$I43^3*Adatok!$J43)/(384*(VLOOKUP(AS$19,Számítás!$B$19:$H$63,7,FALSE))^3))*100,$B$19)</f>
        <v>-</v>
      </c>
      <c r="AT44" s="33" t="str">
        <f>IF(AND($I$19+AS$17*Adatok!$F$11&gt;Adatok!$F$10-0.01,Adatok!$C$16+$B44&lt;Adatok!$C$17+1),((Adatok!$C$13*Adatok!$C$20*Adatok!$I43*Adatok!$J43)/(8*(VLOOKUP(AT$19,Számítás!$B$19:$H$63,7,FALSE)))+(Adatok!$C$13^3*Adatok!$C$20^3*Adatok!$I43^3*Adatok!$J43)/(384*(VLOOKUP(AT$19,Számítás!$B$19:$H$63,7,FALSE))^3))*100,$B$19)</f>
        <v>-</v>
      </c>
      <c r="AU44" s="33" t="str">
        <f>IF(AND($I$19+AT$17*Adatok!$F$11&gt;Adatok!$F$10-0.01,Adatok!$C$16+$B44&lt;Adatok!$C$17+1),((Adatok!$C$13*Adatok!$C$20*Adatok!$I43*Adatok!$J43)/(8*(VLOOKUP(AU$19,Számítás!$B$19:$H$63,7,FALSE)))+(Adatok!$C$13^3*Adatok!$C$20^3*Adatok!$I43^3*Adatok!$J43)/(384*(VLOOKUP(AU$19,Számítás!$B$19:$H$63,7,FALSE))^3))*100,$B$19)</f>
        <v>-</v>
      </c>
      <c r="AV44" s="33" t="str">
        <f>IF(AND($I$19+AU$17*Adatok!$F$11&gt;Adatok!$F$10-0.01,Adatok!$C$16+$B44&lt;Adatok!$C$17+1),((Adatok!$C$13*Adatok!$C$20*Adatok!$I43*Adatok!$J43)/(8*(VLOOKUP(AV$19,Számítás!$B$19:$H$63,7,FALSE)))+(Adatok!$C$13^3*Adatok!$C$20^3*Adatok!$I43^3*Adatok!$J43)/(384*(VLOOKUP(AV$19,Számítás!$B$19:$H$63,7,FALSE))^3))*100,$B$19)</f>
        <v>-</v>
      </c>
      <c r="AW44" s="33" t="str">
        <f>IF(AND($I$19+AV$17*Adatok!$F$11&gt;Adatok!$F$10-0.01,Adatok!$C$16+$B44&lt;Adatok!$C$17+1),((Adatok!$C$13*Adatok!$C$20*Adatok!$I43*Adatok!$J43)/(8*(VLOOKUP(AW$19,Számítás!$B$19:$H$63,7,FALSE)))+(Adatok!$C$13^3*Adatok!$C$20^3*Adatok!$I43^3*Adatok!$J43)/(384*(VLOOKUP(AW$19,Számítás!$B$19:$H$63,7,FALSE))^3))*100,$B$19)</f>
        <v>-</v>
      </c>
      <c r="AX44" s="33" t="str">
        <f>IF(AND($I$19+AW$17*Adatok!$F$11&gt;Adatok!$F$10-0.01,Adatok!$C$16+$B44&lt;Adatok!$C$17+1),((Adatok!$C$13*Adatok!$C$20*Adatok!$I43*Adatok!$J43)/(8*(VLOOKUP(AX$19,Számítás!$B$19:$H$63,7,FALSE)))+(Adatok!$C$13^3*Adatok!$C$20^3*Adatok!$I43^3*Adatok!$J43)/(384*(VLOOKUP(AX$19,Számítás!$B$19:$H$63,7,FALSE))^3))*100,$B$19)</f>
        <v>-</v>
      </c>
      <c r="AY44" s="33" t="str">
        <f>IF(AND($I$19+AX$17*Adatok!$F$11&gt;Adatok!$F$10-0.01,Adatok!$C$16+$B44&lt;Adatok!$C$17+1),((Adatok!$C$13*Adatok!$C$20*Adatok!$I43*Adatok!$J43)/(8*(VLOOKUP(AY$19,Számítás!$B$19:$H$63,7,FALSE)))+(Adatok!$C$13^3*Adatok!$C$20^3*Adatok!$I43^3*Adatok!$J43)/(384*(VLOOKUP(AY$19,Számítás!$B$19:$H$63,7,FALSE))^3))*100,$B$19)</f>
        <v>-</v>
      </c>
      <c r="AZ44" s="33" t="str">
        <f>IF(AND($I$19+AY$17*Adatok!$F$11&gt;Adatok!$F$10-0.01,Adatok!$C$16+$B44&lt;Adatok!$C$17+1),((Adatok!$C$13*Adatok!$C$20*Adatok!$I43*Adatok!$J43)/(8*(VLOOKUP(AZ$19,Számítás!$B$19:$H$63,7,FALSE)))+(Adatok!$C$13^3*Adatok!$C$20^3*Adatok!$I43^3*Adatok!$J43)/(384*(VLOOKUP(AZ$19,Számítás!$B$19:$H$63,7,FALSE))^3))*100,$B$19)</f>
        <v>-</v>
      </c>
      <c r="BA44" s="33" t="str">
        <f>IF(AND($I$19+AZ$17*Adatok!$F$11&gt;Adatok!$F$10-0.01,Adatok!$C$16+$B44&lt;Adatok!$C$17+1),((Adatok!$C$13*Adatok!$C$20*Adatok!$I43*Adatok!$J43)/(8*(VLOOKUP(BA$19,Számítás!$B$19:$H$63,7,FALSE)))+(Adatok!$C$13^3*Adatok!$C$20^3*Adatok!$I43^3*Adatok!$J43)/(384*(VLOOKUP(BA$19,Számítás!$B$19:$H$63,7,FALSE))^3))*100,$B$19)</f>
        <v>-</v>
      </c>
    </row>
    <row r="45" spans="2:53" ht="18" customHeight="1" x14ac:dyDescent="0.25">
      <c r="B45" s="1">
        <v>26</v>
      </c>
      <c r="C45" s="333" t="str">
        <f>Adatok!F44</f>
        <v>-</v>
      </c>
      <c r="D45" s="32" t="s">
        <v>27</v>
      </c>
      <c r="E45" s="336" t="str">
        <f>Adatok!H44</f>
        <v>-</v>
      </c>
      <c r="F45" s="64" t="str">
        <f>IF(Adatok!$C$16+B45&gt;Adatok!$C$17,$B$19,Adatok!I44)</f>
        <v>-</v>
      </c>
      <c r="G45" s="60"/>
      <c r="H45" s="72" t="str">
        <f>IF(Adatok!$C$16+B45&gt;Adatok!$C$17,$B$19,Adatok!J44/Adatok!I44)</f>
        <v>-</v>
      </c>
      <c r="I45" s="81" t="str">
        <f>IF(Adatok!$C$16+$B45&lt;Adatok!$C$17+1,((((Adatok!$C$13*Adatok!$C$20*Adatok!$I44*Adatok!$J44)/(8*(VLOOKUP(I$19,Számítás!$B$19:$H$63,7,FALSE))))+((Adatok!$C$13^3*Adatok!$C$20^3*Adatok!$I44^3*Adatok!$J44)/(384*(VLOOKUP(I$19,Számítás!$B$19:$H$63,7,FALSE))^3)))*100),$B$19)</f>
        <v>-</v>
      </c>
      <c r="J45" s="33" t="str">
        <f>IF(AND($I$19+I$17*Adatok!$F$11&gt;Adatok!$F$10-0.01,Adatok!$C$16+$B45&lt;Adatok!$C$17+1),((Adatok!$C$13*Adatok!$C$20*Adatok!$I44*Adatok!$J44)/(8*(VLOOKUP(J$19,Számítás!$B$19:$H$63,7,FALSE)))+(Adatok!$C$13^3*Adatok!$C$20^3*Adatok!$I44^3*Adatok!$J44)/(384*(VLOOKUP(J$19,Számítás!$B$19:$H$63,7,FALSE))^3))*100,$B$19)</f>
        <v>-</v>
      </c>
      <c r="K45" s="33" t="str">
        <f>IF(AND($I$19+J$17*Adatok!$F$11&gt;Adatok!$F$10-0.01,Adatok!$C$16+$B45&lt;Adatok!$C$17+1),((Adatok!$C$13*Adatok!$C$20*Adatok!$I44*Adatok!$J44)/(8*(VLOOKUP(K$19,Számítás!$B$19:$H$63,7,FALSE)))+(Adatok!$C$13^3*Adatok!$C$20^3*Adatok!$I44^3*Adatok!$J44)/(384*(VLOOKUP(K$19,Számítás!$B$19:$H$63,7,FALSE))^3))*100,$B$19)</f>
        <v>-</v>
      </c>
      <c r="L45" s="33" t="str">
        <f>IF(AND($I$19+K$17*Adatok!$F$11&gt;Adatok!$F$10-0.01,Adatok!$C$16+$B45&lt;Adatok!$C$17+1),((Adatok!$C$13*Adatok!$C$20*Adatok!$I44*Adatok!$J44)/(8*(VLOOKUP(L$19,Számítás!$B$19:$H$63,7,FALSE)))+(Adatok!$C$13^3*Adatok!$C$20^3*Adatok!$I44^3*Adatok!$J44)/(384*(VLOOKUP(L$19,Számítás!$B$19:$H$63,7,FALSE))^3))*100,$B$19)</f>
        <v>-</v>
      </c>
      <c r="M45" s="33" t="str">
        <f>IF(AND($I$19+L$17*Adatok!$F$11&gt;Adatok!$F$10-0.01,Adatok!$C$16+$B45&lt;Adatok!$C$17+1),((Adatok!$C$13*Adatok!$C$20*Adatok!$I44*Adatok!$J44)/(8*(VLOOKUP(M$19,Számítás!$B$19:$H$63,7,FALSE)))+(Adatok!$C$13^3*Adatok!$C$20^3*Adatok!$I44^3*Adatok!$J44)/(384*(VLOOKUP(M$19,Számítás!$B$19:$H$63,7,FALSE))^3))*100,$B$19)</f>
        <v>-</v>
      </c>
      <c r="N45" s="33" t="str">
        <f>IF(AND($I$19+M$17*Adatok!$F$11&gt;Adatok!$F$10-0.01,Adatok!$C$16+$B45&lt;Adatok!$C$17+1),((Adatok!$C$13*Adatok!$C$20*Adatok!$I44*Adatok!$J44)/(8*(VLOOKUP(N$19,Számítás!$B$19:$H$63,7,FALSE)))+(Adatok!$C$13^3*Adatok!$C$20^3*Adatok!$I44^3*Adatok!$J44)/(384*(VLOOKUP(N$19,Számítás!$B$19:$H$63,7,FALSE))^3))*100,$B$19)</f>
        <v>-</v>
      </c>
      <c r="O45" s="33" t="str">
        <f>IF(AND($I$19+N$17*Adatok!$F$11&gt;Adatok!$F$10-0.01,Adatok!$C$16+$B45&lt;Adatok!$C$17+1),((Adatok!$C$13*Adatok!$C$20*Adatok!$I44*Adatok!$J44)/(8*(VLOOKUP(O$19,Számítás!$B$19:$H$63,7,FALSE)))+(Adatok!$C$13^3*Adatok!$C$20^3*Adatok!$I44^3*Adatok!$J44)/(384*(VLOOKUP(O$19,Számítás!$B$19:$H$63,7,FALSE))^3))*100,$B$19)</f>
        <v>-</v>
      </c>
      <c r="P45" s="33" t="str">
        <f>IF(AND($I$19+O$17*Adatok!$F$11&gt;Adatok!$F$10-0.01,Adatok!$C$16+$B45&lt;Adatok!$C$17+1),((Adatok!$C$13*Adatok!$C$20*Adatok!$I44*Adatok!$J44)/(8*(VLOOKUP(P$19,Számítás!$B$19:$H$63,7,FALSE)))+(Adatok!$C$13^3*Adatok!$C$20^3*Adatok!$I44^3*Adatok!$J44)/(384*(VLOOKUP(P$19,Számítás!$B$19:$H$63,7,FALSE))^3))*100,$B$19)</f>
        <v>-</v>
      </c>
      <c r="Q45" s="33" t="str">
        <f>IF(AND($I$19+P$17*Adatok!$F$11&gt;Adatok!$F$10-0.01,Adatok!$C$16+$B45&lt;Adatok!$C$17+1),((Adatok!$C$13*Adatok!$C$20*Adatok!$I44*Adatok!$J44)/(8*(VLOOKUP(Q$19,Számítás!$B$19:$H$63,7,FALSE)))+(Adatok!$C$13^3*Adatok!$C$20^3*Adatok!$I44^3*Adatok!$J44)/(384*(VLOOKUP(Q$19,Számítás!$B$19:$H$63,7,FALSE))^3))*100,$B$19)</f>
        <v>-</v>
      </c>
      <c r="R45" s="33" t="str">
        <f>IF(AND($I$19+Q$17*Adatok!$F$11&gt;Adatok!$F$10-0.01,Adatok!$C$16+$B45&lt;Adatok!$C$17+1),((Adatok!$C$13*Adatok!$C$20*Adatok!$I44*Adatok!$J44)/(8*(VLOOKUP(R$19,Számítás!$B$19:$H$63,7,FALSE)))+(Adatok!$C$13^3*Adatok!$C$20^3*Adatok!$I44^3*Adatok!$J44)/(384*(VLOOKUP(R$19,Számítás!$B$19:$H$63,7,FALSE))^3))*100,$B$19)</f>
        <v>-</v>
      </c>
      <c r="S45" s="33" t="str">
        <f>IF(AND($I$19+R$17*Adatok!$F$11&gt;Adatok!$F$10-0.01,Adatok!$C$16+$B45&lt;Adatok!$C$17+1),((Adatok!$C$13*Adatok!$C$20*Adatok!$I44*Adatok!$J44)/(8*(VLOOKUP(S$19,Számítás!$B$19:$H$63,7,FALSE)))+(Adatok!$C$13^3*Adatok!$C$20^3*Adatok!$I44^3*Adatok!$J44)/(384*(VLOOKUP(S$19,Számítás!$B$19:$H$63,7,FALSE))^3))*100,$B$19)</f>
        <v>-</v>
      </c>
      <c r="T45" s="33" t="str">
        <f>IF(AND($I$19+S$17*Adatok!$F$11&gt;Adatok!$F$10-0.01,Adatok!$C$16+$B45&lt;Adatok!$C$17+1),((Adatok!$C$13*Adatok!$C$20*Adatok!$I44*Adatok!$J44)/(8*(VLOOKUP(T$19,Számítás!$B$19:$H$63,7,FALSE)))+(Adatok!$C$13^3*Adatok!$C$20^3*Adatok!$I44^3*Adatok!$J44)/(384*(VLOOKUP(T$19,Számítás!$B$19:$H$63,7,FALSE))^3))*100,$B$19)</f>
        <v>-</v>
      </c>
      <c r="U45" s="33" t="str">
        <f>IF(AND($I$19+T$17*Adatok!$F$11&gt;Adatok!$F$10-0.01,Adatok!$C$16+$B45&lt;Adatok!$C$17+1),((Adatok!$C$13*Adatok!$C$20*Adatok!$I44*Adatok!$J44)/(8*(VLOOKUP(U$19,Számítás!$B$19:$H$63,7,FALSE)))+(Adatok!$C$13^3*Adatok!$C$20^3*Adatok!$I44^3*Adatok!$J44)/(384*(VLOOKUP(U$19,Számítás!$B$19:$H$63,7,FALSE))^3))*100,$B$19)</f>
        <v>-</v>
      </c>
      <c r="V45" s="33" t="str">
        <f>IF(AND($I$19+U$17*Adatok!$F$11&gt;Adatok!$F$10-0.01,Adatok!$C$16+$B45&lt;Adatok!$C$17+1),((Adatok!$C$13*Adatok!$C$20*Adatok!$I44*Adatok!$J44)/(8*(VLOOKUP(V$19,Számítás!$B$19:$H$63,7,FALSE)))+(Adatok!$C$13^3*Adatok!$C$20^3*Adatok!$I44^3*Adatok!$J44)/(384*(VLOOKUP(V$19,Számítás!$B$19:$H$63,7,FALSE))^3))*100,$B$19)</f>
        <v>-</v>
      </c>
      <c r="W45" s="33" t="str">
        <f>IF(AND($I$19+V$17*Adatok!$F$11&gt;Adatok!$F$10-0.01,Adatok!$C$16+$B45&lt;Adatok!$C$17+1),((Adatok!$C$13*Adatok!$C$20*Adatok!$I44*Adatok!$J44)/(8*(VLOOKUP(W$19,Számítás!$B$19:$H$63,7,FALSE)))+(Adatok!$C$13^3*Adatok!$C$20^3*Adatok!$I44^3*Adatok!$J44)/(384*(VLOOKUP(W$19,Számítás!$B$19:$H$63,7,FALSE))^3))*100,$B$19)</f>
        <v>-</v>
      </c>
      <c r="X45" s="33" t="str">
        <f>IF(AND($I$19+W$17*Adatok!$F$11&gt;Adatok!$F$10-0.01,Adatok!$C$16+$B45&lt;Adatok!$C$17+1),((Adatok!$C$13*Adatok!$C$20*Adatok!$I44*Adatok!$J44)/(8*(VLOOKUP(X$19,Számítás!$B$19:$H$63,7,FALSE)))+(Adatok!$C$13^3*Adatok!$C$20^3*Adatok!$I44^3*Adatok!$J44)/(384*(VLOOKUP(X$19,Számítás!$B$19:$H$63,7,FALSE))^3))*100,$B$19)</f>
        <v>-</v>
      </c>
      <c r="Y45" s="33" t="str">
        <f>IF(AND($I$19+X$17*Adatok!$F$11&gt;Adatok!$F$10-0.01,Adatok!$C$16+$B45&lt;Adatok!$C$17+1),((Adatok!$C$13*Adatok!$C$20*Adatok!$I44*Adatok!$J44)/(8*(VLOOKUP(Y$19,Számítás!$B$19:$H$63,7,FALSE)))+(Adatok!$C$13^3*Adatok!$C$20^3*Adatok!$I44^3*Adatok!$J44)/(384*(VLOOKUP(Y$19,Számítás!$B$19:$H$63,7,FALSE))^3))*100,$B$19)</f>
        <v>-</v>
      </c>
      <c r="Z45" s="33" t="str">
        <f>IF(AND($I$19+Y$17*Adatok!$F$11&gt;Adatok!$F$10-0.01,Adatok!$C$16+$B45&lt;Adatok!$C$17+1),((Adatok!$C$13*Adatok!$C$20*Adatok!$I44*Adatok!$J44)/(8*(VLOOKUP(Z$19,Számítás!$B$19:$H$63,7,FALSE)))+(Adatok!$C$13^3*Adatok!$C$20^3*Adatok!$I44^3*Adatok!$J44)/(384*(VLOOKUP(Z$19,Számítás!$B$19:$H$63,7,FALSE))^3))*100,$B$19)</f>
        <v>-</v>
      </c>
      <c r="AA45" s="33" t="str">
        <f>IF(AND($I$19+Z$17*Adatok!$F$11&gt;Adatok!$F$10-0.01,Adatok!$C$16+$B45&lt;Adatok!$C$17+1),((Adatok!$C$13*Adatok!$C$20*Adatok!$I44*Adatok!$J44)/(8*(VLOOKUP(AA$19,Számítás!$B$19:$H$63,7,FALSE)))+(Adatok!$C$13^3*Adatok!$C$20^3*Adatok!$I44^3*Adatok!$J44)/(384*(VLOOKUP(AA$19,Számítás!$B$19:$H$63,7,FALSE))^3))*100,$B$19)</f>
        <v>-</v>
      </c>
      <c r="AB45" s="33" t="str">
        <f>IF(AND($I$19+AA$17*Adatok!$F$11&gt;Adatok!$F$10-0.01,Adatok!$C$16+$B45&lt;Adatok!$C$17+1),((Adatok!$C$13*Adatok!$C$20*Adatok!$I44*Adatok!$J44)/(8*(VLOOKUP(AB$19,Számítás!$B$19:$H$63,7,FALSE)))+(Adatok!$C$13^3*Adatok!$C$20^3*Adatok!$I44^3*Adatok!$J44)/(384*(VLOOKUP(AB$19,Számítás!$B$19:$H$63,7,FALSE))^3))*100,$B$19)</f>
        <v>-</v>
      </c>
      <c r="AC45" s="33" t="str">
        <f>IF(AND($I$19+AB$17*Adatok!$F$11&gt;Adatok!$F$10-0.01,Adatok!$C$16+$B45&lt;Adatok!$C$17+1),((Adatok!$C$13*Adatok!$C$20*Adatok!$I44*Adatok!$J44)/(8*(VLOOKUP(AC$19,Számítás!$B$19:$H$63,7,FALSE)))+(Adatok!$C$13^3*Adatok!$C$20^3*Adatok!$I44^3*Adatok!$J44)/(384*(VLOOKUP(AC$19,Számítás!$B$19:$H$63,7,FALSE))^3))*100,$B$19)</f>
        <v>-</v>
      </c>
      <c r="AD45" s="33" t="str">
        <f>IF(AND($I$19+AC$17*Adatok!$F$11&gt;Adatok!$F$10-0.01,Adatok!$C$16+$B45&lt;Adatok!$C$17+1),((Adatok!$C$13*Adatok!$C$20*Adatok!$I44*Adatok!$J44)/(8*(VLOOKUP(AD$19,Számítás!$B$19:$H$63,7,FALSE)))+(Adatok!$C$13^3*Adatok!$C$20^3*Adatok!$I44^3*Adatok!$J44)/(384*(VLOOKUP(AD$19,Számítás!$B$19:$H$63,7,FALSE))^3))*100,$B$19)</f>
        <v>-</v>
      </c>
      <c r="AE45" s="33" t="str">
        <f>IF(AND($I$19+AD$17*Adatok!$F$11&gt;Adatok!$F$10-0.01,Adatok!$C$16+$B45&lt;Adatok!$C$17+1),((Adatok!$C$13*Adatok!$C$20*Adatok!$I44*Adatok!$J44)/(8*(VLOOKUP(AE$19,Számítás!$B$19:$H$63,7,FALSE)))+(Adatok!$C$13^3*Adatok!$C$20^3*Adatok!$I44^3*Adatok!$J44)/(384*(VLOOKUP(AE$19,Számítás!$B$19:$H$63,7,FALSE))^3))*100,$B$19)</f>
        <v>-</v>
      </c>
      <c r="AF45" s="33" t="str">
        <f>IF(AND($I$19+AE$17*Adatok!$F$11&gt;Adatok!$F$10-0.01,Adatok!$C$16+$B45&lt;Adatok!$C$17+1),((Adatok!$C$13*Adatok!$C$20*Adatok!$I44*Adatok!$J44)/(8*(VLOOKUP(AF$19,Számítás!$B$19:$H$63,7,FALSE)))+(Adatok!$C$13^3*Adatok!$C$20^3*Adatok!$I44^3*Adatok!$J44)/(384*(VLOOKUP(AF$19,Számítás!$B$19:$H$63,7,FALSE))^3))*100,$B$19)</f>
        <v>-</v>
      </c>
      <c r="AG45" s="33" t="str">
        <f>IF(AND($I$19+AF$17*Adatok!$F$11&gt;Adatok!$F$10-0.01,Adatok!$C$16+$B45&lt;Adatok!$C$17+1),((Adatok!$C$13*Adatok!$C$20*Adatok!$I44*Adatok!$J44)/(8*(VLOOKUP(AG$19,Számítás!$B$19:$H$63,7,FALSE)))+(Adatok!$C$13^3*Adatok!$C$20^3*Adatok!$I44^3*Adatok!$J44)/(384*(VLOOKUP(AG$19,Számítás!$B$19:$H$63,7,FALSE))^3))*100,$B$19)</f>
        <v>-</v>
      </c>
      <c r="AH45" s="33" t="str">
        <f>IF(AND($I$19+AG$17*Adatok!$F$11&gt;Adatok!$F$10-0.01,Adatok!$C$16+$B45&lt;Adatok!$C$17+1),((Adatok!$C$13*Adatok!$C$20*Adatok!$I44*Adatok!$J44)/(8*(VLOOKUP(AH$19,Számítás!$B$19:$H$63,7,FALSE)))+(Adatok!$C$13^3*Adatok!$C$20^3*Adatok!$I44^3*Adatok!$J44)/(384*(VLOOKUP(AH$19,Számítás!$B$19:$H$63,7,FALSE))^3))*100,$B$19)</f>
        <v>-</v>
      </c>
      <c r="AI45" s="33" t="str">
        <f>IF(AND($I$19+AH$17*Adatok!$F$11&gt;Adatok!$F$10-0.01,Adatok!$C$16+$B45&lt;Adatok!$C$17+1),((Adatok!$C$13*Adatok!$C$20*Adatok!$I44*Adatok!$J44)/(8*(VLOOKUP(AI$19,Számítás!$B$19:$H$63,7,FALSE)))+(Adatok!$C$13^3*Adatok!$C$20^3*Adatok!$I44^3*Adatok!$J44)/(384*(VLOOKUP(AI$19,Számítás!$B$19:$H$63,7,FALSE))^3))*100,$B$19)</f>
        <v>-</v>
      </c>
      <c r="AJ45" s="33" t="str">
        <f>IF(AND($I$19+AI$17*Adatok!$F$11&gt;Adatok!$F$10-0.01,Adatok!$C$16+$B45&lt;Adatok!$C$17+1),((Adatok!$C$13*Adatok!$C$20*Adatok!$I44*Adatok!$J44)/(8*(VLOOKUP(AJ$19,Számítás!$B$19:$H$63,7,FALSE)))+(Adatok!$C$13^3*Adatok!$C$20^3*Adatok!$I44^3*Adatok!$J44)/(384*(VLOOKUP(AJ$19,Számítás!$B$19:$H$63,7,FALSE))^3))*100,$B$19)</f>
        <v>-</v>
      </c>
      <c r="AK45" s="33" t="str">
        <f>IF(AND($I$19+AJ$17*Adatok!$F$11&gt;Adatok!$F$10-0.01,Adatok!$C$16+$B45&lt;Adatok!$C$17+1),((Adatok!$C$13*Adatok!$C$20*Adatok!$I44*Adatok!$J44)/(8*(VLOOKUP(AK$19,Számítás!$B$19:$H$63,7,FALSE)))+(Adatok!$C$13^3*Adatok!$C$20^3*Adatok!$I44^3*Adatok!$J44)/(384*(VLOOKUP(AK$19,Számítás!$B$19:$H$63,7,FALSE))^3))*100,$B$19)</f>
        <v>-</v>
      </c>
      <c r="AL45" s="33" t="str">
        <f>IF(AND($I$19+AK$17*Adatok!$F$11&gt;Adatok!$F$10-0.01,Adatok!$C$16+$B45&lt;Adatok!$C$17+1),((Adatok!$C$13*Adatok!$C$20*Adatok!$I44*Adatok!$J44)/(8*(VLOOKUP(AL$19,Számítás!$B$19:$H$63,7,FALSE)))+(Adatok!$C$13^3*Adatok!$C$20^3*Adatok!$I44^3*Adatok!$J44)/(384*(VLOOKUP(AL$19,Számítás!$B$19:$H$63,7,FALSE))^3))*100,$B$19)</f>
        <v>-</v>
      </c>
      <c r="AM45" s="33" t="str">
        <f>IF(AND($I$19+AL$17*Adatok!$F$11&gt;Adatok!$F$10-0.01,Adatok!$C$16+$B45&lt;Adatok!$C$17+1),((Adatok!$C$13*Adatok!$C$20*Adatok!$I44*Adatok!$J44)/(8*(VLOOKUP(AM$19,Számítás!$B$19:$H$63,7,FALSE)))+(Adatok!$C$13^3*Adatok!$C$20^3*Adatok!$I44^3*Adatok!$J44)/(384*(VLOOKUP(AM$19,Számítás!$B$19:$H$63,7,FALSE))^3))*100,$B$19)</f>
        <v>-</v>
      </c>
      <c r="AN45" s="33" t="str">
        <f>IF(AND($I$19+AM$17*Adatok!$F$11&gt;Adatok!$F$10-0.01,Adatok!$C$16+$B45&lt;Adatok!$C$17+1),((Adatok!$C$13*Adatok!$C$20*Adatok!$I44*Adatok!$J44)/(8*(VLOOKUP(AN$19,Számítás!$B$19:$H$63,7,FALSE)))+(Adatok!$C$13^3*Adatok!$C$20^3*Adatok!$I44^3*Adatok!$J44)/(384*(VLOOKUP(AN$19,Számítás!$B$19:$H$63,7,FALSE))^3))*100,$B$19)</f>
        <v>-</v>
      </c>
      <c r="AO45" s="33" t="str">
        <f>IF(AND($I$19+AN$17*Adatok!$F$11&gt;Adatok!$F$10-0.01,Adatok!$C$16+$B45&lt;Adatok!$C$17+1),((Adatok!$C$13*Adatok!$C$20*Adatok!$I44*Adatok!$J44)/(8*(VLOOKUP(AO$19,Számítás!$B$19:$H$63,7,FALSE)))+(Adatok!$C$13^3*Adatok!$C$20^3*Adatok!$I44^3*Adatok!$J44)/(384*(VLOOKUP(AO$19,Számítás!$B$19:$H$63,7,FALSE))^3))*100,$B$19)</f>
        <v>-</v>
      </c>
      <c r="AP45" s="33" t="str">
        <f>IF(AND($I$19+AO$17*Adatok!$F$11&gt;Adatok!$F$10-0.01,Adatok!$C$16+$B45&lt;Adatok!$C$17+1),((Adatok!$C$13*Adatok!$C$20*Adatok!$I44*Adatok!$J44)/(8*(VLOOKUP(AP$19,Számítás!$B$19:$H$63,7,FALSE)))+(Adatok!$C$13^3*Adatok!$C$20^3*Adatok!$I44^3*Adatok!$J44)/(384*(VLOOKUP(AP$19,Számítás!$B$19:$H$63,7,FALSE))^3))*100,$B$19)</f>
        <v>-</v>
      </c>
      <c r="AQ45" s="33" t="str">
        <f>IF(AND($I$19+AP$17*Adatok!$F$11&gt;Adatok!$F$10-0.01,Adatok!$C$16+$B45&lt;Adatok!$C$17+1),((Adatok!$C$13*Adatok!$C$20*Adatok!$I44*Adatok!$J44)/(8*(VLOOKUP(AQ$19,Számítás!$B$19:$H$63,7,FALSE)))+(Adatok!$C$13^3*Adatok!$C$20^3*Adatok!$I44^3*Adatok!$J44)/(384*(VLOOKUP(AQ$19,Számítás!$B$19:$H$63,7,FALSE))^3))*100,$B$19)</f>
        <v>-</v>
      </c>
      <c r="AR45" s="33" t="str">
        <f>IF(AND($I$19+AQ$17*Adatok!$F$11&gt;Adatok!$F$10-0.01,Adatok!$C$16+$B45&lt;Adatok!$C$17+1),((Adatok!$C$13*Adatok!$C$20*Adatok!$I44*Adatok!$J44)/(8*(VLOOKUP(AR$19,Számítás!$B$19:$H$63,7,FALSE)))+(Adatok!$C$13^3*Adatok!$C$20^3*Adatok!$I44^3*Adatok!$J44)/(384*(VLOOKUP(AR$19,Számítás!$B$19:$H$63,7,FALSE))^3))*100,$B$19)</f>
        <v>-</v>
      </c>
      <c r="AS45" s="33" t="str">
        <f>IF(AND($I$19+AR$17*Adatok!$F$11&gt;Adatok!$F$10-0.01,Adatok!$C$16+$B45&lt;Adatok!$C$17+1),((Adatok!$C$13*Adatok!$C$20*Adatok!$I44*Adatok!$J44)/(8*(VLOOKUP(AS$19,Számítás!$B$19:$H$63,7,FALSE)))+(Adatok!$C$13^3*Adatok!$C$20^3*Adatok!$I44^3*Adatok!$J44)/(384*(VLOOKUP(AS$19,Számítás!$B$19:$H$63,7,FALSE))^3))*100,$B$19)</f>
        <v>-</v>
      </c>
      <c r="AT45" s="33" t="str">
        <f>IF(AND($I$19+AS$17*Adatok!$F$11&gt;Adatok!$F$10-0.01,Adatok!$C$16+$B45&lt;Adatok!$C$17+1),((Adatok!$C$13*Adatok!$C$20*Adatok!$I44*Adatok!$J44)/(8*(VLOOKUP(AT$19,Számítás!$B$19:$H$63,7,FALSE)))+(Adatok!$C$13^3*Adatok!$C$20^3*Adatok!$I44^3*Adatok!$J44)/(384*(VLOOKUP(AT$19,Számítás!$B$19:$H$63,7,FALSE))^3))*100,$B$19)</f>
        <v>-</v>
      </c>
      <c r="AU45" s="33" t="str">
        <f>IF(AND($I$19+AT$17*Adatok!$F$11&gt;Adatok!$F$10-0.01,Adatok!$C$16+$B45&lt;Adatok!$C$17+1),((Adatok!$C$13*Adatok!$C$20*Adatok!$I44*Adatok!$J44)/(8*(VLOOKUP(AU$19,Számítás!$B$19:$H$63,7,FALSE)))+(Adatok!$C$13^3*Adatok!$C$20^3*Adatok!$I44^3*Adatok!$J44)/(384*(VLOOKUP(AU$19,Számítás!$B$19:$H$63,7,FALSE))^3))*100,$B$19)</f>
        <v>-</v>
      </c>
      <c r="AV45" s="33" t="str">
        <f>IF(AND($I$19+AU$17*Adatok!$F$11&gt;Adatok!$F$10-0.01,Adatok!$C$16+$B45&lt;Adatok!$C$17+1),((Adatok!$C$13*Adatok!$C$20*Adatok!$I44*Adatok!$J44)/(8*(VLOOKUP(AV$19,Számítás!$B$19:$H$63,7,FALSE)))+(Adatok!$C$13^3*Adatok!$C$20^3*Adatok!$I44^3*Adatok!$J44)/(384*(VLOOKUP(AV$19,Számítás!$B$19:$H$63,7,FALSE))^3))*100,$B$19)</f>
        <v>-</v>
      </c>
      <c r="AW45" s="33" t="str">
        <f>IF(AND($I$19+AV$17*Adatok!$F$11&gt;Adatok!$F$10-0.01,Adatok!$C$16+$B45&lt;Adatok!$C$17+1),((Adatok!$C$13*Adatok!$C$20*Adatok!$I44*Adatok!$J44)/(8*(VLOOKUP(AW$19,Számítás!$B$19:$H$63,7,FALSE)))+(Adatok!$C$13^3*Adatok!$C$20^3*Adatok!$I44^3*Adatok!$J44)/(384*(VLOOKUP(AW$19,Számítás!$B$19:$H$63,7,FALSE))^3))*100,$B$19)</f>
        <v>-</v>
      </c>
      <c r="AX45" s="33" t="str">
        <f>IF(AND($I$19+AW$17*Adatok!$F$11&gt;Adatok!$F$10-0.01,Adatok!$C$16+$B45&lt;Adatok!$C$17+1),((Adatok!$C$13*Adatok!$C$20*Adatok!$I44*Adatok!$J44)/(8*(VLOOKUP(AX$19,Számítás!$B$19:$H$63,7,FALSE)))+(Adatok!$C$13^3*Adatok!$C$20^3*Adatok!$I44^3*Adatok!$J44)/(384*(VLOOKUP(AX$19,Számítás!$B$19:$H$63,7,FALSE))^3))*100,$B$19)</f>
        <v>-</v>
      </c>
      <c r="AY45" s="33" t="str">
        <f>IF(AND($I$19+AX$17*Adatok!$F$11&gt;Adatok!$F$10-0.01,Adatok!$C$16+$B45&lt;Adatok!$C$17+1),((Adatok!$C$13*Adatok!$C$20*Adatok!$I44*Adatok!$J44)/(8*(VLOOKUP(AY$19,Számítás!$B$19:$H$63,7,FALSE)))+(Adatok!$C$13^3*Adatok!$C$20^3*Adatok!$I44^3*Adatok!$J44)/(384*(VLOOKUP(AY$19,Számítás!$B$19:$H$63,7,FALSE))^3))*100,$B$19)</f>
        <v>-</v>
      </c>
      <c r="AZ45" s="33" t="str">
        <f>IF(AND($I$19+AY$17*Adatok!$F$11&gt;Adatok!$F$10-0.01,Adatok!$C$16+$B45&lt;Adatok!$C$17+1),((Adatok!$C$13*Adatok!$C$20*Adatok!$I44*Adatok!$J44)/(8*(VLOOKUP(AZ$19,Számítás!$B$19:$H$63,7,FALSE)))+(Adatok!$C$13^3*Adatok!$C$20^3*Adatok!$I44^3*Adatok!$J44)/(384*(VLOOKUP(AZ$19,Számítás!$B$19:$H$63,7,FALSE))^3))*100,$B$19)</f>
        <v>-</v>
      </c>
      <c r="BA45" s="33" t="str">
        <f>IF(AND($I$19+AZ$17*Adatok!$F$11&gt;Adatok!$F$10-0.01,Adatok!$C$16+$B45&lt;Adatok!$C$17+1),((Adatok!$C$13*Adatok!$C$20*Adatok!$I44*Adatok!$J44)/(8*(VLOOKUP(BA$19,Számítás!$B$19:$H$63,7,FALSE)))+(Adatok!$C$13^3*Adatok!$C$20^3*Adatok!$I44^3*Adatok!$J44)/(384*(VLOOKUP(BA$19,Számítás!$B$19:$H$63,7,FALSE))^3))*100,$B$19)</f>
        <v>-</v>
      </c>
    </row>
    <row r="46" spans="2:53" ht="18" customHeight="1" x14ac:dyDescent="0.25">
      <c r="B46" s="1">
        <v>27</v>
      </c>
      <c r="C46" s="333" t="str">
        <f>Adatok!F45</f>
        <v>-</v>
      </c>
      <c r="D46" s="32" t="s">
        <v>27</v>
      </c>
      <c r="E46" s="336" t="str">
        <f>Adatok!H45</f>
        <v>-</v>
      </c>
      <c r="F46" s="64" t="str">
        <f>IF(Adatok!$C$16+B46&gt;Adatok!$C$17,$B$19,Adatok!I45)</f>
        <v>-</v>
      </c>
      <c r="G46" s="60"/>
      <c r="H46" s="72" t="str">
        <f>IF(Adatok!$C$16+B46&gt;Adatok!$C$17,$B$19,Adatok!J45/Adatok!I45)</f>
        <v>-</v>
      </c>
      <c r="I46" s="81" t="str">
        <f>IF(Adatok!$C$16+$B46&lt;Adatok!$C$17+1,((((Adatok!$C$13*Adatok!$C$20*Adatok!$I45*Adatok!$J45)/(8*(VLOOKUP(I$19,Számítás!$B$19:$H$63,7,FALSE))))+((Adatok!$C$13^3*Adatok!$C$20^3*Adatok!$I45^3*Adatok!$J45)/(384*(VLOOKUP(I$19,Számítás!$B$19:$H$63,7,FALSE))^3)))*100),$B$19)</f>
        <v>-</v>
      </c>
      <c r="J46" s="33" t="str">
        <f>IF(AND($I$19+I$17*Adatok!$F$11&gt;Adatok!$F$10-0.01,Adatok!$C$16+$B46&lt;Adatok!$C$17+1),((Adatok!$C$13*Adatok!$C$20*Adatok!$I45*Adatok!$J45)/(8*(VLOOKUP(J$19,Számítás!$B$19:$H$63,7,FALSE)))+(Adatok!$C$13^3*Adatok!$C$20^3*Adatok!$I45^3*Adatok!$J45)/(384*(VLOOKUP(J$19,Számítás!$B$19:$H$63,7,FALSE))^3))*100,$B$19)</f>
        <v>-</v>
      </c>
      <c r="K46" s="33" t="str">
        <f>IF(AND($I$19+J$17*Adatok!$F$11&gt;Adatok!$F$10-0.01,Adatok!$C$16+$B46&lt;Adatok!$C$17+1),((Adatok!$C$13*Adatok!$C$20*Adatok!$I45*Adatok!$J45)/(8*(VLOOKUP(K$19,Számítás!$B$19:$H$63,7,FALSE)))+(Adatok!$C$13^3*Adatok!$C$20^3*Adatok!$I45^3*Adatok!$J45)/(384*(VLOOKUP(K$19,Számítás!$B$19:$H$63,7,FALSE))^3))*100,$B$19)</f>
        <v>-</v>
      </c>
      <c r="L46" s="33" t="str">
        <f>IF(AND($I$19+K$17*Adatok!$F$11&gt;Adatok!$F$10-0.01,Adatok!$C$16+$B46&lt;Adatok!$C$17+1),((Adatok!$C$13*Adatok!$C$20*Adatok!$I45*Adatok!$J45)/(8*(VLOOKUP(L$19,Számítás!$B$19:$H$63,7,FALSE)))+(Adatok!$C$13^3*Adatok!$C$20^3*Adatok!$I45^3*Adatok!$J45)/(384*(VLOOKUP(L$19,Számítás!$B$19:$H$63,7,FALSE))^3))*100,$B$19)</f>
        <v>-</v>
      </c>
      <c r="M46" s="33" t="str">
        <f>IF(AND($I$19+L$17*Adatok!$F$11&gt;Adatok!$F$10-0.01,Adatok!$C$16+$B46&lt;Adatok!$C$17+1),((Adatok!$C$13*Adatok!$C$20*Adatok!$I45*Adatok!$J45)/(8*(VLOOKUP(M$19,Számítás!$B$19:$H$63,7,FALSE)))+(Adatok!$C$13^3*Adatok!$C$20^3*Adatok!$I45^3*Adatok!$J45)/(384*(VLOOKUP(M$19,Számítás!$B$19:$H$63,7,FALSE))^3))*100,$B$19)</f>
        <v>-</v>
      </c>
      <c r="N46" s="33" t="str">
        <f>IF(AND($I$19+M$17*Adatok!$F$11&gt;Adatok!$F$10-0.01,Adatok!$C$16+$B46&lt;Adatok!$C$17+1),((Adatok!$C$13*Adatok!$C$20*Adatok!$I45*Adatok!$J45)/(8*(VLOOKUP(N$19,Számítás!$B$19:$H$63,7,FALSE)))+(Adatok!$C$13^3*Adatok!$C$20^3*Adatok!$I45^3*Adatok!$J45)/(384*(VLOOKUP(N$19,Számítás!$B$19:$H$63,7,FALSE))^3))*100,$B$19)</f>
        <v>-</v>
      </c>
      <c r="O46" s="33" t="str">
        <f>IF(AND($I$19+N$17*Adatok!$F$11&gt;Adatok!$F$10-0.01,Adatok!$C$16+$B46&lt;Adatok!$C$17+1),((Adatok!$C$13*Adatok!$C$20*Adatok!$I45*Adatok!$J45)/(8*(VLOOKUP(O$19,Számítás!$B$19:$H$63,7,FALSE)))+(Adatok!$C$13^3*Adatok!$C$20^3*Adatok!$I45^3*Adatok!$J45)/(384*(VLOOKUP(O$19,Számítás!$B$19:$H$63,7,FALSE))^3))*100,$B$19)</f>
        <v>-</v>
      </c>
      <c r="P46" s="33" t="str">
        <f>IF(AND($I$19+O$17*Adatok!$F$11&gt;Adatok!$F$10-0.01,Adatok!$C$16+$B46&lt;Adatok!$C$17+1),((Adatok!$C$13*Adatok!$C$20*Adatok!$I45*Adatok!$J45)/(8*(VLOOKUP(P$19,Számítás!$B$19:$H$63,7,FALSE)))+(Adatok!$C$13^3*Adatok!$C$20^3*Adatok!$I45^3*Adatok!$J45)/(384*(VLOOKUP(P$19,Számítás!$B$19:$H$63,7,FALSE))^3))*100,$B$19)</f>
        <v>-</v>
      </c>
      <c r="Q46" s="33" t="str">
        <f>IF(AND($I$19+P$17*Adatok!$F$11&gt;Adatok!$F$10-0.01,Adatok!$C$16+$B46&lt;Adatok!$C$17+1),((Adatok!$C$13*Adatok!$C$20*Adatok!$I45*Adatok!$J45)/(8*(VLOOKUP(Q$19,Számítás!$B$19:$H$63,7,FALSE)))+(Adatok!$C$13^3*Adatok!$C$20^3*Adatok!$I45^3*Adatok!$J45)/(384*(VLOOKUP(Q$19,Számítás!$B$19:$H$63,7,FALSE))^3))*100,$B$19)</f>
        <v>-</v>
      </c>
      <c r="R46" s="33" t="str">
        <f>IF(AND($I$19+Q$17*Adatok!$F$11&gt;Adatok!$F$10-0.01,Adatok!$C$16+$B46&lt;Adatok!$C$17+1),((Adatok!$C$13*Adatok!$C$20*Adatok!$I45*Adatok!$J45)/(8*(VLOOKUP(R$19,Számítás!$B$19:$H$63,7,FALSE)))+(Adatok!$C$13^3*Adatok!$C$20^3*Adatok!$I45^3*Adatok!$J45)/(384*(VLOOKUP(R$19,Számítás!$B$19:$H$63,7,FALSE))^3))*100,$B$19)</f>
        <v>-</v>
      </c>
      <c r="S46" s="33" t="str">
        <f>IF(AND($I$19+R$17*Adatok!$F$11&gt;Adatok!$F$10-0.01,Adatok!$C$16+$B46&lt;Adatok!$C$17+1),((Adatok!$C$13*Adatok!$C$20*Adatok!$I45*Adatok!$J45)/(8*(VLOOKUP(S$19,Számítás!$B$19:$H$63,7,FALSE)))+(Adatok!$C$13^3*Adatok!$C$20^3*Adatok!$I45^3*Adatok!$J45)/(384*(VLOOKUP(S$19,Számítás!$B$19:$H$63,7,FALSE))^3))*100,$B$19)</f>
        <v>-</v>
      </c>
      <c r="T46" s="33" t="str">
        <f>IF(AND($I$19+S$17*Adatok!$F$11&gt;Adatok!$F$10-0.01,Adatok!$C$16+$B46&lt;Adatok!$C$17+1),((Adatok!$C$13*Adatok!$C$20*Adatok!$I45*Adatok!$J45)/(8*(VLOOKUP(T$19,Számítás!$B$19:$H$63,7,FALSE)))+(Adatok!$C$13^3*Adatok!$C$20^3*Adatok!$I45^3*Adatok!$J45)/(384*(VLOOKUP(T$19,Számítás!$B$19:$H$63,7,FALSE))^3))*100,$B$19)</f>
        <v>-</v>
      </c>
      <c r="U46" s="33" t="str">
        <f>IF(AND($I$19+T$17*Adatok!$F$11&gt;Adatok!$F$10-0.01,Adatok!$C$16+$B46&lt;Adatok!$C$17+1),((Adatok!$C$13*Adatok!$C$20*Adatok!$I45*Adatok!$J45)/(8*(VLOOKUP(U$19,Számítás!$B$19:$H$63,7,FALSE)))+(Adatok!$C$13^3*Adatok!$C$20^3*Adatok!$I45^3*Adatok!$J45)/(384*(VLOOKUP(U$19,Számítás!$B$19:$H$63,7,FALSE))^3))*100,$B$19)</f>
        <v>-</v>
      </c>
      <c r="V46" s="33" t="str">
        <f>IF(AND($I$19+U$17*Adatok!$F$11&gt;Adatok!$F$10-0.01,Adatok!$C$16+$B46&lt;Adatok!$C$17+1),((Adatok!$C$13*Adatok!$C$20*Adatok!$I45*Adatok!$J45)/(8*(VLOOKUP(V$19,Számítás!$B$19:$H$63,7,FALSE)))+(Adatok!$C$13^3*Adatok!$C$20^3*Adatok!$I45^3*Adatok!$J45)/(384*(VLOOKUP(V$19,Számítás!$B$19:$H$63,7,FALSE))^3))*100,$B$19)</f>
        <v>-</v>
      </c>
      <c r="W46" s="33" t="str">
        <f>IF(AND($I$19+V$17*Adatok!$F$11&gt;Adatok!$F$10-0.01,Adatok!$C$16+$B46&lt;Adatok!$C$17+1),((Adatok!$C$13*Adatok!$C$20*Adatok!$I45*Adatok!$J45)/(8*(VLOOKUP(W$19,Számítás!$B$19:$H$63,7,FALSE)))+(Adatok!$C$13^3*Adatok!$C$20^3*Adatok!$I45^3*Adatok!$J45)/(384*(VLOOKUP(W$19,Számítás!$B$19:$H$63,7,FALSE))^3))*100,$B$19)</f>
        <v>-</v>
      </c>
      <c r="X46" s="33" t="str">
        <f>IF(AND($I$19+W$17*Adatok!$F$11&gt;Adatok!$F$10-0.01,Adatok!$C$16+$B46&lt;Adatok!$C$17+1),((Adatok!$C$13*Adatok!$C$20*Adatok!$I45*Adatok!$J45)/(8*(VLOOKUP(X$19,Számítás!$B$19:$H$63,7,FALSE)))+(Adatok!$C$13^3*Adatok!$C$20^3*Adatok!$I45^3*Adatok!$J45)/(384*(VLOOKUP(X$19,Számítás!$B$19:$H$63,7,FALSE))^3))*100,$B$19)</f>
        <v>-</v>
      </c>
      <c r="Y46" s="33" t="str">
        <f>IF(AND($I$19+X$17*Adatok!$F$11&gt;Adatok!$F$10-0.01,Adatok!$C$16+$B46&lt;Adatok!$C$17+1),((Adatok!$C$13*Adatok!$C$20*Adatok!$I45*Adatok!$J45)/(8*(VLOOKUP(Y$19,Számítás!$B$19:$H$63,7,FALSE)))+(Adatok!$C$13^3*Adatok!$C$20^3*Adatok!$I45^3*Adatok!$J45)/(384*(VLOOKUP(Y$19,Számítás!$B$19:$H$63,7,FALSE))^3))*100,$B$19)</f>
        <v>-</v>
      </c>
      <c r="Z46" s="33" t="str">
        <f>IF(AND($I$19+Y$17*Adatok!$F$11&gt;Adatok!$F$10-0.01,Adatok!$C$16+$B46&lt;Adatok!$C$17+1),((Adatok!$C$13*Adatok!$C$20*Adatok!$I45*Adatok!$J45)/(8*(VLOOKUP(Z$19,Számítás!$B$19:$H$63,7,FALSE)))+(Adatok!$C$13^3*Adatok!$C$20^3*Adatok!$I45^3*Adatok!$J45)/(384*(VLOOKUP(Z$19,Számítás!$B$19:$H$63,7,FALSE))^3))*100,$B$19)</f>
        <v>-</v>
      </c>
      <c r="AA46" s="33" t="str">
        <f>IF(AND($I$19+Z$17*Adatok!$F$11&gt;Adatok!$F$10-0.01,Adatok!$C$16+$B46&lt;Adatok!$C$17+1),((Adatok!$C$13*Adatok!$C$20*Adatok!$I45*Adatok!$J45)/(8*(VLOOKUP(AA$19,Számítás!$B$19:$H$63,7,FALSE)))+(Adatok!$C$13^3*Adatok!$C$20^3*Adatok!$I45^3*Adatok!$J45)/(384*(VLOOKUP(AA$19,Számítás!$B$19:$H$63,7,FALSE))^3))*100,$B$19)</f>
        <v>-</v>
      </c>
      <c r="AB46" s="33" t="str">
        <f>IF(AND($I$19+AA$17*Adatok!$F$11&gt;Adatok!$F$10-0.01,Adatok!$C$16+$B46&lt;Adatok!$C$17+1),((Adatok!$C$13*Adatok!$C$20*Adatok!$I45*Adatok!$J45)/(8*(VLOOKUP(AB$19,Számítás!$B$19:$H$63,7,FALSE)))+(Adatok!$C$13^3*Adatok!$C$20^3*Adatok!$I45^3*Adatok!$J45)/(384*(VLOOKUP(AB$19,Számítás!$B$19:$H$63,7,FALSE))^3))*100,$B$19)</f>
        <v>-</v>
      </c>
      <c r="AC46" s="33" t="str">
        <f>IF(AND($I$19+AB$17*Adatok!$F$11&gt;Adatok!$F$10-0.01,Adatok!$C$16+$B46&lt;Adatok!$C$17+1),((Adatok!$C$13*Adatok!$C$20*Adatok!$I45*Adatok!$J45)/(8*(VLOOKUP(AC$19,Számítás!$B$19:$H$63,7,FALSE)))+(Adatok!$C$13^3*Adatok!$C$20^3*Adatok!$I45^3*Adatok!$J45)/(384*(VLOOKUP(AC$19,Számítás!$B$19:$H$63,7,FALSE))^3))*100,$B$19)</f>
        <v>-</v>
      </c>
      <c r="AD46" s="33" t="str">
        <f>IF(AND($I$19+AC$17*Adatok!$F$11&gt;Adatok!$F$10-0.01,Adatok!$C$16+$B46&lt;Adatok!$C$17+1),((Adatok!$C$13*Adatok!$C$20*Adatok!$I45*Adatok!$J45)/(8*(VLOOKUP(AD$19,Számítás!$B$19:$H$63,7,FALSE)))+(Adatok!$C$13^3*Adatok!$C$20^3*Adatok!$I45^3*Adatok!$J45)/(384*(VLOOKUP(AD$19,Számítás!$B$19:$H$63,7,FALSE))^3))*100,$B$19)</f>
        <v>-</v>
      </c>
      <c r="AE46" s="33" t="str">
        <f>IF(AND($I$19+AD$17*Adatok!$F$11&gt;Adatok!$F$10-0.01,Adatok!$C$16+$B46&lt;Adatok!$C$17+1),((Adatok!$C$13*Adatok!$C$20*Adatok!$I45*Adatok!$J45)/(8*(VLOOKUP(AE$19,Számítás!$B$19:$H$63,7,FALSE)))+(Adatok!$C$13^3*Adatok!$C$20^3*Adatok!$I45^3*Adatok!$J45)/(384*(VLOOKUP(AE$19,Számítás!$B$19:$H$63,7,FALSE))^3))*100,$B$19)</f>
        <v>-</v>
      </c>
      <c r="AF46" s="33" t="str">
        <f>IF(AND($I$19+AE$17*Adatok!$F$11&gt;Adatok!$F$10-0.01,Adatok!$C$16+$B46&lt;Adatok!$C$17+1),((Adatok!$C$13*Adatok!$C$20*Adatok!$I45*Adatok!$J45)/(8*(VLOOKUP(AF$19,Számítás!$B$19:$H$63,7,FALSE)))+(Adatok!$C$13^3*Adatok!$C$20^3*Adatok!$I45^3*Adatok!$J45)/(384*(VLOOKUP(AF$19,Számítás!$B$19:$H$63,7,FALSE))^3))*100,$B$19)</f>
        <v>-</v>
      </c>
      <c r="AG46" s="33" t="str">
        <f>IF(AND($I$19+AF$17*Adatok!$F$11&gt;Adatok!$F$10-0.01,Adatok!$C$16+$B46&lt;Adatok!$C$17+1),((Adatok!$C$13*Adatok!$C$20*Adatok!$I45*Adatok!$J45)/(8*(VLOOKUP(AG$19,Számítás!$B$19:$H$63,7,FALSE)))+(Adatok!$C$13^3*Adatok!$C$20^3*Adatok!$I45^3*Adatok!$J45)/(384*(VLOOKUP(AG$19,Számítás!$B$19:$H$63,7,FALSE))^3))*100,$B$19)</f>
        <v>-</v>
      </c>
      <c r="AH46" s="33" t="str">
        <f>IF(AND($I$19+AG$17*Adatok!$F$11&gt;Adatok!$F$10-0.01,Adatok!$C$16+$B46&lt;Adatok!$C$17+1),((Adatok!$C$13*Adatok!$C$20*Adatok!$I45*Adatok!$J45)/(8*(VLOOKUP(AH$19,Számítás!$B$19:$H$63,7,FALSE)))+(Adatok!$C$13^3*Adatok!$C$20^3*Adatok!$I45^3*Adatok!$J45)/(384*(VLOOKUP(AH$19,Számítás!$B$19:$H$63,7,FALSE))^3))*100,$B$19)</f>
        <v>-</v>
      </c>
      <c r="AI46" s="33" t="str">
        <f>IF(AND($I$19+AH$17*Adatok!$F$11&gt;Adatok!$F$10-0.01,Adatok!$C$16+$B46&lt;Adatok!$C$17+1),((Adatok!$C$13*Adatok!$C$20*Adatok!$I45*Adatok!$J45)/(8*(VLOOKUP(AI$19,Számítás!$B$19:$H$63,7,FALSE)))+(Adatok!$C$13^3*Adatok!$C$20^3*Adatok!$I45^3*Adatok!$J45)/(384*(VLOOKUP(AI$19,Számítás!$B$19:$H$63,7,FALSE))^3))*100,$B$19)</f>
        <v>-</v>
      </c>
      <c r="AJ46" s="33" t="str">
        <f>IF(AND($I$19+AI$17*Adatok!$F$11&gt;Adatok!$F$10-0.01,Adatok!$C$16+$B46&lt;Adatok!$C$17+1),((Adatok!$C$13*Adatok!$C$20*Adatok!$I45*Adatok!$J45)/(8*(VLOOKUP(AJ$19,Számítás!$B$19:$H$63,7,FALSE)))+(Adatok!$C$13^3*Adatok!$C$20^3*Adatok!$I45^3*Adatok!$J45)/(384*(VLOOKUP(AJ$19,Számítás!$B$19:$H$63,7,FALSE))^3))*100,$B$19)</f>
        <v>-</v>
      </c>
      <c r="AK46" s="33" t="str">
        <f>IF(AND($I$19+AJ$17*Adatok!$F$11&gt;Adatok!$F$10-0.01,Adatok!$C$16+$B46&lt;Adatok!$C$17+1),((Adatok!$C$13*Adatok!$C$20*Adatok!$I45*Adatok!$J45)/(8*(VLOOKUP(AK$19,Számítás!$B$19:$H$63,7,FALSE)))+(Adatok!$C$13^3*Adatok!$C$20^3*Adatok!$I45^3*Adatok!$J45)/(384*(VLOOKUP(AK$19,Számítás!$B$19:$H$63,7,FALSE))^3))*100,$B$19)</f>
        <v>-</v>
      </c>
      <c r="AL46" s="33" t="str">
        <f>IF(AND($I$19+AK$17*Adatok!$F$11&gt;Adatok!$F$10-0.01,Adatok!$C$16+$B46&lt;Adatok!$C$17+1),((Adatok!$C$13*Adatok!$C$20*Adatok!$I45*Adatok!$J45)/(8*(VLOOKUP(AL$19,Számítás!$B$19:$H$63,7,FALSE)))+(Adatok!$C$13^3*Adatok!$C$20^3*Adatok!$I45^3*Adatok!$J45)/(384*(VLOOKUP(AL$19,Számítás!$B$19:$H$63,7,FALSE))^3))*100,$B$19)</f>
        <v>-</v>
      </c>
      <c r="AM46" s="33" t="str">
        <f>IF(AND($I$19+AL$17*Adatok!$F$11&gt;Adatok!$F$10-0.01,Adatok!$C$16+$B46&lt;Adatok!$C$17+1),((Adatok!$C$13*Adatok!$C$20*Adatok!$I45*Adatok!$J45)/(8*(VLOOKUP(AM$19,Számítás!$B$19:$H$63,7,FALSE)))+(Adatok!$C$13^3*Adatok!$C$20^3*Adatok!$I45^3*Adatok!$J45)/(384*(VLOOKUP(AM$19,Számítás!$B$19:$H$63,7,FALSE))^3))*100,$B$19)</f>
        <v>-</v>
      </c>
      <c r="AN46" s="33" t="str">
        <f>IF(AND($I$19+AM$17*Adatok!$F$11&gt;Adatok!$F$10-0.01,Adatok!$C$16+$B46&lt;Adatok!$C$17+1),((Adatok!$C$13*Adatok!$C$20*Adatok!$I45*Adatok!$J45)/(8*(VLOOKUP(AN$19,Számítás!$B$19:$H$63,7,FALSE)))+(Adatok!$C$13^3*Adatok!$C$20^3*Adatok!$I45^3*Adatok!$J45)/(384*(VLOOKUP(AN$19,Számítás!$B$19:$H$63,7,FALSE))^3))*100,$B$19)</f>
        <v>-</v>
      </c>
      <c r="AO46" s="33" t="str">
        <f>IF(AND($I$19+AN$17*Adatok!$F$11&gt;Adatok!$F$10-0.01,Adatok!$C$16+$B46&lt;Adatok!$C$17+1),((Adatok!$C$13*Adatok!$C$20*Adatok!$I45*Adatok!$J45)/(8*(VLOOKUP(AO$19,Számítás!$B$19:$H$63,7,FALSE)))+(Adatok!$C$13^3*Adatok!$C$20^3*Adatok!$I45^3*Adatok!$J45)/(384*(VLOOKUP(AO$19,Számítás!$B$19:$H$63,7,FALSE))^3))*100,$B$19)</f>
        <v>-</v>
      </c>
      <c r="AP46" s="33" t="str">
        <f>IF(AND($I$19+AO$17*Adatok!$F$11&gt;Adatok!$F$10-0.01,Adatok!$C$16+$B46&lt;Adatok!$C$17+1),((Adatok!$C$13*Adatok!$C$20*Adatok!$I45*Adatok!$J45)/(8*(VLOOKUP(AP$19,Számítás!$B$19:$H$63,7,FALSE)))+(Adatok!$C$13^3*Adatok!$C$20^3*Adatok!$I45^3*Adatok!$J45)/(384*(VLOOKUP(AP$19,Számítás!$B$19:$H$63,7,FALSE))^3))*100,$B$19)</f>
        <v>-</v>
      </c>
      <c r="AQ46" s="33" t="str">
        <f>IF(AND($I$19+AP$17*Adatok!$F$11&gt;Adatok!$F$10-0.01,Adatok!$C$16+$B46&lt;Adatok!$C$17+1),((Adatok!$C$13*Adatok!$C$20*Adatok!$I45*Adatok!$J45)/(8*(VLOOKUP(AQ$19,Számítás!$B$19:$H$63,7,FALSE)))+(Adatok!$C$13^3*Adatok!$C$20^3*Adatok!$I45^3*Adatok!$J45)/(384*(VLOOKUP(AQ$19,Számítás!$B$19:$H$63,7,FALSE))^3))*100,$B$19)</f>
        <v>-</v>
      </c>
      <c r="AR46" s="33" t="str">
        <f>IF(AND($I$19+AQ$17*Adatok!$F$11&gt;Adatok!$F$10-0.01,Adatok!$C$16+$B46&lt;Adatok!$C$17+1),((Adatok!$C$13*Adatok!$C$20*Adatok!$I45*Adatok!$J45)/(8*(VLOOKUP(AR$19,Számítás!$B$19:$H$63,7,FALSE)))+(Adatok!$C$13^3*Adatok!$C$20^3*Adatok!$I45^3*Adatok!$J45)/(384*(VLOOKUP(AR$19,Számítás!$B$19:$H$63,7,FALSE))^3))*100,$B$19)</f>
        <v>-</v>
      </c>
      <c r="AS46" s="33" t="str">
        <f>IF(AND($I$19+AR$17*Adatok!$F$11&gt;Adatok!$F$10-0.01,Adatok!$C$16+$B46&lt;Adatok!$C$17+1),((Adatok!$C$13*Adatok!$C$20*Adatok!$I45*Adatok!$J45)/(8*(VLOOKUP(AS$19,Számítás!$B$19:$H$63,7,FALSE)))+(Adatok!$C$13^3*Adatok!$C$20^3*Adatok!$I45^3*Adatok!$J45)/(384*(VLOOKUP(AS$19,Számítás!$B$19:$H$63,7,FALSE))^3))*100,$B$19)</f>
        <v>-</v>
      </c>
      <c r="AT46" s="33" t="str">
        <f>IF(AND($I$19+AS$17*Adatok!$F$11&gt;Adatok!$F$10-0.01,Adatok!$C$16+$B46&lt;Adatok!$C$17+1),((Adatok!$C$13*Adatok!$C$20*Adatok!$I45*Adatok!$J45)/(8*(VLOOKUP(AT$19,Számítás!$B$19:$H$63,7,FALSE)))+(Adatok!$C$13^3*Adatok!$C$20^3*Adatok!$I45^3*Adatok!$J45)/(384*(VLOOKUP(AT$19,Számítás!$B$19:$H$63,7,FALSE))^3))*100,$B$19)</f>
        <v>-</v>
      </c>
      <c r="AU46" s="33" t="str">
        <f>IF(AND($I$19+AT$17*Adatok!$F$11&gt;Adatok!$F$10-0.01,Adatok!$C$16+$B46&lt;Adatok!$C$17+1),((Adatok!$C$13*Adatok!$C$20*Adatok!$I45*Adatok!$J45)/(8*(VLOOKUP(AU$19,Számítás!$B$19:$H$63,7,FALSE)))+(Adatok!$C$13^3*Adatok!$C$20^3*Adatok!$I45^3*Adatok!$J45)/(384*(VLOOKUP(AU$19,Számítás!$B$19:$H$63,7,FALSE))^3))*100,$B$19)</f>
        <v>-</v>
      </c>
      <c r="AV46" s="33" t="str">
        <f>IF(AND($I$19+AU$17*Adatok!$F$11&gt;Adatok!$F$10-0.01,Adatok!$C$16+$B46&lt;Adatok!$C$17+1),((Adatok!$C$13*Adatok!$C$20*Adatok!$I45*Adatok!$J45)/(8*(VLOOKUP(AV$19,Számítás!$B$19:$H$63,7,FALSE)))+(Adatok!$C$13^3*Adatok!$C$20^3*Adatok!$I45^3*Adatok!$J45)/(384*(VLOOKUP(AV$19,Számítás!$B$19:$H$63,7,FALSE))^3))*100,$B$19)</f>
        <v>-</v>
      </c>
      <c r="AW46" s="33" t="str">
        <f>IF(AND($I$19+AV$17*Adatok!$F$11&gt;Adatok!$F$10-0.01,Adatok!$C$16+$B46&lt;Adatok!$C$17+1),((Adatok!$C$13*Adatok!$C$20*Adatok!$I45*Adatok!$J45)/(8*(VLOOKUP(AW$19,Számítás!$B$19:$H$63,7,FALSE)))+(Adatok!$C$13^3*Adatok!$C$20^3*Adatok!$I45^3*Adatok!$J45)/(384*(VLOOKUP(AW$19,Számítás!$B$19:$H$63,7,FALSE))^3))*100,$B$19)</f>
        <v>-</v>
      </c>
      <c r="AX46" s="33" t="str">
        <f>IF(AND($I$19+AW$17*Adatok!$F$11&gt;Adatok!$F$10-0.01,Adatok!$C$16+$B46&lt;Adatok!$C$17+1),((Adatok!$C$13*Adatok!$C$20*Adatok!$I45*Adatok!$J45)/(8*(VLOOKUP(AX$19,Számítás!$B$19:$H$63,7,FALSE)))+(Adatok!$C$13^3*Adatok!$C$20^3*Adatok!$I45^3*Adatok!$J45)/(384*(VLOOKUP(AX$19,Számítás!$B$19:$H$63,7,FALSE))^3))*100,$B$19)</f>
        <v>-</v>
      </c>
      <c r="AY46" s="33" t="str">
        <f>IF(AND($I$19+AX$17*Adatok!$F$11&gt;Adatok!$F$10-0.01,Adatok!$C$16+$B46&lt;Adatok!$C$17+1),((Adatok!$C$13*Adatok!$C$20*Adatok!$I45*Adatok!$J45)/(8*(VLOOKUP(AY$19,Számítás!$B$19:$H$63,7,FALSE)))+(Adatok!$C$13^3*Adatok!$C$20^3*Adatok!$I45^3*Adatok!$J45)/(384*(VLOOKUP(AY$19,Számítás!$B$19:$H$63,7,FALSE))^3))*100,$B$19)</f>
        <v>-</v>
      </c>
      <c r="AZ46" s="33" t="str">
        <f>IF(AND($I$19+AY$17*Adatok!$F$11&gt;Adatok!$F$10-0.01,Adatok!$C$16+$B46&lt;Adatok!$C$17+1),((Adatok!$C$13*Adatok!$C$20*Adatok!$I45*Adatok!$J45)/(8*(VLOOKUP(AZ$19,Számítás!$B$19:$H$63,7,FALSE)))+(Adatok!$C$13^3*Adatok!$C$20^3*Adatok!$I45^3*Adatok!$J45)/(384*(VLOOKUP(AZ$19,Számítás!$B$19:$H$63,7,FALSE))^3))*100,$B$19)</f>
        <v>-</v>
      </c>
      <c r="BA46" s="33" t="str">
        <f>IF(AND($I$19+AZ$17*Adatok!$F$11&gt;Adatok!$F$10-0.01,Adatok!$C$16+$B46&lt;Adatok!$C$17+1),((Adatok!$C$13*Adatok!$C$20*Adatok!$I45*Adatok!$J45)/(8*(VLOOKUP(BA$19,Számítás!$B$19:$H$63,7,FALSE)))+(Adatok!$C$13^3*Adatok!$C$20^3*Adatok!$I45^3*Adatok!$J45)/(384*(VLOOKUP(BA$19,Számítás!$B$19:$H$63,7,FALSE))^3))*100,$B$19)</f>
        <v>-</v>
      </c>
    </row>
    <row r="47" spans="2:53" ht="18" customHeight="1" x14ac:dyDescent="0.25">
      <c r="B47" s="1">
        <v>28</v>
      </c>
      <c r="C47" s="333" t="str">
        <f>Adatok!F46</f>
        <v>-</v>
      </c>
      <c r="D47" s="32" t="s">
        <v>27</v>
      </c>
      <c r="E47" s="336" t="str">
        <f>Adatok!H46</f>
        <v>-</v>
      </c>
      <c r="F47" s="64" t="str">
        <f>IF(Adatok!$C$16+B47&gt;Adatok!$C$17,$B$19,Adatok!I46)</f>
        <v>-</v>
      </c>
      <c r="G47" s="60"/>
      <c r="H47" s="72" t="str">
        <f>IF(Adatok!$C$16+B47&gt;Adatok!$C$17,$B$19,Adatok!J46/Adatok!I46)</f>
        <v>-</v>
      </c>
      <c r="I47" s="81" t="str">
        <f>IF(Adatok!$C$16+$B47&lt;Adatok!$C$17+1,((((Adatok!$C$13*Adatok!$C$20*Adatok!$I46*Adatok!$J46)/(8*(VLOOKUP(I$19,Számítás!$B$19:$H$63,7,FALSE))))+((Adatok!$C$13^3*Adatok!$C$20^3*Adatok!$I46^3*Adatok!$J46)/(384*(VLOOKUP(I$19,Számítás!$B$19:$H$63,7,FALSE))^3)))*100),$B$19)</f>
        <v>-</v>
      </c>
      <c r="J47" s="33" t="str">
        <f>IF(AND($I$19+I$17*Adatok!$F$11&gt;Adatok!$F$10-0.01,Adatok!$C$16+$B47&lt;Adatok!$C$17+1),((Adatok!$C$13*Adatok!$C$20*Adatok!$I46*Adatok!$J46)/(8*(VLOOKUP(J$19,Számítás!$B$19:$H$63,7,FALSE)))+(Adatok!$C$13^3*Adatok!$C$20^3*Adatok!$I46^3*Adatok!$J46)/(384*(VLOOKUP(J$19,Számítás!$B$19:$H$63,7,FALSE))^3))*100,$B$19)</f>
        <v>-</v>
      </c>
      <c r="K47" s="33" t="str">
        <f>IF(AND($I$19+J$17*Adatok!$F$11&gt;Adatok!$F$10-0.01,Adatok!$C$16+$B47&lt;Adatok!$C$17+1),((Adatok!$C$13*Adatok!$C$20*Adatok!$I46*Adatok!$J46)/(8*(VLOOKUP(K$19,Számítás!$B$19:$H$63,7,FALSE)))+(Adatok!$C$13^3*Adatok!$C$20^3*Adatok!$I46^3*Adatok!$J46)/(384*(VLOOKUP(K$19,Számítás!$B$19:$H$63,7,FALSE))^3))*100,$B$19)</f>
        <v>-</v>
      </c>
      <c r="L47" s="33" t="str">
        <f>IF(AND($I$19+K$17*Adatok!$F$11&gt;Adatok!$F$10-0.01,Adatok!$C$16+$B47&lt;Adatok!$C$17+1),((Adatok!$C$13*Adatok!$C$20*Adatok!$I46*Adatok!$J46)/(8*(VLOOKUP(L$19,Számítás!$B$19:$H$63,7,FALSE)))+(Adatok!$C$13^3*Adatok!$C$20^3*Adatok!$I46^3*Adatok!$J46)/(384*(VLOOKUP(L$19,Számítás!$B$19:$H$63,7,FALSE))^3))*100,$B$19)</f>
        <v>-</v>
      </c>
      <c r="M47" s="33" t="str">
        <f>IF(AND($I$19+L$17*Adatok!$F$11&gt;Adatok!$F$10-0.01,Adatok!$C$16+$B47&lt;Adatok!$C$17+1),((Adatok!$C$13*Adatok!$C$20*Adatok!$I46*Adatok!$J46)/(8*(VLOOKUP(M$19,Számítás!$B$19:$H$63,7,FALSE)))+(Adatok!$C$13^3*Adatok!$C$20^3*Adatok!$I46^3*Adatok!$J46)/(384*(VLOOKUP(M$19,Számítás!$B$19:$H$63,7,FALSE))^3))*100,$B$19)</f>
        <v>-</v>
      </c>
      <c r="N47" s="33" t="str">
        <f>IF(AND($I$19+M$17*Adatok!$F$11&gt;Adatok!$F$10-0.01,Adatok!$C$16+$B47&lt;Adatok!$C$17+1),((Adatok!$C$13*Adatok!$C$20*Adatok!$I46*Adatok!$J46)/(8*(VLOOKUP(N$19,Számítás!$B$19:$H$63,7,FALSE)))+(Adatok!$C$13^3*Adatok!$C$20^3*Adatok!$I46^3*Adatok!$J46)/(384*(VLOOKUP(N$19,Számítás!$B$19:$H$63,7,FALSE))^3))*100,$B$19)</f>
        <v>-</v>
      </c>
      <c r="O47" s="33" t="str">
        <f>IF(AND($I$19+N$17*Adatok!$F$11&gt;Adatok!$F$10-0.01,Adatok!$C$16+$B47&lt;Adatok!$C$17+1),((Adatok!$C$13*Adatok!$C$20*Adatok!$I46*Adatok!$J46)/(8*(VLOOKUP(O$19,Számítás!$B$19:$H$63,7,FALSE)))+(Adatok!$C$13^3*Adatok!$C$20^3*Adatok!$I46^3*Adatok!$J46)/(384*(VLOOKUP(O$19,Számítás!$B$19:$H$63,7,FALSE))^3))*100,$B$19)</f>
        <v>-</v>
      </c>
      <c r="P47" s="33" t="str">
        <f>IF(AND($I$19+O$17*Adatok!$F$11&gt;Adatok!$F$10-0.01,Adatok!$C$16+$B47&lt;Adatok!$C$17+1),((Adatok!$C$13*Adatok!$C$20*Adatok!$I46*Adatok!$J46)/(8*(VLOOKUP(P$19,Számítás!$B$19:$H$63,7,FALSE)))+(Adatok!$C$13^3*Adatok!$C$20^3*Adatok!$I46^3*Adatok!$J46)/(384*(VLOOKUP(P$19,Számítás!$B$19:$H$63,7,FALSE))^3))*100,$B$19)</f>
        <v>-</v>
      </c>
      <c r="Q47" s="33" t="str">
        <f>IF(AND($I$19+P$17*Adatok!$F$11&gt;Adatok!$F$10-0.01,Adatok!$C$16+$B47&lt;Adatok!$C$17+1),((Adatok!$C$13*Adatok!$C$20*Adatok!$I46*Adatok!$J46)/(8*(VLOOKUP(Q$19,Számítás!$B$19:$H$63,7,FALSE)))+(Adatok!$C$13^3*Adatok!$C$20^3*Adatok!$I46^3*Adatok!$J46)/(384*(VLOOKUP(Q$19,Számítás!$B$19:$H$63,7,FALSE))^3))*100,$B$19)</f>
        <v>-</v>
      </c>
      <c r="R47" s="33" t="str">
        <f>IF(AND($I$19+Q$17*Adatok!$F$11&gt;Adatok!$F$10-0.01,Adatok!$C$16+$B47&lt;Adatok!$C$17+1),((Adatok!$C$13*Adatok!$C$20*Adatok!$I46*Adatok!$J46)/(8*(VLOOKUP(R$19,Számítás!$B$19:$H$63,7,FALSE)))+(Adatok!$C$13^3*Adatok!$C$20^3*Adatok!$I46^3*Adatok!$J46)/(384*(VLOOKUP(R$19,Számítás!$B$19:$H$63,7,FALSE))^3))*100,$B$19)</f>
        <v>-</v>
      </c>
      <c r="S47" s="33" t="str">
        <f>IF(AND($I$19+R$17*Adatok!$F$11&gt;Adatok!$F$10-0.01,Adatok!$C$16+$B47&lt;Adatok!$C$17+1),((Adatok!$C$13*Adatok!$C$20*Adatok!$I46*Adatok!$J46)/(8*(VLOOKUP(S$19,Számítás!$B$19:$H$63,7,FALSE)))+(Adatok!$C$13^3*Adatok!$C$20^3*Adatok!$I46^3*Adatok!$J46)/(384*(VLOOKUP(S$19,Számítás!$B$19:$H$63,7,FALSE))^3))*100,$B$19)</f>
        <v>-</v>
      </c>
      <c r="T47" s="33" t="str">
        <f>IF(AND($I$19+S$17*Adatok!$F$11&gt;Adatok!$F$10-0.01,Adatok!$C$16+$B47&lt;Adatok!$C$17+1),((Adatok!$C$13*Adatok!$C$20*Adatok!$I46*Adatok!$J46)/(8*(VLOOKUP(T$19,Számítás!$B$19:$H$63,7,FALSE)))+(Adatok!$C$13^3*Adatok!$C$20^3*Adatok!$I46^3*Adatok!$J46)/(384*(VLOOKUP(T$19,Számítás!$B$19:$H$63,7,FALSE))^3))*100,$B$19)</f>
        <v>-</v>
      </c>
      <c r="U47" s="33" t="str">
        <f>IF(AND($I$19+T$17*Adatok!$F$11&gt;Adatok!$F$10-0.01,Adatok!$C$16+$B47&lt;Adatok!$C$17+1),((Adatok!$C$13*Adatok!$C$20*Adatok!$I46*Adatok!$J46)/(8*(VLOOKUP(U$19,Számítás!$B$19:$H$63,7,FALSE)))+(Adatok!$C$13^3*Adatok!$C$20^3*Adatok!$I46^3*Adatok!$J46)/(384*(VLOOKUP(U$19,Számítás!$B$19:$H$63,7,FALSE))^3))*100,$B$19)</f>
        <v>-</v>
      </c>
      <c r="V47" s="33" t="str">
        <f>IF(AND($I$19+U$17*Adatok!$F$11&gt;Adatok!$F$10-0.01,Adatok!$C$16+$B47&lt;Adatok!$C$17+1),((Adatok!$C$13*Adatok!$C$20*Adatok!$I46*Adatok!$J46)/(8*(VLOOKUP(V$19,Számítás!$B$19:$H$63,7,FALSE)))+(Adatok!$C$13^3*Adatok!$C$20^3*Adatok!$I46^3*Adatok!$J46)/(384*(VLOOKUP(V$19,Számítás!$B$19:$H$63,7,FALSE))^3))*100,$B$19)</f>
        <v>-</v>
      </c>
      <c r="W47" s="33" t="str">
        <f>IF(AND($I$19+V$17*Adatok!$F$11&gt;Adatok!$F$10-0.01,Adatok!$C$16+$B47&lt;Adatok!$C$17+1),((Adatok!$C$13*Adatok!$C$20*Adatok!$I46*Adatok!$J46)/(8*(VLOOKUP(W$19,Számítás!$B$19:$H$63,7,FALSE)))+(Adatok!$C$13^3*Adatok!$C$20^3*Adatok!$I46^3*Adatok!$J46)/(384*(VLOOKUP(W$19,Számítás!$B$19:$H$63,7,FALSE))^3))*100,$B$19)</f>
        <v>-</v>
      </c>
      <c r="X47" s="33" t="str">
        <f>IF(AND($I$19+W$17*Adatok!$F$11&gt;Adatok!$F$10-0.01,Adatok!$C$16+$B47&lt;Adatok!$C$17+1),((Adatok!$C$13*Adatok!$C$20*Adatok!$I46*Adatok!$J46)/(8*(VLOOKUP(X$19,Számítás!$B$19:$H$63,7,FALSE)))+(Adatok!$C$13^3*Adatok!$C$20^3*Adatok!$I46^3*Adatok!$J46)/(384*(VLOOKUP(X$19,Számítás!$B$19:$H$63,7,FALSE))^3))*100,$B$19)</f>
        <v>-</v>
      </c>
      <c r="Y47" s="33" t="str">
        <f>IF(AND($I$19+X$17*Adatok!$F$11&gt;Adatok!$F$10-0.01,Adatok!$C$16+$B47&lt;Adatok!$C$17+1),((Adatok!$C$13*Adatok!$C$20*Adatok!$I46*Adatok!$J46)/(8*(VLOOKUP(Y$19,Számítás!$B$19:$H$63,7,FALSE)))+(Adatok!$C$13^3*Adatok!$C$20^3*Adatok!$I46^3*Adatok!$J46)/(384*(VLOOKUP(Y$19,Számítás!$B$19:$H$63,7,FALSE))^3))*100,$B$19)</f>
        <v>-</v>
      </c>
      <c r="Z47" s="33" t="str">
        <f>IF(AND($I$19+Y$17*Adatok!$F$11&gt;Adatok!$F$10-0.01,Adatok!$C$16+$B47&lt;Adatok!$C$17+1),((Adatok!$C$13*Adatok!$C$20*Adatok!$I46*Adatok!$J46)/(8*(VLOOKUP(Z$19,Számítás!$B$19:$H$63,7,FALSE)))+(Adatok!$C$13^3*Adatok!$C$20^3*Adatok!$I46^3*Adatok!$J46)/(384*(VLOOKUP(Z$19,Számítás!$B$19:$H$63,7,FALSE))^3))*100,$B$19)</f>
        <v>-</v>
      </c>
      <c r="AA47" s="33" t="str">
        <f>IF(AND($I$19+Z$17*Adatok!$F$11&gt;Adatok!$F$10-0.01,Adatok!$C$16+$B47&lt;Adatok!$C$17+1),((Adatok!$C$13*Adatok!$C$20*Adatok!$I46*Adatok!$J46)/(8*(VLOOKUP(AA$19,Számítás!$B$19:$H$63,7,FALSE)))+(Adatok!$C$13^3*Adatok!$C$20^3*Adatok!$I46^3*Adatok!$J46)/(384*(VLOOKUP(AA$19,Számítás!$B$19:$H$63,7,FALSE))^3))*100,$B$19)</f>
        <v>-</v>
      </c>
      <c r="AB47" s="33" t="str">
        <f>IF(AND($I$19+AA$17*Adatok!$F$11&gt;Adatok!$F$10-0.01,Adatok!$C$16+$B47&lt;Adatok!$C$17+1),((Adatok!$C$13*Adatok!$C$20*Adatok!$I46*Adatok!$J46)/(8*(VLOOKUP(AB$19,Számítás!$B$19:$H$63,7,FALSE)))+(Adatok!$C$13^3*Adatok!$C$20^3*Adatok!$I46^3*Adatok!$J46)/(384*(VLOOKUP(AB$19,Számítás!$B$19:$H$63,7,FALSE))^3))*100,$B$19)</f>
        <v>-</v>
      </c>
      <c r="AC47" s="33" t="str">
        <f>IF(AND($I$19+AB$17*Adatok!$F$11&gt;Adatok!$F$10-0.01,Adatok!$C$16+$B47&lt;Adatok!$C$17+1),((Adatok!$C$13*Adatok!$C$20*Adatok!$I46*Adatok!$J46)/(8*(VLOOKUP(AC$19,Számítás!$B$19:$H$63,7,FALSE)))+(Adatok!$C$13^3*Adatok!$C$20^3*Adatok!$I46^3*Adatok!$J46)/(384*(VLOOKUP(AC$19,Számítás!$B$19:$H$63,7,FALSE))^3))*100,$B$19)</f>
        <v>-</v>
      </c>
      <c r="AD47" s="33" t="str">
        <f>IF(AND($I$19+AC$17*Adatok!$F$11&gt;Adatok!$F$10-0.01,Adatok!$C$16+$B47&lt;Adatok!$C$17+1),((Adatok!$C$13*Adatok!$C$20*Adatok!$I46*Adatok!$J46)/(8*(VLOOKUP(AD$19,Számítás!$B$19:$H$63,7,FALSE)))+(Adatok!$C$13^3*Adatok!$C$20^3*Adatok!$I46^3*Adatok!$J46)/(384*(VLOOKUP(AD$19,Számítás!$B$19:$H$63,7,FALSE))^3))*100,$B$19)</f>
        <v>-</v>
      </c>
      <c r="AE47" s="33" t="str">
        <f>IF(AND($I$19+AD$17*Adatok!$F$11&gt;Adatok!$F$10-0.01,Adatok!$C$16+$B47&lt;Adatok!$C$17+1),((Adatok!$C$13*Adatok!$C$20*Adatok!$I46*Adatok!$J46)/(8*(VLOOKUP(AE$19,Számítás!$B$19:$H$63,7,FALSE)))+(Adatok!$C$13^3*Adatok!$C$20^3*Adatok!$I46^3*Adatok!$J46)/(384*(VLOOKUP(AE$19,Számítás!$B$19:$H$63,7,FALSE))^3))*100,$B$19)</f>
        <v>-</v>
      </c>
      <c r="AF47" s="33" t="str">
        <f>IF(AND($I$19+AE$17*Adatok!$F$11&gt;Adatok!$F$10-0.01,Adatok!$C$16+$B47&lt;Adatok!$C$17+1),((Adatok!$C$13*Adatok!$C$20*Adatok!$I46*Adatok!$J46)/(8*(VLOOKUP(AF$19,Számítás!$B$19:$H$63,7,FALSE)))+(Adatok!$C$13^3*Adatok!$C$20^3*Adatok!$I46^3*Adatok!$J46)/(384*(VLOOKUP(AF$19,Számítás!$B$19:$H$63,7,FALSE))^3))*100,$B$19)</f>
        <v>-</v>
      </c>
      <c r="AG47" s="33" t="str">
        <f>IF(AND($I$19+AF$17*Adatok!$F$11&gt;Adatok!$F$10-0.01,Adatok!$C$16+$B47&lt;Adatok!$C$17+1),((Adatok!$C$13*Adatok!$C$20*Adatok!$I46*Adatok!$J46)/(8*(VLOOKUP(AG$19,Számítás!$B$19:$H$63,7,FALSE)))+(Adatok!$C$13^3*Adatok!$C$20^3*Adatok!$I46^3*Adatok!$J46)/(384*(VLOOKUP(AG$19,Számítás!$B$19:$H$63,7,FALSE))^3))*100,$B$19)</f>
        <v>-</v>
      </c>
      <c r="AH47" s="33" t="str">
        <f>IF(AND($I$19+AG$17*Adatok!$F$11&gt;Adatok!$F$10-0.01,Adatok!$C$16+$B47&lt;Adatok!$C$17+1),((Adatok!$C$13*Adatok!$C$20*Adatok!$I46*Adatok!$J46)/(8*(VLOOKUP(AH$19,Számítás!$B$19:$H$63,7,FALSE)))+(Adatok!$C$13^3*Adatok!$C$20^3*Adatok!$I46^3*Adatok!$J46)/(384*(VLOOKUP(AH$19,Számítás!$B$19:$H$63,7,FALSE))^3))*100,$B$19)</f>
        <v>-</v>
      </c>
      <c r="AI47" s="33" t="str">
        <f>IF(AND($I$19+AH$17*Adatok!$F$11&gt;Adatok!$F$10-0.01,Adatok!$C$16+$B47&lt;Adatok!$C$17+1),((Adatok!$C$13*Adatok!$C$20*Adatok!$I46*Adatok!$J46)/(8*(VLOOKUP(AI$19,Számítás!$B$19:$H$63,7,FALSE)))+(Adatok!$C$13^3*Adatok!$C$20^3*Adatok!$I46^3*Adatok!$J46)/(384*(VLOOKUP(AI$19,Számítás!$B$19:$H$63,7,FALSE))^3))*100,$B$19)</f>
        <v>-</v>
      </c>
      <c r="AJ47" s="33" t="str">
        <f>IF(AND($I$19+AI$17*Adatok!$F$11&gt;Adatok!$F$10-0.01,Adatok!$C$16+$B47&lt;Adatok!$C$17+1),((Adatok!$C$13*Adatok!$C$20*Adatok!$I46*Adatok!$J46)/(8*(VLOOKUP(AJ$19,Számítás!$B$19:$H$63,7,FALSE)))+(Adatok!$C$13^3*Adatok!$C$20^3*Adatok!$I46^3*Adatok!$J46)/(384*(VLOOKUP(AJ$19,Számítás!$B$19:$H$63,7,FALSE))^3))*100,$B$19)</f>
        <v>-</v>
      </c>
      <c r="AK47" s="33" t="str">
        <f>IF(AND($I$19+AJ$17*Adatok!$F$11&gt;Adatok!$F$10-0.01,Adatok!$C$16+$B47&lt;Adatok!$C$17+1),((Adatok!$C$13*Adatok!$C$20*Adatok!$I46*Adatok!$J46)/(8*(VLOOKUP(AK$19,Számítás!$B$19:$H$63,7,FALSE)))+(Adatok!$C$13^3*Adatok!$C$20^3*Adatok!$I46^3*Adatok!$J46)/(384*(VLOOKUP(AK$19,Számítás!$B$19:$H$63,7,FALSE))^3))*100,$B$19)</f>
        <v>-</v>
      </c>
      <c r="AL47" s="33" t="str">
        <f>IF(AND($I$19+AK$17*Adatok!$F$11&gt;Adatok!$F$10-0.01,Adatok!$C$16+$B47&lt;Adatok!$C$17+1),((Adatok!$C$13*Adatok!$C$20*Adatok!$I46*Adatok!$J46)/(8*(VLOOKUP(AL$19,Számítás!$B$19:$H$63,7,FALSE)))+(Adatok!$C$13^3*Adatok!$C$20^3*Adatok!$I46^3*Adatok!$J46)/(384*(VLOOKUP(AL$19,Számítás!$B$19:$H$63,7,FALSE))^3))*100,$B$19)</f>
        <v>-</v>
      </c>
      <c r="AM47" s="33" t="str">
        <f>IF(AND($I$19+AL$17*Adatok!$F$11&gt;Adatok!$F$10-0.01,Adatok!$C$16+$B47&lt;Adatok!$C$17+1),((Adatok!$C$13*Adatok!$C$20*Adatok!$I46*Adatok!$J46)/(8*(VLOOKUP(AM$19,Számítás!$B$19:$H$63,7,FALSE)))+(Adatok!$C$13^3*Adatok!$C$20^3*Adatok!$I46^3*Adatok!$J46)/(384*(VLOOKUP(AM$19,Számítás!$B$19:$H$63,7,FALSE))^3))*100,$B$19)</f>
        <v>-</v>
      </c>
      <c r="AN47" s="33" t="str">
        <f>IF(AND($I$19+AM$17*Adatok!$F$11&gt;Adatok!$F$10-0.01,Adatok!$C$16+$B47&lt;Adatok!$C$17+1),((Adatok!$C$13*Adatok!$C$20*Adatok!$I46*Adatok!$J46)/(8*(VLOOKUP(AN$19,Számítás!$B$19:$H$63,7,FALSE)))+(Adatok!$C$13^3*Adatok!$C$20^3*Adatok!$I46^3*Adatok!$J46)/(384*(VLOOKUP(AN$19,Számítás!$B$19:$H$63,7,FALSE))^3))*100,$B$19)</f>
        <v>-</v>
      </c>
      <c r="AO47" s="33" t="str">
        <f>IF(AND($I$19+AN$17*Adatok!$F$11&gt;Adatok!$F$10-0.01,Adatok!$C$16+$B47&lt;Adatok!$C$17+1),((Adatok!$C$13*Adatok!$C$20*Adatok!$I46*Adatok!$J46)/(8*(VLOOKUP(AO$19,Számítás!$B$19:$H$63,7,FALSE)))+(Adatok!$C$13^3*Adatok!$C$20^3*Adatok!$I46^3*Adatok!$J46)/(384*(VLOOKUP(AO$19,Számítás!$B$19:$H$63,7,FALSE))^3))*100,$B$19)</f>
        <v>-</v>
      </c>
      <c r="AP47" s="33" t="str">
        <f>IF(AND($I$19+AO$17*Adatok!$F$11&gt;Adatok!$F$10-0.01,Adatok!$C$16+$B47&lt;Adatok!$C$17+1),((Adatok!$C$13*Adatok!$C$20*Adatok!$I46*Adatok!$J46)/(8*(VLOOKUP(AP$19,Számítás!$B$19:$H$63,7,FALSE)))+(Adatok!$C$13^3*Adatok!$C$20^3*Adatok!$I46^3*Adatok!$J46)/(384*(VLOOKUP(AP$19,Számítás!$B$19:$H$63,7,FALSE))^3))*100,$B$19)</f>
        <v>-</v>
      </c>
      <c r="AQ47" s="33" t="str">
        <f>IF(AND($I$19+AP$17*Adatok!$F$11&gt;Adatok!$F$10-0.01,Adatok!$C$16+$B47&lt;Adatok!$C$17+1),((Adatok!$C$13*Adatok!$C$20*Adatok!$I46*Adatok!$J46)/(8*(VLOOKUP(AQ$19,Számítás!$B$19:$H$63,7,FALSE)))+(Adatok!$C$13^3*Adatok!$C$20^3*Adatok!$I46^3*Adatok!$J46)/(384*(VLOOKUP(AQ$19,Számítás!$B$19:$H$63,7,FALSE))^3))*100,$B$19)</f>
        <v>-</v>
      </c>
      <c r="AR47" s="33" t="str">
        <f>IF(AND($I$19+AQ$17*Adatok!$F$11&gt;Adatok!$F$10-0.01,Adatok!$C$16+$B47&lt;Adatok!$C$17+1),((Adatok!$C$13*Adatok!$C$20*Adatok!$I46*Adatok!$J46)/(8*(VLOOKUP(AR$19,Számítás!$B$19:$H$63,7,FALSE)))+(Adatok!$C$13^3*Adatok!$C$20^3*Adatok!$I46^3*Adatok!$J46)/(384*(VLOOKUP(AR$19,Számítás!$B$19:$H$63,7,FALSE))^3))*100,$B$19)</f>
        <v>-</v>
      </c>
      <c r="AS47" s="33" t="str">
        <f>IF(AND($I$19+AR$17*Adatok!$F$11&gt;Adatok!$F$10-0.01,Adatok!$C$16+$B47&lt;Adatok!$C$17+1),((Adatok!$C$13*Adatok!$C$20*Adatok!$I46*Adatok!$J46)/(8*(VLOOKUP(AS$19,Számítás!$B$19:$H$63,7,FALSE)))+(Adatok!$C$13^3*Adatok!$C$20^3*Adatok!$I46^3*Adatok!$J46)/(384*(VLOOKUP(AS$19,Számítás!$B$19:$H$63,7,FALSE))^3))*100,$B$19)</f>
        <v>-</v>
      </c>
      <c r="AT47" s="33" t="str">
        <f>IF(AND($I$19+AS$17*Adatok!$F$11&gt;Adatok!$F$10-0.01,Adatok!$C$16+$B47&lt;Adatok!$C$17+1),((Adatok!$C$13*Adatok!$C$20*Adatok!$I46*Adatok!$J46)/(8*(VLOOKUP(AT$19,Számítás!$B$19:$H$63,7,FALSE)))+(Adatok!$C$13^3*Adatok!$C$20^3*Adatok!$I46^3*Adatok!$J46)/(384*(VLOOKUP(AT$19,Számítás!$B$19:$H$63,7,FALSE))^3))*100,$B$19)</f>
        <v>-</v>
      </c>
      <c r="AU47" s="33" t="str">
        <f>IF(AND($I$19+AT$17*Adatok!$F$11&gt;Adatok!$F$10-0.01,Adatok!$C$16+$B47&lt;Adatok!$C$17+1),((Adatok!$C$13*Adatok!$C$20*Adatok!$I46*Adatok!$J46)/(8*(VLOOKUP(AU$19,Számítás!$B$19:$H$63,7,FALSE)))+(Adatok!$C$13^3*Adatok!$C$20^3*Adatok!$I46^3*Adatok!$J46)/(384*(VLOOKUP(AU$19,Számítás!$B$19:$H$63,7,FALSE))^3))*100,$B$19)</f>
        <v>-</v>
      </c>
      <c r="AV47" s="33" t="str">
        <f>IF(AND($I$19+AU$17*Adatok!$F$11&gt;Adatok!$F$10-0.01,Adatok!$C$16+$B47&lt;Adatok!$C$17+1),((Adatok!$C$13*Adatok!$C$20*Adatok!$I46*Adatok!$J46)/(8*(VLOOKUP(AV$19,Számítás!$B$19:$H$63,7,FALSE)))+(Adatok!$C$13^3*Adatok!$C$20^3*Adatok!$I46^3*Adatok!$J46)/(384*(VLOOKUP(AV$19,Számítás!$B$19:$H$63,7,FALSE))^3))*100,$B$19)</f>
        <v>-</v>
      </c>
      <c r="AW47" s="33" t="str">
        <f>IF(AND($I$19+AV$17*Adatok!$F$11&gt;Adatok!$F$10-0.01,Adatok!$C$16+$B47&lt;Adatok!$C$17+1),((Adatok!$C$13*Adatok!$C$20*Adatok!$I46*Adatok!$J46)/(8*(VLOOKUP(AW$19,Számítás!$B$19:$H$63,7,FALSE)))+(Adatok!$C$13^3*Adatok!$C$20^3*Adatok!$I46^3*Adatok!$J46)/(384*(VLOOKUP(AW$19,Számítás!$B$19:$H$63,7,FALSE))^3))*100,$B$19)</f>
        <v>-</v>
      </c>
      <c r="AX47" s="33" t="str">
        <f>IF(AND($I$19+AW$17*Adatok!$F$11&gt;Adatok!$F$10-0.01,Adatok!$C$16+$B47&lt;Adatok!$C$17+1),((Adatok!$C$13*Adatok!$C$20*Adatok!$I46*Adatok!$J46)/(8*(VLOOKUP(AX$19,Számítás!$B$19:$H$63,7,FALSE)))+(Adatok!$C$13^3*Adatok!$C$20^3*Adatok!$I46^3*Adatok!$J46)/(384*(VLOOKUP(AX$19,Számítás!$B$19:$H$63,7,FALSE))^3))*100,$B$19)</f>
        <v>-</v>
      </c>
      <c r="AY47" s="33" t="str">
        <f>IF(AND($I$19+AX$17*Adatok!$F$11&gt;Adatok!$F$10-0.01,Adatok!$C$16+$B47&lt;Adatok!$C$17+1),((Adatok!$C$13*Adatok!$C$20*Adatok!$I46*Adatok!$J46)/(8*(VLOOKUP(AY$19,Számítás!$B$19:$H$63,7,FALSE)))+(Adatok!$C$13^3*Adatok!$C$20^3*Adatok!$I46^3*Adatok!$J46)/(384*(VLOOKUP(AY$19,Számítás!$B$19:$H$63,7,FALSE))^3))*100,$B$19)</f>
        <v>-</v>
      </c>
      <c r="AZ47" s="33" t="str">
        <f>IF(AND($I$19+AY$17*Adatok!$F$11&gt;Adatok!$F$10-0.01,Adatok!$C$16+$B47&lt;Adatok!$C$17+1),((Adatok!$C$13*Adatok!$C$20*Adatok!$I46*Adatok!$J46)/(8*(VLOOKUP(AZ$19,Számítás!$B$19:$H$63,7,FALSE)))+(Adatok!$C$13^3*Adatok!$C$20^3*Adatok!$I46^3*Adatok!$J46)/(384*(VLOOKUP(AZ$19,Számítás!$B$19:$H$63,7,FALSE))^3))*100,$B$19)</f>
        <v>-</v>
      </c>
      <c r="BA47" s="33" t="str">
        <f>IF(AND($I$19+AZ$17*Adatok!$F$11&gt;Adatok!$F$10-0.01,Adatok!$C$16+$B47&lt;Adatok!$C$17+1),((Adatok!$C$13*Adatok!$C$20*Adatok!$I46*Adatok!$J46)/(8*(VLOOKUP(BA$19,Számítás!$B$19:$H$63,7,FALSE)))+(Adatok!$C$13^3*Adatok!$C$20^3*Adatok!$I46^3*Adatok!$J46)/(384*(VLOOKUP(BA$19,Számítás!$B$19:$H$63,7,FALSE))^3))*100,$B$19)</f>
        <v>-</v>
      </c>
    </row>
    <row r="48" spans="2:53" ht="18" customHeight="1" x14ac:dyDescent="0.25">
      <c r="B48" s="1">
        <v>29</v>
      </c>
      <c r="C48" s="333" t="str">
        <f>Adatok!F47</f>
        <v>-</v>
      </c>
      <c r="D48" s="32" t="s">
        <v>27</v>
      </c>
      <c r="E48" s="336" t="str">
        <f>Adatok!H47</f>
        <v>-</v>
      </c>
      <c r="F48" s="64" t="str">
        <f>IF(Adatok!$C$16+B48&gt;Adatok!$C$17,$B$19,Adatok!I47)</f>
        <v>-</v>
      </c>
      <c r="G48" s="60"/>
      <c r="H48" s="72" t="str">
        <f>IF(Adatok!$C$16+B48&gt;Adatok!$C$17,$B$19,Adatok!J47/Adatok!I47)</f>
        <v>-</v>
      </c>
      <c r="I48" s="81" t="str">
        <f>IF(Adatok!$C$16+$B48&lt;Adatok!$C$17+1,((((Adatok!$C$13*Adatok!$C$20*Adatok!$I47*Adatok!$J47)/(8*(VLOOKUP(I$19,Számítás!$B$19:$H$63,7,FALSE))))+((Adatok!$C$13^3*Adatok!$C$20^3*Adatok!$I47^3*Adatok!$J47)/(384*(VLOOKUP(I$19,Számítás!$B$19:$H$63,7,FALSE))^3)))*100),$B$19)</f>
        <v>-</v>
      </c>
      <c r="J48" s="33" t="str">
        <f>IF(AND($I$19+I$17*Adatok!$F$11&gt;Adatok!$F$10-0.01,Adatok!$C$16+$B48&lt;Adatok!$C$17+1),((Adatok!$C$13*Adatok!$C$20*Adatok!$I47*Adatok!$J47)/(8*(VLOOKUP(J$19,Számítás!$B$19:$H$63,7,FALSE)))+(Adatok!$C$13^3*Adatok!$C$20^3*Adatok!$I47^3*Adatok!$J47)/(384*(VLOOKUP(J$19,Számítás!$B$19:$H$63,7,FALSE))^3))*100,$B$19)</f>
        <v>-</v>
      </c>
      <c r="K48" s="33" t="str">
        <f>IF(AND($I$19+J$17*Adatok!$F$11&gt;Adatok!$F$10-0.01,Adatok!$C$16+$B48&lt;Adatok!$C$17+1),((Adatok!$C$13*Adatok!$C$20*Adatok!$I47*Adatok!$J47)/(8*(VLOOKUP(K$19,Számítás!$B$19:$H$63,7,FALSE)))+(Adatok!$C$13^3*Adatok!$C$20^3*Adatok!$I47^3*Adatok!$J47)/(384*(VLOOKUP(K$19,Számítás!$B$19:$H$63,7,FALSE))^3))*100,$B$19)</f>
        <v>-</v>
      </c>
      <c r="L48" s="33" t="str">
        <f>IF(AND($I$19+K$17*Adatok!$F$11&gt;Adatok!$F$10-0.01,Adatok!$C$16+$B48&lt;Adatok!$C$17+1),((Adatok!$C$13*Adatok!$C$20*Adatok!$I47*Adatok!$J47)/(8*(VLOOKUP(L$19,Számítás!$B$19:$H$63,7,FALSE)))+(Adatok!$C$13^3*Adatok!$C$20^3*Adatok!$I47^3*Adatok!$J47)/(384*(VLOOKUP(L$19,Számítás!$B$19:$H$63,7,FALSE))^3))*100,$B$19)</f>
        <v>-</v>
      </c>
      <c r="M48" s="33" t="str">
        <f>IF(AND($I$19+L$17*Adatok!$F$11&gt;Adatok!$F$10-0.01,Adatok!$C$16+$B48&lt;Adatok!$C$17+1),((Adatok!$C$13*Adatok!$C$20*Adatok!$I47*Adatok!$J47)/(8*(VLOOKUP(M$19,Számítás!$B$19:$H$63,7,FALSE)))+(Adatok!$C$13^3*Adatok!$C$20^3*Adatok!$I47^3*Adatok!$J47)/(384*(VLOOKUP(M$19,Számítás!$B$19:$H$63,7,FALSE))^3))*100,$B$19)</f>
        <v>-</v>
      </c>
      <c r="N48" s="33" t="str">
        <f>IF(AND($I$19+M$17*Adatok!$F$11&gt;Adatok!$F$10-0.01,Adatok!$C$16+$B48&lt;Adatok!$C$17+1),((Adatok!$C$13*Adatok!$C$20*Adatok!$I47*Adatok!$J47)/(8*(VLOOKUP(N$19,Számítás!$B$19:$H$63,7,FALSE)))+(Adatok!$C$13^3*Adatok!$C$20^3*Adatok!$I47^3*Adatok!$J47)/(384*(VLOOKUP(N$19,Számítás!$B$19:$H$63,7,FALSE))^3))*100,$B$19)</f>
        <v>-</v>
      </c>
      <c r="O48" s="33" t="str">
        <f>IF(AND($I$19+N$17*Adatok!$F$11&gt;Adatok!$F$10-0.01,Adatok!$C$16+$B48&lt;Adatok!$C$17+1),((Adatok!$C$13*Adatok!$C$20*Adatok!$I47*Adatok!$J47)/(8*(VLOOKUP(O$19,Számítás!$B$19:$H$63,7,FALSE)))+(Adatok!$C$13^3*Adatok!$C$20^3*Adatok!$I47^3*Adatok!$J47)/(384*(VLOOKUP(O$19,Számítás!$B$19:$H$63,7,FALSE))^3))*100,$B$19)</f>
        <v>-</v>
      </c>
      <c r="P48" s="33" t="str">
        <f>IF(AND($I$19+O$17*Adatok!$F$11&gt;Adatok!$F$10-0.01,Adatok!$C$16+$B48&lt;Adatok!$C$17+1),((Adatok!$C$13*Adatok!$C$20*Adatok!$I47*Adatok!$J47)/(8*(VLOOKUP(P$19,Számítás!$B$19:$H$63,7,FALSE)))+(Adatok!$C$13^3*Adatok!$C$20^3*Adatok!$I47^3*Adatok!$J47)/(384*(VLOOKUP(P$19,Számítás!$B$19:$H$63,7,FALSE))^3))*100,$B$19)</f>
        <v>-</v>
      </c>
      <c r="Q48" s="33" t="str">
        <f>IF(AND($I$19+P$17*Adatok!$F$11&gt;Adatok!$F$10-0.01,Adatok!$C$16+$B48&lt;Adatok!$C$17+1),((Adatok!$C$13*Adatok!$C$20*Adatok!$I47*Adatok!$J47)/(8*(VLOOKUP(Q$19,Számítás!$B$19:$H$63,7,FALSE)))+(Adatok!$C$13^3*Adatok!$C$20^3*Adatok!$I47^3*Adatok!$J47)/(384*(VLOOKUP(Q$19,Számítás!$B$19:$H$63,7,FALSE))^3))*100,$B$19)</f>
        <v>-</v>
      </c>
      <c r="R48" s="33" t="str">
        <f>IF(AND($I$19+Q$17*Adatok!$F$11&gt;Adatok!$F$10-0.01,Adatok!$C$16+$B48&lt;Adatok!$C$17+1),((Adatok!$C$13*Adatok!$C$20*Adatok!$I47*Adatok!$J47)/(8*(VLOOKUP(R$19,Számítás!$B$19:$H$63,7,FALSE)))+(Adatok!$C$13^3*Adatok!$C$20^3*Adatok!$I47^3*Adatok!$J47)/(384*(VLOOKUP(R$19,Számítás!$B$19:$H$63,7,FALSE))^3))*100,$B$19)</f>
        <v>-</v>
      </c>
      <c r="S48" s="33" t="str">
        <f>IF(AND($I$19+R$17*Adatok!$F$11&gt;Adatok!$F$10-0.01,Adatok!$C$16+$B48&lt;Adatok!$C$17+1),((Adatok!$C$13*Adatok!$C$20*Adatok!$I47*Adatok!$J47)/(8*(VLOOKUP(S$19,Számítás!$B$19:$H$63,7,FALSE)))+(Adatok!$C$13^3*Adatok!$C$20^3*Adatok!$I47^3*Adatok!$J47)/(384*(VLOOKUP(S$19,Számítás!$B$19:$H$63,7,FALSE))^3))*100,$B$19)</f>
        <v>-</v>
      </c>
      <c r="T48" s="33" t="str">
        <f>IF(AND($I$19+S$17*Adatok!$F$11&gt;Adatok!$F$10-0.01,Adatok!$C$16+$B48&lt;Adatok!$C$17+1),((Adatok!$C$13*Adatok!$C$20*Adatok!$I47*Adatok!$J47)/(8*(VLOOKUP(T$19,Számítás!$B$19:$H$63,7,FALSE)))+(Adatok!$C$13^3*Adatok!$C$20^3*Adatok!$I47^3*Adatok!$J47)/(384*(VLOOKUP(T$19,Számítás!$B$19:$H$63,7,FALSE))^3))*100,$B$19)</f>
        <v>-</v>
      </c>
      <c r="U48" s="33" t="str">
        <f>IF(AND($I$19+T$17*Adatok!$F$11&gt;Adatok!$F$10-0.01,Adatok!$C$16+$B48&lt;Adatok!$C$17+1),((Adatok!$C$13*Adatok!$C$20*Adatok!$I47*Adatok!$J47)/(8*(VLOOKUP(U$19,Számítás!$B$19:$H$63,7,FALSE)))+(Adatok!$C$13^3*Adatok!$C$20^3*Adatok!$I47^3*Adatok!$J47)/(384*(VLOOKUP(U$19,Számítás!$B$19:$H$63,7,FALSE))^3))*100,$B$19)</f>
        <v>-</v>
      </c>
      <c r="V48" s="33" t="str">
        <f>IF(AND($I$19+U$17*Adatok!$F$11&gt;Adatok!$F$10-0.01,Adatok!$C$16+$B48&lt;Adatok!$C$17+1),((Adatok!$C$13*Adatok!$C$20*Adatok!$I47*Adatok!$J47)/(8*(VLOOKUP(V$19,Számítás!$B$19:$H$63,7,FALSE)))+(Adatok!$C$13^3*Adatok!$C$20^3*Adatok!$I47^3*Adatok!$J47)/(384*(VLOOKUP(V$19,Számítás!$B$19:$H$63,7,FALSE))^3))*100,$B$19)</f>
        <v>-</v>
      </c>
      <c r="W48" s="33" t="str">
        <f>IF(AND($I$19+V$17*Adatok!$F$11&gt;Adatok!$F$10-0.01,Adatok!$C$16+$B48&lt;Adatok!$C$17+1),((Adatok!$C$13*Adatok!$C$20*Adatok!$I47*Adatok!$J47)/(8*(VLOOKUP(W$19,Számítás!$B$19:$H$63,7,FALSE)))+(Adatok!$C$13^3*Adatok!$C$20^3*Adatok!$I47^3*Adatok!$J47)/(384*(VLOOKUP(W$19,Számítás!$B$19:$H$63,7,FALSE))^3))*100,$B$19)</f>
        <v>-</v>
      </c>
      <c r="X48" s="33" t="str">
        <f>IF(AND($I$19+W$17*Adatok!$F$11&gt;Adatok!$F$10-0.01,Adatok!$C$16+$B48&lt;Adatok!$C$17+1),((Adatok!$C$13*Adatok!$C$20*Adatok!$I47*Adatok!$J47)/(8*(VLOOKUP(X$19,Számítás!$B$19:$H$63,7,FALSE)))+(Adatok!$C$13^3*Adatok!$C$20^3*Adatok!$I47^3*Adatok!$J47)/(384*(VLOOKUP(X$19,Számítás!$B$19:$H$63,7,FALSE))^3))*100,$B$19)</f>
        <v>-</v>
      </c>
      <c r="Y48" s="33" t="str">
        <f>IF(AND($I$19+X$17*Adatok!$F$11&gt;Adatok!$F$10-0.01,Adatok!$C$16+$B48&lt;Adatok!$C$17+1),((Adatok!$C$13*Adatok!$C$20*Adatok!$I47*Adatok!$J47)/(8*(VLOOKUP(Y$19,Számítás!$B$19:$H$63,7,FALSE)))+(Adatok!$C$13^3*Adatok!$C$20^3*Adatok!$I47^3*Adatok!$J47)/(384*(VLOOKUP(Y$19,Számítás!$B$19:$H$63,7,FALSE))^3))*100,$B$19)</f>
        <v>-</v>
      </c>
      <c r="Z48" s="33" t="str">
        <f>IF(AND($I$19+Y$17*Adatok!$F$11&gt;Adatok!$F$10-0.01,Adatok!$C$16+$B48&lt;Adatok!$C$17+1),((Adatok!$C$13*Adatok!$C$20*Adatok!$I47*Adatok!$J47)/(8*(VLOOKUP(Z$19,Számítás!$B$19:$H$63,7,FALSE)))+(Adatok!$C$13^3*Adatok!$C$20^3*Adatok!$I47^3*Adatok!$J47)/(384*(VLOOKUP(Z$19,Számítás!$B$19:$H$63,7,FALSE))^3))*100,$B$19)</f>
        <v>-</v>
      </c>
      <c r="AA48" s="33" t="str">
        <f>IF(AND($I$19+Z$17*Adatok!$F$11&gt;Adatok!$F$10-0.01,Adatok!$C$16+$B48&lt;Adatok!$C$17+1),((Adatok!$C$13*Adatok!$C$20*Adatok!$I47*Adatok!$J47)/(8*(VLOOKUP(AA$19,Számítás!$B$19:$H$63,7,FALSE)))+(Adatok!$C$13^3*Adatok!$C$20^3*Adatok!$I47^3*Adatok!$J47)/(384*(VLOOKUP(AA$19,Számítás!$B$19:$H$63,7,FALSE))^3))*100,$B$19)</f>
        <v>-</v>
      </c>
      <c r="AB48" s="33" t="str">
        <f>IF(AND($I$19+AA$17*Adatok!$F$11&gt;Adatok!$F$10-0.01,Adatok!$C$16+$B48&lt;Adatok!$C$17+1),((Adatok!$C$13*Adatok!$C$20*Adatok!$I47*Adatok!$J47)/(8*(VLOOKUP(AB$19,Számítás!$B$19:$H$63,7,FALSE)))+(Adatok!$C$13^3*Adatok!$C$20^3*Adatok!$I47^3*Adatok!$J47)/(384*(VLOOKUP(AB$19,Számítás!$B$19:$H$63,7,FALSE))^3))*100,$B$19)</f>
        <v>-</v>
      </c>
      <c r="AC48" s="33" t="str">
        <f>IF(AND($I$19+AB$17*Adatok!$F$11&gt;Adatok!$F$10-0.01,Adatok!$C$16+$B48&lt;Adatok!$C$17+1),((Adatok!$C$13*Adatok!$C$20*Adatok!$I47*Adatok!$J47)/(8*(VLOOKUP(AC$19,Számítás!$B$19:$H$63,7,FALSE)))+(Adatok!$C$13^3*Adatok!$C$20^3*Adatok!$I47^3*Adatok!$J47)/(384*(VLOOKUP(AC$19,Számítás!$B$19:$H$63,7,FALSE))^3))*100,$B$19)</f>
        <v>-</v>
      </c>
      <c r="AD48" s="33" t="str">
        <f>IF(AND($I$19+AC$17*Adatok!$F$11&gt;Adatok!$F$10-0.01,Adatok!$C$16+$B48&lt;Adatok!$C$17+1),((Adatok!$C$13*Adatok!$C$20*Adatok!$I47*Adatok!$J47)/(8*(VLOOKUP(AD$19,Számítás!$B$19:$H$63,7,FALSE)))+(Adatok!$C$13^3*Adatok!$C$20^3*Adatok!$I47^3*Adatok!$J47)/(384*(VLOOKUP(AD$19,Számítás!$B$19:$H$63,7,FALSE))^3))*100,$B$19)</f>
        <v>-</v>
      </c>
      <c r="AE48" s="33" t="str">
        <f>IF(AND($I$19+AD$17*Adatok!$F$11&gt;Adatok!$F$10-0.01,Adatok!$C$16+$B48&lt;Adatok!$C$17+1),((Adatok!$C$13*Adatok!$C$20*Adatok!$I47*Adatok!$J47)/(8*(VLOOKUP(AE$19,Számítás!$B$19:$H$63,7,FALSE)))+(Adatok!$C$13^3*Adatok!$C$20^3*Adatok!$I47^3*Adatok!$J47)/(384*(VLOOKUP(AE$19,Számítás!$B$19:$H$63,7,FALSE))^3))*100,$B$19)</f>
        <v>-</v>
      </c>
      <c r="AF48" s="33" t="str">
        <f>IF(AND($I$19+AE$17*Adatok!$F$11&gt;Adatok!$F$10-0.01,Adatok!$C$16+$B48&lt;Adatok!$C$17+1),((Adatok!$C$13*Adatok!$C$20*Adatok!$I47*Adatok!$J47)/(8*(VLOOKUP(AF$19,Számítás!$B$19:$H$63,7,FALSE)))+(Adatok!$C$13^3*Adatok!$C$20^3*Adatok!$I47^3*Adatok!$J47)/(384*(VLOOKUP(AF$19,Számítás!$B$19:$H$63,7,FALSE))^3))*100,$B$19)</f>
        <v>-</v>
      </c>
      <c r="AG48" s="33" t="str">
        <f>IF(AND($I$19+AF$17*Adatok!$F$11&gt;Adatok!$F$10-0.01,Adatok!$C$16+$B48&lt;Adatok!$C$17+1),((Adatok!$C$13*Adatok!$C$20*Adatok!$I47*Adatok!$J47)/(8*(VLOOKUP(AG$19,Számítás!$B$19:$H$63,7,FALSE)))+(Adatok!$C$13^3*Adatok!$C$20^3*Adatok!$I47^3*Adatok!$J47)/(384*(VLOOKUP(AG$19,Számítás!$B$19:$H$63,7,FALSE))^3))*100,$B$19)</f>
        <v>-</v>
      </c>
      <c r="AH48" s="33" t="str">
        <f>IF(AND($I$19+AG$17*Adatok!$F$11&gt;Adatok!$F$10-0.01,Adatok!$C$16+$B48&lt;Adatok!$C$17+1),((Adatok!$C$13*Adatok!$C$20*Adatok!$I47*Adatok!$J47)/(8*(VLOOKUP(AH$19,Számítás!$B$19:$H$63,7,FALSE)))+(Adatok!$C$13^3*Adatok!$C$20^3*Adatok!$I47^3*Adatok!$J47)/(384*(VLOOKUP(AH$19,Számítás!$B$19:$H$63,7,FALSE))^3))*100,$B$19)</f>
        <v>-</v>
      </c>
      <c r="AI48" s="33" t="str">
        <f>IF(AND($I$19+AH$17*Adatok!$F$11&gt;Adatok!$F$10-0.01,Adatok!$C$16+$B48&lt;Adatok!$C$17+1),((Adatok!$C$13*Adatok!$C$20*Adatok!$I47*Adatok!$J47)/(8*(VLOOKUP(AI$19,Számítás!$B$19:$H$63,7,FALSE)))+(Adatok!$C$13^3*Adatok!$C$20^3*Adatok!$I47^3*Adatok!$J47)/(384*(VLOOKUP(AI$19,Számítás!$B$19:$H$63,7,FALSE))^3))*100,$B$19)</f>
        <v>-</v>
      </c>
      <c r="AJ48" s="33" t="str">
        <f>IF(AND($I$19+AI$17*Adatok!$F$11&gt;Adatok!$F$10-0.01,Adatok!$C$16+$B48&lt;Adatok!$C$17+1),((Adatok!$C$13*Adatok!$C$20*Adatok!$I47*Adatok!$J47)/(8*(VLOOKUP(AJ$19,Számítás!$B$19:$H$63,7,FALSE)))+(Adatok!$C$13^3*Adatok!$C$20^3*Adatok!$I47^3*Adatok!$J47)/(384*(VLOOKUP(AJ$19,Számítás!$B$19:$H$63,7,FALSE))^3))*100,$B$19)</f>
        <v>-</v>
      </c>
      <c r="AK48" s="33" t="str">
        <f>IF(AND($I$19+AJ$17*Adatok!$F$11&gt;Adatok!$F$10-0.01,Adatok!$C$16+$B48&lt;Adatok!$C$17+1),((Adatok!$C$13*Adatok!$C$20*Adatok!$I47*Adatok!$J47)/(8*(VLOOKUP(AK$19,Számítás!$B$19:$H$63,7,FALSE)))+(Adatok!$C$13^3*Adatok!$C$20^3*Adatok!$I47^3*Adatok!$J47)/(384*(VLOOKUP(AK$19,Számítás!$B$19:$H$63,7,FALSE))^3))*100,$B$19)</f>
        <v>-</v>
      </c>
      <c r="AL48" s="33" t="str">
        <f>IF(AND($I$19+AK$17*Adatok!$F$11&gt;Adatok!$F$10-0.01,Adatok!$C$16+$B48&lt;Adatok!$C$17+1),((Adatok!$C$13*Adatok!$C$20*Adatok!$I47*Adatok!$J47)/(8*(VLOOKUP(AL$19,Számítás!$B$19:$H$63,7,FALSE)))+(Adatok!$C$13^3*Adatok!$C$20^3*Adatok!$I47^3*Adatok!$J47)/(384*(VLOOKUP(AL$19,Számítás!$B$19:$H$63,7,FALSE))^3))*100,$B$19)</f>
        <v>-</v>
      </c>
      <c r="AM48" s="33" t="str">
        <f>IF(AND($I$19+AL$17*Adatok!$F$11&gt;Adatok!$F$10-0.01,Adatok!$C$16+$B48&lt;Adatok!$C$17+1),((Adatok!$C$13*Adatok!$C$20*Adatok!$I47*Adatok!$J47)/(8*(VLOOKUP(AM$19,Számítás!$B$19:$H$63,7,FALSE)))+(Adatok!$C$13^3*Adatok!$C$20^3*Adatok!$I47^3*Adatok!$J47)/(384*(VLOOKUP(AM$19,Számítás!$B$19:$H$63,7,FALSE))^3))*100,$B$19)</f>
        <v>-</v>
      </c>
      <c r="AN48" s="33" t="str">
        <f>IF(AND($I$19+AM$17*Adatok!$F$11&gt;Adatok!$F$10-0.01,Adatok!$C$16+$B48&lt;Adatok!$C$17+1),((Adatok!$C$13*Adatok!$C$20*Adatok!$I47*Adatok!$J47)/(8*(VLOOKUP(AN$19,Számítás!$B$19:$H$63,7,FALSE)))+(Adatok!$C$13^3*Adatok!$C$20^3*Adatok!$I47^3*Adatok!$J47)/(384*(VLOOKUP(AN$19,Számítás!$B$19:$H$63,7,FALSE))^3))*100,$B$19)</f>
        <v>-</v>
      </c>
      <c r="AO48" s="33" t="str">
        <f>IF(AND($I$19+AN$17*Adatok!$F$11&gt;Adatok!$F$10-0.01,Adatok!$C$16+$B48&lt;Adatok!$C$17+1),((Adatok!$C$13*Adatok!$C$20*Adatok!$I47*Adatok!$J47)/(8*(VLOOKUP(AO$19,Számítás!$B$19:$H$63,7,FALSE)))+(Adatok!$C$13^3*Adatok!$C$20^3*Adatok!$I47^3*Adatok!$J47)/(384*(VLOOKUP(AO$19,Számítás!$B$19:$H$63,7,FALSE))^3))*100,$B$19)</f>
        <v>-</v>
      </c>
      <c r="AP48" s="33" t="str">
        <f>IF(AND($I$19+AO$17*Adatok!$F$11&gt;Adatok!$F$10-0.01,Adatok!$C$16+$B48&lt;Adatok!$C$17+1),((Adatok!$C$13*Adatok!$C$20*Adatok!$I47*Adatok!$J47)/(8*(VLOOKUP(AP$19,Számítás!$B$19:$H$63,7,FALSE)))+(Adatok!$C$13^3*Adatok!$C$20^3*Adatok!$I47^3*Adatok!$J47)/(384*(VLOOKUP(AP$19,Számítás!$B$19:$H$63,7,FALSE))^3))*100,$B$19)</f>
        <v>-</v>
      </c>
      <c r="AQ48" s="33" t="str">
        <f>IF(AND($I$19+AP$17*Adatok!$F$11&gt;Adatok!$F$10-0.01,Adatok!$C$16+$B48&lt;Adatok!$C$17+1),((Adatok!$C$13*Adatok!$C$20*Adatok!$I47*Adatok!$J47)/(8*(VLOOKUP(AQ$19,Számítás!$B$19:$H$63,7,FALSE)))+(Adatok!$C$13^3*Adatok!$C$20^3*Adatok!$I47^3*Adatok!$J47)/(384*(VLOOKUP(AQ$19,Számítás!$B$19:$H$63,7,FALSE))^3))*100,$B$19)</f>
        <v>-</v>
      </c>
      <c r="AR48" s="33" t="str">
        <f>IF(AND($I$19+AQ$17*Adatok!$F$11&gt;Adatok!$F$10-0.01,Adatok!$C$16+$B48&lt;Adatok!$C$17+1),((Adatok!$C$13*Adatok!$C$20*Adatok!$I47*Adatok!$J47)/(8*(VLOOKUP(AR$19,Számítás!$B$19:$H$63,7,FALSE)))+(Adatok!$C$13^3*Adatok!$C$20^3*Adatok!$I47^3*Adatok!$J47)/(384*(VLOOKUP(AR$19,Számítás!$B$19:$H$63,7,FALSE))^3))*100,$B$19)</f>
        <v>-</v>
      </c>
      <c r="AS48" s="33" t="str">
        <f>IF(AND($I$19+AR$17*Adatok!$F$11&gt;Adatok!$F$10-0.01,Adatok!$C$16+$B48&lt;Adatok!$C$17+1),((Adatok!$C$13*Adatok!$C$20*Adatok!$I47*Adatok!$J47)/(8*(VLOOKUP(AS$19,Számítás!$B$19:$H$63,7,FALSE)))+(Adatok!$C$13^3*Adatok!$C$20^3*Adatok!$I47^3*Adatok!$J47)/(384*(VLOOKUP(AS$19,Számítás!$B$19:$H$63,7,FALSE))^3))*100,$B$19)</f>
        <v>-</v>
      </c>
      <c r="AT48" s="33" t="str">
        <f>IF(AND($I$19+AS$17*Adatok!$F$11&gt;Adatok!$F$10-0.01,Adatok!$C$16+$B48&lt;Adatok!$C$17+1),((Adatok!$C$13*Adatok!$C$20*Adatok!$I47*Adatok!$J47)/(8*(VLOOKUP(AT$19,Számítás!$B$19:$H$63,7,FALSE)))+(Adatok!$C$13^3*Adatok!$C$20^3*Adatok!$I47^3*Adatok!$J47)/(384*(VLOOKUP(AT$19,Számítás!$B$19:$H$63,7,FALSE))^3))*100,$B$19)</f>
        <v>-</v>
      </c>
      <c r="AU48" s="33" t="str">
        <f>IF(AND($I$19+AT$17*Adatok!$F$11&gt;Adatok!$F$10-0.01,Adatok!$C$16+$B48&lt;Adatok!$C$17+1),((Adatok!$C$13*Adatok!$C$20*Adatok!$I47*Adatok!$J47)/(8*(VLOOKUP(AU$19,Számítás!$B$19:$H$63,7,FALSE)))+(Adatok!$C$13^3*Adatok!$C$20^3*Adatok!$I47^3*Adatok!$J47)/(384*(VLOOKUP(AU$19,Számítás!$B$19:$H$63,7,FALSE))^3))*100,$B$19)</f>
        <v>-</v>
      </c>
      <c r="AV48" s="33" t="str">
        <f>IF(AND($I$19+AU$17*Adatok!$F$11&gt;Adatok!$F$10-0.01,Adatok!$C$16+$B48&lt;Adatok!$C$17+1),((Adatok!$C$13*Adatok!$C$20*Adatok!$I47*Adatok!$J47)/(8*(VLOOKUP(AV$19,Számítás!$B$19:$H$63,7,FALSE)))+(Adatok!$C$13^3*Adatok!$C$20^3*Adatok!$I47^3*Adatok!$J47)/(384*(VLOOKUP(AV$19,Számítás!$B$19:$H$63,7,FALSE))^3))*100,$B$19)</f>
        <v>-</v>
      </c>
      <c r="AW48" s="33" t="str">
        <f>IF(AND($I$19+AV$17*Adatok!$F$11&gt;Adatok!$F$10-0.01,Adatok!$C$16+$B48&lt;Adatok!$C$17+1),((Adatok!$C$13*Adatok!$C$20*Adatok!$I47*Adatok!$J47)/(8*(VLOOKUP(AW$19,Számítás!$B$19:$H$63,7,FALSE)))+(Adatok!$C$13^3*Adatok!$C$20^3*Adatok!$I47^3*Adatok!$J47)/(384*(VLOOKUP(AW$19,Számítás!$B$19:$H$63,7,FALSE))^3))*100,$B$19)</f>
        <v>-</v>
      </c>
      <c r="AX48" s="33" t="str">
        <f>IF(AND($I$19+AW$17*Adatok!$F$11&gt;Adatok!$F$10-0.01,Adatok!$C$16+$B48&lt;Adatok!$C$17+1),((Adatok!$C$13*Adatok!$C$20*Adatok!$I47*Adatok!$J47)/(8*(VLOOKUP(AX$19,Számítás!$B$19:$H$63,7,FALSE)))+(Adatok!$C$13^3*Adatok!$C$20^3*Adatok!$I47^3*Adatok!$J47)/(384*(VLOOKUP(AX$19,Számítás!$B$19:$H$63,7,FALSE))^3))*100,$B$19)</f>
        <v>-</v>
      </c>
      <c r="AY48" s="33" t="str">
        <f>IF(AND($I$19+AX$17*Adatok!$F$11&gt;Adatok!$F$10-0.01,Adatok!$C$16+$B48&lt;Adatok!$C$17+1),((Adatok!$C$13*Adatok!$C$20*Adatok!$I47*Adatok!$J47)/(8*(VLOOKUP(AY$19,Számítás!$B$19:$H$63,7,FALSE)))+(Adatok!$C$13^3*Adatok!$C$20^3*Adatok!$I47^3*Adatok!$J47)/(384*(VLOOKUP(AY$19,Számítás!$B$19:$H$63,7,FALSE))^3))*100,$B$19)</f>
        <v>-</v>
      </c>
      <c r="AZ48" s="33" t="str">
        <f>IF(AND($I$19+AY$17*Adatok!$F$11&gt;Adatok!$F$10-0.01,Adatok!$C$16+$B48&lt;Adatok!$C$17+1),((Adatok!$C$13*Adatok!$C$20*Adatok!$I47*Adatok!$J47)/(8*(VLOOKUP(AZ$19,Számítás!$B$19:$H$63,7,FALSE)))+(Adatok!$C$13^3*Adatok!$C$20^3*Adatok!$I47^3*Adatok!$J47)/(384*(VLOOKUP(AZ$19,Számítás!$B$19:$H$63,7,FALSE))^3))*100,$B$19)</f>
        <v>-</v>
      </c>
      <c r="BA48" s="33" t="str">
        <f>IF(AND($I$19+AZ$17*Adatok!$F$11&gt;Adatok!$F$10-0.01,Adatok!$C$16+$B48&lt;Adatok!$C$17+1),((Adatok!$C$13*Adatok!$C$20*Adatok!$I47*Adatok!$J47)/(8*(VLOOKUP(BA$19,Számítás!$B$19:$H$63,7,FALSE)))+(Adatok!$C$13^3*Adatok!$C$20^3*Adatok!$I47^3*Adatok!$J47)/(384*(VLOOKUP(BA$19,Számítás!$B$19:$H$63,7,FALSE))^3))*100,$B$19)</f>
        <v>-</v>
      </c>
    </row>
    <row r="49" spans="2:53" ht="18" customHeight="1" x14ac:dyDescent="0.25">
      <c r="B49" s="1">
        <v>30</v>
      </c>
      <c r="C49" s="333" t="str">
        <f>Adatok!F48</f>
        <v>-</v>
      </c>
      <c r="D49" s="32" t="s">
        <v>27</v>
      </c>
      <c r="E49" s="336" t="str">
        <f>Adatok!H48</f>
        <v>-</v>
      </c>
      <c r="F49" s="64" t="str">
        <f>IF(Adatok!$C$16+B49&gt;Adatok!$C$17,$B$19,Adatok!I48)</f>
        <v>-</v>
      </c>
      <c r="G49" s="60"/>
      <c r="H49" s="72" t="str">
        <f>IF(Adatok!$C$16+B49&gt;Adatok!$C$17,$B$19,Adatok!J48/Adatok!I48)</f>
        <v>-</v>
      </c>
      <c r="I49" s="81" t="str">
        <f>IF(Adatok!$C$16+$B49&lt;Adatok!$C$17+1,((((Adatok!$C$13*Adatok!$C$20*Adatok!$I48*Adatok!$J48)/(8*(VLOOKUP(I$19,Számítás!$B$19:$H$63,7,FALSE))))+((Adatok!$C$13^3*Adatok!$C$20^3*Adatok!$I48^3*Adatok!$J48)/(384*(VLOOKUP(I$19,Számítás!$B$19:$H$63,7,FALSE))^3)))*100),$B$19)</f>
        <v>-</v>
      </c>
      <c r="J49" s="33" t="str">
        <f>IF(AND($I$19+I$17*Adatok!$F$11&gt;Adatok!$F$10-0.01,Adatok!$C$16+$B49&lt;Adatok!$C$17+1),((Adatok!$C$13*Adatok!$C$20*Adatok!$I48*Adatok!$J48)/(8*(VLOOKUP(J$19,Számítás!$B$19:$H$63,7,FALSE)))+(Adatok!$C$13^3*Adatok!$C$20^3*Adatok!$I48^3*Adatok!$J48)/(384*(VLOOKUP(J$19,Számítás!$B$19:$H$63,7,FALSE))^3))*100,$B$19)</f>
        <v>-</v>
      </c>
      <c r="K49" s="33" t="str">
        <f>IF(AND($I$19+J$17*Adatok!$F$11&gt;Adatok!$F$10-0.01,Adatok!$C$16+$B49&lt;Adatok!$C$17+1),((Adatok!$C$13*Adatok!$C$20*Adatok!$I48*Adatok!$J48)/(8*(VLOOKUP(K$19,Számítás!$B$19:$H$63,7,FALSE)))+(Adatok!$C$13^3*Adatok!$C$20^3*Adatok!$I48^3*Adatok!$J48)/(384*(VLOOKUP(K$19,Számítás!$B$19:$H$63,7,FALSE))^3))*100,$B$19)</f>
        <v>-</v>
      </c>
      <c r="L49" s="33" t="str">
        <f>IF(AND($I$19+K$17*Adatok!$F$11&gt;Adatok!$F$10-0.01,Adatok!$C$16+$B49&lt;Adatok!$C$17+1),((Adatok!$C$13*Adatok!$C$20*Adatok!$I48*Adatok!$J48)/(8*(VLOOKUP(L$19,Számítás!$B$19:$H$63,7,FALSE)))+(Adatok!$C$13^3*Adatok!$C$20^3*Adatok!$I48^3*Adatok!$J48)/(384*(VLOOKUP(L$19,Számítás!$B$19:$H$63,7,FALSE))^3))*100,$B$19)</f>
        <v>-</v>
      </c>
      <c r="M49" s="33" t="str">
        <f>IF(AND($I$19+L$17*Adatok!$F$11&gt;Adatok!$F$10-0.01,Adatok!$C$16+$B49&lt;Adatok!$C$17+1),((Adatok!$C$13*Adatok!$C$20*Adatok!$I48*Adatok!$J48)/(8*(VLOOKUP(M$19,Számítás!$B$19:$H$63,7,FALSE)))+(Adatok!$C$13^3*Adatok!$C$20^3*Adatok!$I48^3*Adatok!$J48)/(384*(VLOOKUP(M$19,Számítás!$B$19:$H$63,7,FALSE))^3))*100,$B$19)</f>
        <v>-</v>
      </c>
      <c r="N49" s="33" t="str">
        <f>IF(AND($I$19+M$17*Adatok!$F$11&gt;Adatok!$F$10-0.01,Adatok!$C$16+$B49&lt;Adatok!$C$17+1),((Adatok!$C$13*Adatok!$C$20*Adatok!$I48*Adatok!$J48)/(8*(VLOOKUP(N$19,Számítás!$B$19:$H$63,7,FALSE)))+(Adatok!$C$13^3*Adatok!$C$20^3*Adatok!$I48^3*Adatok!$J48)/(384*(VLOOKUP(N$19,Számítás!$B$19:$H$63,7,FALSE))^3))*100,$B$19)</f>
        <v>-</v>
      </c>
      <c r="O49" s="33" t="str">
        <f>IF(AND($I$19+N$17*Adatok!$F$11&gt;Adatok!$F$10-0.01,Adatok!$C$16+$B49&lt;Adatok!$C$17+1),((Adatok!$C$13*Adatok!$C$20*Adatok!$I48*Adatok!$J48)/(8*(VLOOKUP(O$19,Számítás!$B$19:$H$63,7,FALSE)))+(Adatok!$C$13^3*Adatok!$C$20^3*Adatok!$I48^3*Adatok!$J48)/(384*(VLOOKUP(O$19,Számítás!$B$19:$H$63,7,FALSE))^3))*100,$B$19)</f>
        <v>-</v>
      </c>
      <c r="P49" s="33" t="str">
        <f>IF(AND($I$19+O$17*Adatok!$F$11&gt;Adatok!$F$10-0.01,Adatok!$C$16+$B49&lt;Adatok!$C$17+1),((Adatok!$C$13*Adatok!$C$20*Adatok!$I48*Adatok!$J48)/(8*(VLOOKUP(P$19,Számítás!$B$19:$H$63,7,FALSE)))+(Adatok!$C$13^3*Adatok!$C$20^3*Adatok!$I48^3*Adatok!$J48)/(384*(VLOOKUP(P$19,Számítás!$B$19:$H$63,7,FALSE))^3))*100,$B$19)</f>
        <v>-</v>
      </c>
      <c r="Q49" s="33" t="str">
        <f>IF(AND($I$19+P$17*Adatok!$F$11&gt;Adatok!$F$10-0.01,Adatok!$C$16+$B49&lt;Adatok!$C$17+1),((Adatok!$C$13*Adatok!$C$20*Adatok!$I48*Adatok!$J48)/(8*(VLOOKUP(Q$19,Számítás!$B$19:$H$63,7,FALSE)))+(Adatok!$C$13^3*Adatok!$C$20^3*Adatok!$I48^3*Adatok!$J48)/(384*(VLOOKUP(Q$19,Számítás!$B$19:$H$63,7,FALSE))^3))*100,$B$19)</f>
        <v>-</v>
      </c>
      <c r="R49" s="33" t="str">
        <f>IF(AND($I$19+Q$17*Adatok!$F$11&gt;Adatok!$F$10-0.01,Adatok!$C$16+$B49&lt;Adatok!$C$17+1),((Adatok!$C$13*Adatok!$C$20*Adatok!$I48*Adatok!$J48)/(8*(VLOOKUP(R$19,Számítás!$B$19:$H$63,7,FALSE)))+(Adatok!$C$13^3*Adatok!$C$20^3*Adatok!$I48^3*Adatok!$J48)/(384*(VLOOKUP(R$19,Számítás!$B$19:$H$63,7,FALSE))^3))*100,$B$19)</f>
        <v>-</v>
      </c>
      <c r="S49" s="33" t="str">
        <f>IF(AND($I$19+R$17*Adatok!$F$11&gt;Adatok!$F$10-0.01,Adatok!$C$16+$B49&lt;Adatok!$C$17+1),((Adatok!$C$13*Adatok!$C$20*Adatok!$I48*Adatok!$J48)/(8*(VLOOKUP(S$19,Számítás!$B$19:$H$63,7,FALSE)))+(Adatok!$C$13^3*Adatok!$C$20^3*Adatok!$I48^3*Adatok!$J48)/(384*(VLOOKUP(S$19,Számítás!$B$19:$H$63,7,FALSE))^3))*100,$B$19)</f>
        <v>-</v>
      </c>
      <c r="T49" s="33" t="str">
        <f>IF(AND($I$19+S$17*Adatok!$F$11&gt;Adatok!$F$10-0.01,Adatok!$C$16+$B49&lt;Adatok!$C$17+1),((Adatok!$C$13*Adatok!$C$20*Adatok!$I48*Adatok!$J48)/(8*(VLOOKUP(T$19,Számítás!$B$19:$H$63,7,FALSE)))+(Adatok!$C$13^3*Adatok!$C$20^3*Adatok!$I48^3*Adatok!$J48)/(384*(VLOOKUP(T$19,Számítás!$B$19:$H$63,7,FALSE))^3))*100,$B$19)</f>
        <v>-</v>
      </c>
      <c r="U49" s="33" t="str">
        <f>IF(AND($I$19+T$17*Adatok!$F$11&gt;Adatok!$F$10-0.01,Adatok!$C$16+$B49&lt;Adatok!$C$17+1),((Adatok!$C$13*Adatok!$C$20*Adatok!$I48*Adatok!$J48)/(8*(VLOOKUP(U$19,Számítás!$B$19:$H$63,7,FALSE)))+(Adatok!$C$13^3*Adatok!$C$20^3*Adatok!$I48^3*Adatok!$J48)/(384*(VLOOKUP(U$19,Számítás!$B$19:$H$63,7,FALSE))^3))*100,$B$19)</f>
        <v>-</v>
      </c>
      <c r="V49" s="33" t="str">
        <f>IF(AND($I$19+U$17*Adatok!$F$11&gt;Adatok!$F$10-0.01,Adatok!$C$16+$B49&lt;Adatok!$C$17+1),((Adatok!$C$13*Adatok!$C$20*Adatok!$I48*Adatok!$J48)/(8*(VLOOKUP(V$19,Számítás!$B$19:$H$63,7,FALSE)))+(Adatok!$C$13^3*Adatok!$C$20^3*Adatok!$I48^3*Adatok!$J48)/(384*(VLOOKUP(V$19,Számítás!$B$19:$H$63,7,FALSE))^3))*100,$B$19)</f>
        <v>-</v>
      </c>
      <c r="W49" s="33" t="str">
        <f>IF(AND($I$19+V$17*Adatok!$F$11&gt;Adatok!$F$10-0.01,Adatok!$C$16+$B49&lt;Adatok!$C$17+1),((Adatok!$C$13*Adatok!$C$20*Adatok!$I48*Adatok!$J48)/(8*(VLOOKUP(W$19,Számítás!$B$19:$H$63,7,FALSE)))+(Adatok!$C$13^3*Adatok!$C$20^3*Adatok!$I48^3*Adatok!$J48)/(384*(VLOOKUP(W$19,Számítás!$B$19:$H$63,7,FALSE))^3))*100,$B$19)</f>
        <v>-</v>
      </c>
      <c r="X49" s="33" t="str">
        <f>IF(AND($I$19+W$17*Adatok!$F$11&gt;Adatok!$F$10-0.01,Adatok!$C$16+$B49&lt;Adatok!$C$17+1),((Adatok!$C$13*Adatok!$C$20*Adatok!$I48*Adatok!$J48)/(8*(VLOOKUP(X$19,Számítás!$B$19:$H$63,7,FALSE)))+(Adatok!$C$13^3*Adatok!$C$20^3*Adatok!$I48^3*Adatok!$J48)/(384*(VLOOKUP(X$19,Számítás!$B$19:$H$63,7,FALSE))^3))*100,$B$19)</f>
        <v>-</v>
      </c>
      <c r="Y49" s="33" t="str">
        <f>IF(AND($I$19+X$17*Adatok!$F$11&gt;Adatok!$F$10-0.01,Adatok!$C$16+$B49&lt;Adatok!$C$17+1),((Adatok!$C$13*Adatok!$C$20*Adatok!$I48*Adatok!$J48)/(8*(VLOOKUP(Y$19,Számítás!$B$19:$H$63,7,FALSE)))+(Adatok!$C$13^3*Adatok!$C$20^3*Adatok!$I48^3*Adatok!$J48)/(384*(VLOOKUP(Y$19,Számítás!$B$19:$H$63,7,FALSE))^3))*100,$B$19)</f>
        <v>-</v>
      </c>
      <c r="Z49" s="33" t="str">
        <f>IF(AND($I$19+Y$17*Adatok!$F$11&gt;Adatok!$F$10-0.01,Adatok!$C$16+$B49&lt;Adatok!$C$17+1),((Adatok!$C$13*Adatok!$C$20*Adatok!$I48*Adatok!$J48)/(8*(VLOOKUP(Z$19,Számítás!$B$19:$H$63,7,FALSE)))+(Adatok!$C$13^3*Adatok!$C$20^3*Adatok!$I48^3*Adatok!$J48)/(384*(VLOOKUP(Z$19,Számítás!$B$19:$H$63,7,FALSE))^3))*100,$B$19)</f>
        <v>-</v>
      </c>
      <c r="AA49" s="33" t="str">
        <f>IF(AND($I$19+Z$17*Adatok!$F$11&gt;Adatok!$F$10-0.01,Adatok!$C$16+$B49&lt;Adatok!$C$17+1),((Adatok!$C$13*Adatok!$C$20*Adatok!$I48*Adatok!$J48)/(8*(VLOOKUP(AA$19,Számítás!$B$19:$H$63,7,FALSE)))+(Adatok!$C$13^3*Adatok!$C$20^3*Adatok!$I48^3*Adatok!$J48)/(384*(VLOOKUP(AA$19,Számítás!$B$19:$H$63,7,FALSE))^3))*100,$B$19)</f>
        <v>-</v>
      </c>
      <c r="AB49" s="33" t="str">
        <f>IF(AND($I$19+AA$17*Adatok!$F$11&gt;Adatok!$F$10-0.01,Adatok!$C$16+$B49&lt;Adatok!$C$17+1),((Adatok!$C$13*Adatok!$C$20*Adatok!$I48*Adatok!$J48)/(8*(VLOOKUP(AB$19,Számítás!$B$19:$H$63,7,FALSE)))+(Adatok!$C$13^3*Adatok!$C$20^3*Adatok!$I48^3*Adatok!$J48)/(384*(VLOOKUP(AB$19,Számítás!$B$19:$H$63,7,FALSE))^3))*100,$B$19)</f>
        <v>-</v>
      </c>
      <c r="AC49" s="33" t="str">
        <f>IF(AND($I$19+AB$17*Adatok!$F$11&gt;Adatok!$F$10-0.01,Adatok!$C$16+$B49&lt;Adatok!$C$17+1),((Adatok!$C$13*Adatok!$C$20*Adatok!$I48*Adatok!$J48)/(8*(VLOOKUP(AC$19,Számítás!$B$19:$H$63,7,FALSE)))+(Adatok!$C$13^3*Adatok!$C$20^3*Adatok!$I48^3*Adatok!$J48)/(384*(VLOOKUP(AC$19,Számítás!$B$19:$H$63,7,FALSE))^3))*100,$B$19)</f>
        <v>-</v>
      </c>
      <c r="AD49" s="33" t="str">
        <f>IF(AND($I$19+AC$17*Adatok!$F$11&gt;Adatok!$F$10-0.01,Adatok!$C$16+$B49&lt;Adatok!$C$17+1),((Adatok!$C$13*Adatok!$C$20*Adatok!$I48*Adatok!$J48)/(8*(VLOOKUP(AD$19,Számítás!$B$19:$H$63,7,FALSE)))+(Adatok!$C$13^3*Adatok!$C$20^3*Adatok!$I48^3*Adatok!$J48)/(384*(VLOOKUP(AD$19,Számítás!$B$19:$H$63,7,FALSE))^3))*100,$B$19)</f>
        <v>-</v>
      </c>
      <c r="AE49" s="33" t="str">
        <f>IF(AND($I$19+AD$17*Adatok!$F$11&gt;Adatok!$F$10-0.01,Adatok!$C$16+$B49&lt;Adatok!$C$17+1),((Adatok!$C$13*Adatok!$C$20*Adatok!$I48*Adatok!$J48)/(8*(VLOOKUP(AE$19,Számítás!$B$19:$H$63,7,FALSE)))+(Adatok!$C$13^3*Adatok!$C$20^3*Adatok!$I48^3*Adatok!$J48)/(384*(VLOOKUP(AE$19,Számítás!$B$19:$H$63,7,FALSE))^3))*100,$B$19)</f>
        <v>-</v>
      </c>
      <c r="AF49" s="33" t="str">
        <f>IF(AND($I$19+AE$17*Adatok!$F$11&gt;Adatok!$F$10-0.01,Adatok!$C$16+$B49&lt;Adatok!$C$17+1),((Adatok!$C$13*Adatok!$C$20*Adatok!$I48*Adatok!$J48)/(8*(VLOOKUP(AF$19,Számítás!$B$19:$H$63,7,FALSE)))+(Adatok!$C$13^3*Adatok!$C$20^3*Adatok!$I48^3*Adatok!$J48)/(384*(VLOOKUP(AF$19,Számítás!$B$19:$H$63,7,FALSE))^3))*100,$B$19)</f>
        <v>-</v>
      </c>
      <c r="AG49" s="33" t="str">
        <f>IF(AND($I$19+AF$17*Adatok!$F$11&gt;Adatok!$F$10-0.01,Adatok!$C$16+$B49&lt;Adatok!$C$17+1),((Adatok!$C$13*Adatok!$C$20*Adatok!$I48*Adatok!$J48)/(8*(VLOOKUP(AG$19,Számítás!$B$19:$H$63,7,FALSE)))+(Adatok!$C$13^3*Adatok!$C$20^3*Adatok!$I48^3*Adatok!$J48)/(384*(VLOOKUP(AG$19,Számítás!$B$19:$H$63,7,FALSE))^3))*100,$B$19)</f>
        <v>-</v>
      </c>
      <c r="AH49" s="33" t="str">
        <f>IF(AND($I$19+AG$17*Adatok!$F$11&gt;Adatok!$F$10-0.01,Adatok!$C$16+$B49&lt;Adatok!$C$17+1),((Adatok!$C$13*Adatok!$C$20*Adatok!$I48*Adatok!$J48)/(8*(VLOOKUP(AH$19,Számítás!$B$19:$H$63,7,FALSE)))+(Adatok!$C$13^3*Adatok!$C$20^3*Adatok!$I48^3*Adatok!$J48)/(384*(VLOOKUP(AH$19,Számítás!$B$19:$H$63,7,FALSE))^3))*100,$B$19)</f>
        <v>-</v>
      </c>
      <c r="AI49" s="33" t="str">
        <f>IF(AND($I$19+AH$17*Adatok!$F$11&gt;Adatok!$F$10-0.01,Adatok!$C$16+$B49&lt;Adatok!$C$17+1),((Adatok!$C$13*Adatok!$C$20*Adatok!$I48*Adatok!$J48)/(8*(VLOOKUP(AI$19,Számítás!$B$19:$H$63,7,FALSE)))+(Adatok!$C$13^3*Adatok!$C$20^3*Adatok!$I48^3*Adatok!$J48)/(384*(VLOOKUP(AI$19,Számítás!$B$19:$H$63,7,FALSE))^3))*100,$B$19)</f>
        <v>-</v>
      </c>
      <c r="AJ49" s="33" t="str">
        <f>IF(AND($I$19+AI$17*Adatok!$F$11&gt;Adatok!$F$10-0.01,Adatok!$C$16+$B49&lt;Adatok!$C$17+1),((Adatok!$C$13*Adatok!$C$20*Adatok!$I48*Adatok!$J48)/(8*(VLOOKUP(AJ$19,Számítás!$B$19:$H$63,7,FALSE)))+(Adatok!$C$13^3*Adatok!$C$20^3*Adatok!$I48^3*Adatok!$J48)/(384*(VLOOKUP(AJ$19,Számítás!$B$19:$H$63,7,FALSE))^3))*100,$B$19)</f>
        <v>-</v>
      </c>
      <c r="AK49" s="33" t="str">
        <f>IF(AND($I$19+AJ$17*Adatok!$F$11&gt;Adatok!$F$10-0.01,Adatok!$C$16+$B49&lt;Adatok!$C$17+1),((Adatok!$C$13*Adatok!$C$20*Adatok!$I48*Adatok!$J48)/(8*(VLOOKUP(AK$19,Számítás!$B$19:$H$63,7,FALSE)))+(Adatok!$C$13^3*Adatok!$C$20^3*Adatok!$I48^3*Adatok!$J48)/(384*(VLOOKUP(AK$19,Számítás!$B$19:$H$63,7,FALSE))^3))*100,$B$19)</f>
        <v>-</v>
      </c>
      <c r="AL49" s="33" t="str">
        <f>IF(AND($I$19+AK$17*Adatok!$F$11&gt;Adatok!$F$10-0.01,Adatok!$C$16+$B49&lt;Adatok!$C$17+1),((Adatok!$C$13*Adatok!$C$20*Adatok!$I48*Adatok!$J48)/(8*(VLOOKUP(AL$19,Számítás!$B$19:$H$63,7,FALSE)))+(Adatok!$C$13^3*Adatok!$C$20^3*Adatok!$I48^3*Adatok!$J48)/(384*(VLOOKUP(AL$19,Számítás!$B$19:$H$63,7,FALSE))^3))*100,$B$19)</f>
        <v>-</v>
      </c>
      <c r="AM49" s="33" t="str">
        <f>IF(AND($I$19+AL$17*Adatok!$F$11&gt;Adatok!$F$10-0.01,Adatok!$C$16+$B49&lt;Adatok!$C$17+1),((Adatok!$C$13*Adatok!$C$20*Adatok!$I48*Adatok!$J48)/(8*(VLOOKUP(AM$19,Számítás!$B$19:$H$63,7,FALSE)))+(Adatok!$C$13^3*Adatok!$C$20^3*Adatok!$I48^3*Adatok!$J48)/(384*(VLOOKUP(AM$19,Számítás!$B$19:$H$63,7,FALSE))^3))*100,$B$19)</f>
        <v>-</v>
      </c>
      <c r="AN49" s="33" t="str">
        <f>IF(AND($I$19+AM$17*Adatok!$F$11&gt;Adatok!$F$10-0.01,Adatok!$C$16+$B49&lt;Adatok!$C$17+1),((Adatok!$C$13*Adatok!$C$20*Adatok!$I48*Adatok!$J48)/(8*(VLOOKUP(AN$19,Számítás!$B$19:$H$63,7,FALSE)))+(Adatok!$C$13^3*Adatok!$C$20^3*Adatok!$I48^3*Adatok!$J48)/(384*(VLOOKUP(AN$19,Számítás!$B$19:$H$63,7,FALSE))^3))*100,$B$19)</f>
        <v>-</v>
      </c>
      <c r="AO49" s="33" t="str">
        <f>IF(AND($I$19+AN$17*Adatok!$F$11&gt;Adatok!$F$10-0.01,Adatok!$C$16+$B49&lt;Adatok!$C$17+1),((Adatok!$C$13*Adatok!$C$20*Adatok!$I48*Adatok!$J48)/(8*(VLOOKUP(AO$19,Számítás!$B$19:$H$63,7,FALSE)))+(Adatok!$C$13^3*Adatok!$C$20^3*Adatok!$I48^3*Adatok!$J48)/(384*(VLOOKUP(AO$19,Számítás!$B$19:$H$63,7,FALSE))^3))*100,$B$19)</f>
        <v>-</v>
      </c>
      <c r="AP49" s="33" t="str">
        <f>IF(AND($I$19+AO$17*Adatok!$F$11&gt;Adatok!$F$10-0.01,Adatok!$C$16+$B49&lt;Adatok!$C$17+1),((Adatok!$C$13*Adatok!$C$20*Adatok!$I48*Adatok!$J48)/(8*(VLOOKUP(AP$19,Számítás!$B$19:$H$63,7,FALSE)))+(Adatok!$C$13^3*Adatok!$C$20^3*Adatok!$I48^3*Adatok!$J48)/(384*(VLOOKUP(AP$19,Számítás!$B$19:$H$63,7,FALSE))^3))*100,$B$19)</f>
        <v>-</v>
      </c>
      <c r="AQ49" s="33" t="str">
        <f>IF(AND($I$19+AP$17*Adatok!$F$11&gt;Adatok!$F$10-0.01,Adatok!$C$16+$B49&lt;Adatok!$C$17+1),((Adatok!$C$13*Adatok!$C$20*Adatok!$I48*Adatok!$J48)/(8*(VLOOKUP(AQ$19,Számítás!$B$19:$H$63,7,FALSE)))+(Adatok!$C$13^3*Adatok!$C$20^3*Adatok!$I48^3*Adatok!$J48)/(384*(VLOOKUP(AQ$19,Számítás!$B$19:$H$63,7,FALSE))^3))*100,$B$19)</f>
        <v>-</v>
      </c>
      <c r="AR49" s="33" t="str">
        <f>IF(AND($I$19+AQ$17*Adatok!$F$11&gt;Adatok!$F$10-0.01,Adatok!$C$16+$B49&lt;Adatok!$C$17+1),((Adatok!$C$13*Adatok!$C$20*Adatok!$I48*Adatok!$J48)/(8*(VLOOKUP(AR$19,Számítás!$B$19:$H$63,7,FALSE)))+(Adatok!$C$13^3*Adatok!$C$20^3*Adatok!$I48^3*Adatok!$J48)/(384*(VLOOKUP(AR$19,Számítás!$B$19:$H$63,7,FALSE))^3))*100,$B$19)</f>
        <v>-</v>
      </c>
      <c r="AS49" s="33" t="str">
        <f>IF(AND($I$19+AR$17*Adatok!$F$11&gt;Adatok!$F$10-0.01,Adatok!$C$16+$B49&lt;Adatok!$C$17+1),((Adatok!$C$13*Adatok!$C$20*Adatok!$I48*Adatok!$J48)/(8*(VLOOKUP(AS$19,Számítás!$B$19:$H$63,7,FALSE)))+(Adatok!$C$13^3*Adatok!$C$20^3*Adatok!$I48^3*Adatok!$J48)/(384*(VLOOKUP(AS$19,Számítás!$B$19:$H$63,7,FALSE))^3))*100,$B$19)</f>
        <v>-</v>
      </c>
      <c r="AT49" s="33" t="str">
        <f>IF(AND($I$19+AS$17*Adatok!$F$11&gt;Adatok!$F$10-0.01,Adatok!$C$16+$B49&lt;Adatok!$C$17+1),((Adatok!$C$13*Adatok!$C$20*Adatok!$I48*Adatok!$J48)/(8*(VLOOKUP(AT$19,Számítás!$B$19:$H$63,7,FALSE)))+(Adatok!$C$13^3*Adatok!$C$20^3*Adatok!$I48^3*Adatok!$J48)/(384*(VLOOKUP(AT$19,Számítás!$B$19:$H$63,7,FALSE))^3))*100,$B$19)</f>
        <v>-</v>
      </c>
      <c r="AU49" s="33" t="str">
        <f>IF(AND($I$19+AT$17*Adatok!$F$11&gt;Adatok!$F$10-0.01,Adatok!$C$16+$B49&lt;Adatok!$C$17+1),((Adatok!$C$13*Adatok!$C$20*Adatok!$I48*Adatok!$J48)/(8*(VLOOKUP(AU$19,Számítás!$B$19:$H$63,7,FALSE)))+(Adatok!$C$13^3*Adatok!$C$20^3*Adatok!$I48^3*Adatok!$J48)/(384*(VLOOKUP(AU$19,Számítás!$B$19:$H$63,7,FALSE))^3))*100,$B$19)</f>
        <v>-</v>
      </c>
      <c r="AV49" s="33" t="str">
        <f>IF(AND($I$19+AU$17*Adatok!$F$11&gt;Adatok!$F$10-0.01,Adatok!$C$16+$B49&lt;Adatok!$C$17+1),((Adatok!$C$13*Adatok!$C$20*Adatok!$I48*Adatok!$J48)/(8*(VLOOKUP(AV$19,Számítás!$B$19:$H$63,7,FALSE)))+(Adatok!$C$13^3*Adatok!$C$20^3*Adatok!$I48^3*Adatok!$J48)/(384*(VLOOKUP(AV$19,Számítás!$B$19:$H$63,7,FALSE))^3))*100,$B$19)</f>
        <v>-</v>
      </c>
      <c r="AW49" s="33" t="str">
        <f>IF(AND($I$19+AV$17*Adatok!$F$11&gt;Adatok!$F$10-0.01,Adatok!$C$16+$B49&lt;Adatok!$C$17+1),((Adatok!$C$13*Adatok!$C$20*Adatok!$I48*Adatok!$J48)/(8*(VLOOKUP(AW$19,Számítás!$B$19:$H$63,7,FALSE)))+(Adatok!$C$13^3*Adatok!$C$20^3*Adatok!$I48^3*Adatok!$J48)/(384*(VLOOKUP(AW$19,Számítás!$B$19:$H$63,7,FALSE))^3))*100,$B$19)</f>
        <v>-</v>
      </c>
      <c r="AX49" s="33" t="str">
        <f>IF(AND($I$19+AW$17*Adatok!$F$11&gt;Adatok!$F$10-0.01,Adatok!$C$16+$B49&lt;Adatok!$C$17+1),((Adatok!$C$13*Adatok!$C$20*Adatok!$I48*Adatok!$J48)/(8*(VLOOKUP(AX$19,Számítás!$B$19:$H$63,7,FALSE)))+(Adatok!$C$13^3*Adatok!$C$20^3*Adatok!$I48^3*Adatok!$J48)/(384*(VLOOKUP(AX$19,Számítás!$B$19:$H$63,7,FALSE))^3))*100,$B$19)</f>
        <v>-</v>
      </c>
      <c r="AY49" s="33" t="str">
        <f>IF(AND($I$19+AX$17*Adatok!$F$11&gt;Adatok!$F$10-0.01,Adatok!$C$16+$B49&lt;Adatok!$C$17+1),((Adatok!$C$13*Adatok!$C$20*Adatok!$I48*Adatok!$J48)/(8*(VLOOKUP(AY$19,Számítás!$B$19:$H$63,7,FALSE)))+(Adatok!$C$13^3*Adatok!$C$20^3*Adatok!$I48^3*Adatok!$J48)/(384*(VLOOKUP(AY$19,Számítás!$B$19:$H$63,7,FALSE))^3))*100,$B$19)</f>
        <v>-</v>
      </c>
      <c r="AZ49" s="33" t="str">
        <f>IF(AND($I$19+AY$17*Adatok!$F$11&gt;Adatok!$F$10-0.01,Adatok!$C$16+$B49&lt;Adatok!$C$17+1),((Adatok!$C$13*Adatok!$C$20*Adatok!$I48*Adatok!$J48)/(8*(VLOOKUP(AZ$19,Számítás!$B$19:$H$63,7,FALSE)))+(Adatok!$C$13^3*Adatok!$C$20^3*Adatok!$I48^3*Adatok!$J48)/(384*(VLOOKUP(AZ$19,Számítás!$B$19:$H$63,7,FALSE))^3))*100,$B$19)</f>
        <v>-</v>
      </c>
      <c r="BA49" s="33" t="str">
        <f>IF(AND($I$19+AZ$17*Adatok!$F$11&gt;Adatok!$F$10-0.01,Adatok!$C$16+$B49&lt;Adatok!$C$17+1),((Adatok!$C$13*Adatok!$C$20*Adatok!$I48*Adatok!$J48)/(8*(VLOOKUP(BA$19,Számítás!$B$19:$H$63,7,FALSE)))+(Adatok!$C$13^3*Adatok!$C$20^3*Adatok!$I48^3*Adatok!$J48)/(384*(VLOOKUP(BA$19,Számítás!$B$19:$H$63,7,FALSE))^3))*100,$B$19)</f>
        <v>-</v>
      </c>
    </row>
    <row r="50" spans="2:53" ht="18" customHeight="1" x14ac:dyDescent="0.25">
      <c r="B50" s="1">
        <v>31</v>
      </c>
      <c r="C50" s="333" t="str">
        <f>Adatok!F49</f>
        <v>-</v>
      </c>
      <c r="D50" s="32" t="s">
        <v>27</v>
      </c>
      <c r="E50" s="336" t="str">
        <f>Adatok!H49</f>
        <v>-</v>
      </c>
      <c r="F50" s="64" t="str">
        <f>IF(Adatok!$C$16+B50&gt;Adatok!$C$17,$B$19,Adatok!I49)</f>
        <v>-</v>
      </c>
      <c r="G50" s="60"/>
      <c r="H50" s="72" t="str">
        <f>IF(Adatok!$C$16+B50&gt;Adatok!$C$17,$B$19,Adatok!J49/Adatok!I49)</f>
        <v>-</v>
      </c>
      <c r="I50" s="81" t="str">
        <f>IF(Adatok!$C$16+$B50&lt;Adatok!$C$17+1,((((Adatok!$C$13*Adatok!$C$20*Adatok!$I49*Adatok!$J49)/(8*(VLOOKUP(I$19,Számítás!$B$19:$H$63,7,FALSE))))+((Adatok!$C$13^3*Adatok!$C$20^3*Adatok!$I49^3*Adatok!$J49)/(384*(VLOOKUP(I$19,Számítás!$B$19:$H$63,7,FALSE))^3)))*100),$B$19)</f>
        <v>-</v>
      </c>
      <c r="J50" s="33" t="str">
        <f>IF(AND($I$19+I$17*Adatok!$F$11&gt;Adatok!$F$10-0.01,Adatok!$C$16+$B50&lt;Adatok!$C$17+1),((Adatok!$C$13*Adatok!$C$20*Adatok!$I49*Adatok!$J49)/(8*(VLOOKUP(J$19,Számítás!$B$19:$H$63,7,FALSE)))+(Adatok!$C$13^3*Adatok!$C$20^3*Adatok!$I49^3*Adatok!$J49)/(384*(VLOOKUP(J$19,Számítás!$B$19:$H$63,7,FALSE))^3))*100,$B$19)</f>
        <v>-</v>
      </c>
      <c r="K50" s="33" t="str">
        <f>IF(AND($I$19+J$17*Adatok!$F$11&gt;Adatok!$F$10-0.01,Adatok!$C$16+$B50&lt;Adatok!$C$17+1),((Adatok!$C$13*Adatok!$C$20*Adatok!$I49*Adatok!$J49)/(8*(VLOOKUP(K$19,Számítás!$B$19:$H$63,7,FALSE)))+(Adatok!$C$13^3*Adatok!$C$20^3*Adatok!$I49^3*Adatok!$J49)/(384*(VLOOKUP(K$19,Számítás!$B$19:$H$63,7,FALSE))^3))*100,$B$19)</f>
        <v>-</v>
      </c>
      <c r="L50" s="33" t="str">
        <f>IF(AND($I$19+K$17*Adatok!$F$11&gt;Adatok!$F$10-0.01,Adatok!$C$16+$B50&lt;Adatok!$C$17+1),((Adatok!$C$13*Adatok!$C$20*Adatok!$I49*Adatok!$J49)/(8*(VLOOKUP(L$19,Számítás!$B$19:$H$63,7,FALSE)))+(Adatok!$C$13^3*Adatok!$C$20^3*Adatok!$I49^3*Adatok!$J49)/(384*(VLOOKUP(L$19,Számítás!$B$19:$H$63,7,FALSE))^3))*100,$B$19)</f>
        <v>-</v>
      </c>
      <c r="M50" s="33" t="str">
        <f>IF(AND($I$19+L$17*Adatok!$F$11&gt;Adatok!$F$10-0.01,Adatok!$C$16+$B50&lt;Adatok!$C$17+1),((Adatok!$C$13*Adatok!$C$20*Adatok!$I49*Adatok!$J49)/(8*(VLOOKUP(M$19,Számítás!$B$19:$H$63,7,FALSE)))+(Adatok!$C$13^3*Adatok!$C$20^3*Adatok!$I49^3*Adatok!$J49)/(384*(VLOOKUP(M$19,Számítás!$B$19:$H$63,7,FALSE))^3))*100,$B$19)</f>
        <v>-</v>
      </c>
      <c r="N50" s="33" t="str">
        <f>IF(AND($I$19+M$17*Adatok!$F$11&gt;Adatok!$F$10-0.01,Adatok!$C$16+$B50&lt;Adatok!$C$17+1),((Adatok!$C$13*Adatok!$C$20*Adatok!$I49*Adatok!$J49)/(8*(VLOOKUP(N$19,Számítás!$B$19:$H$63,7,FALSE)))+(Adatok!$C$13^3*Adatok!$C$20^3*Adatok!$I49^3*Adatok!$J49)/(384*(VLOOKUP(N$19,Számítás!$B$19:$H$63,7,FALSE))^3))*100,$B$19)</f>
        <v>-</v>
      </c>
      <c r="O50" s="33" t="str">
        <f>IF(AND($I$19+N$17*Adatok!$F$11&gt;Adatok!$F$10-0.01,Adatok!$C$16+$B50&lt;Adatok!$C$17+1),((Adatok!$C$13*Adatok!$C$20*Adatok!$I49*Adatok!$J49)/(8*(VLOOKUP(O$19,Számítás!$B$19:$H$63,7,FALSE)))+(Adatok!$C$13^3*Adatok!$C$20^3*Adatok!$I49^3*Adatok!$J49)/(384*(VLOOKUP(O$19,Számítás!$B$19:$H$63,7,FALSE))^3))*100,$B$19)</f>
        <v>-</v>
      </c>
      <c r="P50" s="33" t="str">
        <f>IF(AND($I$19+O$17*Adatok!$F$11&gt;Adatok!$F$10-0.01,Adatok!$C$16+$B50&lt;Adatok!$C$17+1),((Adatok!$C$13*Adatok!$C$20*Adatok!$I49*Adatok!$J49)/(8*(VLOOKUP(P$19,Számítás!$B$19:$H$63,7,FALSE)))+(Adatok!$C$13^3*Adatok!$C$20^3*Adatok!$I49^3*Adatok!$J49)/(384*(VLOOKUP(P$19,Számítás!$B$19:$H$63,7,FALSE))^3))*100,$B$19)</f>
        <v>-</v>
      </c>
      <c r="Q50" s="33" t="str">
        <f>IF(AND($I$19+P$17*Adatok!$F$11&gt;Adatok!$F$10-0.01,Adatok!$C$16+$B50&lt;Adatok!$C$17+1),((Adatok!$C$13*Adatok!$C$20*Adatok!$I49*Adatok!$J49)/(8*(VLOOKUP(Q$19,Számítás!$B$19:$H$63,7,FALSE)))+(Adatok!$C$13^3*Adatok!$C$20^3*Adatok!$I49^3*Adatok!$J49)/(384*(VLOOKUP(Q$19,Számítás!$B$19:$H$63,7,FALSE))^3))*100,$B$19)</f>
        <v>-</v>
      </c>
      <c r="R50" s="33" t="str">
        <f>IF(AND($I$19+Q$17*Adatok!$F$11&gt;Adatok!$F$10-0.01,Adatok!$C$16+$B50&lt;Adatok!$C$17+1),((Adatok!$C$13*Adatok!$C$20*Adatok!$I49*Adatok!$J49)/(8*(VLOOKUP(R$19,Számítás!$B$19:$H$63,7,FALSE)))+(Adatok!$C$13^3*Adatok!$C$20^3*Adatok!$I49^3*Adatok!$J49)/(384*(VLOOKUP(R$19,Számítás!$B$19:$H$63,7,FALSE))^3))*100,$B$19)</f>
        <v>-</v>
      </c>
      <c r="S50" s="33" t="str">
        <f>IF(AND($I$19+R$17*Adatok!$F$11&gt;Adatok!$F$10-0.01,Adatok!$C$16+$B50&lt;Adatok!$C$17+1),((Adatok!$C$13*Adatok!$C$20*Adatok!$I49*Adatok!$J49)/(8*(VLOOKUP(S$19,Számítás!$B$19:$H$63,7,FALSE)))+(Adatok!$C$13^3*Adatok!$C$20^3*Adatok!$I49^3*Adatok!$J49)/(384*(VLOOKUP(S$19,Számítás!$B$19:$H$63,7,FALSE))^3))*100,$B$19)</f>
        <v>-</v>
      </c>
      <c r="T50" s="33" t="str">
        <f>IF(AND($I$19+S$17*Adatok!$F$11&gt;Adatok!$F$10-0.01,Adatok!$C$16+$B50&lt;Adatok!$C$17+1),((Adatok!$C$13*Adatok!$C$20*Adatok!$I49*Adatok!$J49)/(8*(VLOOKUP(T$19,Számítás!$B$19:$H$63,7,FALSE)))+(Adatok!$C$13^3*Adatok!$C$20^3*Adatok!$I49^3*Adatok!$J49)/(384*(VLOOKUP(T$19,Számítás!$B$19:$H$63,7,FALSE))^3))*100,$B$19)</f>
        <v>-</v>
      </c>
      <c r="U50" s="33" t="str">
        <f>IF(AND($I$19+T$17*Adatok!$F$11&gt;Adatok!$F$10-0.01,Adatok!$C$16+$B50&lt;Adatok!$C$17+1),((Adatok!$C$13*Adatok!$C$20*Adatok!$I49*Adatok!$J49)/(8*(VLOOKUP(U$19,Számítás!$B$19:$H$63,7,FALSE)))+(Adatok!$C$13^3*Adatok!$C$20^3*Adatok!$I49^3*Adatok!$J49)/(384*(VLOOKUP(U$19,Számítás!$B$19:$H$63,7,FALSE))^3))*100,$B$19)</f>
        <v>-</v>
      </c>
      <c r="V50" s="33" t="str">
        <f>IF(AND($I$19+U$17*Adatok!$F$11&gt;Adatok!$F$10-0.01,Adatok!$C$16+$B50&lt;Adatok!$C$17+1),((Adatok!$C$13*Adatok!$C$20*Adatok!$I49*Adatok!$J49)/(8*(VLOOKUP(V$19,Számítás!$B$19:$H$63,7,FALSE)))+(Adatok!$C$13^3*Adatok!$C$20^3*Adatok!$I49^3*Adatok!$J49)/(384*(VLOOKUP(V$19,Számítás!$B$19:$H$63,7,FALSE))^3))*100,$B$19)</f>
        <v>-</v>
      </c>
      <c r="W50" s="33" t="str">
        <f>IF(AND($I$19+V$17*Adatok!$F$11&gt;Adatok!$F$10-0.01,Adatok!$C$16+$B50&lt;Adatok!$C$17+1),((Adatok!$C$13*Adatok!$C$20*Adatok!$I49*Adatok!$J49)/(8*(VLOOKUP(W$19,Számítás!$B$19:$H$63,7,FALSE)))+(Adatok!$C$13^3*Adatok!$C$20^3*Adatok!$I49^3*Adatok!$J49)/(384*(VLOOKUP(W$19,Számítás!$B$19:$H$63,7,FALSE))^3))*100,$B$19)</f>
        <v>-</v>
      </c>
      <c r="X50" s="33" t="str">
        <f>IF(AND($I$19+W$17*Adatok!$F$11&gt;Adatok!$F$10-0.01,Adatok!$C$16+$B50&lt;Adatok!$C$17+1),((Adatok!$C$13*Adatok!$C$20*Adatok!$I49*Adatok!$J49)/(8*(VLOOKUP(X$19,Számítás!$B$19:$H$63,7,FALSE)))+(Adatok!$C$13^3*Adatok!$C$20^3*Adatok!$I49^3*Adatok!$J49)/(384*(VLOOKUP(X$19,Számítás!$B$19:$H$63,7,FALSE))^3))*100,$B$19)</f>
        <v>-</v>
      </c>
      <c r="Y50" s="33" t="str">
        <f>IF(AND($I$19+X$17*Adatok!$F$11&gt;Adatok!$F$10-0.01,Adatok!$C$16+$B50&lt;Adatok!$C$17+1),((Adatok!$C$13*Adatok!$C$20*Adatok!$I49*Adatok!$J49)/(8*(VLOOKUP(Y$19,Számítás!$B$19:$H$63,7,FALSE)))+(Adatok!$C$13^3*Adatok!$C$20^3*Adatok!$I49^3*Adatok!$J49)/(384*(VLOOKUP(Y$19,Számítás!$B$19:$H$63,7,FALSE))^3))*100,$B$19)</f>
        <v>-</v>
      </c>
      <c r="Z50" s="33" t="str">
        <f>IF(AND($I$19+Y$17*Adatok!$F$11&gt;Adatok!$F$10-0.01,Adatok!$C$16+$B50&lt;Adatok!$C$17+1),((Adatok!$C$13*Adatok!$C$20*Adatok!$I49*Adatok!$J49)/(8*(VLOOKUP(Z$19,Számítás!$B$19:$H$63,7,FALSE)))+(Adatok!$C$13^3*Adatok!$C$20^3*Adatok!$I49^3*Adatok!$J49)/(384*(VLOOKUP(Z$19,Számítás!$B$19:$H$63,7,FALSE))^3))*100,$B$19)</f>
        <v>-</v>
      </c>
      <c r="AA50" s="33" t="str">
        <f>IF(AND($I$19+Z$17*Adatok!$F$11&gt;Adatok!$F$10-0.01,Adatok!$C$16+$B50&lt;Adatok!$C$17+1),((Adatok!$C$13*Adatok!$C$20*Adatok!$I49*Adatok!$J49)/(8*(VLOOKUP(AA$19,Számítás!$B$19:$H$63,7,FALSE)))+(Adatok!$C$13^3*Adatok!$C$20^3*Adatok!$I49^3*Adatok!$J49)/(384*(VLOOKUP(AA$19,Számítás!$B$19:$H$63,7,FALSE))^3))*100,$B$19)</f>
        <v>-</v>
      </c>
      <c r="AB50" s="33" t="str">
        <f>IF(AND($I$19+AA$17*Adatok!$F$11&gt;Adatok!$F$10-0.01,Adatok!$C$16+$B50&lt;Adatok!$C$17+1),((Adatok!$C$13*Adatok!$C$20*Adatok!$I49*Adatok!$J49)/(8*(VLOOKUP(AB$19,Számítás!$B$19:$H$63,7,FALSE)))+(Adatok!$C$13^3*Adatok!$C$20^3*Adatok!$I49^3*Adatok!$J49)/(384*(VLOOKUP(AB$19,Számítás!$B$19:$H$63,7,FALSE))^3))*100,$B$19)</f>
        <v>-</v>
      </c>
      <c r="AC50" s="33" t="str">
        <f>IF(AND($I$19+AB$17*Adatok!$F$11&gt;Adatok!$F$10-0.01,Adatok!$C$16+$B50&lt;Adatok!$C$17+1),((Adatok!$C$13*Adatok!$C$20*Adatok!$I49*Adatok!$J49)/(8*(VLOOKUP(AC$19,Számítás!$B$19:$H$63,7,FALSE)))+(Adatok!$C$13^3*Adatok!$C$20^3*Adatok!$I49^3*Adatok!$J49)/(384*(VLOOKUP(AC$19,Számítás!$B$19:$H$63,7,FALSE))^3))*100,$B$19)</f>
        <v>-</v>
      </c>
      <c r="AD50" s="33" t="str">
        <f>IF(AND($I$19+AC$17*Adatok!$F$11&gt;Adatok!$F$10-0.01,Adatok!$C$16+$B50&lt;Adatok!$C$17+1),((Adatok!$C$13*Adatok!$C$20*Adatok!$I49*Adatok!$J49)/(8*(VLOOKUP(AD$19,Számítás!$B$19:$H$63,7,FALSE)))+(Adatok!$C$13^3*Adatok!$C$20^3*Adatok!$I49^3*Adatok!$J49)/(384*(VLOOKUP(AD$19,Számítás!$B$19:$H$63,7,FALSE))^3))*100,$B$19)</f>
        <v>-</v>
      </c>
      <c r="AE50" s="33" t="str">
        <f>IF(AND($I$19+AD$17*Adatok!$F$11&gt;Adatok!$F$10-0.01,Adatok!$C$16+$B50&lt;Adatok!$C$17+1),((Adatok!$C$13*Adatok!$C$20*Adatok!$I49*Adatok!$J49)/(8*(VLOOKUP(AE$19,Számítás!$B$19:$H$63,7,FALSE)))+(Adatok!$C$13^3*Adatok!$C$20^3*Adatok!$I49^3*Adatok!$J49)/(384*(VLOOKUP(AE$19,Számítás!$B$19:$H$63,7,FALSE))^3))*100,$B$19)</f>
        <v>-</v>
      </c>
      <c r="AF50" s="33" t="str">
        <f>IF(AND($I$19+AE$17*Adatok!$F$11&gt;Adatok!$F$10-0.01,Adatok!$C$16+$B50&lt;Adatok!$C$17+1),((Adatok!$C$13*Adatok!$C$20*Adatok!$I49*Adatok!$J49)/(8*(VLOOKUP(AF$19,Számítás!$B$19:$H$63,7,FALSE)))+(Adatok!$C$13^3*Adatok!$C$20^3*Adatok!$I49^3*Adatok!$J49)/(384*(VLOOKUP(AF$19,Számítás!$B$19:$H$63,7,FALSE))^3))*100,$B$19)</f>
        <v>-</v>
      </c>
      <c r="AG50" s="33" t="str">
        <f>IF(AND($I$19+AF$17*Adatok!$F$11&gt;Adatok!$F$10-0.01,Adatok!$C$16+$B50&lt;Adatok!$C$17+1),((Adatok!$C$13*Adatok!$C$20*Adatok!$I49*Adatok!$J49)/(8*(VLOOKUP(AG$19,Számítás!$B$19:$H$63,7,FALSE)))+(Adatok!$C$13^3*Adatok!$C$20^3*Adatok!$I49^3*Adatok!$J49)/(384*(VLOOKUP(AG$19,Számítás!$B$19:$H$63,7,FALSE))^3))*100,$B$19)</f>
        <v>-</v>
      </c>
      <c r="AH50" s="33" t="str">
        <f>IF(AND($I$19+AG$17*Adatok!$F$11&gt;Adatok!$F$10-0.01,Adatok!$C$16+$B50&lt;Adatok!$C$17+1),((Adatok!$C$13*Adatok!$C$20*Adatok!$I49*Adatok!$J49)/(8*(VLOOKUP(AH$19,Számítás!$B$19:$H$63,7,FALSE)))+(Adatok!$C$13^3*Adatok!$C$20^3*Adatok!$I49^3*Adatok!$J49)/(384*(VLOOKUP(AH$19,Számítás!$B$19:$H$63,7,FALSE))^3))*100,$B$19)</f>
        <v>-</v>
      </c>
      <c r="AI50" s="33" t="str">
        <f>IF(AND($I$19+AH$17*Adatok!$F$11&gt;Adatok!$F$10-0.01,Adatok!$C$16+$B50&lt;Adatok!$C$17+1),((Adatok!$C$13*Adatok!$C$20*Adatok!$I49*Adatok!$J49)/(8*(VLOOKUP(AI$19,Számítás!$B$19:$H$63,7,FALSE)))+(Adatok!$C$13^3*Adatok!$C$20^3*Adatok!$I49^3*Adatok!$J49)/(384*(VLOOKUP(AI$19,Számítás!$B$19:$H$63,7,FALSE))^3))*100,$B$19)</f>
        <v>-</v>
      </c>
      <c r="AJ50" s="33" t="str">
        <f>IF(AND($I$19+AI$17*Adatok!$F$11&gt;Adatok!$F$10-0.01,Adatok!$C$16+$B50&lt;Adatok!$C$17+1),((Adatok!$C$13*Adatok!$C$20*Adatok!$I49*Adatok!$J49)/(8*(VLOOKUP(AJ$19,Számítás!$B$19:$H$63,7,FALSE)))+(Adatok!$C$13^3*Adatok!$C$20^3*Adatok!$I49^3*Adatok!$J49)/(384*(VLOOKUP(AJ$19,Számítás!$B$19:$H$63,7,FALSE))^3))*100,$B$19)</f>
        <v>-</v>
      </c>
      <c r="AK50" s="33" t="str">
        <f>IF(AND($I$19+AJ$17*Adatok!$F$11&gt;Adatok!$F$10-0.01,Adatok!$C$16+$B50&lt;Adatok!$C$17+1),((Adatok!$C$13*Adatok!$C$20*Adatok!$I49*Adatok!$J49)/(8*(VLOOKUP(AK$19,Számítás!$B$19:$H$63,7,FALSE)))+(Adatok!$C$13^3*Adatok!$C$20^3*Adatok!$I49^3*Adatok!$J49)/(384*(VLOOKUP(AK$19,Számítás!$B$19:$H$63,7,FALSE))^3))*100,$B$19)</f>
        <v>-</v>
      </c>
      <c r="AL50" s="33" t="str">
        <f>IF(AND($I$19+AK$17*Adatok!$F$11&gt;Adatok!$F$10-0.01,Adatok!$C$16+$B50&lt;Adatok!$C$17+1),((Adatok!$C$13*Adatok!$C$20*Adatok!$I49*Adatok!$J49)/(8*(VLOOKUP(AL$19,Számítás!$B$19:$H$63,7,FALSE)))+(Adatok!$C$13^3*Adatok!$C$20^3*Adatok!$I49^3*Adatok!$J49)/(384*(VLOOKUP(AL$19,Számítás!$B$19:$H$63,7,FALSE))^3))*100,$B$19)</f>
        <v>-</v>
      </c>
      <c r="AM50" s="33" t="str">
        <f>IF(AND($I$19+AL$17*Adatok!$F$11&gt;Adatok!$F$10-0.01,Adatok!$C$16+$B50&lt;Adatok!$C$17+1),((Adatok!$C$13*Adatok!$C$20*Adatok!$I49*Adatok!$J49)/(8*(VLOOKUP(AM$19,Számítás!$B$19:$H$63,7,FALSE)))+(Adatok!$C$13^3*Adatok!$C$20^3*Adatok!$I49^3*Adatok!$J49)/(384*(VLOOKUP(AM$19,Számítás!$B$19:$H$63,7,FALSE))^3))*100,$B$19)</f>
        <v>-</v>
      </c>
      <c r="AN50" s="33" t="str">
        <f>IF(AND($I$19+AM$17*Adatok!$F$11&gt;Adatok!$F$10-0.01,Adatok!$C$16+$B50&lt;Adatok!$C$17+1),((Adatok!$C$13*Adatok!$C$20*Adatok!$I49*Adatok!$J49)/(8*(VLOOKUP(AN$19,Számítás!$B$19:$H$63,7,FALSE)))+(Adatok!$C$13^3*Adatok!$C$20^3*Adatok!$I49^3*Adatok!$J49)/(384*(VLOOKUP(AN$19,Számítás!$B$19:$H$63,7,FALSE))^3))*100,$B$19)</f>
        <v>-</v>
      </c>
      <c r="AO50" s="33" t="str">
        <f>IF(AND($I$19+AN$17*Adatok!$F$11&gt;Adatok!$F$10-0.01,Adatok!$C$16+$B50&lt;Adatok!$C$17+1),((Adatok!$C$13*Adatok!$C$20*Adatok!$I49*Adatok!$J49)/(8*(VLOOKUP(AO$19,Számítás!$B$19:$H$63,7,FALSE)))+(Adatok!$C$13^3*Adatok!$C$20^3*Adatok!$I49^3*Adatok!$J49)/(384*(VLOOKUP(AO$19,Számítás!$B$19:$H$63,7,FALSE))^3))*100,$B$19)</f>
        <v>-</v>
      </c>
      <c r="AP50" s="33" t="str">
        <f>IF(AND($I$19+AO$17*Adatok!$F$11&gt;Adatok!$F$10-0.01,Adatok!$C$16+$B50&lt;Adatok!$C$17+1),((Adatok!$C$13*Adatok!$C$20*Adatok!$I49*Adatok!$J49)/(8*(VLOOKUP(AP$19,Számítás!$B$19:$H$63,7,FALSE)))+(Adatok!$C$13^3*Adatok!$C$20^3*Adatok!$I49^3*Adatok!$J49)/(384*(VLOOKUP(AP$19,Számítás!$B$19:$H$63,7,FALSE))^3))*100,$B$19)</f>
        <v>-</v>
      </c>
      <c r="AQ50" s="33" t="str">
        <f>IF(AND($I$19+AP$17*Adatok!$F$11&gt;Adatok!$F$10-0.01,Adatok!$C$16+$B50&lt;Adatok!$C$17+1),((Adatok!$C$13*Adatok!$C$20*Adatok!$I49*Adatok!$J49)/(8*(VLOOKUP(AQ$19,Számítás!$B$19:$H$63,7,FALSE)))+(Adatok!$C$13^3*Adatok!$C$20^3*Adatok!$I49^3*Adatok!$J49)/(384*(VLOOKUP(AQ$19,Számítás!$B$19:$H$63,7,FALSE))^3))*100,$B$19)</f>
        <v>-</v>
      </c>
      <c r="AR50" s="33" t="str">
        <f>IF(AND($I$19+AQ$17*Adatok!$F$11&gt;Adatok!$F$10-0.01,Adatok!$C$16+$B50&lt;Adatok!$C$17+1),((Adatok!$C$13*Adatok!$C$20*Adatok!$I49*Adatok!$J49)/(8*(VLOOKUP(AR$19,Számítás!$B$19:$H$63,7,FALSE)))+(Adatok!$C$13^3*Adatok!$C$20^3*Adatok!$I49^3*Adatok!$J49)/(384*(VLOOKUP(AR$19,Számítás!$B$19:$H$63,7,FALSE))^3))*100,$B$19)</f>
        <v>-</v>
      </c>
      <c r="AS50" s="33" t="str">
        <f>IF(AND($I$19+AR$17*Adatok!$F$11&gt;Adatok!$F$10-0.01,Adatok!$C$16+$B50&lt;Adatok!$C$17+1),((Adatok!$C$13*Adatok!$C$20*Adatok!$I49*Adatok!$J49)/(8*(VLOOKUP(AS$19,Számítás!$B$19:$H$63,7,FALSE)))+(Adatok!$C$13^3*Adatok!$C$20^3*Adatok!$I49^3*Adatok!$J49)/(384*(VLOOKUP(AS$19,Számítás!$B$19:$H$63,7,FALSE))^3))*100,$B$19)</f>
        <v>-</v>
      </c>
      <c r="AT50" s="33" t="str">
        <f>IF(AND($I$19+AS$17*Adatok!$F$11&gt;Adatok!$F$10-0.01,Adatok!$C$16+$B50&lt;Adatok!$C$17+1),((Adatok!$C$13*Adatok!$C$20*Adatok!$I49*Adatok!$J49)/(8*(VLOOKUP(AT$19,Számítás!$B$19:$H$63,7,FALSE)))+(Adatok!$C$13^3*Adatok!$C$20^3*Adatok!$I49^3*Adatok!$J49)/(384*(VLOOKUP(AT$19,Számítás!$B$19:$H$63,7,FALSE))^3))*100,$B$19)</f>
        <v>-</v>
      </c>
      <c r="AU50" s="33" t="str">
        <f>IF(AND($I$19+AT$17*Adatok!$F$11&gt;Adatok!$F$10-0.01,Adatok!$C$16+$B50&lt;Adatok!$C$17+1),((Adatok!$C$13*Adatok!$C$20*Adatok!$I49*Adatok!$J49)/(8*(VLOOKUP(AU$19,Számítás!$B$19:$H$63,7,FALSE)))+(Adatok!$C$13^3*Adatok!$C$20^3*Adatok!$I49^3*Adatok!$J49)/(384*(VLOOKUP(AU$19,Számítás!$B$19:$H$63,7,FALSE))^3))*100,$B$19)</f>
        <v>-</v>
      </c>
      <c r="AV50" s="33" t="str">
        <f>IF(AND($I$19+AU$17*Adatok!$F$11&gt;Adatok!$F$10-0.01,Adatok!$C$16+$B50&lt;Adatok!$C$17+1),((Adatok!$C$13*Adatok!$C$20*Adatok!$I49*Adatok!$J49)/(8*(VLOOKUP(AV$19,Számítás!$B$19:$H$63,7,FALSE)))+(Adatok!$C$13^3*Adatok!$C$20^3*Adatok!$I49^3*Adatok!$J49)/(384*(VLOOKUP(AV$19,Számítás!$B$19:$H$63,7,FALSE))^3))*100,$B$19)</f>
        <v>-</v>
      </c>
      <c r="AW50" s="33" t="str">
        <f>IF(AND($I$19+AV$17*Adatok!$F$11&gt;Adatok!$F$10-0.01,Adatok!$C$16+$B50&lt;Adatok!$C$17+1),((Adatok!$C$13*Adatok!$C$20*Adatok!$I49*Adatok!$J49)/(8*(VLOOKUP(AW$19,Számítás!$B$19:$H$63,7,FALSE)))+(Adatok!$C$13^3*Adatok!$C$20^3*Adatok!$I49^3*Adatok!$J49)/(384*(VLOOKUP(AW$19,Számítás!$B$19:$H$63,7,FALSE))^3))*100,$B$19)</f>
        <v>-</v>
      </c>
      <c r="AX50" s="33" t="str">
        <f>IF(AND($I$19+AW$17*Adatok!$F$11&gt;Adatok!$F$10-0.01,Adatok!$C$16+$B50&lt;Adatok!$C$17+1),((Adatok!$C$13*Adatok!$C$20*Adatok!$I49*Adatok!$J49)/(8*(VLOOKUP(AX$19,Számítás!$B$19:$H$63,7,FALSE)))+(Adatok!$C$13^3*Adatok!$C$20^3*Adatok!$I49^3*Adatok!$J49)/(384*(VLOOKUP(AX$19,Számítás!$B$19:$H$63,7,FALSE))^3))*100,$B$19)</f>
        <v>-</v>
      </c>
      <c r="AY50" s="33" t="str">
        <f>IF(AND($I$19+AX$17*Adatok!$F$11&gt;Adatok!$F$10-0.01,Adatok!$C$16+$B50&lt;Adatok!$C$17+1),((Adatok!$C$13*Adatok!$C$20*Adatok!$I49*Adatok!$J49)/(8*(VLOOKUP(AY$19,Számítás!$B$19:$H$63,7,FALSE)))+(Adatok!$C$13^3*Adatok!$C$20^3*Adatok!$I49^3*Adatok!$J49)/(384*(VLOOKUP(AY$19,Számítás!$B$19:$H$63,7,FALSE))^3))*100,$B$19)</f>
        <v>-</v>
      </c>
      <c r="AZ50" s="33" t="str">
        <f>IF(AND($I$19+AY$17*Adatok!$F$11&gt;Adatok!$F$10-0.01,Adatok!$C$16+$B50&lt;Adatok!$C$17+1),((Adatok!$C$13*Adatok!$C$20*Adatok!$I49*Adatok!$J49)/(8*(VLOOKUP(AZ$19,Számítás!$B$19:$H$63,7,FALSE)))+(Adatok!$C$13^3*Adatok!$C$20^3*Adatok!$I49^3*Adatok!$J49)/(384*(VLOOKUP(AZ$19,Számítás!$B$19:$H$63,7,FALSE))^3))*100,$B$19)</f>
        <v>-</v>
      </c>
      <c r="BA50" s="33" t="str">
        <f>IF(AND($I$19+AZ$17*Adatok!$F$11&gt;Adatok!$F$10-0.01,Adatok!$C$16+$B50&lt;Adatok!$C$17+1),((Adatok!$C$13*Adatok!$C$20*Adatok!$I49*Adatok!$J49)/(8*(VLOOKUP(BA$19,Számítás!$B$19:$H$63,7,FALSE)))+(Adatok!$C$13^3*Adatok!$C$20^3*Adatok!$I49^3*Adatok!$J49)/(384*(VLOOKUP(BA$19,Számítás!$B$19:$H$63,7,FALSE))^3))*100,$B$19)</f>
        <v>-</v>
      </c>
    </row>
    <row r="51" spans="2:53" ht="18" customHeight="1" x14ac:dyDescent="0.25">
      <c r="B51" s="1">
        <v>32</v>
      </c>
      <c r="C51" s="333" t="str">
        <f>Adatok!F50</f>
        <v>-</v>
      </c>
      <c r="D51" s="32" t="s">
        <v>27</v>
      </c>
      <c r="E51" s="336" t="str">
        <f>Adatok!H50</f>
        <v>-</v>
      </c>
      <c r="F51" s="64" t="str">
        <f>IF(Adatok!$C$16+B51&gt;Adatok!$C$17,$B$19,Adatok!I50)</f>
        <v>-</v>
      </c>
      <c r="G51" s="60"/>
      <c r="H51" s="72" t="str">
        <f>IF(Adatok!$C$16+B51&gt;Adatok!$C$17,$B$19,Adatok!J50/Adatok!I50)</f>
        <v>-</v>
      </c>
      <c r="I51" s="81" t="str">
        <f>IF(Adatok!$C$16+$B51&lt;Adatok!$C$17+1,((((Adatok!$C$13*Adatok!$C$20*Adatok!$I50*Adatok!$J50)/(8*(VLOOKUP(I$19,Számítás!$B$19:$H$63,7,FALSE))))+((Adatok!$C$13^3*Adatok!$C$20^3*Adatok!$I50^3*Adatok!$J50)/(384*(VLOOKUP(I$19,Számítás!$B$19:$H$63,7,FALSE))^3)))*100),$B$19)</f>
        <v>-</v>
      </c>
      <c r="J51" s="33" t="str">
        <f>IF(AND($I$19+I$17*Adatok!$F$11&gt;Adatok!$F$10-0.01,Adatok!$C$16+$B51&lt;Adatok!$C$17+1),((Adatok!$C$13*Adatok!$C$20*Adatok!$I50*Adatok!$J50)/(8*(VLOOKUP(J$19,Számítás!$B$19:$H$63,7,FALSE)))+(Adatok!$C$13^3*Adatok!$C$20^3*Adatok!$I50^3*Adatok!$J50)/(384*(VLOOKUP(J$19,Számítás!$B$19:$H$63,7,FALSE))^3))*100,$B$19)</f>
        <v>-</v>
      </c>
      <c r="K51" s="33" t="str">
        <f>IF(AND($I$19+J$17*Adatok!$F$11&gt;Adatok!$F$10-0.01,Adatok!$C$16+$B51&lt;Adatok!$C$17+1),((Adatok!$C$13*Adatok!$C$20*Adatok!$I50*Adatok!$J50)/(8*(VLOOKUP(K$19,Számítás!$B$19:$H$63,7,FALSE)))+(Adatok!$C$13^3*Adatok!$C$20^3*Adatok!$I50^3*Adatok!$J50)/(384*(VLOOKUP(K$19,Számítás!$B$19:$H$63,7,FALSE))^3))*100,$B$19)</f>
        <v>-</v>
      </c>
      <c r="L51" s="33" t="str">
        <f>IF(AND($I$19+K$17*Adatok!$F$11&gt;Adatok!$F$10-0.01,Adatok!$C$16+$B51&lt;Adatok!$C$17+1),((Adatok!$C$13*Adatok!$C$20*Adatok!$I50*Adatok!$J50)/(8*(VLOOKUP(L$19,Számítás!$B$19:$H$63,7,FALSE)))+(Adatok!$C$13^3*Adatok!$C$20^3*Adatok!$I50^3*Adatok!$J50)/(384*(VLOOKUP(L$19,Számítás!$B$19:$H$63,7,FALSE))^3))*100,$B$19)</f>
        <v>-</v>
      </c>
      <c r="M51" s="33" t="str">
        <f>IF(AND($I$19+L$17*Adatok!$F$11&gt;Adatok!$F$10-0.01,Adatok!$C$16+$B51&lt;Adatok!$C$17+1),((Adatok!$C$13*Adatok!$C$20*Adatok!$I50*Adatok!$J50)/(8*(VLOOKUP(M$19,Számítás!$B$19:$H$63,7,FALSE)))+(Adatok!$C$13^3*Adatok!$C$20^3*Adatok!$I50^3*Adatok!$J50)/(384*(VLOOKUP(M$19,Számítás!$B$19:$H$63,7,FALSE))^3))*100,$B$19)</f>
        <v>-</v>
      </c>
      <c r="N51" s="33" t="str">
        <f>IF(AND($I$19+M$17*Adatok!$F$11&gt;Adatok!$F$10-0.01,Adatok!$C$16+$B51&lt;Adatok!$C$17+1),((Adatok!$C$13*Adatok!$C$20*Adatok!$I50*Adatok!$J50)/(8*(VLOOKUP(N$19,Számítás!$B$19:$H$63,7,FALSE)))+(Adatok!$C$13^3*Adatok!$C$20^3*Adatok!$I50^3*Adatok!$J50)/(384*(VLOOKUP(N$19,Számítás!$B$19:$H$63,7,FALSE))^3))*100,$B$19)</f>
        <v>-</v>
      </c>
      <c r="O51" s="33" t="str">
        <f>IF(AND($I$19+N$17*Adatok!$F$11&gt;Adatok!$F$10-0.01,Adatok!$C$16+$B51&lt;Adatok!$C$17+1),((Adatok!$C$13*Adatok!$C$20*Adatok!$I50*Adatok!$J50)/(8*(VLOOKUP(O$19,Számítás!$B$19:$H$63,7,FALSE)))+(Adatok!$C$13^3*Adatok!$C$20^3*Adatok!$I50^3*Adatok!$J50)/(384*(VLOOKUP(O$19,Számítás!$B$19:$H$63,7,FALSE))^3))*100,$B$19)</f>
        <v>-</v>
      </c>
      <c r="P51" s="33" t="str">
        <f>IF(AND($I$19+O$17*Adatok!$F$11&gt;Adatok!$F$10-0.01,Adatok!$C$16+$B51&lt;Adatok!$C$17+1),((Adatok!$C$13*Adatok!$C$20*Adatok!$I50*Adatok!$J50)/(8*(VLOOKUP(P$19,Számítás!$B$19:$H$63,7,FALSE)))+(Adatok!$C$13^3*Adatok!$C$20^3*Adatok!$I50^3*Adatok!$J50)/(384*(VLOOKUP(P$19,Számítás!$B$19:$H$63,7,FALSE))^3))*100,$B$19)</f>
        <v>-</v>
      </c>
      <c r="Q51" s="33" t="str">
        <f>IF(AND($I$19+P$17*Adatok!$F$11&gt;Adatok!$F$10-0.01,Adatok!$C$16+$B51&lt;Adatok!$C$17+1),((Adatok!$C$13*Adatok!$C$20*Adatok!$I50*Adatok!$J50)/(8*(VLOOKUP(Q$19,Számítás!$B$19:$H$63,7,FALSE)))+(Adatok!$C$13^3*Adatok!$C$20^3*Adatok!$I50^3*Adatok!$J50)/(384*(VLOOKUP(Q$19,Számítás!$B$19:$H$63,7,FALSE))^3))*100,$B$19)</f>
        <v>-</v>
      </c>
      <c r="R51" s="33" t="str">
        <f>IF(AND($I$19+Q$17*Adatok!$F$11&gt;Adatok!$F$10-0.01,Adatok!$C$16+$B51&lt;Adatok!$C$17+1),((Adatok!$C$13*Adatok!$C$20*Adatok!$I50*Adatok!$J50)/(8*(VLOOKUP(R$19,Számítás!$B$19:$H$63,7,FALSE)))+(Adatok!$C$13^3*Adatok!$C$20^3*Adatok!$I50^3*Adatok!$J50)/(384*(VLOOKUP(R$19,Számítás!$B$19:$H$63,7,FALSE))^3))*100,$B$19)</f>
        <v>-</v>
      </c>
      <c r="S51" s="33" t="str">
        <f>IF(AND($I$19+R$17*Adatok!$F$11&gt;Adatok!$F$10-0.01,Adatok!$C$16+$B51&lt;Adatok!$C$17+1),((Adatok!$C$13*Adatok!$C$20*Adatok!$I50*Adatok!$J50)/(8*(VLOOKUP(S$19,Számítás!$B$19:$H$63,7,FALSE)))+(Adatok!$C$13^3*Adatok!$C$20^3*Adatok!$I50^3*Adatok!$J50)/(384*(VLOOKUP(S$19,Számítás!$B$19:$H$63,7,FALSE))^3))*100,$B$19)</f>
        <v>-</v>
      </c>
      <c r="T51" s="33" t="str">
        <f>IF(AND($I$19+S$17*Adatok!$F$11&gt;Adatok!$F$10-0.01,Adatok!$C$16+$B51&lt;Adatok!$C$17+1),((Adatok!$C$13*Adatok!$C$20*Adatok!$I50*Adatok!$J50)/(8*(VLOOKUP(T$19,Számítás!$B$19:$H$63,7,FALSE)))+(Adatok!$C$13^3*Adatok!$C$20^3*Adatok!$I50^3*Adatok!$J50)/(384*(VLOOKUP(T$19,Számítás!$B$19:$H$63,7,FALSE))^3))*100,$B$19)</f>
        <v>-</v>
      </c>
      <c r="U51" s="33" t="str">
        <f>IF(AND($I$19+T$17*Adatok!$F$11&gt;Adatok!$F$10-0.01,Adatok!$C$16+$B51&lt;Adatok!$C$17+1),((Adatok!$C$13*Adatok!$C$20*Adatok!$I50*Adatok!$J50)/(8*(VLOOKUP(U$19,Számítás!$B$19:$H$63,7,FALSE)))+(Adatok!$C$13^3*Adatok!$C$20^3*Adatok!$I50^3*Adatok!$J50)/(384*(VLOOKUP(U$19,Számítás!$B$19:$H$63,7,FALSE))^3))*100,$B$19)</f>
        <v>-</v>
      </c>
      <c r="V51" s="33" t="str">
        <f>IF(AND($I$19+U$17*Adatok!$F$11&gt;Adatok!$F$10-0.01,Adatok!$C$16+$B51&lt;Adatok!$C$17+1),((Adatok!$C$13*Adatok!$C$20*Adatok!$I50*Adatok!$J50)/(8*(VLOOKUP(V$19,Számítás!$B$19:$H$63,7,FALSE)))+(Adatok!$C$13^3*Adatok!$C$20^3*Adatok!$I50^3*Adatok!$J50)/(384*(VLOOKUP(V$19,Számítás!$B$19:$H$63,7,FALSE))^3))*100,$B$19)</f>
        <v>-</v>
      </c>
      <c r="W51" s="33" t="str">
        <f>IF(AND($I$19+V$17*Adatok!$F$11&gt;Adatok!$F$10-0.01,Adatok!$C$16+$B51&lt;Adatok!$C$17+1),((Adatok!$C$13*Adatok!$C$20*Adatok!$I50*Adatok!$J50)/(8*(VLOOKUP(W$19,Számítás!$B$19:$H$63,7,FALSE)))+(Adatok!$C$13^3*Adatok!$C$20^3*Adatok!$I50^3*Adatok!$J50)/(384*(VLOOKUP(W$19,Számítás!$B$19:$H$63,7,FALSE))^3))*100,$B$19)</f>
        <v>-</v>
      </c>
      <c r="X51" s="33" t="str">
        <f>IF(AND($I$19+W$17*Adatok!$F$11&gt;Adatok!$F$10-0.01,Adatok!$C$16+$B51&lt;Adatok!$C$17+1),((Adatok!$C$13*Adatok!$C$20*Adatok!$I50*Adatok!$J50)/(8*(VLOOKUP(X$19,Számítás!$B$19:$H$63,7,FALSE)))+(Adatok!$C$13^3*Adatok!$C$20^3*Adatok!$I50^3*Adatok!$J50)/(384*(VLOOKUP(X$19,Számítás!$B$19:$H$63,7,FALSE))^3))*100,$B$19)</f>
        <v>-</v>
      </c>
      <c r="Y51" s="33" t="str">
        <f>IF(AND($I$19+X$17*Adatok!$F$11&gt;Adatok!$F$10-0.01,Adatok!$C$16+$B51&lt;Adatok!$C$17+1),((Adatok!$C$13*Adatok!$C$20*Adatok!$I50*Adatok!$J50)/(8*(VLOOKUP(Y$19,Számítás!$B$19:$H$63,7,FALSE)))+(Adatok!$C$13^3*Adatok!$C$20^3*Adatok!$I50^3*Adatok!$J50)/(384*(VLOOKUP(Y$19,Számítás!$B$19:$H$63,7,FALSE))^3))*100,$B$19)</f>
        <v>-</v>
      </c>
      <c r="Z51" s="33" t="str">
        <f>IF(AND($I$19+Y$17*Adatok!$F$11&gt;Adatok!$F$10-0.01,Adatok!$C$16+$B51&lt;Adatok!$C$17+1),((Adatok!$C$13*Adatok!$C$20*Adatok!$I50*Adatok!$J50)/(8*(VLOOKUP(Z$19,Számítás!$B$19:$H$63,7,FALSE)))+(Adatok!$C$13^3*Adatok!$C$20^3*Adatok!$I50^3*Adatok!$J50)/(384*(VLOOKUP(Z$19,Számítás!$B$19:$H$63,7,FALSE))^3))*100,$B$19)</f>
        <v>-</v>
      </c>
      <c r="AA51" s="33" t="str">
        <f>IF(AND($I$19+Z$17*Adatok!$F$11&gt;Adatok!$F$10-0.01,Adatok!$C$16+$B51&lt;Adatok!$C$17+1),((Adatok!$C$13*Adatok!$C$20*Adatok!$I50*Adatok!$J50)/(8*(VLOOKUP(AA$19,Számítás!$B$19:$H$63,7,FALSE)))+(Adatok!$C$13^3*Adatok!$C$20^3*Adatok!$I50^3*Adatok!$J50)/(384*(VLOOKUP(AA$19,Számítás!$B$19:$H$63,7,FALSE))^3))*100,$B$19)</f>
        <v>-</v>
      </c>
      <c r="AB51" s="33" t="str">
        <f>IF(AND($I$19+AA$17*Adatok!$F$11&gt;Adatok!$F$10-0.01,Adatok!$C$16+$B51&lt;Adatok!$C$17+1),((Adatok!$C$13*Adatok!$C$20*Adatok!$I50*Adatok!$J50)/(8*(VLOOKUP(AB$19,Számítás!$B$19:$H$63,7,FALSE)))+(Adatok!$C$13^3*Adatok!$C$20^3*Adatok!$I50^3*Adatok!$J50)/(384*(VLOOKUP(AB$19,Számítás!$B$19:$H$63,7,FALSE))^3))*100,$B$19)</f>
        <v>-</v>
      </c>
      <c r="AC51" s="33" t="str">
        <f>IF(AND($I$19+AB$17*Adatok!$F$11&gt;Adatok!$F$10-0.01,Adatok!$C$16+$B51&lt;Adatok!$C$17+1),((Adatok!$C$13*Adatok!$C$20*Adatok!$I50*Adatok!$J50)/(8*(VLOOKUP(AC$19,Számítás!$B$19:$H$63,7,FALSE)))+(Adatok!$C$13^3*Adatok!$C$20^3*Adatok!$I50^3*Adatok!$J50)/(384*(VLOOKUP(AC$19,Számítás!$B$19:$H$63,7,FALSE))^3))*100,$B$19)</f>
        <v>-</v>
      </c>
      <c r="AD51" s="33" t="str">
        <f>IF(AND($I$19+AC$17*Adatok!$F$11&gt;Adatok!$F$10-0.01,Adatok!$C$16+$B51&lt;Adatok!$C$17+1),((Adatok!$C$13*Adatok!$C$20*Adatok!$I50*Adatok!$J50)/(8*(VLOOKUP(AD$19,Számítás!$B$19:$H$63,7,FALSE)))+(Adatok!$C$13^3*Adatok!$C$20^3*Adatok!$I50^3*Adatok!$J50)/(384*(VLOOKUP(AD$19,Számítás!$B$19:$H$63,7,FALSE))^3))*100,$B$19)</f>
        <v>-</v>
      </c>
      <c r="AE51" s="33" t="str">
        <f>IF(AND($I$19+AD$17*Adatok!$F$11&gt;Adatok!$F$10-0.01,Adatok!$C$16+$B51&lt;Adatok!$C$17+1),((Adatok!$C$13*Adatok!$C$20*Adatok!$I50*Adatok!$J50)/(8*(VLOOKUP(AE$19,Számítás!$B$19:$H$63,7,FALSE)))+(Adatok!$C$13^3*Adatok!$C$20^3*Adatok!$I50^3*Adatok!$J50)/(384*(VLOOKUP(AE$19,Számítás!$B$19:$H$63,7,FALSE))^3))*100,$B$19)</f>
        <v>-</v>
      </c>
      <c r="AF51" s="33" t="str">
        <f>IF(AND($I$19+AE$17*Adatok!$F$11&gt;Adatok!$F$10-0.01,Adatok!$C$16+$B51&lt;Adatok!$C$17+1),((Adatok!$C$13*Adatok!$C$20*Adatok!$I50*Adatok!$J50)/(8*(VLOOKUP(AF$19,Számítás!$B$19:$H$63,7,FALSE)))+(Adatok!$C$13^3*Adatok!$C$20^3*Adatok!$I50^3*Adatok!$J50)/(384*(VLOOKUP(AF$19,Számítás!$B$19:$H$63,7,FALSE))^3))*100,$B$19)</f>
        <v>-</v>
      </c>
      <c r="AG51" s="33" t="str">
        <f>IF(AND($I$19+AF$17*Adatok!$F$11&gt;Adatok!$F$10-0.01,Adatok!$C$16+$B51&lt;Adatok!$C$17+1),((Adatok!$C$13*Adatok!$C$20*Adatok!$I50*Adatok!$J50)/(8*(VLOOKUP(AG$19,Számítás!$B$19:$H$63,7,FALSE)))+(Adatok!$C$13^3*Adatok!$C$20^3*Adatok!$I50^3*Adatok!$J50)/(384*(VLOOKUP(AG$19,Számítás!$B$19:$H$63,7,FALSE))^3))*100,$B$19)</f>
        <v>-</v>
      </c>
      <c r="AH51" s="33" t="str">
        <f>IF(AND($I$19+AG$17*Adatok!$F$11&gt;Adatok!$F$10-0.01,Adatok!$C$16+$B51&lt;Adatok!$C$17+1),((Adatok!$C$13*Adatok!$C$20*Adatok!$I50*Adatok!$J50)/(8*(VLOOKUP(AH$19,Számítás!$B$19:$H$63,7,FALSE)))+(Adatok!$C$13^3*Adatok!$C$20^3*Adatok!$I50^3*Adatok!$J50)/(384*(VLOOKUP(AH$19,Számítás!$B$19:$H$63,7,FALSE))^3))*100,$B$19)</f>
        <v>-</v>
      </c>
      <c r="AI51" s="33" t="str">
        <f>IF(AND($I$19+AH$17*Adatok!$F$11&gt;Adatok!$F$10-0.01,Adatok!$C$16+$B51&lt;Adatok!$C$17+1),((Adatok!$C$13*Adatok!$C$20*Adatok!$I50*Adatok!$J50)/(8*(VLOOKUP(AI$19,Számítás!$B$19:$H$63,7,FALSE)))+(Adatok!$C$13^3*Adatok!$C$20^3*Adatok!$I50^3*Adatok!$J50)/(384*(VLOOKUP(AI$19,Számítás!$B$19:$H$63,7,FALSE))^3))*100,$B$19)</f>
        <v>-</v>
      </c>
      <c r="AJ51" s="33" t="str">
        <f>IF(AND($I$19+AI$17*Adatok!$F$11&gt;Adatok!$F$10-0.01,Adatok!$C$16+$B51&lt;Adatok!$C$17+1),((Adatok!$C$13*Adatok!$C$20*Adatok!$I50*Adatok!$J50)/(8*(VLOOKUP(AJ$19,Számítás!$B$19:$H$63,7,FALSE)))+(Adatok!$C$13^3*Adatok!$C$20^3*Adatok!$I50^3*Adatok!$J50)/(384*(VLOOKUP(AJ$19,Számítás!$B$19:$H$63,7,FALSE))^3))*100,$B$19)</f>
        <v>-</v>
      </c>
      <c r="AK51" s="33" t="str">
        <f>IF(AND($I$19+AJ$17*Adatok!$F$11&gt;Adatok!$F$10-0.01,Adatok!$C$16+$B51&lt;Adatok!$C$17+1),((Adatok!$C$13*Adatok!$C$20*Adatok!$I50*Adatok!$J50)/(8*(VLOOKUP(AK$19,Számítás!$B$19:$H$63,7,FALSE)))+(Adatok!$C$13^3*Adatok!$C$20^3*Adatok!$I50^3*Adatok!$J50)/(384*(VLOOKUP(AK$19,Számítás!$B$19:$H$63,7,FALSE))^3))*100,$B$19)</f>
        <v>-</v>
      </c>
      <c r="AL51" s="33" t="str">
        <f>IF(AND($I$19+AK$17*Adatok!$F$11&gt;Adatok!$F$10-0.01,Adatok!$C$16+$B51&lt;Adatok!$C$17+1),((Adatok!$C$13*Adatok!$C$20*Adatok!$I50*Adatok!$J50)/(8*(VLOOKUP(AL$19,Számítás!$B$19:$H$63,7,FALSE)))+(Adatok!$C$13^3*Adatok!$C$20^3*Adatok!$I50^3*Adatok!$J50)/(384*(VLOOKUP(AL$19,Számítás!$B$19:$H$63,7,FALSE))^3))*100,$B$19)</f>
        <v>-</v>
      </c>
      <c r="AM51" s="33" t="str">
        <f>IF(AND($I$19+AL$17*Adatok!$F$11&gt;Adatok!$F$10-0.01,Adatok!$C$16+$B51&lt;Adatok!$C$17+1),((Adatok!$C$13*Adatok!$C$20*Adatok!$I50*Adatok!$J50)/(8*(VLOOKUP(AM$19,Számítás!$B$19:$H$63,7,FALSE)))+(Adatok!$C$13^3*Adatok!$C$20^3*Adatok!$I50^3*Adatok!$J50)/(384*(VLOOKUP(AM$19,Számítás!$B$19:$H$63,7,FALSE))^3))*100,$B$19)</f>
        <v>-</v>
      </c>
      <c r="AN51" s="33" t="str">
        <f>IF(AND($I$19+AM$17*Adatok!$F$11&gt;Adatok!$F$10-0.01,Adatok!$C$16+$B51&lt;Adatok!$C$17+1),((Adatok!$C$13*Adatok!$C$20*Adatok!$I50*Adatok!$J50)/(8*(VLOOKUP(AN$19,Számítás!$B$19:$H$63,7,FALSE)))+(Adatok!$C$13^3*Adatok!$C$20^3*Adatok!$I50^3*Adatok!$J50)/(384*(VLOOKUP(AN$19,Számítás!$B$19:$H$63,7,FALSE))^3))*100,$B$19)</f>
        <v>-</v>
      </c>
      <c r="AO51" s="33" t="str">
        <f>IF(AND($I$19+AN$17*Adatok!$F$11&gt;Adatok!$F$10-0.01,Adatok!$C$16+$B51&lt;Adatok!$C$17+1),((Adatok!$C$13*Adatok!$C$20*Adatok!$I50*Adatok!$J50)/(8*(VLOOKUP(AO$19,Számítás!$B$19:$H$63,7,FALSE)))+(Adatok!$C$13^3*Adatok!$C$20^3*Adatok!$I50^3*Adatok!$J50)/(384*(VLOOKUP(AO$19,Számítás!$B$19:$H$63,7,FALSE))^3))*100,$B$19)</f>
        <v>-</v>
      </c>
      <c r="AP51" s="33" t="str">
        <f>IF(AND($I$19+AO$17*Adatok!$F$11&gt;Adatok!$F$10-0.01,Adatok!$C$16+$B51&lt;Adatok!$C$17+1),((Adatok!$C$13*Adatok!$C$20*Adatok!$I50*Adatok!$J50)/(8*(VLOOKUP(AP$19,Számítás!$B$19:$H$63,7,FALSE)))+(Adatok!$C$13^3*Adatok!$C$20^3*Adatok!$I50^3*Adatok!$J50)/(384*(VLOOKUP(AP$19,Számítás!$B$19:$H$63,7,FALSE))^3))*100,$B$19)</f>
        <v>-</v>
      </c>
      <c r="AQ51" s="33" t="str">
        <f>IF(AND($I$19+AP$17*Adatok!$F$11&gt;Adatok!$F$10-0.01,Adatok!$C$16+$B51&lt;Adatok!$C$17+1),((Adatok!$C$13*Adatok!$C$20*Adatok!$I50*Adatok!$J50)/(8*(VLOOKUP(AQ$19,Számítás!$B$19:$H$63,7,FALSE)))+(Adatok!$C$13^3*Adatok!$C$20^3*Adatok!$I50^3*Adatok!$J50)/(384*(VLOOKUP(AQ$19,Számítás!$B$19:$H$63,7,FALSE))^3))*100,$B$19)</f>
        <v>-</v>
      </c>
      <c r="AR51" s="33" t="str">
        <f>IF(AND($I$19+AQ$17*Adatok!$F$11&gt;Adatok!$F$10-0.01,Adatok!$C$16+$B51&lt;Adatok!$C$17+1),((Adatok!$C$13*Adatok!$C$20*Adatok!$I50*Adatok!$J50)/(8*(VLOOKUP(AR$19,Számítás!$B$19:$H$63,7,FALSE)))+(Adatok!$C$13^3*Adatok!$C$20^3*Adatok!$I50^3*Adatok!$J50)/(384*(VLOOKUP(AR$19,Számítás!$B$19:$H$63,7,FALSE))^3))*100,$B$19)</f>
        <v>-</v>
      </c>
      <c r="AS51" s="33" t="str">
        <f>IF(AND($I$19+AR$17*Adatok!$F$11&gt;Adatok!$F$10-0.01,Adatok!$C$16+$B51&lt;Adatok!$C$17+1),((Adatok!$C$13*Adatok!$C$20*Adatok!$I50*Adatok!$J50)/(8*(VLOOKUP(AS$19,Számítás!$B$19:$H$63,7,FALSE)))+(Adatok!$C$13^3*Adatok!$C$20^3*Adatok!$I50^3*Adatok!$J50)/(384*(VLOOKUP(AS$19,Számítás!$B$19:$H$63,7,FALSE))^3))*100,$B$19)</f>
        <v>-</v>
      </c>
      <c r="AT51" s="33" t="str">
        <f>IF(AND($I$19+AS$17*Adatok!$F$11&gt;Adatok!$F$10-0.01,Adatok!$C$16+$B51&lt;Adatok!$C$17+1),((Adatok!$C$13*Adatok!$C$20*Adatok!$I50*Adatok!$J50)/(8*(VLOOKUP(AT$19,Számítás!$B$19:$H$63,7,FALSE)))+(Adatok!$C$13^3*Adatok!$C$20^3*Adatok!$I50^3*Adatok!$J50)/(384*(VLOOKUP(AT$19,Számítás!$B$19:$H$63,7,FALSE))^3))*100,$B$19)</f>
        <v>-</v>
      </c>
      <c r="AU51" s="33" t="str">
        <f>IF(AND($I$19+AT$17*Adatok!$F$11&gt;Adatok!$F$10-0.01,Adatok!$C$16+$B51&lt;Adatok!$C$17+1),((Adatok!$C$13*Adatok!$C$20*Adatok!$I50*Adatok!$J50)/(8*(VLOOKUP(AU$19,Számítás!$B$19:$H$63,7,FALSE)))+(Adatok!$C$13^3*Adatok!$C$20^3*Adatok!$I50^3*Adatok!$J50)/(384*(VLOOKUP(AU$19,Számítás!$B$19:$H$63,7,FALSE))^3))*100,$B$19)</f>
        <v>-</v>
      </c>
      <c r="AV51" s="33" t="str">
        <f>IF(AND($I$19+AU$17*Adatok!$F$11&gt;Adatok!$F$10-0.01,Adatok!$C$16+$B51&lt;Adatok!$C$17+1),((Adatok!$C$13*Adatok!$C$20*Adatok!$I50*Adatok!$J50)/(8*(VLOOKUP(AV$19,Számítás!$B$19:$H$63,7,FALSE)))+(Adatok!$C$13^3*Adatok!$C$20^3*Adatok!$I50^3*Adatok!$J50)/(384*(VLOOKUP(AV$19,Számítás!$B$19:$H$63,7,FALSE))^3))*100,$B$19)</f>
        <v>-</v>
      </c>
      <c r="AW51" s="33" t="str">
        <f>IF(AND($I$19+AV$17*Adatok!$F$11&gt;Adatok!$F$10-0.01,Adatok!$C$16+$B51&lt;Adatok!$C$17+1),((Adatok!$C$13*Adatok!$C$20*Adatok!$I50*Adatok!$J50)/(8*(VLOOKUP(AW$19,Számítás!$B$19:$H$63,7,FALSE)))+(Adatok!$C$13^3*Adatok!$C$20^3*Adatok!$I50^3*Adatok!$J50)/(384*(VLOOKUP(AW$19,Számítás!$B$19:$H$63,7,FALSE))^3))*100,$B$19)</f>
        <v>-</v>
      </c>
      <c r="AX51" s="33" t="str">
        <f>IF(AND($I$19+AW$17*Adatok!$F$11&gt;Adatok!$F$10-0.01,Adatok!$C$16+$B51&lt;Adatok!$C$17+1),((Adatok!$C$13*Adatok!$C$20*Adatok!$I50*Adatok!$J50)/(8*(VLOOKUP(AX$19,Számítás!$B$19:$H$63,7,FALSE)))+(Adatok!$C$13^3*Adatok!$C$20^3*Adatok!$I50^3*Adatok!$J50)/(384*(VLOOKUP(AX$19,Számítás!$B$19:$H$63,7,FALSE))^3))*100,$B$19)</f>
        <v>-</v>
      </c>
      <c r="AY51" s="33" t="str">
        <f>IF(AND($I$19+AX$17*Adatok!$F$11&gt;Adatok!$F$10-0.01,Adatok!$C$16+$B51&lt;Adatok!$C$17+1),((Adatok!$C$13*Adatok!$C$20*Adatok!$I50*Adatok!$J50)/(8*(VLOOKUP(AY$19,Számítás!$B$19:$H$63,7,FALSE)))+(Adatok!$C$13^3*Adatok!$C$20^3*Adatok!$I50^3*Adatok!$J50)/(384*(VLOOKUP(AY$19,Számítás!$B$19:$H$63,7,FALSE))^3))*100,$B$19)</f>
        <v>-</v>
      </c>
      <c r="AZ51" s="33" t="str">
        <f>IF(AND($I$19+AY$17*Adatok!$F$11&gt;Adatok!$F$10-0.01,Adatok!$C$16+$B51&lt;Adatok!$C$17+1),((Adatok!$C$13*Adatok!$C$20*Adatok!$I50*Adatok!$J50)/(8*(VLOOKUP(AZ$19,Számítás!$B$19:$H$63,7,FALSE)))+(Adatok!$C$13^3*Adatok!$C$20^3*Adatok!$I50^3*Adatok!$J50)/(384*(VLOOKUP(AZ$19,Számítás!$B$19:$H$63,7,FALSE))^3))*100,$B$19)</f>
        <v>-</v>
      </c>
      <c r="BA51" s="33" t="str">
        <f>IF(AND($I$19+AZ$17*Adatok!$F$11&gt;Adatok!$F$10-0.01,Adatok!$C$16+$B51&lt;Adatok!$C$17+1),((Adatok!$C$13*Adatok!$C$20*Adatok!$I50*Adatok!$J50)/(8*(VLOOKUP(BA$19,Számítás!$B$19:$H$63,7,FALSE)))+(Adatok!$C$13^3*Adatok!$C$20^3*Adatok!$I50^3*Adatok!$J50)/(384*(VLOOKUP(BA$19,Számítás!$B$19:$H$63,7,FALSE))^3))*100,$B$19)</f>
        <v>-</v>
      </c>
    </row>
    <row r="52" spans="2:53" ht="18" customHeight="1" x14ac:dyDescent="0.25">
      <c r="B52" s="1">
        <v>33</v>
      </c>
      <c r="C52" s="333" t="str">
        <f>Adatok!F51</f>
        <v>-</v>
      </c>
      <c r="D52" s="32" t="s">
        <v>27</v>
      </c>
      <c r="E52" s="336" t="str">
        <f>Adatok!H51</f>
        <v>-</v>
      </c>
      <c r="F52" s="64" t="str">
        <f>IF(Adatok!$C$16+B52&gt;Adatok!$C$17,$B$19,Adatok!I51)</f>
        <v>-</v>
      </c>
      <c r="G52" s="60"/>
      <c r="H52" s="72" t="str">
        <f>IF(Adatok!$C$16+B52&gt;Adatok!$C$17,$B$19,Adatok!J51/Adatok!I51)</f>
        <v>-</v>
      </c>
      <c r="I52" s="81" t="str">
        <f>IF(Adatok!$C$16+$B52&lt;Adatok!$C$17+1,((((Adatok!$C$13*Adatok!$C$20*Adatok!$I51*Adatok!$J51)/(8*(VLOOKUP(I$19,Számítás!$B$19:$H$63,7,FALSE))))+((Adatok!$C$13^3*Adatok!$C$20^3*Adatok!$I51^3*Adatok!$J51)/(384*(VLOOKUP(I$19,Számítás!$B$19:$H$63,7,FALSE))^3)))*100),$B$19)</f>
        <v>-</v>
      </c>
      <c r="J52" s="33" t="str">
        <f>IF(AND($I$19+I$17*Adatok!$F$11&gt;Adatok!$F$10-0.01,Adatok!$C$16+$B52&lt;Adatok!$C$17+1),((Adatok!$C$13*Adatok!$C$20*Adatok!$I51*Adatok!$J51)/(8*(VLOOKUP(J$19,Számítás!$B$19:$H$63,7,FALSE)))+(Adatok!$C$13^3*Adatok!$C$20^3*Adatok!$I51^3*Adatok!$J51)/(384*(VLOOKUP(J$19,Számítás!$B$19:$H$63,7,FALSE))^3))*100,$B$19)</f>
        <v>-</v>
      </c>
      <c r="K52" s="33" t="str">
        <f>IF(AND($I$19+J$17*Adatok!$F$11&gt;Adatok!$F$10-0.01,Adatok!$C$16+$B52&lt;Adatok!$C$17+1),((Adatok!$C$13*Adatok!$C$20*Adatok!$I51*Adatok!$J51)/(8*(VLOOKUP(K$19,Számítás!$B$19:$H$63,7,FALSE)))+(Adatok!$C$13^3*Adatok!$C$20^3*Adatok!$I51^3*Adatok!$J51)/(384*(VLOOKUP(K$19,Számítás!$B$19:$H$63,7,FALSE))^3))*100,$B$19)</f>
        <v>-</v>
      </c>
      <c r="L52" s="33" t="str">
        <f>IF(AND($I$19+K$17*Adatok!$F$11&gt;Adatok!$F$10-0.01,Adatok!$C$16+$B52&lt;Adatok!$C$17+1),((Adatok!$C$13*Adatok!$C$20*Adatok!$I51*Adatok!$J51)/(8*(VLOOKUP(L$19,Számítás!$B$19:$H$63,7,FALSE)))+(Adatok!$C$13^3*Adatok!$C$20^3*Adatok!$I51^3*Adatok!$J51)/(384*(VLOOKUP(L$19,Számítás!$B$19:$H$63,7,FALSE))^3))*100,$B$19)</f>
        <v>-</v>
      </c>
      <c r="M52" s="33" t="str">
        <f>IF(AND($I$19+L$17*Adatok!$F$11&gt;Adatok!$F$10-0.01,Adatok!$C$16+$B52&lt;Adatok!$C$17+1),((Adatok!$C$13*Adatok!$C$20*Adatok!$I51*Adatok!$J51)/(8*(VLOOKUP(M$19,Számítás!$B$19:$H$63,7,FALSE)))+(Adatok!$C$13^3*Adatok!$C$20^3*Adatok!$I51^3*Adatok!$J51)/(384*(VLOOKUP(M$19,Számítás!$B$19:$H$63,7,FALSE))^3))*100,$B$19)</f>
        <v>-</v>
      </c>
      <c r="N52" s="33" t="str">
        <f>IF(AND($I$19+M$17*Adatok!$F$11&gt;Adatok!$F$10-0.01,Adatok!$C$16+$B52&lt;Adatok!$C$17+1),((Adatok!$C$13*Adatok!$C$20*Adatok!$I51*Adatok!$J51)/(8*(VLOOKUP(N$19,Számítás!$B$19:$H$63,7,FALSE)))+(Adatok!$C$13^3*Adatok!$C$20^3*Adatok!$I51^3*Adatok!$J51)/(384*(VLOOKUP(N$19,Számítás!$B$19:$H$63,7,FALSE))^3))*100,$B$19)</f>
        <v>-</v>
      </c>
      <c r="O52" s="33" t="str">
        <f>IF(AND($I$19+N$17*Adatok!$F$11&gt;Adatok!$F$10-0.01,Adatok!$C$16+$B52&lt;Adatok!$C$17+1),((Adatok!$C$13*Adatok!$C$20*Adatok!$I51*Adatok!$J51)/(8*(VLOOKUP(O$19,Számítás!$B$19:$H$63,7,FALSE)))+(Adatok!$C$13^3*Adatok!$C$20^3*Adatok!$I51^3*Adatok!$J51)/(384*(VLOOKUP(O$19,Számítás!$B$19:$H$63,7,FALSE))^3))*100,$B$19)</f>
        <v>-</v>
      </c>
      <c r="P52" s="33" t="str">
        <f>IF(AND($I$19+O$17*Adatok!$F$11&gt;Adatok!$F$10-0.01,Adatok!$C$16+$B52&lt;Adatok!$C$17+1),((Adatok!$C$13*Adatok!$C$20*Adatok!$I51*Adatok!$J51)/(8*(VLOOKUP(P$19,Számítás!$B$19:$H$63,7,FALSE)))+(Adatok!$C$13^3*Adatok!$C$20^3*Adatok!$I51^3*Adatok!$J51)/(384*(VLOOKUP(P$19,Számítás!$B$19:$H$63,7,FALSE))^3))*100,$B$19)</f>
        <v>-</v>
      </c>
      <c r="Q52" s="33" t="str">
        <f>IF(AND($I$19+P$17*Adatok!$F$11&gt;Adatok!$F$10-0.01,Adatok!$C$16+$B52&lt;Adatok!$C$17+1),((Adatok!$C$13*Adatok!$C$20*Adatok!$I51*Adatok!$J51)/(8*(VLOOKUP(Q$19,Számítás!$B$19:$H$63,7,FALSE)))+(Adatok!$C$13^3*Adatok!$C$20^3*Adatok!$I51^3*Adatok!$J51)/(384*(VLOOKUP(Q$19,Számítás!$B$19:$H$63,7,FALSE))^3))*100,$B$19)</f>
        <v>-</v>
      </c>
      <c r="R52" s="33" t="str">
        <f>IF(AND($I$19+Q$17*Adatok!$F$11&gt;Adatok!$F$10-0.01,Adatok!$C$16+$B52&lt;Adatok!$C$17+1),((Adatok!$C$13*Adatok!$C$20*Adatok!$I51*Adatok!$J51)/(8*(VLOOKUP(R$19,Számítás!$B$19:$H$63,7,FALSE)))+(Adatok!$C$13^3*Adatok!$C$20^3*Adatok!$I51^3*Adatok!$J51)/(384*(VLOOKUP(R$19,Számítás!$B$19:$H$63,7,FALSE))^3))*100,$B$19)</f>
        <v>-</v>
      </c>
      <c r="S52" s="33" t="str">
        <f>IF(AND($I$19+R$17*Adatok!$F$11&gt;Adatok!$F$10-0.01,Adatok!$C$16+$B52&lt;Adatok!$C$17+1),((Adatok!$C$13*Adatok!$C$20*Adatok!$I51*Adatok!$J51)/(8*(VLOOKUP(S$19,Számítás!$B$19:$H$63,7,FALSE)))+(Adatok!$C$13^3*Adatok!$C$20^3*Adatok!$I51^3*Adatok!$J51)/(384*(VLOOKUP(S$19,Számítás!$B$19:$H$63,7,FALSE))^3))*100,$B$19)</f>
        <v>-</v>
      </c>
      <c r="T52" s="33" t="str">
        <f>IF(AND($I$19+S$17*Adatok!$F$11&gt;Adatok!$F$10-0.01,Adatok!$C$16+$B52&lt;Adatok!$C$17+1),((Adatok!$C$13*Adatok!$C$20*Adatok!$I51*Adatok!$J51)/(8*(VLOOKUP(T$19,Számítás!$B$19:$H$63,7,FALSE)))+(Adatok!$C$13^3*Adatok!$C$20^3*Adatok!$I51^3*Adatok!$J51)/(384*(VLOOKUP(T$19,Számítás!$B$19:$H$63,7,FALSE))^3))*100,$B$19)</f>
        <v>-</v>
      </c>
      <c r="U52" s="33" t="str">
        <f>IF(AND($I$19+T$17*Adatok!$F$11&gt;Adatok!$F$10-0.01,Adatok!$C$16+$B52&lt;Adatok!$C$17+1),((Adatok!$C$13*Adatok!$C$20*Adatok!$I51*Adatok!$J51)/(8*(VLOOKUP(U$19,Számítás!$B$19:$H$63,7,FALSE)))+(Adatok!$C$13^3*Adatok!$C$20^3*Adatok!$I51^3*Adatok!$J51)/(384*(VLOOKUP(U$19,Számítás!$B$19:$H$63,7,FALSE))^3))*100,$B$19)</f>
        <v>-</v>
      </c>
      <c r="V52" s="33" t="str">
        <f>IF(AND($I$19+U$17*Adatok!$F$11&gt;Adatok!$F$10-0.01,Adatok!$C$16+$B52&lt;Adatok!$C$17+1),((Adatok!$C$13*Adatok!$C$20*Adatok!$I51*Adatok!$J51)/(8*(VLOOKUP(V$19,Számítás!$B$19:$H$63,7,FALSE)))+(Adatok!$C$13^3*Adatok!$C$20^3*Adatok!$I51^3*Adatok!$J51)/(384*(VLOOKUP(V$19,Számítás!$B$19:$H$63,7,FALSE))^3))*100,$B$19)</f>
        <v>-</v>
      </c>
      <c r="W52" s="33" t="str">
        <f>IF(AND($I$19+V$17*Adatok!$F$11&gt;Adatok!$F$10-0.01,Adatok!$C$16+$B52&lt;Adatok!$C$17+1),((Adatok!$C$13*Adatok!$C$20*Adatok!$I51*Adatok!$J51)/(8*(VLOOKUP(W$19,Számítás!$B$19:$H$63,7,FALSE)))+(Adatok!$C$13^3*Adatok!$C$20^3*Adatok!$I51^3*Adatok!$J51)/(384*(VLOOKUP(W$19,Számítás!$B$19:$H$63,7,FALSE))^3))*100,$B$19)</f>
        <v>-</v>
      </c>
      <c r="X52" s="33" t="str">
        <f>IF(AND($I$19+W$17*Adatok!$F$11&gt;Adatok!$F$10-0.01,Adatok!$C$16+$B52&lt;Adatok!$C$17+1),((Adatok!$C$13*Adatok!$C$20*Adatok!$I51*Adatok!$J51)/(8*(VLOOKUP(X$19,Számítás!$B$19:$H$63,7,FALSE)))+(Adatok!$C$13^3*Adatok!$C$20^3*Adatok!$I51^3*Adatok!$J51)/(384*(VLOOKUP(X$19,Számítás!$B$19:$H$63,7,FALSE))^3))*100,$B$19)</f>
        <v>-</v>
      </c>
      <c r="Y52" s="33" t="str">
        <f>IF(AND($I$19+X$17*Adatok!$F$11&gt;Adatok!$F$10-0.01,Adatok!$C$16+$B52&lt;Adatok!$C$17+1),((Adatok!$C$13*Adatok!$C$20*Adatok!$I51*Adatok!$J51)/(8*(VLOOKUP(Y$19,Számítás!$B$19:$H$63,7,FALSE)))+(Adatok!$C$13^3*Adatok!$C$20^3*Adatok!$I51^3*Adatok!$J51)/(384*(VLOOKUP(Y$19,Számítás!$B$19:$H$63,7,FALSE))^3))*100,$B$19)</f>
        <v>-</v>
      </c>
      <c r="Z52" s="33" t="str">
        <f>IF(AND($I$19+Y$17*Adatok!$F$11&gt;Adatok!$F$10-0.01,Adatok!$C$16+$B52&lt;Adatok!$C$17+1),((Adatok!$C$13*Adatok!$C$20*Adatok!$I51*Adatok!$J51)/(8*(VLOOKUP(Z$19,Számítás!$B$19:$H$63,7,FALSE)))+(Adatok!$C$13^3*Adatok!$C$20^3*Adatok!$I51^3*Adatok!$J51)/(384*(VLOOKUP(Z$19,Számítás!$B$19:$H$63,7,FALSE))^3))*100,$B$19)</f>
        <v>-</v>
      </c>
      <c r="AA52" s="33" t="str">
        <f>IF(AND($I$19+Z$17*Adatok!$F$11&gt;Adatok!$F$10-0.01,Adatok!$C$16+$B52&lt;Adatok!$C$17+1),((Adatok!$C$13*Adatok!$C$20*Adatok!$I51*Adatok!$J51)/(8*(VLOOKUP(AA$19,Számítás!$B$19:$H$63,7,FALSE)))+(Adatok!$C$13^3*Adatok!$C$20^3*Adatok!$I51^3*Adatok!$J51)/(384*(VLOOKUP(AA$19,Számítás!$B$19:$H$63,7,FALSE))^3))*100,$B$19)</f>
        <v>-</v>
      </c>
      <c r="AB52" s="33" t="str">
        <f>IF(AND($I$19+AA$17*Adatok!$F$11&gt;Adatok!$F$10-0.01,Adatok!$C$16+$B52&lt;Adatok!$C$17+1),((Adatok!$C$13*Adatok!$C$20*Adatok!$I51*Adatok!$J51)/(8*(VLOOKUP(AB$19,Számítás!$B$19:$H$63,7,FALSE)))+(Adatok!$C$13^3*Adatok!$C$20^3*Adatok!$I51^3*Adatok!$J51)/(384*(VLOOKUP(AB$19,Számítás!$B$19:$H$63,7,FALSE))^3))*100,$B$19)</f>
        <v>-</v>
      </c>
      <c r="AC52" s="33" t="str">
        <f>IF(AND($I$19+AB$17*Adatok!$F$11&gt;Adatok!$F$10-0.01,Adatok!$C$16+$B52&lt;Adatok!$C$17+1),((Adatok!$C$13*Adatok!$C$20*Adatok!$I51*Adatok!$J51)/(8*(VLOOKUP(AC$19,Számítás!$B$19:$H$63,7,FALSE)))+(Adatok!$C$13^3*Adatok!$C$20^3*Adatok!$I51^3*Adatok!$J51)/(384*(VLOOKUP(AC$19,Számítás!$B$19:$H$63,7,FALSE))^3))*100,$B$19)</f>
        <v>-</v>
      </c>
      <c r="AD52" s="33" t="str">
        <f>IF(AND($I$19+AC$17*Adatok!$F$11&gt;Adatok!$F$10-0.01,Adatok!$C$16+$B52&lt;Adatok!$C$17+1),((Adatok!$C$13*Adatok!$C$20*Adatok!$I51*Adatok!$J51)/(8*(VLOOKUP(AD$19,Számítás!$B$19:$H$63,7,FALSE)))+(Adatok!$C$13^3*Adatok!$C$20^3*Adatok!$I51^3*Adatok!$J51)/(384*(VLOOKUP(AD$19,Számítás!$B$19:$H$63,7,FALSE))^3))*100,$B$19)</f>
        <v>-</v>
      </c>
      <c r="AE52" s="33" t="str">
        <f>IF(AND($I$19+AD$17*Adatok!$F$11&gt;Adatok!$F$10-0.01,Adatok!$C$16+$B52&lt;Adatok!$C$17+1),((Adatok!$C$13*Adatok!$C$20*Adatok!$I51*Adatok!$J51)/(8*(VLOOKUP(AE$19,Számítás!$B$19:$H$63,7,FALSE)))+(Adatok!$C$13^3*Adatok!$C$20^3*Adatok!$I51^3*Adatok!$J51)/(384*(VLOOKUP(AE$19,Számítás!$B$19:$H$63,7,FALSE))^3))*100,$B$19)</f>
        <v>-</v>
      </c>
      <c r="AF52" s="33" t="str">
        <f>IF(AND($I$19+AE$17*Adatok!$F$11&gt;Adatok!$F$10-0.01,Adatok!$C$16+$B52&lt;Adatok!$C$17+1),((Adatok!$C$13*Adatok!$C$20*Adatok!$I51*Adatok!$J51)/(8*(VLOOKUP(AF$19,Számítás!$B$19:$H$63,7,FALSE)))+(Adatok!$C$13^3*Adatok!$C$20^3*Adatok!$I51^3*Adatok!$J51)/(384*(VLOOKUP(AF$19,Számítás!$B$19:$H$63,7,FALSE))^3))*100,$B$19)</f>
        <v>-</v>
      </c>
      <c r="AG52" s="33" t="str">
        <f>IF(AND($I$19+AF$17*Adatok!$F$11&gt;Adatok!$F$10-0.01,Adatok!$C$16+$B52&lt;Adatok!$C$17+1),((Adatok!$C$13*Adatok!$C$20*Adatok!$I51*Adatok!$J51)/(8*(VLOOKUP(AG$19,Számítás!$B$19:$H$63,7,FALSE)))+(Adatok!$C$13^3*Adatok!$C$20^3*Adatok!$I51^3*Adatok!$J51)/(384*(VLOOKUP(AG$19,Számítás!$B$19:$H$63,7,FALSE))^3))*100,$B$19)</f>
        <v>-</v>
      </c>
      <c r="AH52" s="33" t="str">
        <f>IF(AND($I$19+AG$17*Adatok!$F$11&gt;Adatok!$F$10-0.01,Adatok!$C$16+$B52&lt;Adatok!$C$17+1),((Adatok!$C$13*Adatok!$C$20*Adatok!$I51*Adatok!$J51)/(8*(VLOOKUP(AH$19,Számítás!$B$19:$H$63,7,FALSE)))+(Adatok!$C$13^3*Adatok!$C$20^3*Adatok!$I51^3*Adatok!$J51)/(384*(VLOOKUP(AH$19,Számítás!$B$19:$H$63,7,FALSE))^3))*100,$B$19)</f>
        <v>-</v>
      </c>
      <c r="AI52" s="33" t="str">
        <f>IF(AND($I$19+AH$17*Adatok!$F$11&gt;Adatok!$F$10-0.01,Adatok!$C$16+$B52&lt;Adatok!$C$17+1),((Adatok!$C$13*Adatok!$C$20*Adatok!$I51*Adatok!$J51)/(8*(VLOOKUP(AI$19,Számítás!$B$19:$H$63,7,FALSE)))+(Adatok!$C$13^3*Adatok!$C$20^3*Adatok!$I51^3*Adatok!$J51)/(384*(VLOOKUP(AI$19,Számítás!$B$19:$H$63,7,FALSE))^3))*100,$B$19)</f>
        <v>-</v>
      </c>
      <c r="AJ52" s="33" t="str">
        <f>IF(AND($I$19+AI$17*Adatok!$F$11&gt;Adatok!$F$10-0.01,Adatok!$C$16+$B52&lt;Adatok!$C$17+1),((Adatok!$C$13*Adatok!$C$20*Adatok!$I51*Adatok!$J51)/(8*(VLOOKUP(AJ$19,Számítás!$B$19:$H$63,7,FALSE)))+(Adatok!$C$13^3*Adatok!$C$20^3*Adatok!$I51^3*Adatok!$J51)/(384*(VLOOKUP(AJ$19,Számítás!$B$19:$H$63,7,FALSE))^3))*100,$B$19)</f>
        <v>-</v>
      </c>
      <c r="AK52" s="33" t="str">
        <f>IF(AND($I$19+AJ$17*Adatok!$F$11&gt;Adatok!$F$10-0.01,Adatok!$C$16+$B52&lt;Adatok!$C$17+1),((Adatok!$C$13*Adatok!$C$20*Adatok!$I51*Adatok!$J51)/(8*(VLOOKUP(AK$19,Számítás!$B$19:$H$63,7,FALSE)))+(Adatok!$C$13^3*Adatok!$C$20^3*Adatok!$I51^3*Adatok!$J51)/(384*(VLOOKUP(AK$19,Számítás!$B$19:$H$63,7,FALSE))^3))*100,$B$19)</f>
        <v>-</v>
      </c>
      <c r="AL52" s="33" t="str">
        <f>IF(AND($I$19+AK$17*Adatok!$F$11&gt;Adatok!$F$10-0.01,Adatok!$C$16+$B52&lt;Adatok!$C$17+1),((Adatok!$C$13*Adatok!$C$20*Adatok!$I51*Adatok!$J51)/(8*(VLOOKUP(AL$19,Számítás!$B$19:$H$63,7,FALSE)))+(Adatok!$C$13^3*Adatok!$C$20^3*Adatok!$I51^3*Adatok!$J51)/(384*(VLOOKUP(AL$19,Számítás!$B$19:$H$63,7,FALSE))^3))*100,$B$19)</f>
        <v>-</v>
      </c>
      <c r="AM52" s="33" t="str">
        <f>IF(AND($I$19+AL$17*Adatok!$F$11&gt;Adatok!$F$10-0.01,Adatok!$C$16+$B52&lt;Adatok!$C$17+1),((Adatok!$C$13*Adatok!$C$20*Adatok!$I51*Adatok!$J51)/(8*(VLOOKUP(AM$19,Számítás!$B$19:$H$63,7,FALSE)))+(Adatok!$C$13^3*Adatok!$C$20^3*Adatok!$I51^3*Adatok!$J51)/(384*(VLOOKUP(AM$19,Számítás!$B$19:$H$63,7,FALSE))^3))*100,$B$19)</f>
        <v>-</v>
      </c>
      <c r="AN52" s="33" t="str">
        <f>IF(AND($I$19+AM$17*Adatok!$F$11&gt;Adatok!$F$10-0.01,Adatok!$C$16+$B52&lt;Adatok!$C$17+1),((Adatok!$C$13*Adatok!$C$20*Adatok!$I51*Adatok!$J51)/(8*(VLOOKUP(AN$19,Számítás!$B$19:$H$63,7,FALSE)))+(Adatok!$C$13^3*Adatok!$C$20^3*Adatok!$I51^3*Adatok!$J51)/(384*(VLOOKUP(AN$19,Számítás!$B$19:$H$63,7,FALSE))^3))*100,$B$19)</f>
        <v>-</v>
      </c>
      <c r="AO52" s="33" t="str">
        <f>IF(AND($I$19+AN$17*Adatok!$F$11&gt;Adatok!$F$10-0.01,Adatok!$C$16+$B52&lt;Adatok!$C$17+1),((Adatok!$C$13*Adatok!$C$20*Adatok!$I51*Adatok!$J51)/(8*(VLOOKUP(AO$19,Számítás!$B$19:$H$63,7,FALSE)))+(Adatok!$C$13^3*Adatok!$C$20^3*Adatok!$I51^3*Adatok!$J51)/(384*(VLOOKUP(AO$19,Számítás!$B$19:$H$63,7,FALSE))^3))*100,$B$19)</f>
        <v>-</v>
      </c>
      <c r="AP52" s="33" t="str">
        <f>IF(AND($I$19+AO$17*Adatok!$F$11&gt;Adatok!$F$10-0.01,Adatok!$C$16+$B52&lt;Adatok!$C$17+1),((Adatok!$C$13*Adatok!$C$20*Adatok!$I51*Adatok!$J51)/(8*(VLOOKUP(AP$19,Számítás!$B$19:$H$63,7,FALSE)))+(Adatok!$C$13^3*Adatok!$C$20^3*Adatok!$I51^3*Adatok!$J51)/(384*(VLOOKUP(AP$19,Számítás!$B$19:$H$63,7,FALSE))^3))*100,$B$19)</f>
        <v>-</v>
      </c>
      <c r="AQ52" s="33" t="str">
        <f>IF(AND($I$19+AP$17*Adatok!$F$11&gt;Adatok!$F$10-0.01,Adatok!$C$16+$B52&lt;Adatok!$C$17+1),((Adatok!$C$13*Adatok!$C$20*Adatok!$I51*Adatok!$J51)/(8*(VLOOKUP(AQ$19,Számítás!$B$19:$H$63,7,FALSE)))+(Adatok!$C$13^3*Adatok!$C$20^3*Adatok!$I51^3*Adatok!$J51)/(384*(VLOOKUP(AQ$19,Számítás!$B$19:$H$63,7,FALSE))^3))*100,$B$19)</f>
        <v>-</v>
      </c>
      <c r="AR52" s="33" t="str">
        <f>IF(AND($I$19+AQ$17*Adatok!$F$11&gt;Adatok!$F$10-0.01,Adatok!$C$16+$B52&lt;Adatok!$C$17+1),((Adatok!$C$13*Adatok!$C$20*Adatok!$I51*Adatok!$J51)/(8*(VLOOKUP(AR$19,Számítás!$B$19:$H$63,7,FALSE)))+(Adatok!$C$13^3*Adatok!$C$20^3*Adatok!$I51^3*Adatok!$J51)/(384*(VLOOKUP(AR$19,Számítás!$B$19:$H$63,7,FALSE))^3))*100,$B$19)</f>
        <v>-</v>
      </c>
      <c r="AS52" s="33" t="str">
        <f>IF(AND($I$19+AR$17*Adatok!$F$11&gt;Adatok!$F$10-0.01,Adatok!$C$16+$B52&lt;Adatok!$C$17+1),((Adatok!$C$13*Adatok!$C$20*Adatok!$I51*Adatok!$J51)/(8*(VLOOKUP(AS$19,Számítás!$B$19:$H$63,7,FALSE)))+(Adatok!$C$13^3*Adatok!$C$20^3*Adatok!$I51^3*Adatok!$J51)/(384*(VLOOKUP(AS$19,Számítás!$B$19:$H$63,7,FALSE))^3))*100,$B$19)</f>
        <v>-</v>
      </c>
      <c r="AT52" s="33" t="str">
        <f>IF(AND($I$19+AS$17*Adatok!$F$11&gt;Adatok!$F$10-0.01,Adatok!$C$16+$B52&lt;Adatok!$C$17+1),((Adatok!$C$13*Adatok!$C$20*Adatok!$I51*Adatok!$J51)/(8*(VLOOKUP(AT$19,Számítás!$B$19:$H$63,7,FALSE)))+(Adatok!$C$13^3*Adatok!$C$20^3*Adatok!$I51^3*Adatok!$J51)/(384*(VLOOKUP(AT$19,Számítás!$B$19:$H$63,7,FALSE))^3))*100,$B$19)</f>
        <v>-</v>
      </c>
      <c r="AU52" s="33" t="str">
        <f>IF(AND($I$19+AT$17*Adatok!$F$11&gt;Adatok!$F$10-0.01,Adatok!$C$16+$B52&lt;Adatok!$C$17+1),((Adatok!$C$13*Adatok!$C$20*Adatok!$I51*Adatok!$J51)/(8*(VLOOKUP(AU$19,Számítás!$B$19:$H$63,7,FALSE)))+(Adatok!$C$13^3*Adatok!$C$20^3*Adatok!$I51^3*Adatok!$J51)/(384*(VLOOKUP(AU$19,Számítás!$B$19:$H$63,7,FALSE))^3))*100,$B$19)</f>
        <v>-</v>
      </c>
      <c r="AV52" s="33" t="str">
        <f>IF(AND($I$19+AU$17*Adatok!$F$11&gt;Adatok!$F$10-0.01,Adatok!$C$16+$B52&lt;Adatok!$C$17+1),((Adatok!$C$13*Adatok!$C$20*Adatok!$I51*Adatok!$J51)/(8*(VLOOKUP(AV$19,Számítás!$B$19:$H$63,7,FALSE)))+(Adatok!$C$13^3*Adatok!$C$20^3*Adatok!$I51^3*Adatok!$J51)/(384*(VLOOKUP(AV$19,Számítás!$B$19:$H$63,7,FALSE))^3))*100,$B$19)</f>
        <v>-</v>
      </c>
      <c r="AW52" s="33" t="str">
        <f>IF(AND($I$19+AV$17*Adatok!$F$11&gt;Adatok!$F$10-0.01,Adatok!$C$16+$B52&lt;Adatok!$C$17+1),((Adatok!$C$13*Adatok!$C$20*Adatok!$I51*Adatok!$J51)/(8*(VLOOKUP(AW$19,Számítás!$B$19:$H$63,7,FALSE)))+(Adatok!$C$13^3*Adatok!$C$20^3*Adatok!$I51^3*Adatok!$J51)/(384*(VLOOKUP(AW$19,Számítás!$B$19:$H$63,7,FALSE))^3))*100,$B$19)</f>
        <v>-</v>
      </c>
      <c r="AX52" s="33" t="str">
        <f>IF(AND($I$19+AW$17*Adatok!$F$11&gt;Adatok!$F$10-0.01,Adatok!$C$16+$B52&lt;Adatok!$C$17+1),((Adatok!$C$13*Adatok!$C$20*Adatok!$I51*Adatok!$J51)/(8*(VLOOKUP(AX$19,Számítás!$B$19:$H$63,7,FALSE)))+(Adatok!$C$13^3*Adatok!$C$20^3*Adatok!$I51^3*Adatok!$J51)/(384*(VLOOKUP(AX$19,Számítás!$B$19:$H$63,7,FALSE))^3))*100,$B$19)</f>
        <v>-</v>
      </c>
      <c r="AY52" s="33" t="str">
        <f>IF(AND($I$19+AX$17*Adatok!$F$11&gt;Adatok!$F$10-0.01,Adatok!$C$16+$B52&lt;Adatok!$C$17+1),((Adatok!$C$13*Adatok!$C$20*Adatok!$I51*Adatok!$J51)/(8*(VLOOKUP(AY$19,Számítás!$B$19:$H$63,7,FALSE)))+(Adatok!$C$13^3*Adatok!$C$20^3*Adatok!$I51^3*Adatok!$J51)/(384*(VLOOKUP(AY$19,Számítás!$B$19:$H$63,7,FALSE))^3))*100,$B$19)</f>
        <v>-</v>
      </c>
      <c r="AZ52" s="33" t="str">
        <f>IF(AND($I$19+AY$17*Adatok!$F$11&gt;Adatok!$F$10-0.01,Adatok!$C$16+$B52&lt;Adatok!$C$17+1),((Adatok!$C$13*Adatok!$C$20*Adatok!$I51*Adatok!$J51)/(8*(VLOOKUP(AZ$19,Számítás!$B$19:$H$63,7,FALSE)))+(Adatok!$C$13^3*Adatok!$C$20^3*Adatok!$I51^3*Adatok!$J51)/(384*(VLOOKUP(AZ$19,Számítás!$B$19:$H$63,7,FALSE))^3))*100,$B$19)</f>
        <v>-</v>
      </c>
      <c r="BA52" s="33" t="str">
        <f>IF(AND($I$19+AZ$17*Adatok!$F$11&gt;Adatok!$F$10-0.01,Adatok!$C$16+$B52&lt;Adatok!$C$17+1),((Adatok!$C$13*Adatok!$C$20*Adatok!$I51*Adatok!$J51)/(8*(VLOOKUP(BA$19,Számítás!$B$19:$H$63,7,FALSE)))+(Adatok!$C$13^3*Adatok!$C$20^3*Adatok!$I51^3*Adatok!$J51)/(384*(VLOOKUP(BA$19,Számítás!$B$19:$H$63,7,FALSE))^3))*100,$B$19)</f>
        <v>-</v>
      </c>
    </row>
    <row r="53" spans="2:53" ht="18" customHeight="1" x14ac:dyDescent="0.25">
      <c r="B53" s="1">
        <v>34</v>
      </c>
      <c r="C53" s="333" t="str">
        <f>Adatok!F52</f>
        <v>-</v>
      </c>
      <c r="D53" s="32" t="s">
        <v>27</v>
      </c>
      <c r="E53" s="336" t="str">
        <f>Adatok!H52</f>
        <v>-</v>
      </c>
      <c r="F53" s="64" t="str">
        <f>IF(Adatok!$C$16+B53&gt;Adatok!$C$17,$B$19,Adatok!I52)</f>
        <v>-</v>
      </c>
      <c r="G53" s="60"/>
      <c r="H53" s="72" t="str">
        <f>IF(Adatok!$C$16+B53&gt;Adatok!$C$17,$B$19,Adatok!J52/Adatok!I52)</f>
        <v>-</v>
      </c>
      <c r="I53" s="81" t="str">
        <f>IF(Adatok!$C$16+$B53&lt;Adatok!$C$17+1,((((Adatok!$C$13*Adatok!$C$20*Adatok!$I52*Adatok!$J52)/(8*(VLOOKUP(I$19,Számítás!$B$19:$H$63,7,FALSE))))+((Adatok!$C$13^3*Adatok!$C$20^3*Adatok!$I52^3*Adatok!$J52)/(384*(VLOOKUP(I$19,Számítás!$B$19:$H$63,7,FALSE))^3)))*100),$B$19)</f>
        <v>-</v>
      </c>
      <c r="J53" s="33" t="str">
        <f>IF(AND($I$19+I$17*Adatok!$F$11&gt;Adatok!$F$10-0.01,Adatok!$C$16+$B53&lt;Adatok!$C$17+1),((Adatok!$C$13*Adatok!$C$20*Adatok!$I52*Adatok!$J52)/(8*(VLOOKUP(J$19,Számítás!$B$19:$H$63,7,FALSE)))+(Adatok!$C$13^3*Adatok!$C$20^3*Adatok!$I52^3*Adatok!$J52)/(384*(VLOOKUP(J$19,Számítás!$B$19:$H$63,7,FALSE))^3))*100,$B$19)</f>
        <v>-</v>
      </c>
      <c r="K53" s="33" t="str">
        <f>IF(AND($I$19+J$17*Adatok!$F$11&gt;Adatok!$F$10-0.01,Adatok!$C$16+$B53&lt;Adatok!$C$17+1),((Adatok!$C$13*Adatok!$C$20*Adatok!$I52*Adatok!$J52)/(8*(VLOOKUP(K$19,Számítás!$B$19:$H$63,7,FALSE)))+(Adatok!$C$13^3*Adatok!$C$20^3*Adatok!$I52^3*Adatok!$J52)/(384*(VLOOKUP(K$19,Számítás!$B$19:$H$63,7,FALSE))^3))*100,$B$19)</f>
        <v>-</v>
      </c>
      <c r="L53" s="33" t="str">
        <f>IF(AND($I$19+K$17*Adatok!$F$11&gt;Adatok!$F$10-0.01,Adatok!$C$16+$B53&lt;Adatok!$C$17+1),((Adatok!$C$13*Adatok!$C$20*Adatok!$I52*Adatok!$J52)/(8*(VLOOKUP(L$19,Számítás!$B$19:$H$63,7,FALSE)))+(Adatok!$C$13^3*Adatok!$C$20^3*Adatok!$I52^3*Adatok!$J52)/(384*(VLOOKUP(L$19,Számítás!$B$19:$H$63,7,FALSE))^3))*100,$B$19)</f>
        <v>-</v>
      </c>
      <c r="M53" s="33" t="str">
        <f>IF(AND($I$19+L$17*Adatok!$F$11&gt;Adatok!$F$10-0.01,Adatok!$C$16+$B53&lt;Adatok!$C$17+1),((Adatok!$C$13*Adatok!$C$20*Adatok!$I52*Adatok!$J52)/(8*(VLOOKUP(M$19,Számítás!$B$19:$H$63,7,FALSE)))+(Adatok!$C$13^3*Adatok!$C$20^3*Adatok!$I52^3*Adatok!$J52)/(384*(VLOOKUP(M$19,Számítás!$B$19:$H$63,7,FALSE))^3))*100,$B$19)</f>
        <v>-</v>
      </c>
      <c r="N53" s="33" t="str">
        <f>IF(AND($I$19+M$17*Adatok!$F$11&gt;Adatok!$F$10-0.01,Adatok!$C$16+$B53&lt;Adatok!$C$17+1),((Adatok!$C$13*Adatok!$C$20*Adatok!$I52*Adatok!$J52)/(8*(VLOOKUP(N$19,Számítás!$B$19:$H$63,7,FALSE)))+(Adatok!$C$13^3*Adatok!$C$20^3*Adatok!$I52^3*Adatok!$J52)/(384*(VLOOKUP(N$19,Számítás!$B$19:$H$63,7,FALSE))^3))*100,$B$19)</f>
        <v>-</v>
      </c>
      <c r="O53" s="33" t="str">
        <f>IF(AND($I$19+N$17*Adatok!$F$11&gt;Adatok!$F$10-0.01,Adatok!$C$16+$B53&lt;Adatok!$C$17+1),((Adatok!$C$13*Adatok!$C$20*Adatok!$I52*Adatok!$J52)/(8*(VLOOKUP(O$19,Számítás!$B$19:$H$63,7,FALSE)))+(Adatok!$C$13^3*Adatok!$C$20^3*Adatok!$I52^3*Adatok!$J52)/(384*(VLOOKUP(O$19,Számítás!$B$19:$H$63,7,FALSE))^3))*100,$B$19)</f>
        <v>-</v>
      </c>
      <c r="P53" s="33" t="str">
        <f>IF(AND($I$19+O$17*Adatok!$F$11&gt;Adatok!$F$10-0.01,Adatok!$C$16+$B53&lt;Adatok!$C$17+1),((Adatok!$C$13*Adatok!$C$20*Adatok!$I52*Adatok!$J52)/(8*(VLOOKUP(P$19,Számítás!$B$19:$H$63,7,FALSE)))+(Adatok!$C$13^3*Adatok!$C$20^3*Adatok!$I52^3*Adatok!$J52)/(384*(VLOOKUP(P$19,Számítás!$B$19:$H$63,7,FALSE))^3))*100,$B$19)</f>
        <v>-</v>
      </c>
      <c r="Q53" s="33" t="str">
        <f>IF(AND($I$19+P$17*Adatok!$F$11&gt;Adatok!$F$10-0.01,Adatok!$C$16+$B53&lt;Adatok!$C$17+1),((Adatok!$C$13*Adatok!$C$20*Adatok!$I52*Adatok!$J52)/(8*(VLOOKUP(Q$19,Számítás!$B$19:$H$63,7,FALSE)))+(Adatok!$C$13^3*Adatok!$C$20^3*Adatok!$I52^3*Adatok!$J52)/(384*(VLOOKUP(Q$19,Számítás!$B$19:$H$63,7,FALSE))^3))*100,$B$19)</f>
        <v>-</v>
      </c>
      <c r="R53" s="33" t="str">
        <f>IF(AND($I$19+Q$17*Adatok!$F$11&gt;Adatok!$F$10-0.01,Adatok!$C$16+$B53&lt;Adatok!$C$17+1),((Adatok!$C$13*Adatok!$C$20*Adatok!$I52*Adatok!$J52)/(8*(VLOOKUP(R$19,Számítás!$B$19:$H$63,7,FALSE)))+(Adatok!$C$13^3*Adatok!$C$20^3*Adatok!$I52^3*Adatok!$J52)/(384*(VLOOKUP(R$19,Számítás!$B$19:$H$63,7,FALSE))^3))*100,$B$19)</f>
        <v>-</v>
      </c>
      <c r="S53" s="33" t="str">
        <f>IF(AND($I$19+R$17*Adatok!$F$11&gt;Adatok!$F$10-0.01,Adatok!$C$16+$B53&lt;Adatok!$C$17+1),((Adatok!$C$13*Adatok!$C$20*Adatok!$I52*Adatok!$J52)/(8*(VLOOKUP(S$19,Számítás!$B$19:$H$63,7,FALSE)))+(Adatok!$C$13^3*Adatok!$C$20^3*Adatok!$I52^3*Adatok!$J52)/(384*(VLOOKUP(S$19,Számítás!$B$19:$H$63,7,FALSE))^3))*100,$B$19)</f>
        <v>-</v>
      </c>
      <c r="T53" s="33" t="str">
        <f>IF(AND($I$19+S$17*Adatok!$F$11&gt;Adatok!$F$10-0.01,Adatok!$C$16+$B53&lt;Adatok!$C$17+1),((Adatok!$C$13*Adatok!$C$20*Adatok!$I52*Adatok!$J52)/(8*(VLOOKUP(T$19,Számítás!$B$19:$H$63,7,FALSE)))+(Adatok!$C$13^3*Adatok!$C$20^3*Adatok!$I52^3*Adatok!$J52)/(384*(VLOOKUP(T$19,Számítás!$B$19:$H$63,7,FALSE))^3))*100,$B$19)</f>
        <v>-</v>
      </c>
      <c r="U53" s="33" t="str">
        <f>IF(AND($I$19+T$17*Adatok!$F$11&gt;Adatok!$F$10-0.01,Adatok!$C$16+$B53&lt;Adatok!$C$17+1),((Adatok!$C$13*Adatok!$C$20*Adatok!$I52*Adatok!$J52)/(8*(VLOOKUP(U$19,Számítás!$B$19:$H$63,7,FALSE)))+(Adatok!$C$13^3*Adatok!$C$20^3*Adatok!$I52^3*Adatok!$J52)/(384*(VLOOKUP(U$19,Számítás!$B$19:$H$63,7,FALSE))^3))*100,$B$19)</f>
        <v>-</v>
      </c>
      <c r="V53" s="33" t="str">
        <f>IF(AND($I$19+U$17*Adatok!$F$11&gt;Adatok!$F$10-0.01,Adatok!$C$16+$B53&lt;Adatok!$C$17+1),((Adatok!$C$13*Adatok!$C$20*Adatok!$I52*Adatok!$J52)/(8*(VLOOKUP(V$19,Számítás!$B$19:$H$63,7,FALSE)))+(Adatok!$C$13^3*Adatok!$C$20^3*Adatok!$I52^3*Adatok!$J52)/(384*(VLOOKUP(V$19,Számítás!$B$19:$H$63,7,FALSE))^3))*100,$B$19)</f>
        <v>-</v>
      </c>
      <c r="W53" s="33" t="str">
        <f>IF(AND($I$19+V$17*Adatok!$F$11&gt;Adatok!$F$10-0.01,Adatok!$C$16+$B53&lt;Adatok!$C$17+1),((Adatok!$C$13*Adatok!$C$20*Adatok!$I52*Adatok!$J52)/(8*(VLOOKUP(W$19,Számítás!$B$19:$H$63,7,FALSE)))+(Adatok!$C$13^3*Adatok!$C$20^3*Adatok!$I52^3*Adatok!$J52)/(384*(VLOOKUP(W$19,Számítás!$B$19:$H$63,7,FALSE))^3))*100,$B$19)</f>
        <v>-</v>
      </c>
      <c r="X53" s="33" t="str">
        <f>IF(AND($I$19+W$17*Adatok!$F$11&gt;Adatok!$F$10-0.01,Adatok!$C$16+$B53&lt;Adatok!$C$17+1),((Adatok!$C$13*Adatok!$C$20*Adatok!$I52*Adatok!$J52)/(8*(VLOOKUP(X$19,Számítás!$B$19:$H$63,7,FALSE)))+(Adatok!$C$13^3*Adatok!$C$20^3*Adatok!$I52^3*Adatok!$J52)/(384*(VLOOKUP(X$19,Számítás!$B$19:$H$63,7,FALSE))^3))*100,$B$19)</f>
        <v>-</v>
      </c>
      <c r="Y53" s="33" t="str">
        <f>IF(AND($I$19+X$17*Adatok!$F$11&gt;Adatok!$F$10-0.01,Adatok!$C$16+$B53&lt;Adatok!$C$17+1),((Adatok!$C$13*Adatok!$C$20*Adatok!$I52*Adatok!$J52)/(8*(VLOOKUP(Y$19,Számítás!$B$19:$H$63,7,FALSE)))+(Adatok!$C$13^3*Adatok!$C$20^3*Adatok!$I52^3*Adatok!$J52)/(384*(VLOOKUP(Y$19,Számítás!$B$19:$H$63,7,FALSE))^3))*100,$B$19)</f>
        <v>-</v>
      </c>
      <c r="Z53" s="33" t="str">
        <f>IF(AND($I$19+Y$17*Adatok!$F$11&gt;Adatok!$F$10-0.01,Adatok!$C$16+$B53&lt;Adatok!$C$17+1),((Adatok!$C$13*Adatok!$C$20*Adatok!$I52*Adatok!$J52)/(8*(VLOOKUP(Z$19,Számítás!$B$19:$H$63,7,FALSE)))+(Adatok!$C$13^3*Adatok!$C$20^3*Adatok!$I52^3*Adatok!$J52)/(384*(VLOOKUP(Z$19,Számítás!$B$19:$H$63,7,FALSE))^3))*100,$B$19)</f>
        <v>-</v>
      </c>
      <c r="AA53" s="33" t="str">
        <f>IF(AND($I$19+Z$17*Adatok!$F$11&gt;Adatok!$F$10-0.01,Adatok!$C$16+$B53&lt;Adatok!$C$17+1),((Adatok!$C$13*Adatok!$C$20*Adatok!$I52*Adatok!$J52)/(8*(VLOOKUP(AA$19,Számítás!$B$19:$H$63,7,FALSE)))+(Adatok!$C$13^3*Adatok!$C$20^3*Adatok!$I52^3*Adatok!$J52)/(384*(VLOOKUP(AA$19,Számítás!$B$19:$H$63,7,FALSE))^3))*100,$B$19)</f>
        <v>-</v>
      </c>
      <c r="AB53" s="33" t="str">
        <f>IF(AND($I$19+AA$17*Adatok!$F$11&gt;Adatok!$F$10-0.01,Adatok!$C$16+$B53&lt;Adatok!$C$17+1),((Adatok!$C$13*Adatok!$C$20*Adatok!$I52*Adatok!$J52)/(8*(VLOOKUP(AB$19,Számítás!$B$19:$H$63,7,FALSE)))+(Adatok!$C$13^3*Adatok!$C$20^3*Adatok!$I52^3*Adatok!$J52)/(384*(VLOOKUP(AB$19,Számítás!$B$19:$H$63,7,FALSE))^3))*100,$B$19)</f>
        <v>-</v>
      </c>
      <c r="AC53" s="33" t="str">
        <f>IF(AND($I$19+AB$17*Adatok!$F$11&gt;Adatok!$F$10-0.01,Adatok!$C$16+$B53&lt;Adatok!$C$17+1),((Adatok!$C$13*Adatok!$C$20*Adatok!$I52*Adatok!$J52)/(8*(VLOOKUP(AC$19,Számítás!$B$19:$H$63,7,FALSE)))+(Adatok!$C$13^3*Adatok!$C$20^3*Adatok!$I52^3*Adatok!$J52)/(384*(VLOOKUP(AC$19,Számítás!$B$19:$H$63,7,FALSE))^3))*100,$B$19)</f>
        <v>-</v>
      </c>
      <c r="AD53" s="33" t="str">
        <f>IF(AND($I$19+AC$17*Adatok!$F$11&gt;Adatok!$F$10-0.01,Adatok!$C$16+$B53&lt;Adatok!$C$17+1),((Adatok!$C$13*Adatok!$C$20*Adatok!$I52*Adatok!$J52)/(8*(VLOOKUP(AD$19,Számítás!$B$19:$H$63,7,FALSE)))+(Adatok!$C$13^3*Adatok!$C$20^3*Adatok!$I52^3*Adatok!$J52)/(384*(VLOOKUP(AD$19,Számítás!$B$19:$H$63,7,FALSE))^3))*100,$B$19)</f>
        <v>-</v>
      </c>
      <c r="AE53" s="33" t="str">
        <f>IF(AND($I$19+AD$17*Adatok!$F$11&gt;Adatok!$F$10-0.01,Adatok!$C$16+$B53&lt;Adatok!$C$17+1),((Adatok!$C$13*Adatok!$C$20*Adatok!$I52*Adatok!$J52)/(8*(VLOOKUP(AE$19,Számítás!$B$19:$H$63,7,FALSE)))+(Adatok!$C$13^3*Adatok!$C$20^3*Adatok!$I52^3*Adatok!$J52)/(384*(VLOOKUP(AE$19,Számítás!$B$19:$H$63,7,FALSE))^3))*100,$B$19)</f>
        <v>-</v>
      </c>
      <c r="AF53" s="33" t="str">
        <f>IF(AND($I$19+AE$17*Adatok!$F$11&gt;Adatok!$F$10-0.01,Adatok!$C$16+$B53&lt;Adatok!$C$17+1),((Adatok!$C$13*Adatok!$C$20*Adatok!$I52*Adatok!$J52)/(8*(VLOOKUP(AF$19,Számítás!$B$19:$H$63,7,FALSE)))+(Adatok!$C$13^3*Adatok!$C$20^3*Adatok!$I52^3*Adatok!$J52)/(384*(VLOOKUP(AF$19,Számítás!$B$19:$H$63,7,FALSE))^3))*100,$B$19)</f>
        <v>-</v>
      </c>
      <c r="AG53" s="33" t="str">
        <f>IF(AND($I$19+AF$17*Adatok!$F$11&gt;Adatok!$F$10-0.01,Adatok!$C$16+$B53&lt;Adatok!$C$17+1),((Adatok!$C$13*Adatok!$C$20*Adatok!$I52*Adatok!$J52)/(8*(VLOOKUP(AG$19,Számítás!$B$19:$H$63,7,FALSE)))+(Adatok!$C$13^3*Adatok!$C$20^3*Adatok!$I52^3*Adatok!$J52)/(384*(VLOOKUP(AG$19,Számítás!$B$19:$H$63,7,FALSE))^3))*100,$B$19)</f>
        <v>-</v>
      </c>
      <c r="AH53" s="33" t="str">
        <f>IF(AND($I$19+AG$17*Adatok!$F$11&gt;Adatok!$F$10-0.01,Adatok!$C$16+$B53&lt;Adatok!$C$17+1),((Adatok!$C$13*Adatok!$C$20*Adatok!$I52*Adatok!$J52)/(8*(VLOOKUP(AH$19,Számítás!$B$19:$H$63,7,FALSE)))+(Adatok!$C$13^3*Adatok!$C$20^3*Adatok!$I52^3*Adatok!$J52)/(384*(VLOOKUP(AH$19,Számítás!$B$19:$H$63,7,FALSE))^3))*100,$B$19)</f>
        <v>-</v>
      </c>
      <c r="AI53" s="33" t="str">
        <f>IF(AND($I$19+AH$17*Adatok!$F$11&gt;Adatok!$F$10-0.01,Adatok!$C$16+$B53&lt;Adatok!$C$17+1),((Adatok!$C$13*Adatok!$C$20*Adatok!$I52*Adatok!$J52)/(8*(VLOOKUP(AI$19,Számítás!$B$19:$H$63,7,FALSE)))+(Adatok!$C$13^3*Adatok!$C$20^3*Adatok!$I52^3*Adatok!$J52)/(384*(VLOOKUP(AI$19,Számítás!$B$19:$H$63,7,FALSE))^3))*100,$B$19)</f>
        <v>-</v>
      </c>
      <c r="AJ53" s="33" t="str">
        <f>IF(AND($I$19+AI$17*Adatok!$F$11&gt;Adatok!$F$10-0.01,Adatok!$C$16+$B53&lt;Adatok!$C$17+1),((Adatok!$C$13*Adatok!$C$20*Adatok!$I52*Adatok!$J52)/(8*(VLOOKUP(AJ$19,Számítás!$B$19:$H$63,7,FALSE)))+(Adatok!$C$13^3*Adatok!$C$20^3*Adatok!$I52^3*Adatok!$J52)/(384*(VLOOKUP(AJ$19,Számítás!$B$19:$H$63,7,FALSE))^3))*100,$B$19)</f>
        <v>-</v>
      </c>
      <c r="AK53" s="33" t="str">
        <f>IF(AND($I$19+AJ$17*Adatok!$F$11&gt;Adatok!$F$10-0.01,Adatok!$C$16+$B53&lt;Adatok!$C$17+1),((Adatok!$C$13*Adatok!$C$20*Adatok!$I52*Adatok!$J52)/(8*(VLOOKUP(AK$19,Számítás!$B$19:$H$63,7,FALSE)))+(Adatok!$C$13^3*Adatok!$C$20^3*Adatok!$I52^3*Adatok!$J52)/(384*(VLOOKUP(AK$19,Számítás!$B$19:$H$63,7,FALSE))^3))*100,$B$19)</f>
        <v>-</v>
      </c>
      <c r="AL53" s="33" t="str">
        <f>IF(AND($I$19+AK$17*Adatok!$F$11&gt;Adatok!$F$10-0.01,Adatok!$C$16+$B53&lt;Adatok!$C$17+1),((Adatok!$C$13*Adatok!$C$20*Adatok!$I52*Adatok!$J52)/(8*(VLOOKUP(AL$19,Számítás!$B$19:$H$63,7,FALSE)))+(Adatok!$C$13^3*Adatok!$C$20^3*Adatok!$I52^3*Adatok!$J52)/(384*(VLOOKUP(AL$19,Számítás!$B$19:$H$63,7,FALSE))^3))*100,$B$19)</f>
        <v>-</v>
      </c>
      <c r="AM53" s="33" t="str">
        <f>IF(AND($I$19+AL$17*Adatok!$F$11&gt;Adatok!$F$10-0.01,Adatok!$C$16+$B53&lt;Adatok!$C$17+1),((Adatok!$C$13*Adatok!$C$20*Adatok!$I52*Adatok!$J52)/(8*(VLOOKUP(AM$19,Számítás!$B$19:$H$63,7,FALSE)))+(Adatok!$C$13^3*Adatok!$C$20^3*Adatok!$I52^3*Adatok!$J52)/(384*(VLOOKUP(AM$19,Számítás!$B$19:$H$63,7,FALSE))^3))*100,$B$19)</f>
        <v>-</v>
      </c>
      <c r="AN53" s="33" t="str">
        <f>IF(AND($I$19+AM$17*Adatok!$F$11&gt;Adatok!$F$10-0.01,Adatok!$C$16+$B53&lt;Adatok!$C$17+1),((Adatok!$C$13*Adatok!$C$20*Adatok!$I52*Adatok!$J52)/(8*(VLOOKUP(AN$19,Számítás!$B$19:$H$63,7,FALSE)))+(Adatok!$C$13^3*Adatok!$C$20^3*Adatok!$I52^3*Adatok!$J52)/(384*(VLOOKUP(AN$19,Számítás!$B$19:$H$63,7,FALSE))^3))*100,$B$19)</f>
        <v>-</v>
      </c>
      <c r="AO53" s="33" t="str">
        <f>IF(AND($I$19+AN$17*Adatok!$F$11&gt;Adatok!$F$10-0.01,Adatok!$C$16+$B53&lt;Adatok!$C$17+1),((Adatok!$C$13*Adatok!$C$20*Adatok!$I52*Adatok!$J52)/(8*(VLOOKUP(AO$19,Számítás!$B$19:$H$63,7,FALSE)))+(Adatok!$C$13^3*Adatok!$C$20^3*Adatok!$I52^3*Adatok!$J52)/(384*(VLOOKUP(AO$19,Számítás!$B$19:$H$63,7,FALSE))^3))*100,$B$19)</f>
        <v>-</v>
      </c>
      <c r="AP53" s="33" t="str">
        <f>IF(AND($I$19+AO$17*Adatok!$F$11&gt;Adatok!$F$10-0.01,Adatok!$C$16+$B53&lt;Adatok!$C$17+1),((Adatok!$C$13*Adatok!$C$20*Adatok!$I52*Adatok!$J52)/(8*(VLOOKUP(AP$19,Számítás!$B$19:$H$63,7,FALSE)))+(Adatok!$C$13^3*Adatok!$C$20^3*Adatok!$I52^3*Adatok!$J52)/(384*(VLOOKUP(AP$19,Számítás!$B$19:$H$63,7,FALSE))^3))*100,$B$19)</f>
        <v>-</v>
      </c>
      <c r="AQ53" s="33" t="str">
        <f>IF(AND($I$19+AP$17*Adatok!$F$11&gt;Adatok!$F$10-0.01,Adatok!$C$16+$B53&lt;Adatok!$C$17+1),((Adatok!$C$13*Adatok!$C$20*Adatok!$I52*Adatok!$J52)/(8*(VLOOKUP(AQ$19,Számítás!$B$19:$H$63,7,FALSE)))+(Adatok!$C$13^3*Adatok!$C$20^3*Adatok!$I52^3*Adatok!$J52)/(384*(VLOOKUP(AQ$19,Számítás!$B$19:$H$63,7,FALSE))^3))*100,$B$19)</f>
        <v>-</v>
      </c>
      <c r="AR53" s="33" t="str">
        <f>IF(AND($I$19+AQ$17*Adatok!$F$11&gt;Adatok!$F$10-0.01,Adatok!$C$16+$B53&lt;Adatok!$C$17+1),((Adatok!$C$13*Adatok!$C$20*Adatok!$I52*Adatok!$J52)/(8*(VLOOKUP(AR$19,Számítás!$B$19:$H$63,7,FALSE)))+(Adatok!$C$13^3*Adatok!$C$20^3*Adatok!$I52^3*Adatok!$J52)/(384*(VLOOKUP(AR$19,Számítás!$B$19:$H$63,7,FALSE))^3))*100,$B$19)</f>
        <v>-</v>
      </c>
      <c r="AS53" s="33" t="str">
        <f>IF(AND($I$19+AR$17*Adatok!$F$11&gt;Adatok!$F$10-0.01,Adatok!$C$16+$B53&lt;Adatok!$C$17+1),((Adatok!$C$13*Adatok!$C$20*Adatok!$I52*Adatok!$J52)/(8*(VLOOKUP(AS$19,Számítás!$B$19:$H$63,7,FALSE)))+(Adatok!$C$13^3*Adatok!$C$20^3*Adatok!$I52^3*Adatok!$J52)/(384*(VLOOKUP(AS$19,Számítás!$B$19:$H$63,7,FALSE))^3))*100,$B$19)</f>
        <v>-</v>
      </c>
      <c r="AT53" s="33" t="str">
        <f>IF(AND($I$19+AS$17*Adatok!$F$11&gt;Adatok!$F$10-0.01,Adatok!$C$16+$B53&lt;Adatok!$C$17+1),((Adatok!$C$13*Adatok!$C$20*Adatok!$I52*Adatok!$J52)/(8*(VLOOKUP(AT$19,Számítás!$B$19:$H$63,7,FALSE)))+(Adatok!$C$13^3*Adatok!$C$20^3*Adatok!$I52^3*Adatok!$J52)/(384*(VLOOKUP(AT$19,Számítás!$B$19:$H$63,7,FALSE))^3))*100,$B$19)</f>
        <v>-</v>
      </c>
      <c r="AU53" s="33" t="str">
        <f>IF(AND($I$19+AT$17*Adatok!$F$11&gt;Adatok!$F$10-0.01,Adatok!$C$16+$B53&lt;Adatok!$C$17+1),((Adatok!$C$13*Adatok!$C$20*Adatok!$I52*Adatok!$J52)/(8*(VLOOKUP(AU$19,Számítás!$B$19:$H$63,7,FALSE)))+(Adatok!$C$13^3*Adatok!$C$20^3*Adatok!$I52^3*Adatok!$J52)/(384*(VLOOKUP(AU$19,Számítás!$B$19:$H$63,7,FALSE))^3))*100,$B$19)</f>
        <v>-</v>
      </c>
      <c r="AV53" s="33" t="str">
        <f>IF(AND($I$19+AU$17*Adatok!$F$11&gt;Adatok!$F$10-0.01,Adatok!$C$16+$B53&lt;Adatok!$C$17+1),((Adatok!$C$13*Adatok!$C$20*Adatok!$I52*Adatok!$J52)/(8*(VLOOKUP(AV$19,Számítás!$B$19:$H$63,7,FALSE)))+(Adatok!$C$13^3*Adatok!$C$20^3*Adatok!$I52^3*Adatok!$J52)/(384*(VLOOKUP(AV$19,Számítás!$B$19:$H$63,7,FALSE))^3))*100,$B$19)</f>
        <v>-</v>
      </c>
      <c r="AW53" s="33" t="str">
        <f>IF(AND($I$19+AV$17*Adatok!$F$11&gt;Adatok!$F$10-0.01,Adatok!$C$16+$B53&lt;Adatok!$C$17+1),((Adatok!$C$13*Adatok!$C$20*Adatok!$I52*Adatok!$J52)/(8*(VLOOKUP(AW$19,Számítás!$B$19:$H$63,7,FALSE)))+(Adatok!$C$13^3*Adatok!$C$20^3*Adatok!$I52^3*Adatok!$J52)/(384*(VLOOKUP(AW$19,Számítás!$B$19:$H$63,7,FALSE))^3))*100,$B$19)</f>
        <v>-</v>
      </c>
      <c r="AX53" s="33" t="str">
        <f>IF(AND($I$19+AW$17*Adatok!$F$11&gt;Adatok!$F$10-0.01,Adatok!$C$16+$B53&lt;Adatok!$C$17+1),((Adatok!$C$13*Adatok!$C$20*Adatok!$I52*Adatok!$J52)/(8*(VLOOKUP(AX$19,Számítás!$B$19:$H$63,7,FALSE)))+(Adatok!$C$13^3*Adatok!$C$20^3*Adatok!$I52^3*Adatok!$J52)/(384*(VLOOKUP(AX$19,Számítás!$B$19:$H$63,7,FALSE))^3))*100,$B$19)</f>
        <v>-</v>
      </c>
      <c r="AY53" s="33" t="str">
        <f>IF(AND($I$19+AX$17*Adatok!$F$11&gt;Adatok!$F$10-0.01,Adatok!$C$16+$B53&lt;Adatok!$C$17+1),((Adatok!$C$13*Adatok!$C$20*Adatok!$I52*Adatok!$J52)/(8*(VLOOKUP(AY$19,Számítás!$B$19:$H$63,7,FALSE)))+(Adatok!$C$13^3*Adatok!$C$20^3*Adatok!$I52^3*Adatok!$J52)/(384*(VLOOKUP(AY$19,Számítás!$B$19:$H$63,7,FALSE))^3))*100,$B$19)</f>
        <v>-</v>
      </c>
      <c r="AZ53" s="33" t="str">
        <f>IF(AND($I$19+AY$17*Adatok!$F$11&gt;Adatok!$F$10-0.01,Adatok!$C$16+$B53&lt;Adatok!$C$17+1),((Adatok!$C$13*Adatok!$C$20*Adatok!$I52*Adatok!$J52)/(8*(VLOOKUP(AZ$19,Számítás!$B$19:$H$63,7,FALSE)))+(Adatok!$C$13^3*Adatok!$C$20^3*Adatok!$I52^3*Adatok!$J52)/(384*(VLOOKUP(AZ$19,Számítás!$B$19:$H$63,7,FALSE))^3))*100,$B$19)</f>
        <v>-</v>
      </c>
      <c r="BA53" s="33" t="str">
        <f>IF(AND($I$19+AZ$17*Adatok!$F$11&gt;Adatok!$F$10-0.01,Adatok!$C$16+$B53&lt;Adatok!$C$17+1),((Adatok!$C$13*Adatok!$C$20*Adatok!$I52*Adatok!$J52)/(8*(VLOOKUP(BA$19,Számítás!$B$19:$H$63,7,FALSE)))+(Adatok!$C$13^3*Adatok!$C$20^3*Adatok!$I52^3*Adatok!$J52)/(384*(VLOOKUP(BA$19,Számítás!$B$19:$H$63,7,FALSE))^3))*100,$B$19)</f>
        <v>-</v>
      </c>
    </row>
    <row r="54" spans="2:53" ht="18" customHeight="1" x14ac:dyDescent="0.25">
      <c r="B54" s="1">
        <v>35</v>
      </c>
      <c r="C54" s="333" t="str">
        <f>Adatok!F53</f>
        <v>-</v>
      </c>
      <c r="D54" s="32" t="s">
        <v>27</v>
      </c>
      <c r="E54" s="336" t="str">
        <f>Adatok!H53</f>
        <v>-</v>
      </c>
      <c r="F54" s="64" t="str">
        <f>IF(Adatok!$C$16+B54&gt;Adatok!$C$17,$B$19,Adatok!I53)</f>
        <v>-</v>
      </c>
      <c r="G54" s="60"/>
      <c r="H54" s="72" t="str">
        <f>IF(Adatok!$C$16+B54&gt;Adatok!$C$17,$B$19,Adatok!J53/Adatok!I53)</f>
        <v>-</v>
      </c>
      <c r="I54" s="81" t="str">
        <f>IF(Adatok!$C$16+$B54&lt;Adatok!$C$17+1,((((Adatok!$C$13*Adatok!$C$20*Adatok!$I53*Adatok!$J53)/(8*(VLOOKUP(I$19,Számítás!$B$19:$H$63,7,FALSE))))+((Adatok!$C$13^3*Adatok!$C$20^3*Adatok!$I53^3*Adatok!$J53)/(384*(VLOOKUP(I$19,Számítás!$B$19:$H$63,7,FALSE))^3)))*100),$B$19)</f>
        <v>-</v>
      </c>
      <c r="J54" s="33" t="str">
        <f>IF(AND($I$19+I$17*Adatok!$F$11&gt;Adatok!$F$10-0.01,Adatok!$C$16+$B54&lt;Adatok!$C$17+1),((Adatok!$C$13*Adatok!$C$20*Adatok!$I53*Adatok!$J53)/(8*(VLOOKUP(J$19,Számítás!$B$19:$H$63,7,FALSE)))+(Adatok!$C$13^3*Adatok!$C$20^3*Adatok!$I53^3*Adatok!$J53)/(384*(VLOOKUP(J$19,Számítás!$B$19:$H$63,7,FALSE))^3))*100,$B$19)</f>
        <v>-</v>
      </c>
      <c r="K54" s="33" t="str">
        <f>IF(AND($I$19+J$17*Adatok!$F$11&gt;Adatok!$F$10-0.01,Adatok!$C$16+$B54&lt;Adatok!$C$17+1),((Adatok!$C$13*Adatok!$C$20*Adatok!$I53*Adatok!$J53)/(8*(VLOOKUP(K$19,Számítás!$B$19:$H$63,7,FALSE)))+(Adatok!$C$13^3*Adatok!$C$20^3*Adatok!$I53^3*Adatok!$J53)/(384*(VLOOKUP(K$19,Számítás!$B$19:$H$63,7,FALSE))^3))*100,$B$19)</f>
        <v>-</v>
      </c>
      <c r="L54" s="33" t="str">
        <f>IF(AND($I$19+K$17*Adatok!$F$11&gt;Adatok!$F$10-0.01,Adatok!$C$16+$B54&lt;Adatok!$C$17+1),((Adatok!$C$13*Adatok!$C$20*Adatok!$I53*Adatok!$J53)/(8*(VLOOKUP(L$19,Számítás!$B$19:$H$63,7,FALSE)))+(Adatok!$C$13^3*Adatok!$C$20^3*Adatok!$I53^3*Adatok!$J53)/(384*(VLOOKUP(L$19,Számítás!$B$19:$H$63,7,FALSE))^3))*100,$B$19)</f>
        <v>-</v>
      </c>
      <c r="M54" s="33" t="str">
        <f>IF(AND($I$19+L$17*Adatok!$F$11&gt;Adatok!$F$10-0.01,Adatok!$C$16+$B54&lt;Adatok!$C$17+1),((Adatok!$C$13*Adatok!$C$20*Adatok!$I53*Adatok!$J53)/(8*(VLOOKUP(M$19,Számítás!$B$19:$H$63,7,FALSE)))+(Adatok!$C$13^3*Adatok!$C$20^3*Adatok!$I53^3*Adatok!$J53)/(384*(VLOOKUP(M$19,Számítás!$B$19:$H$63,7,FALSE))^3))*100,$B$19)</f>
        <v>-</v>
      </c>
      <c r="N54" s="33" t="str">
        <f>IF(AND($I$19+M$17*Adatok!$F$11&gt;Adatok!$F$10-0.01,Adatok!$C$16+$B54&lt;Adatok!$C$17+1),((Adatok!$C$13*Adatok!$C$20*Adatok!$I53*Adatok!$J53)/(8*(VLOOKUP(N$19,Számítás!$B$19:$H$63,7,FALSE)))+(Adatok!$C$13^3*Adatok!$C$20^3*Adatok!$I53^3*Adatok!$J53)/(384*(VLOOKUP(N$19,Számítás!$B$19:$H$63,7,FALSE))^3))*100,$B$19)</f>
        <v>-</v>
      </c>
      <c r="O54" s="33" t="str">
        <f>IF(AND($I$19+N$17*Adatok!$F$11&gt;Adatok!$F$10-0.01,Adatok!$C$16+$B54&lt;Adatok!$C$17+1),((Adatok!$C$13*Adatok!$C$20*Adatok!$I53*Adatok!$J53)/(8*(VLOOKUP(O$19,Számítás!$B$19:$H$63,7,FALSE)))+(Adatok!$C$13^3*Adatok!$C$20^3*Adatok!$I53^3*Adatok!$J53)/(384*(VLOOKUP(O$19,Számítás!$B$19:$H$63,7,FALSE))^3))*100,$B$19)</f>
        <v>-</v>
      </c>
      <c r="P54" s="33" t="str">
        <f>IF(AND($I$19+O$17*Adatok!$F$11&gt;Adatok!$F$10-0.01,Adatok!$C$16+$B54&lt;Adatok!$C$17+1),((Adatok!$C$13*Adatok!$C$20*Adatok!$I53*Adatok!$J53)/(8*(VLOOKUP(P$19,Számítás!$B$19:$H$63,7,FALSE)))+(Adatok!$C$13^3*Adatok!$C$20^3*Adatok!$I53^3*Adatok!$J53)/(384*(VLOOKUP(P$19,Számítás!$B$19:$H$63,7,FALSE))^3))*100,$B$19)</f>
        <v>-</v>
      </c>
      <c r="Q54" s="33" t="str">
        <f>IF(AND($I$19+P$17*Adatok!$F$11&gt;Adatok!$F$10-0.01,Adatok!$C$16+$B54&lt;Adatok!$C$17+1),((Adatok!$C$13*Adatok!$C$20*Adatok!$I53*Adatok!$J53)/(8*(VLOOKUP(Q$19,Számítás!$B$19:$H$63,7,FALSE)))+(Adatok!$C$13^3*Adatok!$C$20^3*Adatok!$I53^3*Adatok!$J53)/(384*(VLOOKUP(Q$19,Számítás!$B$19:$H$63,7,FALSE))^3))*100,$B$19)</f>
        <v>-</v>
      </c>
      <c r="R54" s="33" t="str">
        <f>IF(AND($I$19+Q$17*Adatok!$F$11&gt;Adatok!$F$10-0.01,Adatok!$C$16+$B54&lt;Adatok!$C$17+1),((Adatok!$C$13*Adatok!$C$20*Adatok!$I53*Adatok!$J53)/(8*(VLOOKUP(R$19,Számítás!$B$19:$H$63,7,FALSE)))+(Adatok!$C$13^3*Adatok!$C$20^3*Adatok!$I53^3*Adatok!$J53)/(384*(VLOOKUP(R$19,Számítás!$B$19:$H$63,7,FALSE))^3))*100,$B$19)</f>
        <v>-</v>
      </c>
      <c r="S54" s="33" t="str">
        <f>IF(AND($I$19+R$17*Adatok!$F$11&gt;Adatok!$F$10-0.01,Adatok!$C$16+$B54&lt;Adatok!$C$17+1),((Adatok!$C$13*Adatok!$C$20*Adatok!$I53*Adatok!$J53)/(8*(VLOOKUP(S$19,Számítás!$B$19:$H$63,7,FALSE)))+(Adatok!$C$13^3*Adatok!$C$20^3*Adatok!$I53^3*Adatok!$J53)/(384*(VLOOKUP(S$19,Számítás!$B$19:$H$63,7,FALSE))^3))*100,$B$19)</f>
        <v>-</v>
      </c>
      <c r="T54" s="33" t="str">
        <f>IF(AND($I$19+S$17*Adatok!$F$11&gt;Adatok!$F$10-0.01,Adatok!$C$16+$B54&lt;Adatok!$C$17+1),((Adatok!$C$13*Adatok!$C$20*Adatok!$I53*Adatok!$J53)/(8*(VLOOKUP(T$19,Számítás!$B$19:$H$63,7,FALSE)))+(Adatok!$C$13^3*Adatok!$C$20^3*Adatok!$I53^3*Adatok!$J53)/(384*(VLOOKUP(T$19,Számítás!$B$19:$H$63,7,FALSE))^3))*100,$B$19)</f>
        <v>-</v>
      </c>
      <c r="U54" s="33" t="str">
        <f>IF(AND($I$19+T$17*Adatok!$F$11&gt;Adatok!$F$10-0.01,Adatok!$C$16+$B54&lt;Adatok!$C$17+1),((Adatok!$C$13*Adatok!$C$20*Adatok!$I53*Adatok!$J53)/(8*(VLOOKUP(U$19,Számítás!$B$19:$H$63,7,FALSE)))+(Adatok!$C$13^3*Adatok!$C$20^3*Adatok!$I53^3*Adatok!$J53)/(384*(VLOOKUP(U$19,Számítás!$B$19:$H$63,7,FALSE))^3))*100,$B$19)</f>
        <v>-</v>
      </c>
      <c r="V54" s="33" t="str">
        <f>IF(AND($I$19+U$17*Adatok!$F$11&gt;Adatok!$F$10-0.01,Adatok!$C$16+$B54&lt;Adatok!$C$17+1),((Adatok!$C$13*Adatok!$C$20*Adatok!$I53*Adatok!$J53)/(8*(VLOOKUP(V$19,Számítás!$B$19:$H$63,7,FALSE)))+(Adatok!$C$13^3*Adatok!$C$20^3*Adatok!$I53^3*Adatok!$J53)/(384*(VLOOKUP(V$19,Számítás!$B$19:$H$63,7,FALSE))^3))*100,$B$19)</f>
        <v>-</v>
      </c>
      <c r="W54" s="33" t="str">
        <f>IF(AND($I$19+V$17*Adatok!$F$11&gt;Adatok!$F$10-0.01,Adatok!$C$16+$B54&lt;Adatok!$C$17+1),((Adatok!$C$13*Adatok!$C$20*Adatok!$I53*Adatok!$J53)/(8*(VLOOKUP(W$19,Számítás!$B$19:$H$63,7,FALSE)))+(Adatok!$C$13^3*Adatok!$C$20^3*Adatok!$I53^3*Adatok!$J53)/(384*(VLOOKUP(W$19,Számítás!$B$19:$H$63,7,FALSE))^3))*100,$B$19)</f>
        <v>-</v>
      </c>
      <c r="X54" s="33" t="str">
        <f>IF(AND($I$19+W$17*Adatok!$F$11&gt;Adatok!$F$10-0.01,Adatok!$C$16+$B54&lt;Adatok!$C$17+1),((Adatok!$C$13*Adatok!$C$20*Adatok!$I53*Adatok!$J53)/(8*(VLOOKUP(X$19,Számítás!$B$19:$H$63,7,FALSE)))+(Adatok!$C$13^3*Adatok!$C$20^3*Adatok!$I53^3*Adatok!$J53)/(384*(VLOOKUP(X$19,Számítás!$B$19:$H$63,7,FALSE))^3))*100,$B$19)</f>
        <v>-</v>
      </c>
      <c r="Y54" s="33" t="str">
        <f>IF(AND($I$19+X$17*Adatok!$F$11&gt;Adatok!$F$10-0.01,Adatok!$C$16+$B54&lt;Adatok!$C$17+1),((Adatok!$C$13*Adatok!$C$20*Adatok!$I53*Adatok!$J53)/(8*(VLOOKUP(Y$19,Számítás!$B$19:$H$63,7,FALSE)))+(Adatok!$C$13^3*Adatok!$C$20^3*Adatok!$I53^3*Adatok!$J53)/(384*(VLOOKUP(Y$19,Számítás!$B$19:$H$63,7,FALSE))^3))*100,$B$19)</f>
        <v>-</v>
      </c>
      <c r="Z54" s="33" t="str">
        <f>IF(AND($I$19+Y$17*Adatok!$F$11&gt;Adatok!$F$10-0.01,Adatok!$C$16+$B54&lt;Adatok!$C$17+1),((Adatok!$C$13*Adatok!$C$20*Adatok!$I53*Adatok!$J53)/(8*(VLOOKUP(Z$19,Számítás!$B$19:$H$63,7,FALSE)))+(Adatok!$C$13^3*Adatok!$C$20^3*Adatok!$I53^3*Adatok!$J53)/(384*(VLOOKUP(Z$19,Számítás!$B$19:$H$63,7,FALSE))^3))*100,$B$19)</f>
        <v>-</v>
      </c>
      <c r="AA54" s="33" t="str">
        <f>IF(AND($I$19+Z$17*Adatok!$F$11&gt;Adatok!$F$10-0.01,Adatok!$C$16+$B54&lt;Adatok!$C$17+1),((Adatok!$C$13*Adatok!$C$20*Adatok!$I53*Adatok!$J53)/(8*(VLOOKUP(AA$19,Számítás!$B$19:$H$63,7,FALSE)))+(Adatok!$C$13^3*Adatok!$C$20^3*Adatok!$I53^3*Adatok!$J53)/(384*(VLOOKUP(AA$19,Számítás!$B$19:$H$63,7,FALSE))^3))*100,$B$19)</f>
        <v>-</v>
      </c>
      <c r="AB54" s="33" t="str">
        <f>IF(AND($I$19+AA$17*Adatok!$F$11&gt;Adatok!$F$10-0.01,Adatok!$C$16+$B54&lt;Adatok!$C$17+1),((Adatok!$C$13*Adatok!$C$20*Adatok!$I53*Adatok!$J53)/(8*(VLOOKUP(AB$19,Számítás!$B$19:$H$63,7,FALSE)))+(Adatok!$C$13^3*Adatok!$C$20^3*Adatok!$I53^3*Adatok!$J53)/(384*(VLOOKUP(AB$19,Számítás!$B$19:$H$63,7,FALSE))^3))*100,$B$19)</f>
        <v>-</v>
      </c>
      <c r="AC54" s="33" t="str">
        <f>IF(AND($I$19+AB$17*Adatok!$F$11&gt;Adatok!$F$10-0.01,Adatok!$C$16+$B54&lt;Adatok!$C$17+1),((Adatok!$C$13*Adatok!$C$20*Adatok!$I53*Adatok!$J53)/(8*(VLOOKUP(AC$19,Számítás!$B$19:$H$63,7,FALSE)))+(Adatok!$C$13^3*Adatok!$C$20^3*Adatok!$I53^3*Adatok!$J53)/(384*(VLOOKUP(AC$19,Számítás!$B$19:$H$63,7,FALSE))^3))*100,$B$19)</f>
        <v>-</v>
      </c>
      <c r="AD54" s="33" t="str">
        <f>IF(AND($I$19+AC$17*Adatok!$F$11&gt;Adatok!$F$10-0.01,Adatok!$C$16+$B54&lt;Adatok!$C$17+1),((Adatok!$C$13*Adatok!$C$20*Adatok!$I53*Adatok!$J53)/(8*(VLOOKUP(AD$19,Számítás!$B$19:$H$63,7,FALSE)))+(Adatok!$C$13^3*Adatok!$C$20^3*Adatok!$I53^3*Adatok!$J53)/(384*(VLOOKUP(AD$19,Számítás!$B$19:$H$63,7,FALSE))^3))*100,$B$19)</f>
        <v>-</v>
      </c>
      <c r="AE54" s="33" t="str">
        <f>IF(AND($I$19+AD$17*Adatok!$F$11&gt;Adatok!$F$10-0.01,Adatok!$C$16+$B54&lt;Adatok!$C$17+1),((Adatok!$C$13*Adatok!$C$20*Adatok!$I53*Adatok!$J53)/(8*(VLOOKUP(AE$19,Számítás!$B$19:$H$63,7,FALSE)))+(Adatok!$C$13^3*Adatok!$C$20^3*Adatok!$I53^3*Adatok!$J53)/(384*(VLOOKUP(AE$19,Számítás!$B$19:$H$63,7,FALSE))^3))*100,$B$19)</f>
        <v>-</v>
      </c>
      <c r="AF54" s="33" t="str">
        <f>IF(AND($I$19+AE$17*Adatok!$F$11&gt;Adatok!$F$10-0.01,Adatok!$C$16+$B54&lt;Adatok!$C$17+1),((Adatok!$C$13*Adatok!$C$20*Adatok!$I53*Adatok!$J53)/(8*(VLOOKUP(AF$19,Számítás!$B$19:$H$63,7,FALSE)))+(Adatok!$C$13^3*Adatok!$C$20^3*Adatok!$I53^3*Adatok!$J53)/(384*(VLOOKUP(AF$19,Számítás!$B$19:$H$63,7,FALSE))^3))*100,$B$19)</f>
        <v>-</v>
      </c>
      <c r="AG54" s="33" t="str">
        <f>IF(AND($I$19+AF$17*Adatok!$F$11&gt;Adatok!$F$10-0.01,Adatok!$C$16+$B54&lt;Adatok!$C$17+1),((Adatok!$C$13*Adatok!$C$20*Adatok!$I53*Adatok!$J53)/(8*(VLOOKUP(AG$19,Számítás!$B$19:$H$63,7,FALSE)))+(Adatok!$C$13^3*Adatok!$C$20^3*Adatok!$I53^3*Adatok!$J53)/(384*(VLOOKUP(AG$19,Számítás!$B$19:$H$63,7,FALSE))^3))*100,$B$19)</f>
        <v>-</v>
      </c>
      <c r="AH54" s="33" t="str">
        <f>IF(AND($I$19+AG$17*Adatok!$F$11&gt;Adatok!$F$10-0.01,Adatok!$C$16+$B54&lt;Adatok!$C$17+1),((Adatok!$C$13*Adatok!$C$20*Adatok!$I53*Adatok!$J53)/(8*(VLOOKUP(AH$19,Számítás!$B$19:$H$63,7,FALSE)))+(Adatok!$C$13^3*Adatok!$C$20^3*Adatok!$I53^3*Adatok!$J53)/(384*(VLOOKUP(AH$19,Számítás!$B$19:$H$63,7,FALSE))^3))*100,$B$19)</f>
        <v>-</v>
      </c>
      <c r="AI54" s="33" t="str">
        <f>IF(AND($I$19+AH$17*Adatok!$F$11&gt;Adatok!$F$10-0.01,Adatok!$C$16+$B54&lt;Adatok!$C$17+1),((Adatok!$C$13*Adatok!$C$20*Adatok!$I53*Adatok!$J53)/(8*(VLOOKUP(AI$19,Számítás!$B$19:$H$63,7,FALSE)))+(Adatok!$C$13^3*Adatok!$C$20^3*Adatok!$I53^3*Adatok!$J53)/(384*(VLOOKUP(AI$19,Számítás!$B$19:$H$63,7,FALSE))^3))*100,$B$19)</f>
        <v>-</v>
      </c>
      <c r="AJ54" s="33" t="str">
        <f>IF(AND($I$19+AI$17*Adatok!$F$11&gt;Adatok!$F$10-0.01,Adatok!$C$16+$B54&lt;Adatok!$C$17+1),((Adatok!$C$13*Adatok!$C$20*Adatok!$I53*Adatok!$J53)/(8*(VLOOKUP(AJ$19,Számítás!$B$19:$H$63,7,FALSE)))+(Adatok!$C$13^3*Adatok!$C$20^3*Adatok!$I53^3*Adatok!$J53)/(384*(VLOOKUP(AJ$19,Számítás!$B$19:$H$63,7,FALSE))^3))*100,$B$19)</f>
        <v>-</v>
      </c>
      <c r="AK54" s="33" t="str">
        <f>IF(AND($I$19+AJ$17*Adatok!$F$11&gt;Adatok!$F$10-0.01,Adatok!$C$16+$B54&lt;Adatok!$C$17+1),((Adatok!$C$13*Adatok!$C$20*Adatok!$I53*Adatok!$J53)/(8*(VLOOKUP(AK$19,Számítás!$B$19:$H$63,7,FALSE)))+(Adatok!$C$13^3*Adatok!$C$20^3*Adatok!$I53^3*Adatok!$J53)/(384*(VLOOKUP(AK$19,Számítás!$B$19:$H$63,7,FALSE))^3))*100,$B$19)</f>
        <v>-</v>
      </c>
      <c r="AL54" s="33" t="str">
        <f>IF(AND($I$19+AK$17*Adatok!$F$11&gt;Adatok!$F$10-0.01,Adatok!$C$16+$B54&lt;Adatok!$C$17+1),((Adatok!$C$13*Adatok!$C$20*Adatok!$I53*Adatok!$J53)/(8*(VLOOKUP(AL$19,Számítás!$B$19:$H$63,7,FALSE)))+(Adatok!$C$13^3*Adatok!$C$20^3*Adatok!$I53^3*Adatok!$J53)/(384*(VLOOKUP(AL$19,Számítás!$B$19:$H$63,7,FALSE))^3))*100,$B$19)</f>
        <v>-</v>
      </c>
      <c r="AM54" s="33" t="str">
        <f>IF(AND($I$19+AL$17*Adatok!$F$11&gt;Adatok!$F$10-0.01,Adatok!$C$16+$B54&lt;Adatok!$C$17+1),((Adatok!$C$13*Adatok!$C$20*Adatok!$I53*Adatok!$J53)/(8*(VLOOKUP(AM$19,Számítás!$B$19:$H$63,7,FALSE)))+(Adatok!$C$13^3*Adatok!$C$20^3*Adatok!$I53^3*Adatok!$J53)/(384*(VLOOKUP(AM$19,Számítás!$B$19:$H$63,7,FALSE))^3))*100,$B$19)</f>
        <v>-</v>
      </c>
      <c r="AN54" s="33" t="str">
        <f>IF(AND($I$19+AM$17*Adatok!$F$11&gt;Adatok!$F$10-0.01,Adatok!$C$16+$B54&lt;Adatok!$C$17+1),((Adatok!$C$13*Adatok!$C$20*Adatok!$I53*Adatok!$J53)/(8*(VLOOKUP(AN$19,Számítás!$B$19:$H$63,7,FALSE)))+(Adatok!$C$13^3*Adatok!$C$20^3*Adatok!$I53^3*Adatok!$J53)/(384*(VLOOKUP(AN$19,Számítás!$B$19:$H$63,7,FALSE))^3))*100,$B$19)</f>
        <v>-</v>
      </c>
      <c r="AO54" s="33" t="str">
        <f>IF(AND($I$19+AN$17*Adatok!$F$11&gt;Adatok!$F$10-0.01,Adatok!$C$16+$B54&lt;Adatok!$C$17+1),((Adatok!$C$13*Adatok!$C$20*Adatok!$I53*Adatok!$J53)/(8*(VLOOKUP(AO$19,Számítás!$B$19:$H$63,7,FALSE)))+(Adatok!$C$13^3*Adatok!$C$20^3*Adatok!$I53^3*Adatok!$J53)/(384*(VLOOKUP(AO$19,Számítás!$B$19:$H$63,7,FALSE))^3))*100,$B$19)</f>
        <v>-</v>
      </c>
      <c r="AP54" s="33" t="str">
        <f>IF(AND($I$19+AO$17*Adatok!$F$11&gt;Adatok!$F$10-0.01,Adatok!$C$16+$B54&lt;Adatok!$C$17+1),((Adatok!$C$13*Adatok!$C$20*Adatok!$I53*Adatok!$J53)/(8*(VLOOKUP(AP$19,Számítás!$B$19:$H$63,7,FALSE)))+(Adatok!$C$13^3*Adatok!$C$20^3*Adatok!$I53^3*Adatok!$J53)/(384*(VLOOKUP(AP$19,Számítás!$B$19:$H$63,7,FALSE))^3))*100,$B$19)</f>
        <v>-</v>
      </c>
      <c r="AQ54" s="33" t="str">
        <f>IF(AND($I$19+AP$17*Adatok!$F$11&gt;Adatok!$F$10-0.01,Adatok!$C$16+$B54&lt;Adatok!$C$17+1),((Adatok!$C$13*Adatok!$C$20*Adatok!$I53*Adatok!$J53)/(8*(VLOOKUP(AQ$19,Számítás!$B$19:$H$63,7,FALSE)))+(Adatok!$C$13^3*Adatok!$C$20^3*Adatok!$I53^3*Adatok!$J53)/(384*(VLOOKUP(AQ$19,Számítás!$B$19:$H$63,7,FALSE))^3))*100,$B$19)</f>
        <v>-</v>
      </c>
      <c r="AR54" s="33" t="str">
        <f>IF(AND($I$19+AQ$17*Adatok!$F$11&gt;Adatok!$F$10-0.01,Adatok!$C$16+$B54&lt;Adatok!$C$17+1),((Adatok!$C$13*Adatok!$C$20*Adatok!$I53*Adatok!$J53)/(8*(VLOOKUP(AR$19,Számítás!$B$19:$H$63,7,FALSE)))+(Adatok!$C$13^3*Adatok!$C$20^3*Adatok!$I53^3*Adatok!$J53)/(384*(VLOOKUP(AR$19,Számítás!$B$19:$H$63,7,FALSE))^3))*100,$B$19)</f>
        <v>-</v>
      </c>
      <c r="AS54" s="33" t="str">
        <f>IF(AND($I$19+AR$17*Adatok!$F$11&gt;Adatok!$F$10-0.01,Adatok!$C$16+$B54&lt;Adatok!$C$17+1),((Adatok!$C$13*Adatok!$C$20*Adatok!$I53*Adatok!$J53)/(8*(VLOOKUP(AS$19,Számítás!$B$19:$H$63,7,FALSE)))+(Adatok!$C$13^3*Adatok!$C$20^3*Adatok!$I53^3*Adatok!$J53)/(384*(VLOOKUP(AS$19,Számítás!$B$19:$H$63,7,FALSE))^3))*100,$B$19)</f>
        <v>-</v>
      </c>
      <c r="AT54" s="33" t="str">
        <f>IF(AND($I$19+AS$17*Adatok!$F$11&gt;Adatok!$F$10-0.01,Adatok!$C$16+$B54&lt;Adatok!$C$17+1),((Adatok!$C$13*Adatok!$C$20*Adatok!$I53*Adatok!$J53)/(8*(VLOOKUP(AT$19,Számítás!$B$19:$H$63,7,FALSE)))+(Adatok!$C$13^3*Adatok!$C$20^3*Adatok!$I53^3*Adatok!$J53)/(384*(VLOOKUP(AT$19,Számítás!$B$19:$H$63,7,FALSE))^3))*100,$B$19)</f>
        <v>-</v>
      </c>
      <c r="AU54" s="33" t="str">
        <f>IF(AND($I$19+AT$17*Adatok!$F$11&gt;Adatok!$F$10-0.01,Adatok!$C$16+$B54&lt;Adatok!$C$17+1),((Adatok!$C$13*Adatok!$C$20*Adatok!$I53*Adatok!$J53)/(8*(VLOOKUP(AU$19,Számítás!$B$19:$H$63,7,FALSE)))+(Adatok!$C$13^3*Adatok!$C$20^3*Adatok!$I53^3*Adatok!$J53)/(384*(VLOOKUP(AU$19,Számítás!$B$19:$H$63,7,FALSE))^3))*100,$B$19)</f>
        <v>-</v>
      </c>
      <c r="AV54" s="33" t="str">
        <f>IF(AND($I$19+AU$17*Adatok!$F$11&gt;Adatok!$F$10-0.01,Adatok!$C$16+$B54&lt;Adatok!$C$17+1),((Adatok!$C$13*Adatok!$C$20*Adatok!$I53*Adatok!$J53)/(8*(VLOOKUP(AV$19,Számítás!$B$19:$H$63,7,FALSE)))+(Adatok!$C$13^3*Adatok!$C$20^3*Adatok!$I53^3*Adatok!$J53)/(384*(VLOOKUP(AV$19,Számítás!$B$19:$H$63,7,FALSE))^3))*100,$B$19)</f>
        <v>-</v>
      </c>
      <c r="AW54" s="33" t="str">
        <f>IF(AND($I$19+AV$17*Adatok!$F$11&gt;Adatok!$F$10-0.01,Adatok!$C$16+$B54&lt;Adatok!$C$17+1),((Adatok!$C$13*Adatok!$C$20*Adatok!$I53*Adatok!$J53)/(8*(VLOOKUP(AW$19,Számítás!$B$19:$H$63,7,FALSE)))+(Adatok!$C$13^3*Adatok!$C$20^3*Adatok!$I53^3*Adatok!$J53)/(384*(VLOOKUP(AW$19,Számítás!$B$19:$H$63,7,FALSE))^3))*100,$B$19)</f>
        <v>-</v>
      </c>
      <c r="AX54" s="33" t="str">
        <f>IF(AND($I$19+AW$17*Adatok!$F$11&gt;Adatok!$F$10-0.01,Adatok!$C$16+$B54&lt;Adatok!$C$17+1),((Adatok!$C$13*Adatok!$C$20*Adatok!$I53*Adatok!$J53)/(8*(VLOOKUP(AX$19,Számítás!$B$19:$H$63,7,FALSE)))+(Adatok!$C$13^3*Adatok!$C$20^3*Adatok!$I53^3*Adatok!$J53)/(384*(VLOOKUP(AX$19,Számítás!$B$19:$H$63,7,FALSE))^3))*100,$B$19)</f>
        <v>-</v>
      </c>
      <c r="AY54" s="33" t="str">
        <f>IF(AND($I$19+AX$17*Adatok!$F$11&gt;Adatok!$F$10-0.01,Adatok!$C$16+$B54&lt;Adatok!$C$17+1),((Adatok!$C$13*Adatok!$C$20*Adatok!$I53*Adatok!$J53)/(8*(VLOOKUP(AY$19,Számítás!$B$19:$H$63,7,FALSE)))+(Adatok!$C$13^3*Adatok!$C$20^3*Adatok!$I53^3*Adatok!$J53)/(384*(VLOOKUP(AY$19,Számítás!$B$19:$H$63,7,FALSE))^3))*100,$B$19)</f>
        <v>-</v>
      </c>
      <c r="AZ54" s="33" t="str">
        <f>IF(AND($I$19+AY$17*Adatok!$F$11&gt;Adatok!$F$10-0.01,Adatok!$C$16+$B54&lt;Adatok!$C$17+1),((Adatok!$C$13*Adatok!$C$20*Adatok!$I53*Adatok!$J53)/(8*(VLOOKUP(AZ$19,Számítás!$B$19:$H$63,7,FALSE)))+(Adatok!$C$13^3*Adatok!$C$20^3*Adatok!$I53^3*Adatok!$J53)/(384*(VLOOKUP(AZ$19,Számítás!$B$19:$H$63,7,FALSE))^3))*100,$B$19)</f>
        <v>-</v>
      </c>
      <c r="BA54" s="33" t="str">
        <f>IF(AND($I$19+AZ$17*Adatok!$F$11&gt;Adatok!$F$10-0.01,Adatok!$C$16+$B54&lt;Adatok!$C$17+1),((Adatok!$C$13*Adatok!$C$20*Adatok!$I53*Adatok!$J53)/(8*(VLOOKUP(BA$19,Számítás!$B$19:$H$63,7,FALSE)))+(Adatok!$C$13^3*Adatok!$C$20^3*Adatok!$I53^3*Adatok!$J53)/(384*(VLOOKUP(BA$19,Számítás!$B$19:$H$63,7,FALSE))^3))*100,$B$19)</f>
        <v>-</v>
      </c>
    </row>
    <row r="55" spans="2:53" ht="18" customHeight="1" x14ac:dyDescent="0.25">
      <c r="B55" s="1">
        <v>36</v>
      </c>
      <c r="C55" s="333" t="str">
        <f>Adatok!F54</f>
        <v>-</v>
      </c>
      <c r="D55" s="32" t="s">
        <v>27</v>
      </c>
      <c r="E55" s="336" t="str">
        <f>Adatok!H54</f>
        <v>-</v>
      </c>
      <c r="F55" s="64" t="str">
        <f>IF(Adatok!$C$16+B55&gt;Adatok!$C$17,$B$19,Adatok!I54)</f>
        <v>-</v>
      </c>
      <c r="G55" s="60"/>
      <c r="H55" s="72" t="str">
        <f>IF(Adatok!$C$16+B55&gt;Adatok!$C$17,$B$19,Adatok!J54/Adatok!I54)</f>
        <v>-</v>
      </c>
      <c r="I55" s="81" t="str">
        <f>IF(Adatok!$C$16+$B55&lt;Adatok!$C$17+1,((((Adatok!$C$13*Adatok!$C$20*Adatok!$I54*Adatok!$J54)/(8*(VLOOKUP(I$19,Számítás!$B$19:$H$63,7,FALSE))))+((Adatok!$C$13^3*Adatok!$C$20^3*Adatok!$I54^3*Adatok!$J54)/(384*(VLOOKUP(I$19,Számítás!$B$19:$H$63,7,FALSE))^3)))*100),$B$19)</f>
        <v>-</v>
      </c>
      <c r="J55" s="33" t="str">
        <f>IF(AND($I$19+I$17*Adatok!$F$11&gt;Adatok!$F$10-0.01,Adatok!$C$16+$B55&lt;Adatok!$C$17+1),((Adatok!$C$13*Adatok!$C$20*Adatok!$I54*Adatok!$J54)/(8*(VLOOKUP(J$19,Számítás!$B$19:$H$63,7,FALSE)))+(Adatok!$C$13^3*Adatok!$C$20^3*Adatok!$I54^3*Adatok!$J54)/(384*(VLOOKUP(J$19,Számítás!$B$19:$H$63,7,FALSE))^3))*100,$B$19)</f>
        <v>-</v>
      </c>
      <c r="K55" s="33" t="str">
        <f>IF(AND($I$19+J$17*Adatok!$F$11&gt;Adatok!$F$10-0.01,Adatok!$C$16+$B55&lt;Adatok!$C$17+1),((Adatok!$C$13*Adatok!$C$20*Adatok!$I54*Adatok!$J54)/(8*(VLOOKUP(K$19,Számítás!$B$19:$H$63,7,FALSE)))+(Adatok!$C$13^3*Adatok!$C$20^3*Adatok!$I54^3*Adatok!$J54)/(384*(VLOOKUP(K$19,Számítás!$B$19:$H$63,7,FALSE))^3))*100,$B$19)</f>
        <v>-</v>
      </c>
      <c r="L55" s="33" t="str">
        <f>IF(AND($I$19+K$17*Adatok!$F$11&gt;Adatok!$F$10-0.01,Adatok!$C$16+$B55&lt;Adatok!$C$17+1),((Adatok!$C$13*Adatok!$C$20*Adatok!$I54*Adatok!$J54)/(8*(VLOOKUP(L$19,Számítás!$B$19:$H$63,7,FALSE)))+(Adatok!$C$13^3*Adatok!$C$20^3*Adatok!$I54^3*Adatok!$J54)/(384*(VLOOKUP(L$19,Számítás!$B$19:$H$63,7,FALSE))^3))*100,$B$19)</f>
        <v>-</v>
      </c>
      <c r="M55" s="33" t="str">
        <f>IF(AND($I$19+L$17*Adatok!$F$11&gt;Adatok!$F$10-0.01,Adatok!$C$16+$B55&lt;Adatok!$C$17+1),((Adatok!$C$13*Adatok!$C$20*Adatok!$I54*Adatok!$J54)/(8*(VLOOKUP(M$19,Számítás!$B$19:$H$63,7,FALSE)))+(Adatok!$C$13^3*Adatok!$C$20^3*Adatok!$I54^3*Adatok!$J54)/(384*(VLOOKUP(M$19,Számítás!$B$19:$H$63,7,FALSE))^3))*100,$B$19)</f>
        <v>-</v>
      </c>
      <c r="N55" s="33" t="str">
        <f>IF(AND($I$19+M$17*Adatok!$F$11&gt;Adatok!$F$10-0.01,Adatok!$C$16+$B55&lt;Adatok!$C$17+1),((Adatok!$C$13*Adatok!$C$20*Adatok!$I54*Adatok!$J54)/(8*(VLOOKUP(N$19,Számítás!$B$19:$H$63,7,FALSE)))+(Adatok!$C$13^3*Adatok!$C$20^3*Adatok!$I54^3*Adatok!$J54)/(384*(VLOOKUP(N$19,Számítás!$B$19:$H$63,7,FALSE))^3))*100,$B$19)</f>
        <v>-</v>
      </c>
      <c r="O55" s="33" t="str">
        <f>IF(AND($I$19+N$17*Adatok!$F$11&gt;Adatok!$F$10-0.01,Adatok!$C$16+$B55&lt;Adatok!$C$17+1),((Adatok!$C$13*Adatok!$C$20*Adatok!$I54*Adatok!$J54)/(8*(VLOOKUP(O$19,Számítás!$B$19:$H$63,7,FALSE)))+(Adatok!$C$13^3*Adatok!$C$20^3*Adatok!$I54^3*Adatok!$J54)/(384*(VLOOKUP(O$19,Számítás!$B$19:$H$63,7,FALSE))^3))*100,$B$19)</f>
        <v>-</v>
      </c>
      <c r="P55" s="33" t="str">
        <f>IF(AND($I$19+O$17*Adatok!$F$11&gt;Adatok!$F$10-0.01,Adatok!$C$16+$B55&lt;Adatok!$C$17+1),((Adatok!$C$13*Adatok!$C$20*Adatok!$I54*Adatok!$J54)/(8*(VLOOKUP(P$19,Számítás!$B$19:$H$63,7,FALSE)))+(Adatok!$C$13^3*Adatok!$C$20^3*Adatok!$I54^3*Adatok!$J54)/(384*(VLOOKUP(P$19,Számítás!$B$19:$H$63,7,FALSE))^3))*100,$B$19)</f>
        <v>-</v>
      </c>
      <c r="Q55" s="33" t="str">
        <f>IF(AND($I$19+P$17*Adatok!$F$11&gt;Adatok!$F$10-0.01,Adatok!$C$16+$B55&lt;Adatok!$C$17+1),((Adatok!$C$13*Adatok!$C$20*Adatok!$I54*Adatok!$J54)/(8*(VLOOKUP(Q$19,Számítás!$B$19:$H$63,7,FALSE)))+(Adatok!$C$13^3*Adatok!$C$20^3*Adatok!$I54^3*Adatok!$J54)/(384*(VLOOKUP(Q$19,Számítás!$B$19:$H$63,7,FALSE))^3))*100,$B$19)</f>
        <v>-</v>
      </c>
      <c r="R55" s="33" t="str">
        <f>IF(AND($I$19+Q$17*Adatok!$F$11&gt;Adatok!$F$10-0.01,Adatok!$C$16+$B55&lt;Adatok!$C$17+1),((Adatok!$C$13*Adatok!$C$20*Adatok!$I54*Adatok!$J54)/(8*(VLOOKUP(R$19,Számítás!$B$19:$H$63,7,FALSE)))+(Adatok!$C$13^3*Adatok!$C$20^3*Adatok!$I54^3*Adatok!$J54)/(384*(VLOOKUP(R$19,Számítás!$B$19:$H$63,7,FALSE))^3))*100,$B$19)</f>
        <v>-</v>
      </c>
      <c r="S55" s="33" t="str">
        <f>IF(AND($I$19+R$17*Adatok!$F$11&gt;Adatok!$F$10-0.01,Adatok!$C$16+$B55&lt;Adatok!$C$17+1),((Adatok!$C$13*Adatok!$C$20*Adatok!$I54*Adatok!$J54)/(8*(VLOOKUP(S$19,Számítás!$B$19:$H$63,7,FALSE)))+(Adatok!$C$13^3*Adatok!$C$20^3*Adatok!$I54^3*Adatok!$J54)/(384*(VLOOKUP(S$19,Számítás!$B$19:$H$63,7,FALSE))^3))*100,$B$19)</f>
        <v>-</v>
      </c>
      <c r="T55" s="33" t="str">
        <f>IF(AND($I$19+S$17*Adatok!$F$11&gt;Adatok!$F$10-0.01,Adatok!$C$16+$B55&lt;Adatok!$C$17+1),((Adatok!$C$13*Adatok!$C$20*Adatok!$I54*Adatok!$J54)/(8*(VLOOKUP(T$19,Számítás!$B$19:$H$63,7,FALSE)))+(Adatok!$C$13^3*Adatok!$C$20^3*Adatok!$I54^3*Adatok!$J54)/(384*(VLOOKUP(T$19,Számítás!$B$19:$H$63,7,FALSE))^3))*100,$B$19)</f>
        <v>-</v>
      </c>
      <c r="U55" s="33" t="str">
        <f>IF(AND($I$19+T$17*Adatok!$F$11&gt;Adatok!$F$10-0.01,Adatok!$C$16+$B55&lt;Adatok!$C$17+1),((Adatok!$C$13*Adatok!$C$20*Adatok!$I54*Adatok!$J54)/(8*(VLOOKUP(U$19,Számítás!$B$19:$H$63,7,FALSE)))+(Adatok!$C$13^3*Adatok!$C$20^3*Adatok!$I54^3*Adatok!$J54)/(384*(VLOOKUP(U$19,Számítás!$B$19:$H$63,7,FALSE))^3))*100,$B$19)</f>
        <v>-</v>
      </c>
      <c r="V55" s="33" t="str">
        <f>IF(AND($I$19+U$17*Adatok!$F$11&gt;Adatok!$F$10-0.01,Adatok!$C$16+$B55&lt;Adatok!$C$17+1),((Adatok!$C$13*Adatok!$C$20*Adatok!$I54*Adatok!$J54)/(8*(VLOOKUP(V$19,Számítás!$B$19:$H$63,7,FALSE)))+(Adatok!$C$13^3*Adatok!$C$20^3*Adatok!$I54^3*Adatok!$J54)/(384*(VLOOKUP(V$19,Számítás!$B$19:$H$63,7,FALSE))^3))*100,$B$19)</f>
        <v>-</v>
      </c>
      <c r="W55" s="33" t="str">
        <f>IF(AND($I$19+V$17*Adatok!$F$11&gt;Adatok!$F$10-0.01,Adatok!$C$16+$B55&lt;Adatok!$C$17+1),((Adatok!$C$13*Adatok!$C$20*Adatok!$I54*Adatok!$J54)/(8*(VLOOKUP(W$19,Számítás!$B$19:$H$63,7,FALSE)))+(Adatok!$C$13^3*Adatok!$C$20^3*Adatok!$I54^3*Adatok!$J54)/(384*(VLOOKUP(W$19,Számítás!$B$19:$H$63,7,FALSE))^3))*100,$B$19)</f>
        <v>-</v>
      </c>
      <c r="X55" s="33" t="str">
        <f>IF(AND($I$19+W$17*Adatok!$F$11&gt;Adatok!$F$10-0.01,Adatok!$C$16+$B55&lt;Adatok!$C$17+1),((Adatok!$C$13*Adatok!$C$20*Adatok!$I54*Adatok!$J54)/(8*(VLOOKUP(X$19,Számítás!$B$19:$H$63,7,FALSE)))+(Adatok!$C$13^3*Adatok!$C$20^3*Adatok!$I54^3*Adatok!$J54)/(384*(VLOOKUP(X$19,Számítás!$B$19:$H$63,7,FALSE))^3))*100,$B$19)</f>
        <v>-</v>
      </c>
      <c r="Y55" s="33" t="str">
        <f>IF(AND($I$19+X$17*Adatok!$F$11&gt;Adatok!$F$10-0.01,Adatok!$C$16+$B55&lt;Adatok!$C$17+1),((Adatok!$C$13*Adatok!$C$20*Adatok!$I54*Adatok!$J54)/(8*(VLOOKUP(Y$19,Számítás!$B$19:$H$63,7,FALSE)))+(Adatok!$C$13^3*Adatok!$C$20^3*Adatok!$I54^3*Adatok!$J54)/(384*(VLOOKUP(Y$19,Számítás!$B$19:$H$63,7,FALSE))^3))*100,$B$19)</f>
        <v>-</v>
      </c>
      <c r="Z55" s="33" t="str">
        <f>IF(AND($I$19+Y$17*Adatok!$F$11&gt;Adatok!$F$10-0.01,Adatok!$C$16+$B55&lt;Adatok!$C$17+1),((Adatok!$C$13*Adatok!$C$20*Adatok!$I54*Adatok!$J54)/(8*(VLOOKUP(Z$19,Számítás!$B$19:$H$63,7,FALSE)))+(Adatok!$C$13^3*Adatok!$C$20^3*Adatok!$I54^3*Adatok!$J54)/(384*(VLOOKUP(Z$19,Számítás!$B$19:$H$63,7,FALSE))^3))*100,$B$19)</f>
        <v>-</v>
      </c>
      <c r="AA55" s="33" t="str">
        <f>IF(AND($I$19+Z$17*Adatok!$F$11&gt;Adatok!$F$10-0.01,Adatok!$C$16+$B55&lt;Adatok!$C$17+1),((Adatok!$C$13*Adatok!$C$20*Adatok!$I54*Adatok!$J54)/(8*(VLOOKUP(AA$19,Számítás!$B$19:$H$63,7,FALSE)))+(Adatok!$C$13^3*Adatok!$C$20^3*Adatok!$I54^3*Adatok!$J54)/(384*(VLOOKUP(AA$19,Számítás!$B$19:$H$63,7,FALSE))^3))*100,$B$19)</f>
        <v>-</v>
      </c>
      <c r="AB55" s="33" t="str">
        <f>IF(AND($I$19+AA$17*Adatok!$F$11&gt;Adatok!$F$10-0.01,Adatok!$C$16+$B55&lt;Adatok!$C$17+1),((Adatok!$C$13*Adatok!$C$20*Adatok!$I54*Adatok!$J54)/(8*(VLOOKUP(AB$19,Számítás!$B$19:$H$63,7,FALSE)))+(Adatok!$C$13^3*Adatok!$C$20^3*Adatok!$I54^3*Adatok!$J54)/(384*(VLOOKUP(AB$19,Számítás!$B$19:$H$63,7,FALSE))^3))*100,$B$19)</f>
        <v>-</v>
      </c>
      <c r="AC55" s="33" t="str">
        <f>IF(AND($I$19+AB$17*Adatok!$F$11&gt;Adatok!$F$10-0.01,Adatok!$C$16+$B55&lt;Adatok!$C$17+1),((Adatok!$C$13*Adatok!$C$20*Adatok!$I54*Adatok!$J54)/(8*(VLOOKUP(AC$19,Számítás!$B$19:$H$63,7,FALSE)))+(Adatok!$C$13^3*Adatok!$C$20^3*Adatok!$I54^3*Adatok!$J54)/(384*(VLOOKUP(AC$19,Számítás!$B$19:$H$63,7,FALSE))^3))*100,$B$19)</f>
        <v>-</v>
      </c>
      <c r="AD55" s="33" t="str">
        <f>IF(AND($I$19+AC$17*Adatok!$F$11&gt;Adatok!$F$10-0.01,Adatok!$C$16+$B55&lt;Adatok!$C$17+1),((Adatok!$C$13*Adatok!$C$20*Adatok!$I54*Adatok!$J54)/(8*(VLOOKUP(AD$19,Számítás!$B$19:$H$63,7,FALSE)))+(Adatok!$C$13^3*Adatok!$C$20^3*Adatok!$I54^3*Adatok!$J54)/(384*(VLOOKUP(AD$19,Számítás!$B$19:$H$63,7,FALSE))^3))*100,$B$19)</f>
        <v>-</v>
      </c>
      <c r="AE55" s="33" t="str">
        <f>IF(AND($I$19+AD$17*Adatok!$F$11&gt;Adatok!$F$10-0.01,Adatok!$C$16+$B55&lt;Adatok!$C$17+1),((Adatok!$C$13*Adatok!$C$20*Adatok!$I54*Adatok!$J54)/(8*(VLOOKUP(AE$19,Számítás!$B$19:$H$63,7,FALSE)))+(Adatok!$C$13^3*Adatok!$C$20^3*Adatok!$I54^3*Adatok!$J54)/(384*(VLOOKUP(AE$19,Számítás!$B$19:$H$63,7,FALSE))^3))*100,$B$19)</f>
        <v>-</v>
      </c>
      <c r="AF55" s="33" t="str">
        <f>IF(AND($I$19+AE$17*Adatok!$F$11&gt;Adatok!$F$10-0.01,Adatok!$C$16+$B55&lt;Adatok!$C$17+1),((Adatok!$C$13*Adatok!$C$20*Adatok!$I54*Adatok!$J54)/(8*(VLOOKUP(AF$19,Számítás!$B$19:$H$63,7,FALSE)))+(Adatok!$C$13^3*Adatok!$C$20^3*Adatok!$I54^3*Adatok!$J54)/(384*(VLOOKUP(AF$19,Számítás!$B$19:$H$63,7,FALSE))^3))*100,$B$19)</f>
        <v>-</v>
      </c>
      <c r="AG55" s="33" t="str">
        <f>IF(AND($I$19+AF$17*Adatok!$F$11&gt;Adatok!$F$10-0.01,Adatok!$C$16+$B55&lt;Adatok!$C$17+1),((Adatok!$C$13*Adatok!$C$20*Adatok!$I54*Adatok!$J54)/(8*(VLOOKUP(AG$19,Számítás!$B$19:$H$63,7,FALSE)))+(Adatok!$C$13^3*Adatok!$C$20^3*Adatok!$I54^3*Adatok!$J54)/(384*(VLOOKUP(AG$19,Számítás!$B$19:$H$63,7,FALSE))^3))*100,$B$19)</f>
        <v>-</v>
      </c>
      <c r="AH55" s="33" t="str">
        <f>IF(AND($I$19+AG$17*Adatok!$F$11&gt;Adatok!$F$10-0.01,Adatok!$C$16+$B55&lt;Adatok!$C$17+1),((Adatok!$C$13*Adatok!$C$20*Adatok!$I54*Adatok!$J54)/(8*(VLOOKUP(AH$19,Számítás!$B$19:$H$63,7,FALSE)))+(Adatok!$C$13^3*Adatok!$C$20^3*Adatok!$I54^3*Adatok!$J54)/(384*(VLOOKUP(AH$19,Számítás!$B$19:$H$63,7,FALSE))^3))*100,$B$19)</f>
        <v>-</v>
      </c>
      <c r="AI55" s="33" t="str">
        <f>IF(AND($I$19+AH$17*Adatok!$F$11&gt;Adatok!$F$10-0.01,Adatok!$C$16+$B55&lt;Adatok!$C$17+1),((Adatok!$C$13*Adatok!$C$20*Adatok!$I54*Adatok!$J54)/(8*(VLOOKUP(AI$19,Számítás!$B$19:$H$63,7,FALSE)))+(Adatok!$C$13^3*Adatok!$C$20^3*Adatok!$I54^3*Adatok!$J54)/(384*(VLOOKUP(AI$19,Számítás!$B$19:$H$63,7,FALSE))^3))*100,$B$19)</f>
        <v>-</v>
      </c>
      <c r="AJ55" s="33" t="str">
        <f>IF(AND($I$19+AI$17*Adatok!$F$11&gt;Adatok!$F$10-0.01,Adatok!$C$16+$B55&lt;Adatok!$C$17+1),((Adatok!$C$13*Adatok!$C$20*Adatok!$I54*Adatok!$J54)/(8*(VLOOKUP(AJ$19,Számítás!$B$19:$H$63,7,FALSE)))+(Adatok!$C$13^3*Adatok!$C$20^3*Adatok!$I54^3*Adatok!$J54)/(384*(VLOOKUP(AJ$19,Számítás!$B$19:$H$63,7,FALSE))^3))*100,$B$19)</f>
        <v>-</v>
      </c>
      <c r="AK55" s="33" t="str">
        <f>IF(AND($I$19+AJ$17*Adatok!$F$11&gt;Adatok!$F$10-0.01,Adatok!$C$16+$B55&lt;Adatok!$C$17+1),((Adatok!$C$13*Adatok!$C$20*Adatok!$I54*Adatok!$J54)/(8*(VLOOKUP(AK$19,Számítás!$B$19:$H$63,7,FALSE)))+(Adatok!$C$13^3*Adatok!$C$20^3*Adatok!$I54^3*Adatok!$J54)/(384*(VLOOKUP(AK$19,Számítás!$B$19:$H$63,7,FALSE))^3))*100,$B$19)</f>
        <v>-</v>
      </c>
      <c r="AL55" s="33" t="str">
        <f>IF(AND($I$19+AK$17*Adatok!$F$11&gt;Adatok!$F$10-0.01,Adatok!$C$16+$B55&lt;Adatok!$C$17+1),((Adatok!$C$13*Adatok!$C$20*Adatok!$I54*Adatok!$J54)/(8*(VLOOKUP(AL$19,Számítás!$B$19:$H$63,7,FALSE)))+(Adatok!$C$13^3*Adatok!$C$20^3*Adatok!$I54^3*Adatok!$J54)/(384*(VLOOKUP(AL$19,Számítás!$B$19:$H$63,7,FALSE))^3))*100,$B$19)</f>
        <v>-</v>
      </c>
      <c r="AM55" s="33" t="str">
        <f>IF(AND($I$19+AL$17*Adatok!$F$11&gt;Adatok!$F$10-0.01,Adatok!$C$16+$B55&lt;Adatok!$C$17+1),((Adatok!$C$13*Adatok!$C$20*Adatok!$I54*Adatok!$J54)/(8*(VLOOKUP(AM$19,Számítás!$B$19:$H$63,7,FALSE)))+(Adatok!$C$13^3*Adatok!$C$20^3*Adatok!$I54^3*Adatok!$J54)/(384*(VLOOKUP(AM$19,Számítás!$B$19:$H$63,7,FALSE))^3))*100,$B$19)</f>
        <v>-</v>
      </c>
      <c r="AN55" s="33" t="str">
        <f>IF(AND($I$19+AM$17*Adatok!$F$11&gt;Adatok!$F$10-0.01,Adatok!$C$16+$B55&lt;Adatok!$C$17+1),((Adatok!$C$13*Adatok!$C$20*Adatok!$I54*Adatok!$J54)/(8*(VLOOKUP(AN$19,Számítás!$B$19:$H$63,7,FALSE)))+(Adatok!$C$13^3*Adatok!$C$20^3*Adatok!$I54^3*Adatok!$J54)/(384*(VLOOKUP(AN$19,Számítás!$B$19:$H$63,7,FALSE))^3))*100,$B$19)</f>
        <v>-</v>
      </c>
      <c r="AO55" s="33" t="str">
        <f>IF(AND($I$19+AN$17*Adatok!$F$11&gt;Adatok!$F$10-0.01,Adatok!$C$16+$B55&lt;Adatok!$C$17+1),((Adatok!$C$13*Adatok!$C$20*Adatok!$I54*Adatok!$J54)/(8*(VLOOKUP(AO$19,Számítás!$B$19:$H$63,7,FALSE)))+(Adatok!$C$13^3*Adatok!$C$20^3*Adatok!$I54^3*Adatok!$J54)/(384*(VLOOKUP(AO$19,Számítás!$B$19:$H$63,7,FALSE))^3))*100,$B$19)</f>
        <v>-</v>
      </c>
      <c r="AP55" s="33" t="str">
        <f>IF(AND($I$19+AO$17*Adatok!$F$11&gt;Adatok!$F$10-0.01,Adatok!$C$16+$B55&lt;Adatok!$C$17+1),((Adatok!$C$13*Adatok!$C$20*Adatok!$I54*Adatok!$J54)/(8*(VLOOKUP(AP$19,Számítás!$B$19:$H$63,7,FALSE)))+(Adatok!$C$13^3*Adatok!$C$20^3*Adatok!$I54^3*Adatok!$J54)/(384*(VLOOKUP(AP$19,Számítás!$B$19:$H$63,7,FALSE))^3))*100,$B$19)</f>
        <v>-</v>
      </c>
      <c r="AQ55" s="33" t="str">
        <f>IF(AND($I$19+AP$17*Adatok!$F$11&gt;Adatok!$F$10-0.01,Adatok!$C$16+$B55&lt;Adatok!$C$17+1),((Adatok!$C$13*Adatok!$C$20*Adatok!$I54*Adatok!$J54)/(8*(VLOOKUP(AQ$19,Számítás!$B$19:$H$63,7,FALSE)))+(Adatok!$C$13^3*Adatok!$C$20^3*Adatok!$I54^3*Adatok!$J54)/(384*(VLOOKUP(AQ$19,Számítás!$B$19:$H$63,7,FALSE))^3))*100,$B$19)</f>
        <v>-</v>
      </c>
      <c r="AR55" s="33" t="str">
        <f>IF(AND($I$19+AQ$17*Adatok!$F$11&gt;Adatok!$F$10-0.01,Adatok!$C$16+$B55&lt;Adatok!$C$17+1),((Adatok!$C$13*Adatok!$C$20*Adatok!$I54*Adatok!$J54)/(8*(VLOOKUP(AR$19,Számítás!$B$19:$H$63,7,FALSE)))+(Adatok!$C$13^3*Adatok!$C$20^3*Adatok!$I54^3*Adatok!$J54)/(384*(VLOOKUP(AR$19,Számítás!$B$19:$H$63,7,FALSE))^3))*100,$B$19)</f>
        <v>-</v>
      </c>
      <c r="AS55" s="33" t="str">
        <f>IF(AND($I$19+AR$17*Adatok!$F$11&gt;Adatok!$F$10-0.01,Adatok!$C$16+$B55&lt;Adatok!$C$17+1),((Adatok!$C$13*Adatok!$C$20*Adatok!$I54*Adatok!$J54)/(8*(VLOOKUP(AS$19,Számítás!$B$19:$H$63,7,FALSE)))+(Adatok!$C$13^3*Adatok!$C$20^3*Adatok!$I54^3*Adatok!$J54)/(384*(VLOOKUP(AS$19,Számítás!$B$19:$H$63,7,FALSE))^3))*100,$B$19)</f>
        <v>-</v>
      </c>
      <c r="AT55" s="33" t="str">
        <f>IF(AND($I$19+AS$17*Adatok!$F$11&gt;Adatok!$F$10-0.01,Adatok!$C$16+$B55&lt;Adatok!$C$17+1),((Adatok!$C$13*Adatok!$C$20*Adatok!$I54*Adatok!$J54)/(8*(VLOOKUP(AT$19,Számítás!$B$19:$H$63,7,FALSE)))+(Adatok!$C$13^3*Adatok!$C$20^3*Adatok!$I54^3*Adatok!$J54)/(384*(VLOOKUP(AT$19,Számítás!$B$19:$H$63,7,FALSE))^3))*100,$B$19)</f>
        <v>-</v>
      </c>
      <c r="AU55" s="33" t="str">
        <f>IF(AND($I$19+AT$17*Adatok!$F$11&gt;Adatok!$F$10-0.01,Adatok!$C$16+$B55&lt;Adatok!$C$17+1),((Adatok!$C$13*Adatok!$C$20*Adatok!$I54*Adatok!$J54)/(8*(VLOOKUP(AU$19,Számítás!$B$19:$H$63,7,FALSE)))+(Adatok!$C$13^3*Adatok!$C$20^3*Adatok!$I54^3*Adatok!$J54)/(384*(VLOOKUP(AU$19,Számítás!$B$19:$H$63,7,FALSE))^3))*100,$B$19)</f>
        <v>-</v>
      </c>
      <c r="AV55" s="33" t="str">
        <f>IF(AND($I$19+AU$17*Adatok!$F$11&gt;Adatok!$F$10-0.01,Adatok!$C$16+$B55&lt;Adatok!$C$17+1),((Adatok!$C$13*Adatok!$C$20*Adatok!$I54*Adatok!$J54)/(8*(VLOOKUP(AV$19,Számítás!$B$19:$H$63,7,FALSE)))+(Adatok!$C$13^3*Adatok!$C$20^3*Adatok!$I54^3*Adatok!$J54)/(384*(VLOOKUP(AV$19,Számítás!$B$19:$H$63,7,FALSE))^3))*100,$B$19)</f>
        <v>-</v>
      </c>
      <c r="AW55" s="33" t="str">
        <f>IF(AND($I$19+AV$17*Adatok!$F$11&gt;Adatok!$F$10-0.01,Adatok!$C$16+$B55&lt;Adatok!$C$17+1),((Adatok!$C$13*Adatok!$C$20*Adatok!$I54*Adatok!$J54)/(8*(VLOOKUP(AW$19,Számítás!$B$19:$H$63,7,FALSE)))+(Adatok!$C$13^3*Adatok!$C$20^3*Adatok!$I54^3*Adatok!$J54)/(384*(VLOOKUP(AW$19,Számítás!$B$19:$H$63,7,FALSE))^3))*100,$B$19)</f>
        <v>-</v>
      </c>
      <c r="AX55" s="33" t="str">
        <f>IF(AND($I$19+AW$17*Adatok!$F$11&gt;Adatok!$F$10-0.01,Adatok!$C$16+$B55&lt;Adatok!$C$17+1),((Adatok!$C$13*Adatok!$C$20*Adatok!$I54*Adatok!$J54)/(8*(VLOOKUP(AX$19,Számítás!$B$19:$H$63,7,FALSE)))+(Adatok!$C$13^3*Adatok!$C$20^3*Adatok!$I54^3*Adatok!$J54)/(384*(VLOOKUP(AX$19,Számítás!$B$19:$H$63,7,FALSE))^3))*100,$B$19)</f>
        <v>-</v>
      </c>
      <c r="AY55" s="33" t="str">
        <f>IF(AND($I$19+AX$17*Adatok!$F$11&gt;Adatok!$F$10-0.01,Adatok!$C$16+$B55&lt;Adatok!$C$17+1),((Adatok!$C$13*Adatok!$C$20*Adatok!$I54*Adatok!$J54)/(8*(VLOOKUP(AY$19,Számítás!$B$19:$H$63,7,FALSE)))+(Adatok!$C$13^3*Adatok!$C$20^3*Adatok!$I54^3*Adatok!$J54)/(384*(VLOOKUP(AY$19,Számítás!$B$19:$H$63,7,FALSE))^3))*100,$B$19)</f>
        <v>-</v>
      </c>
      <c r="AZ55" s="33" t="str">
        <f>IF(AND($I$19+AY$17*Adatok!$F$11&gt;Adatok!$F$10-0.01,Adatok!$C$16+$B55&lt;Adatok!$C$17+1),((Adatok!$C$13*Adatok!$C$20*Adatok!$I54*Adatok!$J54)/(8*(VLOOKUP(AZ$19,Számítás!$B$19:$H$63,7,FALSE)))+(Adatok!$C$13^3*Adatok!$C$20^3*Adatok!$I54^3*Adatok!$J54)/(384*(VLOOKUP(AZ$19,Számítás!$B$19:$H$63,7,FALSE))^3))*100,$B$19)</f>
        <v>-</v>
      </c>
      <c r="BA55" s="33" t="str">
        <f>IF(AND($I$19+AZ$17*Adatok!$F$11&gt;Adatok!$F$10-0.01,Adatok!$C$16+$B55&lt;Adatok!$C$17+1),((Adatok!$C$13*Adatok!$C$20*Adatok!$I54*Adatok!$J54)/(8*(VLOOKUP(BA$19,Számítás!$B$19:$H$63,7,FALSE)))+(Adatok!$C$13^3*Adatok!$C$20^3*Adatok!$I54^3*Adatok!$J54)/(384*(VLOOKUP(BA$19,Számítás!$B$19:$H$63,7,FALSE))^3))*100,$B$19)</f>
        <v>-</v>
      </c>
    </row>
    <row r="56" spans="2:53" ht="18" customHeight="1" x14ac:dyDescent="0.25">
      <c r="B56" s="1">
        <v>37</v>
      </c>
      <c r="C56" s="333" t="str">
        <f>Adatok!F55</f>
        <v>-</v>
      </c>
      <c r="D56" s="32" t="s">
        <v>27</v>
      </c>
      <c r="E56" s="336" t="str">
        <f>Adatok!H55</f>
        <v>-</v>
      </c>
      <c r="F56" s="64" t="str">
        <f>IF(Adatok!$C$16+B56&gt;Adatok!$C$17,$B$19,Adatok!I55)</f>
        <v>-</v>
      </c>
      <c r="G56" s="60"/>
      <c r="H56" s="72" t="str">
        <f>IF(Adatok!$C$16+B56&gt;Adatok!$C$17,$B$19,Adatok!J55/Adatok!I55)</f>
        <v>-</v>
      </c>
      <c r="I56" s="81" t="str">
        <f>IF(Adatok!$C$16+$B56&lt;Adatok!$C$17+1,((((Adatok!$C$13*Adatok!$C$20*Adatok!$I55*Adatok!$J55)/(8*(VLOOKUP(I$19,Számítás!$B$19:$H$63,7,FALSE))))+((Adatok!$C$13^3*Adatok!$C$20^3*Adatok!$I55^3*Adatok!$J55)/(384*(VLOOKUP(I$19,Számítás!$B$19:$H$63,7,FALSE))^3)))*100),$B$19)</f>
        <v>-</v>
      </c>
      <c r="J56" s="33" t="str">
        <f>IF(AND($I$19+I$17*Adatok!$F$11&gt;Adatok!$F$10-0.01,Adatok!$C$16+$B56&lt;Adatok!$C$17+1),((Adatok!$C$13*Adatok!$C$20*Adatok!$I55*Adatok!$J55)/(8*(VLOOKUP(J$19,Számítás!$B$19:$H$63,7,FALSE)))+(Adatok!$C$13^3*Adatok!$C$20^3*Adatok!$I55^3*Adatok!$J55)/(384*(VLOOKUP(J$19,Számítás!$B$19:$H$63,7,FALSE))^3))*100,$B$19)</f>
        <v>-</v>
      </c>
      <c r="K56" s="33" t="str">
        <f>IF(AND($I$19+J$17*Adatok!$F$11&gt;Adatok!$F$10-0.01,Adatok!$C$16+$B56&lt;Adatok!$C$17+1),((Adatok!$C$13*Adatok!$C$20*Adatok!$I55*Adatok!$J55)/(8*(VLOOKUP(K$19,Számítás!$B$19:$H$63,7,FALSE)))+(Adatok!$C$13^3*Adatok!$C$20^3*Adatok!$I55^3*Adatok!$J55)/(384*(VLOOKUP(K$19,Számítás!$B$19:$H$63,7,FALSE))^3))*100,$B$19)</f>
        <v>-</v>
      </c>
      <c r="L56" s="33" t="str">
        <f>IF(AND($I$19+K$17*Adatok!$F$11&gt;Adatok!$F$10-0.01,Adatok!$C$16+$B56&lt;Adatok!$C$17+1),((Adatok!$C$13*Adatok!$C$20*Adatok!$I55*Adatok!$J55)/(8*(VLOOKUP(L$19,Számítás!$B$19:$H$63,7,FALSE)))+(Adatok!$C$13^3*Adatok!$C$20^3*Adatok!$I55^3*Adatok!$J55)/(384*(VLOOKUP(L$19,Számítás!$B$19:$H$63,7,FALSE))^3))*100,$B$19)</f>
        <v>-</v>
      </c>
      <c r="M56" s="33" t="str">
        <f>IF(AND($I$19+L$17*Adatok!$F$11&gt;Adatok!$F$10-0.01,Adatok!$C$16+$B56&lt;Adatok!$C$17+1),((Adatok!$C$13*Adatok!$C$20*Adatok!$I55*Adatok!$J55)/(8*(VLOOKUP(M$19,Számítás!$B$19:$H$63,7,FALSE)))+(Adatok!$C$13^3*Adatok!$C$20^3*Adatok!$I55^3*Adatok!$J55)/(384*(VLOOKUP(M$19,Számítás!$B$19:$H$63,7,FALSE))^3))*100,$B$19)</f>
        <v>-</v>
      </c>
      <c r="N56" s="33" t="str">
        <f>IF(AND($I$19+M$17*Adatok!$F$11&gt;Adatok!$F$10-0.01,Adatok!$C$16+$B56&lt;Adatok!$C$17+1),((Adatok!$C$13*Adatok!$C$20*Adatok!$I55*Adatok!$J55)/(8*(VLOOKUP(N$19,Számítás!$B$19:$H$63,7,FALSE)))+(Adatok!$C$13^3*Adatok!$C$20^3*Adatok!$I55^3*Adatok!$J55)/(384*(VLOOKUP(N$19,Számítás!$B$19:$H$63,7,FALSE))^3))*100,$B$19)</f>
        <v>-</v>
      </c>
      <c r="O56" s="33" t="str">
        <f>IF(AND($I$19+N$17*Adatok!$F$11&gt;Adatok!$F$10-0.01,Adatok!$C$16+$B56&lt;Adatok!$C$17+1),((Adatok!$C$13*Adatok!$C$20*Adatok!$I55*Adatok!$J55)/(8*(VLOOKUP(O$19,Számítás!$B$19:$H$63,7,FALSE)))+(Adatok!$C$13^3*Adatok!$C$20^3*Adatok!$I55^3*Adatok!$J55)/(384*(VLOOKUP(O$19,Számítás!$B$19:$H$63,7,FALSE))^3))*100,$B$19)</f>
        <v>-</v>
      </c>
      <c r="P56" s="33" t="str">
        <f>IF(AND($I$19+O$17*Adatok!$F$11&gt;Adatok!$F$10-0.01,Adatok!$C$16+$B56&lt;Adatok!$C$17+1),((Adatok!$C$13*Adatok!$C$20*Adatok!$I55*Adatok!$J55)/(8*(VLOOKUP(P$19,Számítás!$B$19:$H$63,7,FALSE)))+(Adatok!$C$13^3*Adatok!$C$20^3*Adatok!$I55^3*Adatok!$J55)/(384*(VLOOKUP(P$19,Számítás!$B$19:$H$63,7,FALSE))^3))*100,$B$19)</f>
        <v>-</v>
      </c>
      <c r="Q56" s="33" t="str">
        <f>IF(AND($I$19+P$17*Adatok!$F$11&gt;Adatok!$F$10-0.01,Adatok!$C$16+$B56&lt;Adatok!$C$17+1),((Adatok!$C$13*Adatok!$C$20*Adatok!$I55*Adatok!$J55)/(8*(VLOOKUP(Q$19,Számítás!$B$19:$H$63,7,FALSE)))+(Adatok!$C$13^3*Adatok!$C$20^3*Adatok!$I55^3*Adatok!$J55)/(384*(VLOOKUP(Q$19,Számítás!$B$19:$H$63,7,FALSE))^3))*100,$B$19)</f>
        <v>-</v>
      </c>
      <c r="R56" s="33" t="str">
        <f>IF(AND($I$19+Q$17*Adatok!$F$11&gt;Adatok!$F$10-0.01,Adatok!$C$16+$B56&lt;Adatok!$C$17+1),((Adatok!$C$13*Adatok!$C$20*Adatok!$I55*Adatok!$J55)/(8*(VLOOKUP(R$19,Számítás!$B$19:$H$63,7,FALSE)))+(Adatok!$C$13^3*Adatok!$C$20^3*Adatok!$I55^3*Adatok!$J55)/(384*(VLOOKUP(R$19,Számítás!$B$19:$H$63,7,FALSE))^3))*100,$B$19)</f>
        <v>-</v>
      </c>
      <c r="S56" s="33" t="str">
        <f>IF(AND($I$19+R$17*Adatok!$F$11&gt;Adatok!$F$10-0.01,Adatok!$C$16+$B56&lt;Adatok!$C$17+1),((Adatok!$C$13*Adatok!$C$20*Adatok!$I55*Adatok!$J55)/(8*(VLOOKUP(S$19,Számítás!$B$19:$H$63,7,FALSE)))+(Adatok!$C$13^3*Adatok!$C$20^3*Adatok!$I55^3*Adatok!$J55)/(384*(VLOOKUP(S$19,Számítás!$B$19:$H$63,7,FALSE))^3))*100,$B$19)</f>
        <v>-</v>
      </c>
      <c r="T56" s="33" t="str">
        <f>IF(AND($I$19+S$17*Adatok!$F$11&gt;Adatok!$F$10-0.01,Adatok!$C$16+$B56&lt;Adatok!$C$17+1),((Adatok!$C$13*Adatok!$C$20*Adatok!$I55*Adatok!$J55)/(8*(VLOOKUP(T$19,Számítás!$B$19:$H$63,7,FALSE)))+(Adatok!$C$13^3*Adatok!$C$20^3*Adatok!$I55^3*Adatok!$J55)/(384*(VLOOKUP(T$19,Számítás!$B$19:$H$63,7,FALSE))^3))*100,$B$19)</f>
        <v>-</v>
      </c>
      <c r="U56" s="33" t="str">
        <f>IF(AND($I$19+T$17*Adatok!$F$11&gt;Adatok!$F$10-0.01,Adatok!$C$16+$B56&lt;Adatok!$C$17+1),((Adatok!$C$13*Adatok!$C$20*Adatok!$I55*Adatok!$J55)/(8*(VLOOKUP(U$19,Számítás!$B$19:$H$63,7,FALSE)))+(Adatok!$C$13^3*Adatok!$C$20^3*Adatok!$I55^3*Adatok!$J55)/(384*(VLOOKUP(U$19,Számítás!$B$19:$H$63,7,FALSE))^3))*100,$B$19)</f>
        <v>-</v>
      </c>
      <c r="V56" s="33" t="str">
        <f>IF(AND($I$19+U$17*Adatok!$F$11&gt;Adatok!$F$10-0.01,Adatok!$C$16+$B56&lt;Adatok!$C$17+1),((Adatok!$C$13*Adatok!$C$20*Adatok!$I55*Adatok!$J55)/(8*(VLOOKUP(V$19,Számítás!$B$19:$H$63,7,FALSE)))+(Adatok!$C$13^3*Adatok!$C$20^3*Adatok!$I55^3*Adatok!$J55)/(384*(VLOOKUP(V$19,Számítás!$B$19:$H$63,7,FALSE))^3))*100,$B$19)</f>
        <v>-</v>
      </c>
      <c r="W56" s="33" t="str">
        <f>IF(AND($I$19+V$17*Adatok!$F$11&gt;Adatok!$F$10-0.01,Adatok!$C$16+$B56&lt;Adatok!$C$17+1),((Adatok!$C$13*Adatok!$C$20*Adatok!$I55*Adatok!$J55)/(8*(VLOOKUP(W$19,Számítás!$B$19:$H$63,7,FALSE)))+(Adatok!$C$13^3*Adatok!$C$20^3*Adatok!$I55^3*Adatok!$J55)/(384*(VLOOKUP(W$19,Számítás!$B$19:$H$63,7,FALSE))^3))*100,$B$19)</f>
        <v>-</v>
      </c>
      <c r="X56" s="33" t="str">
        <f>IF(AND($I$19+W$17*Adatok!$F$11&gt;Adatok!$F$10-0.01,Adatok!$C$16+$B56&lt;Adatok!$C$17+1),((Adatok!$C$13*Adatok!$C$20*Adatok!$I55*Adatok!$J55)/(8*(VLOOKUP(X$19,Számítás!$B$19:$H$63,7,FALSE)))+(Adatok!$C$13^3*Adatok!$C$20^3*Adatok!$I55^3*Adatok!$J55)/(384*(VLOOKUP(X$19,Számítás!$B$19:$H$63,7,FALSE))^3))*100,$B$19)</f>
        <v>-</v>
      </c>
      <c r="Y56" s="33" t="str">
        <f>IF(AND($I$19+X$17*Adatok!$F$11&gt;Adatok!$F$10-0.01,Adatok!$C$16+$B56&lt;Adatok!$C$17+1),((Adatok!$C$13*Adatok!$C$20*Adatok!$I55*Adatok!$J55)/(8*(VLOOKUP(Y$19,Számítás!$B$19:$H$63,7,FALSE)))+(Adatok!$C$13^3*Adatok!$C$20^3*Adatok!$I55^3*Adatok!$J55)/(384*(VLOOKUP(Y$19,Számítás!$B$19:$H$63,7,FALSE))^3))*100,$B$19)</f>
        <v>-</v>
      </c>
      <c r="Z56" s="33" t="str">
        <f>IF(AND($I$19+Y$17*Adatok!$F$11&gt;Adatok!$F$10-0.01,Adatok!$C$16+$B56&lt;Adatok!$C$17+1),((Adatok!$C$13*Adatok!$C$20*Adatok!$I55*Adatok!$J55)/(8*(VLOOKUP(Z$19,Számítás!$B$19:$H$63,7,FALSE)))+(Adatok!$C$13^3*Adatok!$C$20^3*Adatok!$I55^3*Adatok!$J55)/(384*(VLOOKUP(Z$19,Számítás!$B$19:$H$63,7,FALSE))^3))*100,$B$19)</f>
        <v>-</v>
      </c>
      <c r="AA56" s="33" t="str">
        <f>IF(AND($I$19+Z$17*Adatok!$F$11&gt;Adatok!$F$10-0.01,Adatok!$C$16+$B56&lt;Adatok!$C$17+1),((Adatok!$C$13*Adatok!$C$20*Adatok!$I55*Adatok!$J55)/(8*(VLOOKUP(AA$19,Számítás!$B$19:$H$63,7,FALSE)))+(Adatok!$C$13^3*Adatok!$C$20^3*Adatok!$I55^3*Adatok!$J55)/(384*(VLOOKUP(AA$19,Számítás!$B$19:$H$63,7,FALSE))^3))*100,$B$19)</f>
        <v>-</v>
      </c>
      <c r="AB56" s="33" t="str">
        <f>IF(AND($I$19+AA$17*Adatok!$F$11&gt;Adatok!$F$10-0.01,Adatok!$C$16+$B56&lt;Adatok!$C$17+1),((Adatok!$C$13*Adatok!$C$20*Adatok!$I55*Adatok!$J55)/(8*(VLOOKUP(AB$19,Számítás!$B$19:$H$63,7,FALSE)))+(Adatok!$C$13^3*Adatok!$C$20^3*Adatok!$I55^3*Adatok!$J55)/(384*(VLOOKUP(AB$19,Számítás!$B$19:$H$63,7,FALSE))^3))*100,$B$19)</f>
        <v>-</v>
      </c>
      <c r="AC56" s="33" t="str">
        <f>IF(AND($I$19+AB$17*Adatok!$F$11&gt;Adatok!$F$10-0.01,Adatok!$C$16+$B56&lt;Adatok!$C$17+1),((Adatok!$C$13*Adatok!$C$20*Adatok!$I55*Adatok!$J55)/(8*(VLOOKUP(AC$19,Számítás!$B$19:$H$63,7,FALSE)))+(Adatok!$C$13^3*Adatok!$C$20^3*Adatok!$I55^3*Adatok!$J55)/(384*(VLOOKUP(AC$19,Számítás!$B$19:$H$63,7,FALSE))^3))*100,$B$19)</f>
        <v>-</v>
      </c>
      <c r="AD56" s="33" t="str">
        <f>IF(AND($I$19+AC$17*Adatok!$F$11&gt;Adatok!$F$10-0.01,Adatok!$C$16+$B56&lt;Adatok!$C$17+1),((Adatok!$C$13*Adatok!$C$20*Adatok!$I55*Adatok!$J55)/(8*(VLOOKUP(AD$19,Számítás!$B$19:$H$63,7,FALSE)))+(Adatok!$C$13^3*Adatok!$C$20^3*Adatok!$I55^3*Adatok!$J55)/(384*(VLOOKUP(AD$19,Számítás!$B$19:$H$63,7,FALSE))^3))*100,$B$19)</f>
        <v>-</v>
      </c>
      <c r="AE56" s="33" t="str">
        <f>IF(AND($I$19+AD$17*Adatok!$F$11&gt;Adatok!$F$10-0.01,Adatok!$C$16+$B56&lt;Adatok!$C$17+1),((Adatok!$C$13*Adatok!$C$20*Adatok!$I55*Adatok!$J55)/(8*(VLOOKUP(AE$19,Számítás!$B$19:$H$63,7,FALSE)))+(Adatok!$C$13^3*Adatok!$C$20^3*Adatok!$I55^3*Adatok!$J55)/(384*(VLOOKUP(AE$19,Számítás!$B$19:$H$63,7,FALSE))^3))*100,$B$19)</f>
        <v>-</v>
      </c>
      <c r="AF56" s="33" t="str">
        <f>IF(AND($I$19+AE$17*Adatok!$F$11&gt;Adatok!$F$10-0.01,Adatok!$C$16+$B56&lt;Adatok!$C$17+1),((Adatok!$C$13*Adatok!$C$20*Adatok!$I55*Adatok!$J55)/(8*(VLOOKUP(AF$19,Számítás!$B$19:$H$63,7,FALSE)))+(Adatok!$C$13^3*Adatok!$C$20^3*Adatok!$I55^3*Adatok!$J55)/(384*(VLOOKUP(AF$19,Számítás!$B$19:$H$63,7,FALSE))^3))*100,$B$19)</f>
        <v>-</v>
      </c>
      <c r="AG56" s="33" t="str">
        <f>IF(AND($I$19+AF$17*Adatok!$F$11&gt;Adatok!$F$10-0.01,Adatok!$C$16+$B56&lt;Adatok!$C$17+1),((Adatok!$C$13*Adatok!$C$20*Adatok!$I55*Adatok!$J55)/(8*(VLOOKUP(AG$19,Számítás!$B$19:$H$63,7,FALSE)))+(Adatok!$C$13^3*Adatok!$C$20^3*Adatok!$I55^3*Adatok!$J55)/(384*(VLOOKUP(AG$19,Számítás!$B$19:$H$63,7,FALSE))^3))*100,$B$19)</f>
        <v>-</v>
      </c>
      <c r="AH56" s="33" t="str">
        <f>IF(AND($I$19+AG$17*Adatok!$F$11&gt;Adatok!$F$10-0.01,Adatok!$C$16+$B56&lt;Adatok!$C$17+1),((Adatok!$C$13*Adatok!$C$20*Adatok!$I55*Adatok!$J55)/(8*(VLOOKUP(AH$19,Számítás!$B$19:$H$63,7,FALSE)))+(Adatok!$C$13^3*Adatok!$C$20^3*Adatok!$I55^3*Adatok!$J55)/(384*(VLOOKUP(AH$19,Számítás!$B$19:$H$63,7,FALSE))^3))*100,$B$19)</f>
        <v>-</v>
      </c>
      <c r="AI56" s="33" t="str">
        <f>IF(AND($I$19+AH$17*Adatok!$F$11&gt;Adatok!$F$10-0.01,Adatok!$C$16+$B56&lt;Adatok!$C$17+1),((Adatok!$C$13*Adatok!$C$20*Adatok!$I55*Adatok!$J55)/(8*(VLOOKUP(AI$19,Számítás!$B$19:$H$63,7,FALSE)))+(Adatok!$C$13^3*Adatok!$C$20^3*Adatok!$I55^3*Adatok!$J55)/(384*(VLOOKUP(AI$19,Számítás!$B$19:$H$63,7,FALSE))^3))*100,$B$19)</f>
        <v>-</v>
      </c>
      <c r="AJ56" s="33" t="str">
        <f>IF(AND($I$19+AI$17*Adatok!$F$11&gt;Adatok!$F$10-0.01,Adatok!$C$16+$B56&lt;Adatok!$C$17+1),((Adatok!$C$13*Adatok!$C$20*Adatok!$I55*Adatok!$J55)/(8*(VLOOKUP(AJ$19,Számítás!$B$19:$H$63,7,FALSE)))+(Adatok!$C$13^3*Adatok!$C$20^3*Adatok!$I55^3*Adatok!$J55)/(384*(VLOOKUP(AJ$19,Számítás!$B$19:$H$63,7,FALSE))^3))*100,$B$19)</f>
        <v>-</v>
      </c>
      <c r="AK56" s="33" t="str">
        <f>IF(AND($I$19+AJ$17*Adatok!$F$11&gt;Adatok!$F$10-0.01,Adatok!$C$16+$B56&lt;Adatok!$C$17+1),((Adatok!$C$13*Adatok!$C$20*Adatok!$I55*Adatok!$J55)/(8*(VLOOKUP(AK$19,Számítás!$B$19:$H$63,7,FALSE)))+(Adatok!$C$13^3*Adatok!$C$20^3*Adatok!$I55^3*Adatok!$J55)/(384*(VLOOKUP(AK$19,Számítás!$B$19:$H$63,7,FALSE))^3))*100,$B$19)</f>
        <v>-</v>
      </c>
      <c r="AL56" s="33" t="str">
        <f>IF(AND($I$19+AK$17*Adatok!$F$11&gt;Adatok!$F$10-0.01,Adatok!$C$16+$B56&lt;Adatok!$C$17+1),((Adatok!$C$13*Adatok!$C$20*Adatok!$I55*Adatok!$J55)/(8*(VLOOKUP(AL$19,Számítás!$B$19:$H$63,7,FALSE)))+(Adatok!$C$13^3*Adatok!$C$20^3*Adatok!$I55^3*Adatok!$J55)/(384*(VLOOKUP(AL$19,Számítás!$B$19:$H$63,7,FALSE))^3))*100,$B$19)</f>
        <v>-</v>
      </c>
      <c r="AM56" s="33" t="str">
        <f>IF(AND($I$19+AL$17*Adatok!$F$11&gt;Adatok!$F$10-0.01,Adatok!$C$16+$B56&lt;Adatok!$C$17+1),((Adatok!$C$13*Adatok!$C$20*Adatok!$I55*Adatok!$J55)/(8*(VLOOKUP(AM$19,Számítás!$B$19:$H$63,7,FALSE)))+(Adatok!$C$13^3*Adatok!$C$20^3*Adatok!$I55^3*Adatok!$J55)/(384*(VLOOKUP(AM$19,Számítás!$B$19:$H$63,7,FALSE))^3))*100,$B$19)</f>
        <v>-</v>
      </c>
      <c r="AN56" s="33" t="str">
        <f>IF(AND($I$19+AM$17*Adatok!$F$11&gt;Adatok!$F$10-0.01,Adatok!$C$16+$B56&lt;Adatok!$C$17+1),((Adatok!$C$13*Adatok!$C$20*Adatok!$I55*Adatok!$J55)/(8*(VLOOKUP(AN$19,Számítás!$B$19:$H$63,7,FALSE)))+(Adatok!$C$13^3*Adatok!$C$20^3*Adatok!$I55^3*Adatok!$J55)/(384*(VLOOKUP(AN$19,Számítás!$B$19:$H$63,7,FALSE))^3))*100,$B$19)</f>
        <v>-</v>
      </c>
      <c r="AO56" s="33" t="str">
        <f>IF(AND($I$19+AN$17*Adatok!$F$11&gt;Adatok!$F$10-0.01,Adatok!$C$16+$B56&lt;Adatok!$C$17+1),((Adatok!$C$13*Adatok!$C$20*Adatok!$I55*Adatok!$J55)/(8*(VLOOKUP(AO$19,Számítás!$B$19:$H$63,7,FALSE)))+(Adatok!$C$13^3*Adatok!$C$20^3*Adatok!$I55^3*Adatok!$J55)/(384*(VLOOKUP(AO$19,Számítás!$B$19:$H$63,7,FALSE))^3))*100,$B$19)</f>
        <v>-</v>
      </c>
      <c r="AP56" s="33" t="str">
        <f>IF(AND($I$19+AO$17*Adatok!$F$11&gt;Adatok!$F$10-0.01,Adatok!$C$16+$B56&lt;Adatok!$C$17+1),((Adatok!$C$13*Adatok!$C$20*Adatok!$I55*Adatok!$J55)/(8*(VLOOKUP(AP$19,Számítás!$B$19:$H$63,7,FALSE)))+(Adatok!$C$13^3*Adatok!$C$20^3*Adatok!$I55^3*Adatok!$J55)/(384*(VLOOKUP(AP$19,Számítás!$B$19:$H$63,7,FALSE))^3))*100,$B$19)</f>
        <v>-</v>
      </c>
      <c r="AQ56" s="33" t="str">
        <f>IF(AND($I$19+AP$17*Adatok!$F$11&gt;Adatok!$F$10-0.01,Adatok!$C$16+$B56&lt;Adatok!$C$17+1),((Adatok!$C$13*Adatok!$C$20*Adatok!$I55*Adatok!$J55)/(8*(VLOOKUP(AQ$19,Számítás!$B$19:$H$63,7,FALSE)))+(Adatok!$C$13^3*Adatok!$C$20^3*Adatok!$I55^3*Adatok!$J55)/(384*(VLOOKUP(AQ$19,Számítás!$B$19:$H$63,7,FALSE))^3))*100,$B$19)</f>
        <v>-</v>
      </c>
      <c r="AR56" s="33" t="str">
        <f>IF(AND($I$19+AQ$17*Adatok!$F$11&gt;Adatok!$F$10-0.01,Adatok!$C$16+$B56&lt;Adatok!$C$17+1),((Adatok!$C$13*Adatok!$C$20*Adatok!$I55*Adatok!$J55)/(8*(VLOOKUP(AR$19,Számítás!$B$19:$H$63,7,FALSE)))+(Adatok!$C$13^3*Adatok!$C$20^3*Adatok!$I55^3*Adatok!$J55)/(384*(VLOOKUP(AR$19,Számítás!$B$19:$H$63,7,FALSE))^3))*100,$B$19)</f>
        <v>-</v>
      </c>
      <c r="AS56" s="33" t="str">
        <f>IF(AND($I$19+AR$17*Adatok!$F$11&gt;Adatok!$F$10-0.01,Adatok!$C$16+$B56&lt;Adatok!$C$17+1),((Adatok!$C$13*Adatok!$C$20*Adatok!$I55*Adatok!$J55)/(8*(VLOOKUP(AS$19,Számítás!$B$19:$H$63,7,FALSE)))+(Adatok!$C$13^3*Adatok!$C$20^3*Adatok!$I55^3*Adatok!$J55)/(384*(VLOOKUP(AS$19,Számítás!$B$19:$H$63,7,FALSE))^3))*100,$B$19)</f>
        <v>-</v>
      </c>
      <c r="AT56" s="33" t="str">
        <f>IF(AND($I$19+AS$17*Adatok!$F$11&gt;Adatok!$F$10-0.01,Adatok!$C$16+$B56&lt;Adatok!$C$17+1),((Adatok!$C$13*Adatok!$C$20*Adatok!$I55*Adatok!$J55)/(8*(VLOOKUP(AT$19,Számítás!$B$19:$H$63,7,FALSE)))+(Adatok!$C$13^3*Adatok!$C$20^3*Adatok!$I55^3*Adatok!$J55)/(384*(VLOOKUP(AT$19,Számítás!$B$19:$H$63,7,FALSE))^3))*100,$B$19)</f>
        <v>-</v>
      </c>
      <c r="AU56" s="33" t="str">
        <f>IF(AND($I$19+AT$17*Adatok!$F$11&gt;Adatok!$F$10-0.01,Adatok!$C$16+$B56&lt;Adatok!$C$17+1),((Adatok!$C$13*Adatok!$C$20*Adatok!$I55*Adatok!$J55)/(8*(VLOOKUP(AU$19,Számítás!$B$19:$H$63,7,FALSE)))+(Adatok!$C$13^3*Adatok!$C$20^3*Adatok!$I55^3*Adatok!$J55)/(384*(VLOOKUP(AU$19,Számítás!$B$19:$H$63,7,FALSE))^3))*100,$B$19)</f>
        <v>-</v>
      </c>
      <c r="AV56" s="33" t="str">
        <f>IF(AND($I$19+AU$17*Adatok!$F$11&gt;Adatok!$F$10-0.01,Adatok!$C$16+$B56&lt;Adatok!$C$17+1),((Adatok!$C$13*Adatok!$C$20*Adatok!$I55*Adatok!$J55)/(8*(VLOOKUP(AV$19,Számítás!$B$19:$H$63,7,FALSE)))+(Adatok!$C$13^3*Adatok!$C$20^3*Adatok!$I55^3*Adatok!$J55)/(384*(VLOOKUP(AV$19,Számítás!$B$19:$H$63,7,FALSE))^3))*100,$B$19)</f>
        <v>-</v>
      </c>
      <c r="AW56" s="33" t="str">
        <f>IF(AND($I$19+AV$17*Adatok!$F$11&gt;Adatok!$F$10-0.01,Adatok!$C$16+$B56&lt;Adatok!$C$17+1),((Adatok!$C$13*Adatok!$C$20*Adatok!$I55*Adatok!$J55)/(8*(VLOOKUP(AW$19,Számítás!$B$19:$H$63,7,FALSE)))+(Adatok!$C$13^3*Adatok!$C$20^3*Adatok!$I55^3*Adatok!$J55)/(384*(VLOOKUP(AW$19,Számítás!$B$19:$H$63,7,FALSE))^3))*100,$B$19)</f>
        <v>-</v>
      </c>
      <c r="AX56" s="33" t="str">
        <f>IF(AND($I$19+AW$17*Adatok!$F$11&gt;Adatok!$F$10-0.01,Adatok!$C$16+$B56&lt;Adatok!$C$17+1),((Adatok!$C$13*Adatok!$C$20*Adatok!$I55*Adatok!$J55)/(8*(VLOOKUP(AX$19,Számítás!$B$19:$H$63,7,FALSE)))+(Adatok!$C$13^3*Adatok!$C$20^3*Adatok!$I55^3*Adatok!$J55)/(384*(VLOOKUP(AX$19,Számítás!$B$19:$H$63,7,FALSE))^3))*100,$B$19)</f>
        <v>-</v>
      </c>
      <c r="AY56" s="33" t="str">
        <f>IF(AND($I$19+AX$17*Adatok!$F$11&gt;Adatok!$F$10-0.01,Adatok!$C$16+$B56&lt;Adatok!$C$17+1),((Adatok!$C$13*Adatok!$C$20*Adatok!$I55*Adatok!$J55)/(8*(VLOOKUP(AY$19,Számítás!$B$19:$H$63,7,FALSE)))+(Adatok!$C$13^3*Adatok!$C$20^3*Adatok!$I55^3*Adatok!$J55)/(384*(VLOOKUP(AY$19,Számítás!$B$19:$H$63,7,FALSE))^3))*100,$B$19)</f>
        <v>-</v>
      </c>
      <c r="AZ56" s="33" t="str">
        <f>IF(AND($I$19+AY$17*Adatok!$F$11&gt;Adatok!$F$10-0.01,Adatok!$C$16+$B56&lt;Adatok!$C$17+1),((Adatok!$C$13*Adatok!$C$20*Adatok!$I55*Adatok!$J55)/(8*(VLOOKUP(AZ$19,Számítás!$B$19:$H$63,7,FALSE)))+(Adatok!$C$13^3*Adatok!$C$20^3*Adatok!$I55^3*Adatok!$J55)/(384*(VLOOKUP(AZ$19,Számítás!$B$19:$H$63,7,FALSE))^3))*100,$B$19)</f>
        <v>-</v>
      </c>
      <c r="BA56" s="33" t="str">
        <f>IF(AND($I$19+AZ$17*Adatok!$F$11&gt;Adatok!$F$10-0.01,Adatok!$C$16+$B56&lt;Adatok!$C$17+1),((Adatok!$C$13*Adatok!$C$20*Adatok!$I55*Adatok!$J55)/(8*(VLOOKUP(BA$19,Számítás!$B$19:$H$63,7,FALSE)))+(Adatok!$C$13^3*Adatok!$C$20^3*Adatok!$I55^3*Adatok!$J55)/(384*(VLOOKUP(BA$19,Számítás!$B$19:$H$63,7,FALSE))^3))*100,$B$19)</f>
        <v>-</v>
      </c>
    </row>
    <row r="57" spans="2:53" ht="18" customHeight="1" x14ac:dyDescent="0.25">
      <c r="B57" s="1">
        <v>38</v>
      </c>
      <c r="C57" s="333" t="str">
        <f>Adatok!F56</f>
        <v>-</v>
      </c>
      <c r="D57" s="32" t="s">
        <v>27</v>
      </c>
      <c r="E57" s="336" t="str">
        <f>Adatok!H56</f>
        <v>-</v>
      </c>
      <c r="F57" s="64" t="str">
        <f>IF(Adatok!$C$16+B57&gt;Adatok!$C$17,$B$19,Adatok!I56)</f>
        <v>-</v>
      </c>
      <c r="G57" s="60"/>
      <c r="H57" s="72" t="str">
        <f>IF(Adatok!$C$16+B57&gt;Adatok!$C$17,$B$19,Adatok!J56/Adatok!I56)</f>
        <v>-</v>
      </c>
      <c r="I57" s="81" t="str">
        <f>IF(Adatok!$C$16+$B57&lt;Adatok!$C$17+1,((((Adatok!$C$13*Adatok!$C$20*Adatok!$I56*Adatok!$J56)/(8*(VLOOKUP(I$19,Számítás!$B$19:$H$63,7,FALSE))))+((Adatok!$C$13^3*Adatok!$C$20^3*Adatok!$I56^3*Adatok!$J56)/(384*(VLOOKUP(I$19,Számítás!$B$19:$H$63,7,FALSE))^3)))*100),$B$19)</f>
        <v>-</v>
      </c>
      <c r="J57" s="33" t="str">
        <f>IF(AND($I$19+I$17*Adatok!$F$11&gt;Adatok!$F$10-0.01,Adatok!$C$16+$B57&lt;Adatok!$C$17+1),((Adatok!$C$13*Adatok!$C$20*Adatok!$I56*Adatok!$J56)/(8*(VLOOKUP(J$19,Számítás!$B$19:$H$63,7,FALSE)))+(Adatok!$C$13^3*Adatok!$C$20^3*Adatok!$I56^3*Adatok!$J56)/(384*(VLOOKUP(J$19,Számítás!$B$19:$H$63,7,FALSE))^3))*100,$B$19)</f>
        <v>-</v>
      </c>
      <c r="K57" s="33" t="str">
        <f>IF(AND($I$19+J$17*Adatok!$F$11&gt;Adatok!$F$10-0.01,Adatok!$C$16+$B57&lt;Adatok!$C$17+1),((Adatok!$C$13*Adatok!$C$20*Adatok!$I56*Adatok!$J56)/(8*(VLOOKUP(K$19,Számítás!$B$19:$H$63,7,FALSE)))+(Adatok!$C$13^3*Adatok!$C$20^3*Adatok!$I56^3*Adatok!$J56)/(384*(VLOOKUP(K$19,Számítás!$B$19:$H$63,7,FALSE))^3))*100,$B$19)</f>
        <v>-</v>
      </c>
      <c r="L57" s="33" t="str">
        <f>IF(AND($I$19+K$17*Adatok!$F$11&gt;Adatok!$F$10-0.01,Adatok!$C$16+$B57&lt;Adatok!$C$17+1),((Adatok!$C$13*Adatok!$C$20*Adatok!$I56*Adatok!$J56)/(8*(VLOOKUP(L$19,Számítás!$B$19:$H$63,7,FALSE)))+(Adatok!$C$13^3*Adatok!$C$20^3*Adatok!$I56^3*Adatok!$J56)/(384*(VLOOKUP(L$19,Számítás!$B$19:$H$63,7,FALSE))^3))*100,$B$19)</f>
        <v>-</v>
      </c>
      <c r="M57" s="33" t="str">
        <f>IF(AND($I$19+L$17*Adatok!$F$11&gt;Adatok!$F$10-0.01,Adatok!$C$16+$B57&lt;Adatok!$C$17+1),((Adatok!$C$13*Adatok!$C$20*Adatok!$I56*Adatok!$J56)/(8*(VLOOKUP(M$19,Számítás!$B$19:$H$63,7,FALSE)))+(Adatok!$C$13^3*Adatok!$C$20^3*Adatok!$I56^3*Adatok!$J56)/(384*(VLOOKUP(M$19,Számítás!$B$19:$H$63,7,FALSE))^3))*100,$B$19)</f>
        <v>-</v>
      </c>
      <c r="N57" s="33" t="str">
        <f>IF(AND($I$19+M$17*Adatok!$F$11&gt;Adatok!$F$10-0.01,Adatok!$C$16+$B57&lt;Adatok!$C$17+1),((Adatok!$C$13*Adatok!$C$20*Adatok!$I56*Adatok!$J56)/(8*(VLOOKUP(N$19,Számítás!$B$19:$H$63,7,FALSE)))+(Adatok!$C$13^3*Adatok!$C$20^3*Adatok!$I56^3*Adatok!$J56)/(384*(VLOOKUP(N$19,Számítás!$B$19:$H$63,7,FALSE))^3))*100,$B$19)</f>
        <v>-</v>
      </c>
      <c r="O57" s="33" t="str">
        <f>IF(AND($I$19+N$17*Adatok!$F$11&gt;Adatok!$F$10-0.01,Adatok!$C$16+$B57&lt;Adatok!$C$17+1),((Adatok!$C$13*Adatok!$C$20*Adatok!$I56*Adatok!$J56)/(8*(VLOOKUP(O$19,Számítás!$B$19:$H$63,7,FALSE)))+(Adatok!$C$13^3*Adatok!$C$20^3*Adatok!$I56^3*Adatok!$J56)/(384*(VLOOKUP(O$19,Számítás!$B$19:$H$63,7,FALSE))^3))*100,$B$19)</f>
        <v>-</v>
      </c>
      <c r="P57" s="33" t="str">
        <f>IF(AND($I$19+O$17*Adatok!$F$11&gt;Adatok!$F$10-0.01,Adatok!$C$16+$B57&lt;Adatok!$C$17+1),((Adatok!$C$13*Adatok!$C$20*Adatok!$I56*Adatok!$J56)/(8*(VLOOKUP(P$19,Számítás!$B$19:$H$63,7,FALSE)))+(Adatok!$C$13^3*Adatok!$C$20^3*Adatok!$I56^3*Adatok!$J56)/(384*(VLOOKUP(P$19,Számítás!$B$19:$H$63,7,FALSE))^3))*100,$B$19)</f>
        <v>-</v>
      </c>
      <c r="Q57" s="33" t="str">
        <f>IF(AND($I$19+P$17*Adatok!$F$11&gt;Adatok!$F$10-0.01,Adatok!$C$16+$B57&lt;Adatok!$C$17+1),((Adatok!$C$13*Adatok!$C$20*Adatok!$I56*Adatok!$J56)/(8*(VLOOKUP(Q$19,Számítás!$B$19:$H$63,7,FALSE)))+(Adatok!$C$13^3*Adatok!$C$20^3*Adatok!$I56^3*Adatok!$J56)/(384*(VLOOKUP(Q$19,Számítás!$B$19:$H$63,7,FALSE))^3))*100,$B$19)</f>
        <v>-</v>
      </c>
      <c r="R57" s="33" t="str">
        <f>IF(AND($I$19+Q$17*Adatok!$F$11&gt;Adatok!$F$10-0.01,Adatok!$C$16+$B57&lt;Adatok!$C$17+1),((Adatok!$C$13*Adatok!$C$20*Adatok!$I56*Adatok!$J56)/(8*(VLOOKUP(R$19,Számítás!$B$19:$H$63,7,FALSE)))+(Adatok!$C$13^3*Adatok!$C$20^3*Adatok!$I56^3*Adatok!$J56)/(384*(VLOOKUP(R$19,Számítás!$B$19:$H$63,7,FALSE))^3))*100,$B$19)</f>
        <v>-</v>
      </c>
      <c r="S57" s="33" t="str">
        <f>IF(AND($I$19+R$17*Adatok!$F$11&gt;Adatok!$F$10-0.01,Adatok!$C$16+$B57&lt;Adatok!$C$17+1),((Adatok!$C$13*Adatok!$C$20*Adatok!$I56*Adatok!$J56)/(8*(VLOOKUP(S$19,Számítás!$B$19:$H$63,7,FALSE)))+(Adatok!$C$13^3*Adatok!$C$20^3*Adatok!$I56^3*Adatok!$J56)/(384*(VLOOKUP(S$19,Számítás!$B$19:$H$63,7,FALSE))^3))*100,$B$19)</f>
        <v>-</v>
      </c>
      <c r="T57" s="33" t="str">
        <f>IF(AND($I$19+S$17*Adatok!$F$11&gt;Adatok!$F$10-0.01,Adatok!$C$16+$B57&lt;Adatok!$C$17+1),((Adatok!$C$13*Adatok!$C$20*Adatok!$I56*Adatok!$J56)/(8*(VLOOKUP(T$19,Számítás!$B$19:$H$63,7,FALSE)))+(Adatok!$C$13^3*Adatok!$C$20^3*Adatok!$I56^3*Adatok!$J56)/(384*(VLOOKUP(T$19,Számítás!$B$19:$H$63,7,FALSE))^3))*100,$B$19)</f>
        <v>-</v>
      </c>
      <c r="U57" s="33" t="str">
        <f>IF(AND($I$19+T$17*Adatok!$F$11&gt;Adatok!$F$10-0.01,Adatok!$C$16+$B57&lt;Adatok!$C$17+1),((Adatok!$C$13*Adatok!$C$20*Adatok!$I56*Adatok!$J56)/(8*(VLOOKUP(U$19,Számítás!$B$19:$H$63,7,FALSE)))+(Adatok!$C$13^3*Adatok!$C$20^3*Adatok!$I56^3*Adatok!$J56)/(384*(VLOOKUP(U$19,Számítás!$B$19:$H$63,7,FALSE))^3))*100,$B$19)</f>
        <v>-</v>
      </c>
      <c r="V57" s="33" t="str">
        <f>IF(AND($I$19+U$17*Adatok!$F$11&gt;Adatok!$F$10-0.01,Adatok!$C$16+$B57&lt;Adatok!$C$17+1),((Adatok!$C$13*Adatok!$C$20*Adatok!$I56*Adatok!$J56)/(8*(VLOOKUP(V$19,Számítás!$B$19:$H$63,7,FALSE)))+(Adatok!$C$13^3*Adatok!$C$20^3*Adatok!$I56^3*Adatok!$J56)/(384*(VLOOKUP(V$19,Számítás!$B$19:$H$63,7,FALSE))^3))*100,$B$19)</f>
        <v>-</v>
      </c>
      <c r="W57" s="33" t="str">
        <f>IF(AND($I$19+V$17*Adatok!$F$11&gt;Adatok!$F$10-0.01,Adatok!$C$16+$B57&lt;Adatok!$C$17+1),((Adatok!$C$13*Adatok!$C$20*Adatok!$I56*Adatok!$J56)/(8*(VLOOKUP(W$19,Számítás!$B$19:$H$63,7,FALSE)))+(Adatok!$C$13^3*Adatok!$C$20^3*Adatok!$I56^3*Adatok!$J56)/(384*(VLOOKUP(W$19,Számítás!$B$19:$H$63,7,FALSE))^3))*100,$B$19)</f>
        <v>-</v>
      </c>
      <c r="X57" s="33" t="str">
        <f>IF(AND($I$19+W$17*Adatok!$F$11&gt;Adatok!$F$10-0.01,Adatok!$C$16+$B57&lt;Adatok!$C$17+1),((Adatok!$C$13*Adatok!$C$20*Adatok!$I56*Adatok!$J56)/(8*(VLOOKUP(X$19,Számítás!$B$19:$H$63,7,FALSE)))+(Adatok!$C$13^3*Adatok!$C$20^3*Adatok!$I56^3*Adatok!$J56)/(384*(VLOOKUP(X$19,Számítás!$B$19:$H$63,7,FALSE))^3))*100,$B$19)</f>
        <v>-</v>
      </c>
      <c r="Y57" s="33" t="str">
        <f>IF(AND($I$19+X$17*Adatok!$F$11&gt;Adatok!$F$10-0.01,Adatok!$C$16+$B57&lt;Adatok!$C$17+1),((Adatok!$C$13*Adatok!$C$20*Adatok!$I56*Adatok!$J56)/(8*(VLOOKUP(Y$19,Számítás!$B$19:$H$63,7,FALSE)))+(Adatok!$C$13^3*Adatok!$C$20^3*Adatok!$I56^3*Adatok!$J56)/(384*(VLOOKUP(Y$19,Számítás!$B$19:$H$63,7,FALSE))^3))*100,$B$19)</f>
        <v>-</v>
      </c>
      <c r="Z57" s="33" t="str">
        <f>IF(AND($I$19+Y$17*Adatok!$F$11&gt;Adatok!$F$10-0.01,Adatok!$C$16+$B57&lt;Adatok!$C$17+1),((Adatok!$C$13*Adatok!$C$20*Adatok!$I56*Adatok!$J56)/(8*(VLOOKUP(Z$19,Számítás!$B$19:$H$63,7,FALSE)))+(Adatok!$C$13^3*Adatok!$C$20^3*Adatok!$I56^3*Adatok!$J56)/(384*(VLOOKUP(Z$19,Számítás!$B$19:$H$63,7,FALSE))^3))*100,$B$19)</f>
        <v>-</v>
      </c>
      <c r="AA57" s="33" t="str">
        <f>IF(AND($I$19+Z$17*Adatok!$F$11&gt;Adatok!$F$10-0.01,Adatok!$C$16+$B57&lt;Adatok!$C$17+1),((Adatok!$C$13*Adatok!$C$20*Adatok!$I56*Adatok!$J56)/(8*(VLOOKUP(AA$19,Számítás!$B$19:$H$63,7,FALSE)))+(Adatok!$C$13^3*Adatok!$C$20^3*Adatok!$I56^3*Adatok!$J56)/(384*(VLOOKUP(AA$19,Számítás!$B$19:$H$63,7,FALSE))^3))*100,$B$19)</f>
        <v>-</v>
      </c>
      <c r="AB57" s="33" t="str">
        <f>IF(AND($I$19+AA$17*Adatok!$F$11&gt;Adatok!$F$10-0.01,Adatok!$C$16+$B57&lt;Adatok!$C$17+1),((Adatok!$C$13*Adatok!$C$20*Adatok!$I56*Adatok!$J56)/(8*(VLOOKUP(AB$19,Számítás!$B$19:$H$63,7,FALSE)))+(Adatok!$C$13^3*Adatok!$C$20^3*Adatok!$I56^3*Adatok!$J56)/(384*(VLOOKUP(AB$19,Számítás!$B$19:$H$63,7,FALSE))^3))*100,$B$19)</f>
        <v>-</v>
      </c>
      <c r="AC57" s="33" t="str">
        <f>IF(AND($I$19+AB$17*Adatok!$F$11&gt;Adatok!$F$10-0.01,Adatok!$C$16+$B57&lt;Adatok!$C$17+1),((Adatok!$C$13*Adatok!$C$20*Adatok!$I56*Adatok!$J56)/(8*(VLOOKUP(AC$19,Számítás!$B$19:$H$63,7,FALSE)))+(Adatok!$C$13^3*Adatok!$C$20^3*Adatok!$I56^3*Adatok!$J56)/(384*(VLOOKUP(AC$19,Számítás!$B$19:$H$63,7,FALSE))^3))*100,$B$19)</f>
        <v>-</v>
      </c>
      <c r="AD57" s="33" t="str">
        <f>IF(AND($I$19+AC$17*Adatok!$F$11&gt;Adatok!$F$10-0.01,Adatok!$C$16+$B57&lt;Adatok!$C$17+1),((Adatok!$C$13*Adatok!$C$20*Adatok!$I56*Adatok!$J56)/(8*(VLOOKUP(AD$19,Számítás!$B$19:$H$63,7,FALSE)))+(Adatok!$C$13^3*Adatok!$C$20^3*Adatok!$I56^3*Adatok!$J56)/(384*(VLOOKUP(AD$19,Számítás!$B$19:$H$63,7,FALSE))^3))*100,$B$19)</f>
        <v>-</v>
      </c>
      <c r="AE57" s="33" t="str">
        <f>IF(AND($I$19+AD$17*Adatok!$F$11&gt;Adatok!$F$10-0.01,Adatok!$C$16+$B57&lt;Adatok!$C$17+1),((Adatok!$C$13*Adatok!$C$20*Adatok!$I56*Adatok!$J56)/(8*(VLOOKUP(AE$19,Számítás!$B$19:$H$63,7,FALSE)))+(Adatok!$C$13^3*Adatok!$C$20^3*Adatok!$I56^3*Adatok!$J56)/(384*(VLOOKUP(AE$19,Számítás!$B$19:$H$63,7,FALSE))^3))*100,$B$19)</f>
        <v>-</v>
      </c>
      <c r="AF57" s="33" t="str">
        <f>IF(AND($I$19+AE$17*Adatok!$F$11&gt;Adatok!$F$10-0.01,Adatok!$C$16+$B57&lt;Adatok!$C$17+1),((Adatok!$C$13*Adatok!$C$20*Adatok!$I56*Adatok!$J56)/(8*(VLOOKUP(AF$19,Számítás!$B$19:$H$63,7,FALSE)))+(Adatok!$C$13^3*Adatok!$C$20^3*Adatok!$I56^3*Adatok!$J56)/(384*(VLOOKUP(AF$19,Számítás!$B$19:$H$63,7,FALSE))^3))*100,$B$19)</f>
        <v>-</v>
      </c>
      <c r="AG57" s="33" t="str">
        <f>IF(AND($I$19+AF$17*Adatok!$F$11&gt;Adatok!$F$10-0.01,Adatok!$C$16+$B57&lt;Adatok!$C$17+1),((Adatok!$C$13*Adatok!$C$20*Adatok!$I56*Adatok!$J56)/(8*(VLOOKUP(AG$19,Számítás!$B$19:$H$63,7,FALSE)))+(Adatok!$C$13^3*Adatok!$C$20^3*Adatok!$I56^3*Adatok!$J56)/(384*(VLOOKUP(AG$19,Számítás!$B$19:$H$63,7,FALSE))^3))*100,$B$19)</f>
        <v>-</v>
      </c>
      <c r="AH57" s="33" t="str">
        <f>IF(AND($I$19+AG$17*Adatok!$F$11&gt;Adatok!$F$10-0.01,Adatok!$C$16+$B57&lt;Adatok!$C$17+1),((Adatok!$C$13*Adatok!$C$20*Adatok!$I56*Adatok!$J56)/(8*(VLOOKUP(AH$19,Számítás!$B$19:$H$63,7,FALSE)))+(Adatok!$C$13^3*Adatok!$C$20^3*Adatok!$I56^3*Adatok!$J56)/(384*(VLOOKUP(AH$19,Számítás!$B$19:$H$63,7,FALSE))^3))*100,$B$19)</f>
        <v>-</v>
      </c>
      <c r="AI57" s="33" t="str">
        <f>IF(AND($I$19+AH$17*Adatok!$F$11&gt;Adatok!$F$10-0.01,Adatok!$C$16+$B57&lt;Adatok!$C$17+1),((Adatok!$C$13*Adatok!$C$20*Adatok!$I56*Adatok!$J56)/(8*(VLOOKUP(AI$19,Számítás!$B$19:$H$63,7,FALSE)))+(Adatok!$C$13^3*Adatok!$C$20^3*Adatok!$I56^3*Adatok!$J56)/(384*(VLOOKUP(AI$19,Számítás!$B$19:$H$63,7,FALSE))^3))*100,$B$19)</f>
        <v>-</v>
      </c>
      <c r="AJ57" s="33" t="str">
        <f>IF(AND($I$19+AI$17*Adatok!$F$11&gt;Adatok!$F$10-0.01,Adatok!$C$16+$B57&lt;Adatok!$C$17+1),((Adatok!$C$13*Adatok!$C$20*Adatok!$I56*Adatok!$J56)/(8*(VLOOKUP(AJ$19,Számítás!$B$19:$H$63,7,FALSE)))+(Adatok!$C$13^3*Adatok!$C$20^3*Adatok!$I56^3*Adatok!$J56)/(384*(VLOOKUP(AJ$19,Számítás!$B$19:$H$63,7,FALSE))^3))*100,$B$19)</f>
        <v>-</v>
      </c>
      <c r="AK57" s="33" t="str">
        <f>IF(AND($I$19+AJ$17*Adatok!$F$11&gt;Adatok!$F$10-0.01,Adatok!$C$16+$B57&lt;Adatok!$C$17+1),((Adatok!$C$13*Adatok!$C$20*Adatok!$I56*Adatok!$J56)/(8*(VLOOKUP(AK$19,Számítás!$B$19:$H$63,7,FALSE)))+(Adatok!$C$13^3*Adatok!$C$20^3*Adatok!$I56^3*Adatok!$J56)/(384*(VLOOKUP(AK$19,Számítás!$B$19:$H$63,7,FALSE))^3))*100,$B$19)</f>
        <v>-</v>
      </c>
      <c r="AL57" s="33" t="str">
        <f>IF(AND($I$19+AK$17*Adatok!$F$11&gt;Adatok!$F$10-0.01,Adatok!$C$16+$B57&lt;Adatok!$C$17+1),((Adatok!$C$13*Adatok!$C$20*Adatok!$I56*Adatok!$J56)/(8*(VLOOKUP(AL$19,Számítás!$B$19:$H$63,7,FALSE)))+(Adatok!$C$13^3*Adatok!$C$20^3*Adatok!$I56^3*Adatok!$J56)/(384*(VLOOKUP(AL$19,Számítás!$B$19:$H$63,7,FALSE))^3))*100,$B$19)</f>
        <v>-</v>
      </c>
      <c r="AM57" s="33" t="str">
        <f>IF(AND($I$19+AL$17*Adatok!$F$11&gt;Adatok!$F$10-0.01,Adatok!$C$16+$B57&lt;Adatok!$C$17+1),((Adatok!$C$13*Adatok!$C$20*Adatok!$I56*Adatok!$J56)/(8*(VLOOKUP(AM$19,Számítás!$B$19:$H$63,7,FALSE)))+(Adatok!$C$13^3*Adatok!$C$20^3*Adatok!$I56^3*Adatok!$J56)/(384*(VLOOKUP(AM$19,Számítás!$B$19:$H$63,7,FALSE))^3))*100,$B$19)</f>
        <v>-</v>
      </c>
      <c r="AN57" s="33" t="str">
        <f>IF(AND($I$19+AM$17*Adatok!$F$11&gt;Adatok!$F$10-0.01,Adatok!$C$16+$B57&lt;Adatok!$C$17+1),((Adatok!$C$13*Adatok!$C$20*Adatok!$I56*Adatok!$J56)/(8*(VLOOKUP(AN$19,Számítás!$B$19:$H$63,7,FALSE)))+(Adatok!$C$13^3*Adatok!$C$20^3*Adatok!$I56^3*Adatok!$J56)/(384*(VLOOKUP(AN$19,Számítás!$B$19:$H$63,7,FALSE))^3))*100,$B$19)</f>
        <v>-</v>
      </c>
      <c r="AO57" s="33" t="str">
        <f>IF(AND($I$19+AN$17*Adatok!$F$11&gt;Adatok!$F$10-0.01,Adatok!$C$16+$B57&lt;Adatok!$C$17+1),((Adatok!$C$13*Adatok!$C$20*Adatok!$I56*Adatok!$J56)/(8*(VLOOKUP(AO$19,Számítás!$B$19:$H$63,7,FALSE)))+(Adatok!$C$13^3*Adatok!$C$20^3*Adatok!$I56^3*Adatok!$J56)/(384*(VLOOKUP(AO$19,Számítás!$B$19:$H$63,7,FALSE))^3))*100,$B$19)</f>
        <v>-</v>
      </c>
      <c r="AP57" s="33" t="str">
        <f>IF(AND($I$19+AO$17*Adatok!$F$11&gt;Adatok!$F$10-0.01,Adatok!$C$16+$B57&lt;Adatok!$C$17+1),((Adatok!$C$13*Adatok!$C$20*Adatok!$I56*Adatok!$J56)/(8*(VLOOKUP(AP$19,Számítás!$B$19:$H$63,7,FALSE)))+(Adatok!$C$13^3*Adatok!$C$20^3*Adatok!$I56^3*Adatok!$J56)/(384*(VLOOKUP(AP$19,Számítás!$B$19:$H$63,7,FALSE))^3))*100,$B$19)</f>
        <v>-</v>
      </c>
      <c r="AQ57" s="33" t="str">
        <f>IF(AND($I$19+AP$17*Adatok!$F$11&gt;Adatok!$F$10-0.01,Adatok!$C$16+$B57&lt;Adatok!$C$17+1),((Adatok!$C$13*Adatok!$C$20*Adatok!$I56*Adatok!$J56)/(8*(VLOOKUP(AQ$19,Számítás!$B$19:$H$63,7,FALSE)))+(Adatok!$C$13^3*Adatok!$C$20^3*Adatok!$I56^3*Adatok!$J56)/(384*(VLOOKUP(AQ$19,Számítás!$B$19:$H$63,7,FALSE))^3))*100,$B$19)</f>
        <v>-</v>
      </c>
      <c r="AR57" s="33" t="str">
        <f>IF(AND($I$19+AQ$17*Adatok!$F$11&gt;Adatok!$F$10-0.01,Adatok!$C$16+$B57&lt;Adatok!$C$17+1),((Adatok!$C$13*Adatok!$C$20*Adatok!$I56*Adatok!$J56)/(8*(VLOOKUP(AR$19,Számítás!$B$19:$H$63,7,FALSE)))+(Adatok!$C$13^3*Adatok!$C$20^3*Adatok!$I56^3*Adatok!$J56)/(384*(VLOOKUP(AR$19,Számítás!$B$19:$H$63,7,FALSE))^3))*100,$B$19)</f>
        <v>-</v>
      </c>
      <c r="AS57" s="33" t="str">
        <f>IF(AND($I$19+AR$17*Adatok!$F$11&gt;Adatok!$F$10-0.01,Adatok!$C$16+$B57&lt;Adatok!$C$17+1),((Adatok!$C$13*Adatok!$C$20*Adatok!$I56*Adatok!$J56)/(8*(VLOOKUP(AS$19,Számítás!$B$19:$H$63,7,FALSE)))+(Adatok!$C$13^3*Adatok!$C$20^3*Adatok!$I56^3*Adatok!$J56)/(384*(VLOOKUP(AS$19,Számítás!$B$19:$H$63,7,FALSE))^3))*100,$B$19)</f>
        <v>-</v>
      </c>
      <c r="AT57" s="33" t="str">
        <f>IF(AND($I$19+AS$17*Adatok!$F$11&gt;Adatok!$F$10-0.01,Adatok!$C$16+$B57&lt;Adatok!$C$17+1),((Adatok!$C$13*Adatok!$C$20*Adatok!$I56*Adatok!$J56)/(8*(VLOOKUP(AT$19,Számítás!$B$19:$H$63,7,FALSE)))+(Adatok!$C$13^3*Adatok!$C$20^3*Adatok!$I56^3*Adatok!$J56)/(384*(VLOOKUP(AT$19,Számítás!$B$19:$H$63,7,FALSE))^3))*100,$B$19)</f>
        <v>-</v>
      </c>
      <c r="AU57" s="33" t="str">
        <f>IF(AND($I$19+AT$17*Adatok!$F$11&gt;Adatok!$F$10-0.01,Adatok!$C$16+$B57&lt;Adatok!$C$17+1),((Adatok!$C$13*Adatok!$C$20*Adatok!$I56*Adatok!$J56)/(8*(VLOOKUP(AU$19,Számítás!$B$19:$H$63,7,FALSE)))+(Adatok!$C$13^3*Adatok!$C$20^3*Adatok!$I56^3*Adatok!$J56)/(384*(VLOOKUP(AU$19,Számítás!$B$19:$H$63,7,FALSE))^3))*100,$B$19)</f>
        <v>-</v>
      </c>
      <c r="AV57" s="33" t="str">
        <f>IF(AND($I$19+AU$17*Adatok!$F$11&gt;Adatok!$F$10-0.01,Adatok!$C$16+$B57&lt;Adatok!$C$17+1),((Adatok!$C$13*Adatok!$C$20*Adatok!$I56*Adatok!$J56)/(8*(VLOOKUP(AV$19,Számítás!$B$19:$H$63,7,FALSE)))+(Adatok!$C$13^3*Adatok!$C$20^3*Adatok!$I56^3*Adatok!$J56)/(384*(VLOOKUP(AV$19,Számítás!$B$19:$H$63,7,FALSE))^3))*100,$B$19)</f>
        <v>-</v>
      </c>
      <c r="AW57" s="33" t="str">
        <f>IF(AND($I$19+AV$17*Adatok!$F$11&gt;Adatok!$F$10-0.01,Adatok!$C$16+$B57&lt;Adatok!$C$17+1),((Adatok!$C$13*Adatok!$C$20*Adatok!$I56*Adatok!$J56)/(8*(VLOOKUP(AW$19,Számítás!$B$19:$H$63,7,FALSE)))+(Adatok!$C$13^3*Adatok!$C$20^3*Adatok!$I56^3*Adatok!$J56)/(384*(VLOOKUP(AW$19,Számítás!$B$19:$H$63,7,FALSE))^3))*100,$B$19)</f>
        <v>-</v>
      </c>
      <c r="AX57" s="33" t="str">
        <f>IF(AND($I$19+AW$17*Adatok!$F$11&gt;Adatok!$F$10-0.01,Adatok!$C$16+$B57&lt;Adatok!$C$17+1),((Adatok!$C$13*Adatok!$C$20*Adatok!$I56*Adatok!$J56)/(8*(VLOOKUP(AX$19,Számítás!$B$19:$H$63,7,FALSE)))+(Adatok!$C$13^3*Adatok!$C$20^3*Adatok!$I56^3*Adatok!$J56)/(384*(VLOOKUP(AX$19,Számítás!$B$19:$H$63,7,FALSE))^3))*100,$B$19)</f>
        <v>-</v>
      </c>
      <c r="AY57" s="33" t="str">
        <f>IF(AND($I$19+AX$17*Adatok!$F$11&gt;Adatok!$F$10-0.01,Adatok!$C$16+$B57&lt;Adatok!$C$17+1),((Adatok!$C$13*Adatok!$C$20*Adatok!$I56*Adatok!$J56)/(8*(VLOOKUP(AY$19,Számítás!$B$19:$H$63,7,FALSE)))+(Adatok!$C$13^3*Adatok!$C$20^3*Adatok!$I56^3*Adatok!$J56)/(384*(VLOOKUP(AY$19,Számítás!$B$19:$H$63,7,FALSE))^3))*100,$B$19)</f>
        <v>-</v>
      </c>
      <c r="AZ57" s="33" t="str">
        <f>IF(AND($I$19+AY$17*Adatok!$F$11&gt;Adatok!$F$10-0.01,Adatok!$C$16+$B57&lt;Adatok!$C$17+1),((Adatok!$C$13*Adatok!$C$20*Adatok!$I56*Adatok!$J56)/(8*(VLOOKUP(AZ$19,Számítás!$B$19:$H$63,7,FALSE)))+(Adatok!$C$13^3*Adatok!$C$20^3*Adatok!$I56^3*Adatok!$J56)/(384*(VLOOKUP(AZ$19,Számítás!$B$19:$H$63,7,FALSE))^3))*100,$B$19)</f>
        <v>-</v>
      </c>
      <c r="BA57" s="33" t="str">
        <f>IF(AND($I$19+AZ$17*Adatok!$F$11&gt;Adatok!$F$10-0.01,Adatok!$C$16+$B57&lt;Adatok!$C$17+1),((Adatok!$C$13*Adatok!$C$20*Adatok!$I56*Adatok!$J56)/(8*(VLOOKUP(BA$19,Számítás!$B$19:$H$63,7,FALSE)))+(Adatok!$C$13^3*Adatok!$C$20^3*Adatok!$I56^3*Adatok!$J56)/(384*(VLOOKUP(BA$19,Számítás!$B$19:$H$63,7,FALSE))^3))*100,$B$19)</f>
        <v>-</v>
      </c>
    </row>
    <row r="58" spans="2:53" ht="18" customHeight="1" x14ac:dyDescent="0.25">
      <c r="B58" s="1">
        <v>39</v>
      </c>
      <c r="C58" s="333" t="str">
        <f>Adatok!F57</f>
        <v>-</v>
      </c>
      <c r="D58" s="32" t="s">
        <v>27</v>
      </c>
      <c r="E58" s="336" t="str">
        <f>Adatok!H57</f>
        <v>-</v>
      </c>
      <c r="F58" s="64" t="str">
        <f>IF(Adatok!$C$16+B58&gt;Adatok!$C$17,$B$19,Adatok!I57)</f>
        <v>-</v>
      </c>
      <c r="G58" s="60"/>
      <c r="H58" s="72" t="str">
        <f>IF(Adatok!$C$16+B58&gt;Adatok!$C$17,$B$19,Adatok!J57/Adatok!I57)</f>
        <v>-</v>
      </c>
      <c r="I58" s="81" t="str">
        <f>IF(Adatok!$C$16+$B58&lt;Adatok!$C$17+1,((((Adatok!$C$13*Adatok!$C$20*Adatok!$I57*Adatok!$J57)/(8*(VLOOKUP(I$19,Számítás!$B$19:$H$63,7,FALSE))))+((Adatok!$C$13^3*Adatok!$C$20^3*Adatok!$I57^3*Adatok!$J57)/(384*(VLOOKUP(I$19,Számítás!$B$19:$H$63,7,FALSE))^3)))*100),$B$19)</f>
        <v>-</v>
      </c>
      <c r="J58" s="33" t="str">
        <f>IF(AND($I$19+I$17*Adatok!$F$11&gt;Adatok!$F$10-0.01,Adatok!$C$16+$B58&lt;Adatok!$C$17+1),((Adatok!$C$13*Adatok!$C$20*Adatok!$I57*Adatok!$J57)/(8*(VLOOKUP(J$19,Számítás!$B$19:$H$63,7,FALSE)))+(Adatok!$C$13^3*Adatok!$C$20^3*Adatok!$I57^3*Adatok!$J57)/(384*(VLOOKUP(J$19,Számítás!$B$19:$H$63,7,FALSE))^3))*100,$B$19)</f>
        <v>-</v>
      </c>
      <c r="K58" s="33" t="str">
        <f>IF(AND($I$19+J$17*Adatok!$F$11&gt;Adatok!$F$10-0.01,Adatok!$C$16+$B58&lt;Adatok!$C$17+1),((Adatok!$C$13*Adatok!$C$20*Adatok!$I57*Adatok!$J57)/(8*(VLOOKUP(K$19,Számítás!$B$19:$H$63,7,FALSE)))+(Adatok!$C$13^3*Adatok!$C$20^3*Adatok!$I57^3*Adatok!$J57)/(384*(VLOOKUP(K$19,Számítás!$B$19:$H$63,7,FALSE))^3))*100,$B$19)</f>
        <v>-</v>
      </c>
      <c r="L58" s="33" t="str">
        <f>IF(AND($I$19+K$17*Adatok!$F$11&gt;Adatok!$F$10-0.01,Adatok!$C$16+$B58&lt;Adatok!$C$17+1),((Adatok!$C$13*Adatok!$C$20*Adatok!$I57*Adatok!$J57)/(8*(VLOOKUP(L$19,Számítás!$B$19:$H$63,7,FALSE)))+(Adatok!$C$13^3*Adatok!$C$20^3*Adatok!$I57^3*Adatok!$J57)/(384*(VLOOKUP(L$19,Számítás!$B$19:$H$63,7,FALSE))^3))*100,$B$19)</f>
        <v>-</v>
      </c>
      <c r="M58" s="33" t="str">
        <f>IF(AND($I$19+L$17*Adatok!$F$11&gt;Adatok!$F$10-0.01,Adatok!$C$16+$B58&lt;Adatok!$C$17+1),((Adatok!$C$13*Adatok!$C$20*Adatok!$I57*Adatok!$J57)/(8*(VLOOKUP(M$19,Számítás!$B$19:$H$63,7,FALSE)))+(Adatok!$C$13^3*Adatok!$C$20^3*Adatok!$I57^3*Adatok!$J57)/(384*(VLOOKUP(M$19,Számítás!$B$19:$H$63,7,FALSE))^3))*100,$B$19)</f>
        <v>-</v>
      </c>
      <c r="N58" s="33" t="str">
        <f>IF(AND($I$19+M$17*Adatok!$F$11&gt;Adatok!$F$10-0.01,Adatok!$C$16+$B58&lt;Adatok!$C$17+1),((Adatok!$C$13*Adatok!$C$20*Adatok!$I57*Adatok!$J57)/(8*(VLOOKUP(N$19,Számítás!$B$19:$H$63,7,FALSE)))+(Adatok!$C$13^3*Adatok!$C$20^3*Adatok!$I57^3*Adatok!$J57)/(384*(VLOOKUP(N$19,Számítás!$B$19:$H$63,7,FALSE))^3))*100,$B$19)</f>
        <v>-</v>
      </c>
      <c r="O58" s="33" t="str">
        <f>IF(AND($I$19+N$17*Adatok!$F$11&gt;Adatok!$F$10-0.01,Adatok!$C$16+$B58&lt;Adatok!$C$17+1),((Adatok!$C$13*Adatok!$C$20*Adatok!$I57*Adatok!$J57)/(8*(VLOOKUP(O$19,Számítás!$B$19:$H$63,7,FALSE)))+(Adatok!$C$13^3*Adatok!$C$20^3*Adatok!$I57^3*Adatok!$J57)/(384*(VLOOKUP(O$19,Számítás!$B$19:$H$63,7,FALSE))^3))*100,$B$19)</f>
        <v>-</v>
      </c>
      <c r="P58" s="33" t="str">
        <f>IF(AND($I$19+O$17*Adatok!$F$11&gt;Adatok!$F$10-0.01,Adatok!$C$16+$B58&lt;Adatok!$C$17+1),((Adatok!$C$13*Adatok!$C$20*Adatok!$I57*Adatok!$J57)/(8*(VLOOKUP(P$19,Számítás!$B$19:$H$63,7,FALSE)))+(Adatok!$C$13^3*Adatok!$C$20^3*Adatok!$I57^3*Adatok!$J57)/(384*(VLOOKUP(P$19,Számítás!$B$19:$H$63,7,FALSE))^3))*100,$B$19)</f>
        <v>-</v>
      </c>
      <c r="Q58" s="33" t="str">
        <f>IF(AND($I$19+P$17*Adatok!$F$11&gt;Adatok!$F$10-0.01,Adatok!$C$16+$B58&lt;Adatok!$C$17+1),((Adatok!$C$13*Adatok!$C$20*Adatok!$I57*Adatok!$J57)/(8*(VLOOKUP(Q$19,Számítás!$B$19:$H$63,7,FALSE)))+(Adatok!$C$13^3*Adatok!$C$20^3*Adatok!$I57^3*Adatok!$J57)/(384*(VLOOKUP(Q$19,Számítás!$B$19:$H$63,7,FALSE))^3))*100,$B$19)</f>
        <v>-</v>
      </c>
      <c r="R58" s="33" t="str">
        <f>IF(AND($I$19+Q$17*Adatok!$F$11&gt;Adatok!$F$10-0.01,Adatok!$C$16+$B58&lt;Adatok!$C$17+1),((Adatok!$C$13*Adatok!$C$20*Adatok!$I57*Adatok!$J57)/(8*(VLOOKUP(R$19,Számítás!$B$19:$H$63,7,FALSE)))+(Adatok!$C$13^3*Adatok!$C$20^3*Adatok!$I57^3*Adatok!$J57)/(384*(VLOOKUP(R$19,Számítás!$B$19:$H$63,7,FALSE))^3))*100,$B$19)</f>
        <v>-</v>
      </c>
      <c r="S58" s="33" t="str">
        <f>IF(AND($I$19+R$17*Adatok!$F$11&gt;Adatok!$F$10-0.01,Adatok!$C$16+$B58&lt;Adatok!$C$17+1),((Adatok!$C$13*Adatok!$C$20*Adatok!$I57*Adatok!$J57)/(8*(VLOOKUP(S$19,Számítás!$B$19:$H$63,7,FALSE)))+(Adatok!$C$13^3*Adatok!$C$20^3*Adatok!$I57^3*Adatok!$J57)/(384*(VLOOKUP(S$19,Számítás!$B$19:$H$63,7,FALSE))^3))*100,$B$19)</f>
        <v>-</v>
      </c>
      <c r="T58" s="33" t="str">
        <f>IF(AND($I$19+S$17*Adatok!$F$11&gt;Adatok!$F$10-0.01,Adatok!$C$16+$B58&lt;Adatok!$C$17+1),((Adatok!$C$13*Adatok!$C$20*Adatok!$I57*Adatok!$J57)/(8*(VLOOKUP(T$19,Számítás!$B$19:$H$63,7,FALSE)))+(Adatok!$C$13^3*Adatok!$C$20^3*Adatok!$I57^3*Adatok!$J57)/(384*(VLOOKUP(T$19,Számítás!$B$19:$H$63,7,FALSE))^3))*100,$B$19)</f>
        <v>-</v>
      </c>
      <c r="U58" s="33" t="str">
        <f>IF(AND($I$19+T$17*Adatok!$F$11&gt;Adatok!$F$10-0.01,Adatok!$C$16+$B58&lt;Adatok!$C$17+1),((Adatok!$C$13*Adatok!$C$20*Adatok!$I57*Adatok!$J57)/(8*(VLOOKUP(U$19,Számítás!$B$19:$H$63,7,FALSE)))+(Adatok!$C$13^3*Adatok!$C$20^3*Adatok!$I57^3*Adatok!$J57)/(384*(VLOOKUP(U$19,Számítás!$B$19:$H$63,7,FALSE))^3))*100,$B$19)</f>
        <v>-</v>
      </c>
      <c r="V58" s="33" t="str">
        <f>IF(AND($I$19+U$17*Adatok!$F$11&gt;Adatok!$F$10-0.01,Adatok!$C$16+$B58&lt;Adatok!$C$17+1),((Adatok!$C$13*Adatok!$C$20*Adatok!$I57*Adatok!$J57)/(8*(VLOOKUP(V$19,Számítás!$B$19:$H$63,7,FALSE)))+(Adatok!$C$13^3*Adatok!$C$20^3*Adatok!$I57^3*Adatok!$J57)/(384*(VLOOKUP(V$19,Számítás!$B$19:$H$63,7,FALSE))^3))*100,$B$19)</f>
        <v>-</v>
      </c>
      <c r="W58" s="33" t="str">
        <f>IF(AND($I$19+V$17*Adatok!$F$11&gt;Adatok!$F$10-0.01,Adatok!$C$16+$B58&lt;Adatok!$C$17+1),((Adatok!$C$13*Adatok!$C$20*Adatok!$I57*Adatok!$J57)/(8*(VLOOKUP(W$19,Számítás!$B$19:$H$63,7,FALSE)))+(Adatok!$C$13^3*Adatok!$C$20^3*Adatok!$I57^3*Adatok!$J57)/(384*(VLOOKUP(W$19,Számítás!$B$19:$H$63,7,FALSE))^3))*100,$B$19)</f>
        <v>-</v>
      </c>
      <c r="X58" s="33" t="str">
        <f>IF(AND($I$19+W$17*Adatok!$F$11&gt;Adatok!$F$10-0.01,Adatok!$C$16+$B58&lt;Adatok!$C$17+1),((Adatok!$C$13*Adatok!$C$20*Adatok!$I57*Adatok!$J57)/(8*(VLOOKUP(X$19,Számítás!$B$19:$H$63,7,FALSE)))+(Adatok!$C$13^3*Adatok!$C$20^3*Adatok!$I57^3*Adatok!$J57)/(384*(VLOOKUP(X$19,Számítás!$B$19:$H$63,7,FALSE))^3))*100,$B$19)</f>
        <v>-</v>
      </c>
      <c r="Y58" s="33" t="str">
        <f>IF(AND($I$19+X$17*Adatok!$F$11&gt;Adatok!$F$10-0.01,Adatok!$C$16+$B58&lt;Adatok!$C$17+1),((Adatok!$C$13*Adatok!$C$20*Adatok!$I57*Adatok!$J57)/(8*(VLOOKUP(Y$19,Számítás!$B$19:$H$63,7,FALSE)))+(Adatok!$C$13^3*Adatok!$C$20^3*Adatok!$I57^3*Adatok!$J57)/(384*(VLOOKUP(Y$19,Számítás!$B$19:$H$63,7,FALSE))^3))*100,$B$19)</f>
        <v>-</v>
      </c>
      <c r="Z58" s="33" t="str">
        <f>IF(AND($I$19+Y$17*Adatok!$F$11&gt;Adatok!$F$10-0.01,Adatok!$C$16+$B58&lt;Adatok!$C$17+1),((Adatok!$C$13*Adatok!$C$20*Adatok!$I57*Adatok!$J57)/(8*(VLOOKUP(Z$19,Számítás!$B$19:$H$63,7,FALSE)))+(Adatok!$C$13^3*Adatok!$C$20^3*Adatok!$I57^3*Adatok!$J57)/(384*(VLOOKUP(Z$19,Számítás!$B$19:$H$63,7,FALSE))^3))*100,$B$19)</f>
        <v>-</v>
      </c>
      <c r="AA58" s="33" t="str">
        <f>IF(AND($I$19+Z$17*Adatok!$F$11&gt;Adatok!$F$10-0.01,Adatok!$C$16+$B58&lt;Adatok!$C$17+1),((Adatok!$C$13*Adatok!$C$20*Adatok!$I57*Adatok!$J57)/(8*(VLOOKUP(AA$19,Számítás!$B$19:$H$63,7,FALSE)))+(Adatok!$C$13^3*Adatok!$C$20^3*Adatok!$I57^3*Adatok!$J57)/(384*(VLOOKUP(AA$19,Számítás!$B$19:$H$63,7,FALSE))^3))*100,$B$19)</f>
        <v>-</v>
      </c>
      <c r="AB58" s="33" t="str">
        <f>IF(AND($I$19+AA$17*Adatok!$F$11&gt;Adatok!$F$10-0.01,Adatok!$C$16+$B58&lt;Adatok!$C$17+1),((Adatok!$C$13*Adatok!$C$20*Adatok!$I57*Adatok!$J57)/(8*(VLOOKUP(AB$19,Számítás!$B$19:$H$63,7,FALSE)))+(Adatok!$C$13^3*Adatok!$C$20^3*Adatok!$I57^3*Adatok!$J57)/(384*(VLOOKUP(AB$19,Számítás!$B$19:$H$63,7,FALSE))^3))*100,$B$19)</f>
        <v>-</v>
      </c>
      <c r="AC58" s="33" t="str">
        <f>IF(AND($I$19+AB$17*Adatok!$F$11&gt;Adatok!$F$10-0.01,Adatok!$C$16+$B58&lt;Adatok!$C$17+1),((Adatok!$C$13*Adatok!$C$20*Adatok!$I57*Adatok!$J57)/(8*(VLOOKUP(AC$19,Számítás!$B$19:$H$63,7,FALSE)))+(Adatok!$C$13^3*Adatok!$C$20^3*Adatok!$I57^3*Adatok!$J57)/(384*(VLOOKUP(AC$19,Számítás!$B$19:$H$63,7,FALSE))^3))*100,$B$19)</f>
        <v>-</v>
      </c>
      <c r="AD58" s="33" t="str">
        <f>IF(AND($I$19+AC$17*Adatok!$F$11&gt;Adatok!$F$10-0.01,Adatok!$C$16+$B58&lt;Adatok!$C$17+1),((Adatok!$C$13*Adatok!$C$20*Adatok!$I57*Adatok!$J57)/(8*(VLOOKUP(AD$19,Számítás!$B$19:$H$63,7,FALSE)))+(Adatok!$C$13^3*Adatok!$C$20^3*Adatok!$I57^3*Adatok!$J57)/(384*(VLOOKUP(AD$19,Számítás!$B$19:$H$63,7,FALSE))^3))*100,$B$19)</f>
        <v>-</v>
      </c>
      <c r="AE58" s="33" t="str">
        <f>IF(AND($I$19+AD$17*Adatok!$F$11&gt;Adatok!$F$10-0.01,Adatok!$C$16+$B58&lt;Adatok!$C$17+1),((Adatok!$C$13*Adatok!$C$20*Adatok!$I57*Adatok!$J57)/(8*(VLOOKUP(AE$19,Számítás!$B$19:$H$63,7,FALSE)))+(Adatok!$C$13^3*Adatok!$C$20^3*Adatok!$I57^3*Adatok!$J57)/(384*(VLOOKUP(AE$19,Számítás!$B$19:$H$63,7,FALSE))^3))*100,$B$19)</f>
        <v>-</v>
      </c>
      <c r="AF58" s="33" t="str">
        <f>IF(AND($I$19+AE$17*Adatok!$F$11&gt;Adatok!$F$10-0.01,Adatok!$C$16+$B58&lt;Adatok!$C$17+1),((Adatok!$C$13*Adatok!$C$20*Adatok!$I57*Adatok!$J57)/(8*(VLOOKUP(AF$19,Számítás!$B$19:$H$63,7,FALSE)))+(Adatok!$C$13^3*Adatok!$C$20^3*Adatok!$I57^3*Adatok!$J57)/(384*(VLOOKUP(AF$19,Számítás!$B$19:$H$63,7,FALSE))^3))*100,$B$19)</f>
        <v>-</v>
      </c>
      <c r="AG58" s="33" t="str">
        <f>IF(AND($I$19+AF$17*Adatok!$F$11&gt;Adatok!$F$10-0.01,Adatok!$C$16+$B58&lt;Adatok!$C$17+1),((Adatok!$C$13*Adatok!$C$20*Adatok!$I57*Adatok!$J57)/(8*(VLOOKUP(AG$19,Számítás!$B$19:$H$63,7,FALSE)))+(Adatok!$C$13^3*Adatok!$C$20^3*Adatok!$I57^3*Adatok!$J57)/(384*(VLOOKUP(AG$19,Számítás!$B$19:$H$63,7,FALSE))^3))*100,$B$19)</f>
        <v>-</v>
      </c>
      <c r="AH58" s="33" t="str">
        <f>IF(AND($I$19+AG$17*Adatok!$F$11&gt;Adatok!$F$10-0.01,Adatok!$C$16+$B58&lt;Adatok!$C$17+1),((Adatok!$C$13*Adatok!$C$20*Adatok!$I57*Adatok!$J57)/(8*(VLOOKUP(AH$19,Számítás!$B$19:$H$63,7,FALSE)))+(Adatok!$C$13^3*Adatok!$C$20^3*Adatok!$I57^3*Adatok!$J57)/(384*(VLOOKUP(AH$19,Számítás!$B$19:$H$63,7,FALSE))^3))*100,$B$19)</f>
        <v>-</v>
      </c>
      <c r="AI58" s="33" t="str">
        <f>IF(AND($I$19+AH$17*Adatok!$F$11&gt;Adatok!$F$10-0.01,Adatok!$C$16+$B58&lt;Adatok!$C$17+1),((Adatok!$C$13*Adatok!$C$20*Adatok!$I57*Adatok!$J57)/(8*(VLOOKUP(AI$19,Számítás!$B$19:$H$63,7,FALSE)))+(Adatok!$C$13^3*Adatok!$C$20^3*Adatok!$I57^3*Adatok!$J57)/(384*(VLOOKUP(AI$19,Számítás!$B$19:$H$63,7,FALSE))^3))*100,$B$19)</f>
        <v>-</v>
      </c>
      <c r="AJ58" s="33" t="str">
        <f>IF(AND($I$19+AI$17*Adatok!$F$11&gt;Adatok!$F$10-0.01,Adatok!$C$16+$B58&lt;Adatok!$C$17+1),((Adatok!$C$13*Adatok!$C$20*Adatok!$I57*Adatok!$J57)/(8*(VLOOKUP(AJ$19,Számítás!$B$19:$H$63,7,FALSE)))+(Adatok!$C$13^3*Adatok!$C$20^3*Adatok!$I57^3*Adatok!$J57)/(384*(VLOOKUP(AJ$19,Számítás!$B$19:$H$63,7,FALSE))^3))*100,$B$19)</f>
        <v>-</v>
      </c>
      <c r="AK58" s="33" t="str">
        <f>IF(AND($I$19+AJ$17*Adatok!$F$11&gt;Adatok!$F$10-0.01,Adatok!$C$16+$B58&lt;Adatok!$C$17+1),((Adatok!$C$13*Adatok!$C$20*Adatok!$I57*Adatok!$J57)/(8*(VLOOKUP(AK$19,Számítás!$B$19:$H$63,7,FALSE)))+(Adatok!$C$13^3*Adatok!$C$20^3*Adatok!$I57^3*Adatok!$J57)/(384*(VLOOKUP(AK$19,Számítás!$B$19:$H$63,7,FALSE))^3))*100,$B$19)</f>
        <v>-</v>
      </c>
      <c r="AL58" s="33" t="str">
        <f>IF(AND($I$19+AK$17*Adatok!$F$11&gt;Adatok!$F$10-0.01,Adatok!$C$16+$B58&lt;Adatok!$C$17+1),((Adatok!$C$13*Adatok!$C$20*Adatok!$I57*Adatok!$J57)/(8*(VLOOKUP(AL$19,Számítás!$B$19:$H$63,7,FALSE)))+(Adatok!$C$13^3*Adatok!$C$20^3*Adatok!$I57^3*Adatok!$J57)/(384*(VLOOKUP(AL$19,Számítás!$B$19:$H$63,7,FALSE))^3))*100,$B$19)</f>
        <v>-</v>
      </c>
      <c r="AM58" s="33" t="str">
        <f>IF(AND($I$19+AL$17*Adatok!$F$11&gt;Adatok!$F$10-0.01,Adatok!$C$16+$B58&lt;Adatok!$C$17+1),((Adatok!$C$13*Adatok!$C$20*Adatok!$I57*Adatok!$J57)/(8*(VLOOKUP(AM$19,Számítás!$B$19:$H$63,7,FALSE)))+(Adatok!$C$13^3*Adatok!$C$20^3*Adatok!$I57^3*Adatok!$J57)/(384*(VLOOKUP(AM$19,Számítás!$B$19:$H$63,7,FALSE))^3))*100,$B$19)</f>
        <v>-</v>
      </c>
      <c r="AN58" s="33" t="str">
        <f>IF(AND($I$19+AM$17*Adatok!$F$11&gt;Adatok!$F$10-0.01,Adatok!$C$16+$B58&lt;Adatok!$C$17+1),((Adatok!$C$13*Adatok!$C$20*Adatok!$I57*Adatok!$J57)/(8*(VLOOKUP(AN$19,Számítás!$B$19:$H$63,7,FALSE)))+(Adatok!$C$13^3*Adatok!$C$20^3*Adatok!$I57^3*Adatok!$J57)/(384*(VLOOKUP(AN$19,Számítás!$B$19:$H$63,7,FALSE))^3))*100,$B$19)</f>
        <v>-</v>
      </c>
      <c r="AO58" s="33" t="str">
        <f>IF(AND($I$19+AN$17*Adatok!$F$11&gt;Adatok!$F$10-0.01,Adatok!$C$16+$B58&lt;Adatok!$C$17+1),((Adatok!$C$13*Adatok!$C$20*Adatok!$I57*Adatok!$J57)/(8*(VLOOKUP(AO$19,Számítás!$B$19:$H$63,7,FALSE)))+(Adatok!$C$13^3*Adatok!$C$20^3*Adatok!$I57^3*Adatok!$J57)/(384*(VLOOKUP(AO$19,Számítás!$B$19:$H$63,7,FALSE))^3))*100,$B$19)</f>
        <v>-</v>
      </c>
      <c r="AP58" s="33" t="str">
        <f>IF(AND($I$19+AO$17*Adatok!$F$11&gt;Adatok!$F$10-0.01,Adatok!$C$16+$B58&lt;Adatok!$C$17+1),((Adatok!$C$13*Adatok!$C$20*Adatok!$I57*Adatok!$J57)/(8*(VLOOKUP(AP$19,Számítás!$B$19:$H$63,7,FALSE)))+(Adatok!$C$13^3*Adatok!$C$20^3*Adatok!$I57^3*Adatok!$J57)/(384*(VLOOKUP(AP$19,Számítás!$B$19:$H$63,7,FALSE))^3))*100,$B$19)</f>
        <v>-</v>
      </c>
      <c r="AQ58" s="33" t="str">
        <f>IF(AND($I$19+AP$17*Adatok!$F$11&gt;Adatok!$F$10-0.01,Adatok!$C$16+$B58&lt;Adatok!$C$17+1),((Adatok!$C$13*Adatok!$C$20*Adatok!$I57*Adatok!$J57)/(8*(VLOOKUP(AQ$19,Számítás!$B$19:$H$63,7,FALSE)))+(Adatok!$C$13^3*Adatok!$C$20^3*Adatok!$I57^3*Adatok!$J57)/(384*(VLOOKUP(AQ$19,Számítás!$B$19:$H$63,7,FALSE))^3))*100,$B$19)</f>
        <v>-</v>
      </c>
      <c r="AR58" s="33" t="str">
        <f>IF(AND($I$19+AQ$17*Adatok!$F$11&gt;Adatok!$F$10-0.01,Adatok!$C$16+$B58&lt;Adatok!$C$17+1),((Adatok!$C$13*Adatok!$C$20*Adatok!$I57*Adatok!$J57)/(8*(VLOOKUP(AR$19,Számítás!$B$19:$H$63,7,FALSE)))+(Adatok!$C$13^3*Adatok!$C$20^3*Adatok!$I57^3*Adatok!$J57)/(384*(VLOOKUP(AR$19,Számítás!$B$19:$H$63,7,FALSE))^3))*100,$B$19)</f>
        <v>-</v>
      </c>
      <c r="AS58" s="33" t="str">
        <f>IF(AND($I$19+AR$17*Adatok!$F$11&gt;Adatok!$F$10-0.01,Adatok!$C$16+$B58&lt;Adatok!$C$17+1),((Adatok!$C$13*Adatok!$C$20*Adatok!$I57*Adatok!$J57)/(8*(VLOOKUP(AS$19,Számítás!$B$19:$H$63,7,FALSE)))+(Adatok!$C$13^3*Adatok!$C$20^3*Adatok!$I57^3*Adatok!$J57)/(384*(VLOOKUP(AS$19,Számítás!$B$19:$H$63,7,FALSE))^3))*100,$B$19)</f>
        <v>-</v>
      </c>
      <c r="AT58" s="33" t="str">
        <f>IF(AND($I$19+AS$17*Adatok!$F$11&gt;Adatok!$F$10-0.01,Adatok!$C$16+$B58&lt;Adatok!$C$17+1),((Adatok!$C$13*Adatok!$C$20*Adatok!$I57*Adatok!$J57)/(8*(VLOOKUP(AT$19,Számítás!$B$19:$H$63,7,FALSE)))+(Adatok!$C$13^3*Adatok!$C$20^3*Adatok!$I57^3*Adatok!$J57)/(384*(VLOOKUP(AT$19,Számítás!$B$19:$H$63,7,FALSE))^3))*100,$B$19)</f>
        <v>-</v>
      </c>
      <c r="AU58" s="33" t="str">
        <f>IF(AND($I$19+AT$17*Adatok!$F$11&gt;Adatok!$F$10-0.01,Adatok!$C$16+$B58&lt;Adatok!$C$17+1),((Adatok!$C$13*Adatok!$C$20*Adatok!$I57*Adatok!$J57)/(8*(VLOOKUP(AU$19,Számítás!$B$19:$H$63,7,FALSE)))+(Adatok!$C$13^3*Adatok!$C$20^3*Adatok!$I57^3*Adatok!$J57)/(384*(VLOOKUP(AU$19,Számítás!$B$19:$H$63,7,FALSE))^3))*100,$B$19)</f>
        <v>-</v>
      </c>
      <c r="AV58" s="33" t="str">
        <f>IF(AND($I$19+AU$17*Adatok!$F$11&gt;Adatok!$F$10-0.01,Adatok!$C$16+$B58&lt;Adatok!$C$17+1),((Adatok!$C$13*Adatok!$C$20*Adatok!$I57*Adatok!$J57)/(8*(VLOOKUP(AV$19,Számítás!$B$19:$H$63,7,FALSE)))+(Adatok!$C$13^3*Adatok!$C$20^3*Adatok!$I57^3*Adatok!$J57)/(384*(VLOOKUP(AV$19,Számítás!$B$19:$H$63,7,FALSE))^3))*100,$B$19)</f>
        <v>-</v>
      </c>
      <c r="AW58" s="33" t="str">
        <f>IF(AND($I$19+AV$17*Adatok!$F$11&gt;Adatok!$F$10-0.01,Adatok!$C$16+$B58&lt;Adatok!$C$17+1),((Adatok!$C$13*Adatok!$C$20*Adatok!$I57*Adatok!$J57)/(8*(VLOOKUP(AW$19,Számítás!$B$19:$H$63,7,FALSE)))+(Adatok!$C$13^3*Adatok!$C$20^3*Adatok!$I57^3*Adatok!$J57)/(384*(VLOOKUP(AW$19,Számítás!$B$19:$H$63,7,FALSE))^3))*100,$B$19)</f>
        <v>-</v>
      </c>
      <c r="AX58" s="33" t="str">
        <f>IF(AND($I$19+AW$17*Adatok!$F$11&gt;Adatok!$F$10-0.01,Adatok!$C$16+$B58&lt;Adatok!$C$17+1),((Adatok!$C$13*Adatok!$C$20*Adatok!$I57*Adatok!$J57)/(8*(VLOOKUP(AX$19,Számítás!$B$19:$H$63,7,FALSE)))+(Adatok!$C$13^3*Adatok!$C$20^3*Adatok!$I57^3*Adatok!$J57)/(384*(VLOOKUP(AX$19,Számítás!$B$19:$H$63,7,FALSE))^3))*100,$B$19)</f>
        <v>-</v>
      </c>
      <c r="AY58" s="33" t="str">
        <f>IF(AND($I$19+AX$17*Adatok!$F$11&gt;Adatok!$F$10-0.01,Adatok!$C$16+$B58&lt;Adatok!$C$17+1),((Adatok!$C$13*Adatok!$C$20*Adatok!$I57*Adatok!$J57)/(8*(VLOOKUP(AY$19,Számítás!$B$19:$H$63,7,FALSE)))+(Adatok!$C$13^3*Adatok!$C$20^3*Adatok!$I57^3*Adatok!$J57)/(384*(VLOOKUP(AY$19,Számítás!$B$19:$H$63,7,FALSE))^3))*100,$B$19)</f>
        <v>-</v>
      </c>
      <c r="AZ58" s="33" t="str">
        <f>IF(AND($I$19+AY$17*Adatok!$F$11&gt;Adatok!$F$10-0.01,Adatok!$C$16+$B58&lt;Adatok!$C$17+1),((Adatok!$C$13*Adatok!$C$20*Adatok!$I57*Adatok!$J57)/(8*(VLOOKUP(AZ$19,Számítás!$B$19:$H$63,7,FALSE)))+(Adatok!$C$13^3*Adatok!$C$20^3*Adatok!$I57^3*Adatok!$J57)/(384*(VLOOKUP(AZ$19,Számítás!$B$19:$H$63,7,FALSE))^3))*100,$B$19)</f>
        <v>-</v>
      </c>
      <c r="BA58" s="33" t="str">
        <f>IF(AND($I$19+AZ$17*Adatok!$F$11&gt;Adatok!$F$10-0.01,Adatok!$C$16+$B58&lt;Adatok!$C$17+1),((Adatok!$C$13*Adatok!$C$20*Adatok!$I57*Adatok!$J57)/(8*(VLOOKUP(BA$19,Számítás!$B$19:$H$63,7,FALSE)))+(Adatok!$C$13^3*Adatok!$C$20^3*Adatok!$I57^3*Adatok!$J57)/(384*(VLOOKUP(BA$19,Számítás!$B$19:$H$63,7,FALSE))^3))*100,$B$19)</f>
        <v>-</v>
      </c>
    </row>
    <row r="59" spans="2:53" ht="18" customHeight="1" x14ac:dyDescent="0.25">
      <c r="B59" s="1">
        <v>40</v>
      </c>
      <c r="C59" s="333" t="str">
        <f>Adatok!F58</f>
        <v>-</v>
      </c>
      <c r="D59" s="32" t="s">
        <v>27</v>
      </c>
      <c r="E59" s="336" t="str">
        <f>Adatok!H58</f>
        <v>-</v>
      </c>
      <c r="F59" s="64" t="str">
        <f>IF(Adatok!$C$16+B59&gt;Adatok!$C$17,$B$19,Adatok!I58)</f>
        <v>-</v>
      </c>
      <c r="G59" s="60"/>
      <c r="H59" s="72" t="str">
        <f>IF(Adatok!$C$16+B59&gt;Adatok!$C$17,$B$19,Adatok!J58/Adatok!I58)</f>
        <v>-</v>
      </c>
      <c r="I59" s="81" t="str">
        <f>IF(Adatok!$C$16+$B59&lt;Adatok!$C$17+1,((((Adatok!$C$13*Adatok!$C$20*Adatok!$I58*Adatok!$J58)/(8*(VLOOKUP(I$19,Számítás!$B$19:$H$63,7,FALSE))))+((Adatok!$C$13^3*Adatok!$C$20^3*Adatok!$I58^3*Adatok!$J58)/(384*(VLOOKUP(I$19,Számítás!$B$19:$H$63,7,FALSE))^3)))*100),$B$19)</f>
        <v>-</v>
      </c>
      <c r="J59" s="33" t="str">
        <f>IF(AND($I$19+I$17*Adatok!$F$11&gt;Adatok!$F$10-0.01,Adatok!$C$16+$B59&lt;Adatok!$C$17+1),((Adatok!$C$13*Adatok!$C$20*Adatok!$I58*Adatok!$J58)/(8*(VLOOKUP(J$19,Számítás!$B$19:$H$63,7,FALSE)))+(Adatok!$C$13^3*Adatok!$C$20^3*Adatok!$I58^3*Adatok!$J58)/(384*(VLOOKUP(J$19,Számítás!$B$19:$H$63,7,FALSE))^3))*100,$B$19)</f>
        <v>-</v>
      </c>
      <c r="K59" s="33" t="str">
        <f>IF(AND($I$19+J$17*Adatok!$F$11&gt;Adatok!$F$10-0.01,Adatok!$C$16+$B59&lt;Adatok!$C$17+1),((Adatok!$C$13*Adatok!$C$20*Adatok!$I58*Adatok!$J58)/(8*(VLOOKUP(K$19,Számítás!$B$19:$H$63,7,FALSE)))+(Adatok!$C$13^3*Adatok!$C$20^3*Adatok!$I58^3*Adatok!$J58)/(384*(VLOOKUP(K$19,Számítás!$B$19:$H$63,7,FALSE))^3))*100,$B$19)</f>
        <v>-</v>
      </c>
      <c r="L59" s="33" t="str">
        <f>IF(AND($I$19+K$17*Adatok!$F$11&gt;Adatok!$F$10-0.01,Adatok!$C$16+$B59&lt;Adatok!$C$17+1),((Adatok!$C$13*Adatok!$C$20*Adatok!$I58*Adatok!$J58)/(8*(VLOOKUP(L$19,Számítás!$B$19:$H$63,7,FALSE)))+(Adatok!$C$13^3*Adatok!$C$20^3*Adatok!$I58^3*Adatok!$J58)/(384*(VLOOKUP(L$19,Számítás!$B$19:$H$63,7,FALSE))^3))*100,$B$19)</f>
        <v>-</v>
      </c>
      <c r="M59" s="33" t="str">
        <f>IF(AND($I$19+L$17*Adatok!$F$11&gt;Adatok!$F$10-0.01,Adatok!$C$16+$B59&lt;Adatok!$C$17+1),((Adatok!$C$13*Adatok!$C$20*Adatok!$I58*Adatok!$J58)/(8*(VLOOKUP(M$19,Számítás!$B$19:$H$63,7,FALSE)))+(Adatok!$C$13^3*Adatok!$C$20^3*Adatok!$I58^3*Adatok!$J58)/(384*(VLOOKUP(M$19,Számítás!$B$19:$H$63,7,FALSE))^3))*100,$B$19)</f>
        <v>-</v>
      </c>
      <c r="N59" s="33" t="str">
        <f>IF(AND($I$19+M$17*Adatok!$F$11&gt;Adatok!$F$10-0.01,Adatok!$C$16+$B59&lt;Adatok!$C$17+1),((Adatok!$C$13*Adatok!$C$20*Adatok!$I58*Adatok!$J58)/(8*(VLOOKUP(N$19,Számítás!$B$19:$H$63,7,FALSE)))+(Adatok!$C$13^3*Adatok!$C$20^3*Adatok!$I58^3*Adatok!$J58)/(384*(VLOOKUP(N$19,Számítás!$B$19:$H$63,7,FALSE))^3))*100,$B$19)</f>
        <v>-</v>
      </c>
      <c r="O59" s="33" t="str">
        <f>IF(AND($I$19+N$17*Adatok!$F$11&gt;Adatok!$F$10-0.01,Adatok!$C$16+$B59&lt;Adatok!$C$17+1),((Adatok!$C$13*Adatok!$C$20*Adatok!$I58*Adatok!$J58)/(8*(VLOOKUP(O$19,Számítás!$B$19:$H$63,7,FALSE)))+(Adatok!$C$13^3*Adatok!$C$20^3*Adatok!$I58^3*Adatok!$J58)/(384*(VLOOKUP(O$19,Számítás!$B$19:$H$63,7,FALSE))^3))*100,$B$19)</f>
        <v>-</v>
      </c>
      <c r="P59" s="33" t="str">
        <f>IF(AND($I$19+O$17*Adatok!$F$11&gt;Adatok!$F$10-0.01,Adatok!$C$16+$B59&lt;Adatok!$C$17+1),((Adatok!$C$13*Adatok!$C$20*Adatok!$I58*Adatok!$J58)/(8*(VLOOKUP(P$19,Számítás!$B$19:$H$63,7,FALSE)))+(Adatok!$C$13^3*Adatok!$C$20^3*Adatok!$I58^3*Adatok!$J58)/(384*(VLOOKUP(P$19,Számítás!$B$19:$H$63,7,FALSE))^3))*100,$B$19)</f>
        <v>-</v>
      </c>
      <c r="Q59" s="33" t="str">
        <f>IF(AND($I$19+P$17*Adatok!$F$11&gt;Adatok!$F$10-0.01,Adatok!$C$16+$B59&lt;Adatok!$C$17+1),((Adatok!$C$13*Adatok!$C$20*Adatok!$I58*Adatok!$J58)/(8*(VLOOKUP(Q$19,Számítás!$B$19:$H$63,7,FALSE)))+(Adatok!$C$13^3*Adatok!$C$20^3*Adatok!$I58^3*Adatok!$J58)/(384*(VLOOKUP(Q$19,Számítás!$B$19:$H$63,7,FALSE))^3))*100,$B$19)</f>
        <v>-</v>
      </c>
      <c r="R59" s="33" t="str">
        <f>IF(AND($I$19+Q$17*Adatok!$F$11&gt;Adatok!$F$10-0.01,Adatok!$C$16+$B59&lt;Adatok!$C$17+1),((Adatok!$C$13*Adatok!$C$20*Adatok!$I58*Adatok!$J58)/(8*(VLOOKUP(R$19,Számítás!$B$19:$H$63,7,FALSE)))+(Adatok!$C$13^3*Adatok!$C$20^3*Adatok!$I58^3*Adatok!$J58)/(384*(VLOOKUP(R$19,Számítás!$B$19:$H$63,7,FALSE))^3))*100,$B$19)</f>
        <v>-</v>
      </c>
      <c r="S59" s="33" t="str">
        <f>IF(AND($I$19+R$17*Adatok!$F$11&gt;Adatok!$F$10-0.01,Adatok!$C$16+$B59&lt;Adatok!$C$17+1),((Adatok!$C$13*Adatok!$C$20*Adatok!$I58*Adatok!$J58)/(8*(VLOOKUP(S$19,Számítás!$B$19:$H$63,7,FALSE)))+(Adatok!$C$13^3*Adatok!$C$20^3*Adatok!$I58^3*Adatok!$J58)/(384*(VLOOKUP(S$19,Számítás!$B$19:$H$63,7,FALSE))^3))*100,$B$19)</f>
        <v>-</v>
      </c>
      <c r="T59" s="33" t="str">
        <f>IF(AND($I$19+S$17*Adatok!$F$11&gt;Adatok!$F$10-0.01,Adatok!$C$16+$B59&lt;Adatok!$C$17+1),((Adatok!$C$13*Adatok!$C$20*Adatok!$I58*Adatok!$J58)/(8*(VLOOKUP(T$19,Számítás!$B$19:$H$63,7,FALSE)))+(Adatok!$C$13^3*Adatok!$C$20^3*Adatok!$I58^3*Adatok!$J58)/(384*(VLOOKUP(T$19,Számítás!$B$19:$H$63,7,FALSE))^3))*100,$B$19)</f>
        <v>-</v>
      </c>
      <c r="U59" s="33" t="str">
        <f>IF(AND($I$19+T$17*Adatok!$F$11&gt;Adatok!$F$10-0.01,Adatok!$C$16+$B59&lt;Adatok!$C$17+1),((Adatok!$C$13*Adatok!$C$20*Adatok!$I58*Adatok!$J58)/(8*(VLOOKUP(U$19,Számítás!$B$19:$H$63,7,FALSE)))+(Adatok!$C$13^3*Adatok!$C$20^3*Adatok!$I58^3*Adatok!$J58)/(384*(VLOOKUP(U$19,Számítás!$B$19:$H$63,7,FALSE))^3))*100,$B$19)</f>
        <v>-</v>
      </c>
      <c r="V59" s="33" t="str">
        <f>IF(AND($I$19+U$17*Adatok!$F$11&gt;Adatok!$F$10-0.01,Adatok!$C$16+$B59&lt;Adatok!$C$17+1),((Adatok!$C$13*Adatok!$C$20*Adatok!$I58*Adatok!$J58)/(8*(VLOOKUP(V$19,Számítás!$B$19:$H$63,7,FALSE)))+(Adatok!$C$13^3*Adatok!$C$20^3*Adatok!$I58^3*Adatok!$J58)/(384*(VLOOKUP(V$19,Számítás!$B$19:$H$63,7,FALSE))^3))*100,$B$19)</f>
        <v>-</v>
      </c>
      <c r="W59" s="33" t="str">
        <f>IF(AND($I$19+V$17*Adatok!$F$11&gt;Adatok!$F$10-0.01,Adatok!$C$16+$B59&lt;Adatok!$C$17+1),((Adatok!$C$13*Adatok!$C$20*Adatok!$I58*Adatok!$J58)/(8*(VLOOKUP(W$19,Számítás!$B$19:$H$63,7,FALSE)))+(Adatok!$C$13^3*Adatok!$C$20^3*Adatok!$I58^3*Adatok!$J58)/(384*(VLOOKUP(W$19,Számítás!$B$19:$H$63,7,FALSE))^3))*100,$B$19)</f>
        <v>-</v>
      </c>
      <c r="X59" s="33" t="str">
        <f>IF(AND($I$19+W$17*Adatok!$F$11&gt;Adatok!$F$10-0.01,Adatok!$C$16+$B59&lt;Adatok!$C$17+1),((Adatok!$C$13*Adatok!$C$20*Adatok!$I58*Adatok!$J58)/(8*(VLOOKUP(X$19,Számítás!$B$19:$H$63,7,FALSE)))+(Adatok!$C$13^3*Adatok!$C$20^3*Adatok!$I58^3*Adatok!$J58)/(384*(VLOOKUP(X$19,Számítás!$B$19:$H$63,7,FALSE))^3))*100,$B$19)</f>
        <v>-</v>
      </c>
      <c r="Y59" s="33" t="str">
        <f>IF(AND($I$19+X$17*Adatok!$F$11&gt;Adatok!$F$10-0.01,Adatok!$C$16+$B59&lt;Adatok!$C$17+1),((Adatok!$C$13*Adatok!$C$20*Adatok!$I58*Adatok!$J58)/(8*(VLOOKUP(Y$19,Számítás!$B$19:$H$63,7,FALSE)))+(Adatok!$C$13^3*Adatok!$C$20^3*Adatok!$I58^3*Adatok!$J58)/(384*(VLOOKUP(Y$19,Számítás!$B$19:$H$63,7,FALSE))^3))*100,$B$19)</f>
        <v>-</v>
      </c>
      <c r="Z59" s="33" t="str">
        <f>IF(AND($I$19+Y$17*Adatok!$F$11&gt;Adatok!$F$10-0.01,Adatok!$C$16+$B59&lt;Adatok!$C$17+1),((Adatok!$C$13*Adatok!$C$20*Adatok!$I58*Adatok!$J58)/(8*(VLOOKUP(Z$19,Számítás!$B$19:$H$63,7,FALSE)))+(Adatok!$C$13^3*Adatok!$C$20^3*Adatok!$I58^3*Adatok!$J58)/(384*(VLOOKUP(Z$19,Számítás!$B$19:$H$63,7,FALSE))^3))*100,$B$19)</f>
        <v>-</v>
      </c>
      <c r="AA59" s="33" t="str">
        <f>IF(AND($I$19+Z$17*Adatok!$F$11&gt;Adatok!$F$10-0.01,Adatok!$C$16+$B59&lt;Adatok!$C$17+1),((Adatok!$C$13*Adatok!$C$20*Adatok!$I58*Adatok!$J58)/(8*(VLOOKUP(AA$19,Számítás!$B$19:$H$63,7,FALSE)))+(Adatok!$C$13^3*Adatok!$C$20^3*Adatok!$I58^3*Adatok!$J58)/(384*(VLOOKUP(AA$19,Számítás!$B$19:$H$63,7,FALSE))^3))*100,$B$19)</f>
        <v>-</v>
      </c>
      <c r="AB59" s="33" t="str">
        <f>IF(AND($I$19+AA$17*Adatok!$F$11&gt;Adatok!$F$10-0.01,Adatok!$C$16+$B59&lt;Adatok!$C$17+1),((Adatok!$C$13*Adatok!$C$20*Adatok!$I58*Adatok!$J58)/(8*(VLOOKUP(AB$19,Számítás!$B$19:$H$63,7,FALSE)))+(Adatok!$C$13^3*Adatok!$C$20^3*Adatok!$I58^3*Adatok!$J58)/(384*(VLOOKUP(AB$19,Számítás!$B$19:$H$63,7,FALSE))^3))*100,$B$19)</f>
        <v>-</v>
      </c>
      <c r="AC59" s="33" t="str">
        <f>IF(AND($I$19+AB$17*Adatok!$F$11&gt;Adatok!$F$10-0.01,Adatok!$C$16+$B59&lt;Adatok!$C$17+1),((Adatok!$C$13*Adatok!$C$20*Adatok!$I58*Adatok!$J58)/(8*(VLOOKUP(AC$19,Számítás!$B$19:$H$63,7,FALSE)))+(Adatok!$C$13^3*Adatok!$C$20^3*Adatok!$I58^3*Adatok!$J58)/(384*(VLOOKUP(AC$19,Számítás!$B$19:$H$63,7,FALSE))^3))*100,$B$19)</f>
        <v>-</v>
      </c>
      <c r="AD59" s="33" t="str">
        <f>IF(AND($I$19+AC$17*Adatok!$F$11&gt;Adatok!$F$10-0.01,Adatok!$C$16+$B59&lt;Adatok!$C$17+1),((Adatok!$C$13*Adatok!$C$20*Adatok!$I58*Adatok!$J58)/(8*(VLOOKUP(AD$19,Számítás!$B$19:$H$63,7,FALSE)))+(Adatok!$C$13^3*Adatok!$C$20^3*Adatok!$I58^3*Adatok!$J58)/(384*(VLOOKUP(AD$19,Számítás!$B$19:$H$63,7,FALSE))^3))*100,$B$19)</f>
        <v>-</v>
      </c>
      <c r="AE59" s="33" t="str">
        <f>IF(AND($I$19+AD$17*Adatok!$F$11&gt;Adatok!$F$10-0.01,Adatok!$C$16+$B59&lt;Adatok!$C$17+1),((Adatok!$C$13*Adatok!$C$20*Adatok!$I58*Adatok!$J58)/(8*(VLOOKUP(AE$19,Számítás!$B$19:$H$63,7,FALSE)))+(Adatok!$C$13^3*Adatok!$C$20^3*Adatok!$I58^3*Adatok!$J58)/(384*(VLOOKUP(AE$19,Számítás!$B$19:$H$63,7,FALSE))^3))*100,$B$19)</f>
        <v>-</v>
      </c>
      <c r="AF59" s="33" t="str">
        <f>IF(AND($I$19+AE$17*Adatok!$F$11&gt;Adatok!$F$10-0.01,Adatok!$C$16+$B59&lt;Adatok!$C$17+1),((Adatok!$C$13*Adatok!$C$20*Adatok!$I58*Adatok!$J58)/(8*(VLOOKUP(AF$19,Számítás!$B$19:$H$63,7,FALSE)))+(Adatok!$C$13^3*Adatok!$C$20^3*Adatok!$I58^3*Adatok!$J58)/(384*(VLOOKUP(AF$19,Számítás!$B$19:$H$63,7,FALSE))^3))*100,$B$19)</f>
        <v>-</v>
      </c>
      <c r="AG59" s="33" t="str">
        <f>IF(AND($I$19+AF$17*Adatok!$F$11&gt;Adatok!$F$10-0.01,Adatok!$C$16+$B59&lt;Adatok!$C$17+1),((Adatok!$C$13*Adatok!$C$20*Adatok!$I58*Adatok!$J58)/(8*(VLOOKUP(AG$19,Számítás!$B$19:$H$63,7,FALSE)))+(Adatok!$C$13^3*Adatok!$C$20^3*Adatok!$I58^3*Adatok!$J58)/(384*(VLOOKUP(AG$19,Számítás!$B$19:$H$63,7,FALSE))^3))*100,$B$19)</f>
        <v>-</v>
      </c>
      <c r="AH59" s="33" t="str">
        <f>IF(AND($I$19+AG$17*Adatok!$F$11&gt;Adatok!$F$10-0.01,Adatok!$C$16+$B59&lt;Adatok!$C$17+1),((Adatok!$C$13*Adatok!$C$20*Adatok!$I58*Adatok!$J58)/(8*(VLOOKUP(AH$19,Számítás!$B$19:$H$63,7,FALSE)))+(Adatok!$C$13^3*Adatok!$C$20^3*Adatok!$I58^3*Adatok!$J58)/(384*(VLOOKUP(AH$19,Számítás!$B$19:$H$63,7,FALSE))^3))*100,$B$19)</f>
        <v>-</v>
      </c>
      <c r="AI59" s="33" t="str">
        <f>IF(AND($I$19+AH$17*Adatok!$F$11&gt;Adatok!$F$10-0.01,Adatok!$C$16+$B59&lt;Adatok!$C$17+1),((Adatok!$C$13*Adatok!$C$20*Adatok!$I58*Adatok!$J58)/(8*(VLOOKUP(AI$19,Számítás!$B$19:$H$63,7,FALSE)))+(Adatok!$C$13^3*Adatok!$C$20^3*Adatok!$I58^3*Adatok!$J58)/(384*(VLOOKUP(AI$19,Számítás!$B$19:$H$63,7,FALSE))^3))*100,$B$19)</f>
        <v>-</v>
      </c>
      <c r="AJ59" s="33" t="str">
        <f>IF(AND($I$19+AI$17*Adatok!$F$11&gt;Adatok!$F$10-0.01,Adatok!$C$16+$B59&lt;Adatok!$C$17+1),((Adatok!$C$13*Adatok!$C$20*Adatok!$I58*Adatok!$J58)/(8*(VLOOKUP(AJ$19,Számítás!$B$19:$H$63,7,FALSE)))+(Adatok!$C$13^3*Adatok!$C$20^3*Adatok!$I58^3*Adatok!$J58)/(384*(VLOOKUP(AJ$19,Számítás!$B$19:$H$63,7,FALSE))^3))*100,$B$19)</f>
        <v>-</v>
      </c>
      <c r="AK59" s="33" t="str">
        <f>IF(AND($I$19+AJ$17*Adatok!$F$11&gt;Adatok!$F$10-0.01,Adatok!$C$16+$B59&lt;Adatok!$C$17+1),((Adatok!$C$13*Adatok!$C$20*Adatok!$I58*Adatok!$J58)/(8*(VLOOKUP(AK$19,Számítás!$B$19:$H$63,7,FALSE)))+(Adatok!$C$13^3*Adatok!$C$20^3*Adatok!$I58^3*Adatok!$J58)/(384*(VLOOKUP(AK$19,Számítás!$B$19:$H$63,7,FALSE))^3))*100,$B$19)</f>
        <v>-</v>
      </c>
      <c r="AL59" s="33" t="str">
        <f>IF(AND($I$19+AK$17*Adatok!$F$11&gt;Adatok!$F$10-0.01,Adatok!$C$16+$B59&lt;Adatok!$C$17+1),((Adatok!$C$13*Adatok!$C$20*Adatok!$I58*Adatok!$J58)/(8*(VLOOKUP(AL$19,Számítás!$B$19:$H$63,7,FALSE)))+(Adatok!$C$13^3*Adatok!$C$20^3*Adatok!$I58^3*Adatok!$J58)/(384*(VLOOKUP(AL$19,Számítás!$B$19:$H$63,7,FALSE))^3))*100,$B$19)</f>
        <v>-</v>
      </c>
      <c r="AM59" s="33" t="str">
        <f>IF(AND($I$19+AL$17*Adatok!$F$11&gt;Adatok!$F$10-0.01,Adatok!$C$16+$B59&lt;Adatok!$C$17+1),((Adatok!$C$13*Adatok!$C$20*Adatok!$I58*Adatok!$J58)/(8*(VLOOKUP(AM$19,Számítás!$B$19:$H$63,7,FALSE)))+(Adatok!$C$13^3*Adatok!$C$20^3*Adatok!$I58^3*Adatok!$J58)/(384*(VLOOKUP(AM$19,Számítás!$B$19:$H$63,7,FALSE))^3))*100,$B$19)</f>
        <v>-</v>
      </c>
      <c r="AN59" s="33" t="str">
        <f>IF(AND($I$19+AM$17*Adatok!$F$11&gt;Adatok!$F$10-0.01,Adatok!$C$16+$B59&lt;Adatok!$C$17+1),((Adatok!$C$13*Adatok!$C$20*Adatok!$I58*Adatok!$J58)/(8*(VLOOKUP(AN$19,Számítás!$B$19:$H$63,7,FALSE)))+(Adatok!$C$13^3*Adatok!$C$20^3*Adatok!$I58^3*Adatok!$J58)/(384*(VLOOKUP(AN$19,Számítás!$B$19:$H$63,7,FALSE))^3))*100,$B$19)</f>
        <v>-</v>
      </c>
      <c r="AO59" s="33" t="str">
        <f>IF(AND($I$19+AN$17*Adatok!$F$11&gt;Adatok!$F$10-0.01,Adatok!$C$16+$B59&lt;Adatok!$C$17+1),((Adatok!$C$13*Adatok!$C$20*Adatok!$I58*Adatok!$J58)/(8*(VLOOKUP(AO$19,Számítás!$B$19:$H$63,7,FALSE)))+(Adatok!$C$13^3*Adatok!$C$20^3*Adatok!$I58^3*Adatok!$J58)/(384*(VLOOKUP(AO$19,Számítás!$B$19:$H$63,7,FALSE))^3))*100,$B$19)</f>
        <v>-</v>
      </c>
      <c r="AP59" s="33" t="str">
        <f>IF(AND($I$19+AO$17*Adatok!$F$11&gt;Adatok!$F$10-0.01,Adatok!$C$16+$B59&lt;Adatok!$C$17+1),((Adatok!$C$13*Adatok!$C$20*Adatok!$I58*Adatok!$J58)/(8*(VLOOKUP(AP$19,Számítás!$B$19:$H$63,7,FALSE)))+(Adatok!$C$13^3*Adatok!$C$20^3*Adatok!$I58^3*Adatok!$J58)/(384*(VLOOKUP(AP$19,Számítás!$B$19:$H$63,7,FALSE))^3))*100,$B$19)</f>
        <v>-</v>
      </c>
      <c r="AQ59" s="33" t="str">
        <f>IF(AND($I$19+AP$17*Adatok!$F$11&gt;Adatok!$F$10-0.01,Adatok!$C$16+$B59&lt;Adatok!$C$17+1),((Adatok!$C$13*Adatok!$C$20*Adatok!$I58*Adatok!$J58)/(8*(VLOOKUP(AQ$19,Számítás!$B$19:$H$63,7,FALSE)))+(Adatok!$C$13^3*Adatok!$C$20^3*Adatok!$I58^3*Adatok!$J58)/(384*(VLOOKUP(AQ$19,Számítás!$B$19:$H$63,7,FALSE))^3))*100,$B$19)</f>
        <v>-</v>
      </c>
      <c r="AR59" s="33" t="str">
        <f>IF(AND($I$19+AQ$17*Adatok!$F$11&gt;Adatok!$F$10-0.01,Adatok!$C$16+$B59&lt;Adatok!$C$17+1),((Adatok!$C$13*Adatok!$C$20*Adatok!$I58*Adatok!$J58)/(8*(VLOOKUP(AR$19,Számítás!$B$19:$H$63,7,FALSE)))+(Adatok!$C$13^3*Adatok!$C$20^3*Adatok!$I58^3*Adatok!$J58)/(384*(VLOOKUP(AR$19,Számítás!$B$19:$H$63,7,FALSE))^3))*100,$B$19)</f>
        <v>-</v>
      </c>
      <c r="AS59" s="33" t="str">
        <f>IF(AND($I$19+AR$17*Adatok!$F$11&gt;Adatok!$F$10-0.01,Adatok!$C$16+$B59&lt;Adatok!$C$17+1),((Adatok!$C$13*Adatok!$C$20*Adatok!$I58*Adatok!$J58)/(8*(VLOOKUP(AS$19,Számítás!$B$19:$H$63,7,FALSE)))+(Adatok!$C$13^3*Adatok!$C$20^3*Adatok!$I58^3*Adatok!$J58)/(384*(VLOOKUP(AS$19,Számítás!$B$19:$H$63,7,FALSE))^3))*100,$B$19)</f>
        <v>-</v>
      </c>
      <c r="AT59" s="33" t="str">
        <f>IF(AND($I$19+AS$17*Adatok!$F$11&gt;Adatok!$F$10-0.01,Adatok!$C$16+$B59&lt;Adatok!$C$17+1),((Adatok!$C$13*Adatok!$C$20*Adatok!$I58*Adatok!$J58)/(8*(VLOOKUP(AT$19,Számítás!$B$19:$H$63,7,FALSE)))+(Adatok!$C$13^3*Adatok!$C$20^3*Adatok!$I58^3*Adatok!$J58)/(384*(VLOOKUP(AT$19,Számítás!$B$19:$H$63,7,FALSE))^3))*100,$B$19)</f>
        <v>-</v>
      </c>
      <c r="AU59" s="33" t="str">
        <f>IF(AND($I$19+AT$17*Adatok!$F$11&gt;Adatok!$F$10-0.01,Adatok!$C$16+$B59&lt;Adatok!$C$17+1),((Adatok!$C$13*Adatok!$C$20*Adatok!$I58*Adatok!$J58)/(8*(VLOOKUP(AU$19,Számítás!$B$19:$H$63,7,FALSE)))+(Adatok!$C$13^3*Adatok!$C$20^3*Adatok!$I58^3*Adatok!$J58)/(384*(VLOOKUP(AU$19,Számítás!$B$19:$H$63,7,FALSE))^3))*100,$B$19)</f>
        <v>-</v>
      </c>
      <c r="AV59" s="33" t="str">
        <f>IF(AND($I$19+AU$17*Adatok!$F$11&gt;Adatok!$F$10-0.01,Adatok!$C$16+$B59&lt;Adatok!$C$17+1),((Adatok!$C$13*Adatok!$C$20*Adatok!$I58*Adatok!$J58)/(8*(VLOOKUP(AV$19,Számítás!$B$19:$H$63,7,FALSE)))+(Adatok!$C$13^3*Adatok!$C$20^3*Adatok!$I58^3*Adatok!$J58)/(384*(VLOOKUP(AV$19,Számítás!$B$19:$H$63,7,FALSE))^3))*100,$B$19)</f>
        <v>-</v>
      </c>
      <c r="AW59" s="33" t="str">
        <f>IF(AND($I$19+AV$17*Adatok!$F$11&gt;Adatok!$F$10-0.01,Adatok!$C$16+$B59&lt;Adatok!$C$17+1),((Adatok!$C$13*Adatok!$C$20*Adatok!$I58*Adatok!$J58)/(8*(VLOOKUP(AW$19,Számítás!$B$19:$H$63,7,FALSE)))+(Adatok!$C$13^3*Adatok!$C$20^3*Adatok!$I58^3*Adatok!$J58)/(384*(VLOOKUP(AW$19,Számítás!$B$19:$H$63,7,FALSE))^3))*100,$B$19)</f>
        <v>-</v>
      </c>
      <c r="AX59" s="33" t="str">
        <f>IF(AND($I$19+AW$17*Adatok!$F$11&gt;Adatok!$F$10-0.01,Adatok!$C$16+$B59&lt;Adatok!$C$17+1),((Adatok!$C$13*Adatok!$C$20*Adatok!$I58*Adatok!$J58)/(8*(VLOOKUP(AX$19,Számítás!$B$19:$H$63,7,FALSE)))+(Adatok!$C$13^3*Adatok!$C$20^3*Adatok!$I58^3*Adatok!$J58)/(384*(VLOOKUP(AX$19,Számítás!$B$19:$H$63,7,FALSE))^3))*100,$B$19)</f>
        <v>-</v>
      </c>
      <c r="AY59" s="33" t="str">
        <f>IF(AND($I$19+AX$17*Adatok!$F$11&gt;Adatok!$F$10-0.01,Adatok!$C$16+$B59&lt;Adatok!$C$17+1),((Adatok!$C$13*Adatok!$C$20*Adatok!$I58*Adatok!$J58)/(8*(VLOOKUP(AY$19,Számítás!$B$19:$H$63,7,FALSE)))+(Adatok!$C$13^3*Adatok!$C$20^3*Adatok!$I58^3*Adatok!$J58)/(384*(VLOOKUP(AY$19,Számítás!$B$19:$H$63,7,FALSE))^3))*100,$B$19)</f>
        <v>-</v>
      </c>
      <c r="AZ59" s="33" t="str">
        <f>IF(AND($I$19+AY$17*Adatok!$F$11&gt;Adatok!$F$10-0.01,Adatok!$C$16+$B59&lt;Adatok!$C$17+1),((Adatok!$C$13*Adatok!$C$20*Adatok!$I58*Adatok!$J58)/(8*(VLOOKUP(AZ$19,Számítás!$B$19:$H$63,7,FALSE)))+(Adatok!$C$13^3*Adatok!$C$20^3*Adatok!$I58^3*Adatok!$J58)/(384*(VLOOKUP(AZ$19,Számítás!$B$19:$H$63,7,FALSE))^3))*100,$B$19)</f>
        <v>-</v>
      </c>
      <c r="BA59" s="33" t="str">
        <f>IF(AND($I$19+AZ$17*Adatok!$F$11&gt;Adatok!$F$10-0.01,Adatok!$C$16+$B59&lt;Adatok!$C$17+1),((Adatok!$C$13*Adatok!$C$20*Adatok!$I58*Adatok!$J58)/(8*(VLOOKUP(BA$19,Számítás!$B$19:$H$63,7,FALSE)))+(Adatok!$C$13^3*Adatok!$C$20^3*Adatok!$I58^3*Adatok!$J58)/(384*(VLOOKUP(BA$19,Számítás!$B$19:$H$63,7,FALSE))^3))*100,$B$19)</f>
        <v>-</v>
      </c>
    </row>
    <row r="60" spans="2:53" x14ac:dyDescent="0.25">
      <c r="C60" s="6"/>
      <c r="D60" s="6"/>
      <c r="E60" s="6"/>
      <c r="F60" s="6"/>
      <c r="G60" s="6"/>
      <c r="H60" s="6"/>
    </row>
    <row r="61" spans="2:53" x14ac:dyDescent="0.25">
      <c r="C61" s="6"/>
      <c r="D61" s="6"/>
      <c r="E61" s="6"/>
      <c r="F61" s="6"/>
      <c r="G61" s="6"/>
      <c r="H61" s="6"/>
    </row>
    <row r="62" spans="2:53" x14ac:dyDescent="0.25">
      <c r="C62" s="6"/>
      <c r="D62" s="6"/>
      <c r="E62" s="6"/>
      <c r="F62" s="6"/>
      <c r="G62" s="6"/>
      <c r="H62" s="6"/>
    </row>
    <row r="63" spans="2:53" x14ac:dyDescent="0.25">
      <c r="C63" s="6"/>
      <c r="D63" s="6"/>
      <c r="E63" s="6"/>
      <c r="F63" s="6"/>
      <c r="G63" s="6"/>
      <c r="H63" s="6"/>
    </row>
    <row r="64" spans="2:53" x14ac:dyDescent="0.25">
      <c r="C64" s="6"/>
      <c r="D64" s="6"/>
      <c r="E64" s="6"/>
      <c r="F64" s="6"/>
      <c r="G64" s="6"/>
      <c r="H64" s="6"/>
    </row>
    <row r="65" spans="3:8" x14ac:dyDescent="0.25">
      <c r="C65" s="6"/>
      <c r="D65" s="6"/>
      <c r="E65" s="6"/>
      <c r="F65" s="6"/>
      <c r="G65" s="6"/>
      <c r="H65" s="6"/>
    </row>
    <row r="66" spans="3:8" x14ac:dyDescent="0.25">
      <c r="C66" s="6"/>
      <c r="D66" s="6"/>
      <c r="E66" s="6"/>
      <c r="F66" s="6"/>
      <c r="G66" s="6"/>
      <c r="H66" s="6"/>
    </row>
    <row r="67" spans="3:8" x14ac:dyDescent="0.25">
      <c r="C67" s="6"/>
      <c r="D67" s="6"/>
      <c r="E67" s="6"/>
      <c r="F67" s="6"/>
      <c r="G67" s="6"/>
      <c r="H67" s="6"/>
    </row>
    <row r="68" spans="3:8" x14ac:dyDescent="0.25">
      <c r="C68" s="6"/>
      <c r="D68" s="6"/>
      <c r="E68" s="6"/>
      <c r="F68" s="6"/>
      <c r="G68" s="6"/>
      <c r="H68" s="6"/>
    </row>
    <row r="69" spans="3:8" x14ac:dyDescent="0.25">
      <c r="C69" s="6"/>
      <c r="D69" s="6"/>
      <c r="E69" s="6"/>
      <c r="F69" s="6"/>
      <c r="G69" s="6"/>
      <c r="H69" s="6"/>
    </row>
    <row r="70" spans="3:8" x14ac:dyDescent="0.25">
      <c r="C70" s="6"/>
      <c r="D70" s="6"/>
      <c r="E70" s="6"/>
      <c r="F70" s="6"/>
      <c r="G70" s="6"/>
      <c r="H70" s="6"/>
    </row>
    <row r="71" spans="3:8" x14ac:dyDescent="0.25">
      <c r="C71" s="6"/>
      <c r="D71" s="6"/>
      <c r="E71" s="6"/>
      <c r="F71" s="6"/>
      <c r="G71" s="6"/>
      <c r="H71" s="6"/>
    </row>
    <row r="72" spans="3:8" x14ac:dyDescent="0.25">
      <c r="C72" s="6"/>
      <c r="D72" s="6"/>
      <c r="E72" s="6"/>
      <c r="F72" s="6"/>
      <c r="G72" s="6"/>
      <c r="H72" s="6"/>
    </row>
    <row r="73" spans="3:8" x14ac:dyDescent="0.25">
      <c r="C73" s="6"/>
      <c r="D73" s="6"/>
      <c r="E73" s="6"/>
      <c r="F73" s="6"/>
      <c r="G73" s="6"/>
      <c r="H73" s="6"/>
    </row>
    <row r="74" spans="3:8" x14ac:dyDescent="0.25">
      <c r="F74" s="6"/>
      <c r="G74" s="6"/>
      <c r="H74" s="6"/>
    </row>
  </sheetData>
  <sheetProtection sheet="1" objects="1" scenarios="1" formatCells="0" formatColumns="0" formatRows="0"/>
  <mergeCells count="14">
    <mergeCell ref="C3:E3"/>
    <mergeCell ref="C4:E4"/>
    <mergeCell ref="C5:E5"/>
    <mergeCell ref="C7:E7"/>
    <mergeCell ref="C18:H18"/>
    <mergeCell ref="F11:G11"/>
    <mergeCell ref="C9:E9"/>
    <mergeCell ref="H9:I9"/>
    <mergeCell ref="C19:E19"/>
    <mergeCell ref="C8:E8"/>
    <mergeCell ref="C12:F12"/>
    <mergeCell ref="H8:I8"/>
    <mergeCell ref="C10:D11"/>
    <mergeCell ref="G19:H19"/>
  </mergeCells>
  <pageMargins left="0.51181102362204722" right="0.51181102362204722" top="0.39370078740157483" bottom="0.47244094488188981" header="0.51181102362204722" footer="0.31496062992125984"/>
  <pageSetup paperSize="9" scale="80" orientation="landscape" r:id="rId1"/>
  <headerFooter>
    <oddHeader>&amp;R&amp;"Arial,Dőlt"&amp;G
&amp;"Arial,Félkövér dőlt"MVM XPert Zrt.&amp;"Arial,Dőlt"
Távvezetéki Tervezési és Innovációs Osztály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zoomScale="90" zoomScaleNormal="90" workbookViewId="0">
      <selection activeCell="C19" sqref="C19"/>
    </sheetView>
  </sheetViews>
  <sheetFormatPr defaultColWidth="9.109375" defaultRowHeight="13.8" x14ac:dyDescent="0.25"/>
  <cols>
    <col min="1" max="2" width="9.109375" style="145"/>
    <col min="3" max="3" width="15.88671875" style="145" customWidth="1"/>
    <col min="4" max="6" width="9.109375" style="145"/>
    <col min="7" max="7" width="14.88671875" style="145" bestFit="1" customWidth="1"/>
    <col min="8" max="8" width="10.88671875" style="145" customWidth="1"/>
    <col min="9" max="11" width="9.109375" style="145"/>
    <col min="12" max="12" width="8" style="145" customWidth="1"/>
    <col min="13" max="13" width="4.6640625" style="145" customWidth="1"/>
    <col min="14" max="14" width="6.88671875" style="145" customWidth="1"/>
    <col min="15" max="15" width="10" style="145" customWidth="1"/>
    <col min="16" max="16" width="17" style="145" customWidth="1"/>
    <col min="17" max="17" width="2.6640625" style="244" customWidth="1"/>
    <col min="18" max="18" width="12.33203125" style="145" customWidth="1"/>
    <col min="19" max="19" width="16.109375" style="145" bestFit="1" customWidth="1"/>
    <col min="20" max="20" width="9.6640625" style="145" bestFit="1" customWidth="1"/>
    <col min="21" max="21" width="14.109375" style="145" bestFit="1" customWidth="1"/>
    <col min="22" max="22" width="9.5546875" style="145" bestFit="1" customWidth="1"/>
    <col min="23" max="23" width="10.6640625" style="145" customWidth="1"/>
    <col min="24" max="16384" width="9.109375" style="145"/>
  </cols>
  <sheetData>
    <row r="1" spans="2:23" ht="14.4" thickBot="1" x14ac:dyDescent="0.3"/>
    <row r="2" spans="2:23" ht="25.2" customHeight="1" thickBot="1" x14ac:dyDescent="0.3">
      <c r="B2" s="392" t="s">
        <v>31</v>
      </c>
      <c r="C2" s="393"/>
      <c r="D2" s="394"/>
      <c r="F2" s="392" t="s">
        <v>48</v>
      </c>
      <c r="G2" s="393"/>
      <c r="H2" s="394"/>
      <c r="I2" s="208"/>
      <c r="J2" s="392" t="s">
        <v>49</v>
      </c>
      <c r="K2" s="393"/>
      <c r="L2" s="393"/>
      <c r="M2" s="393"/>
      <c r="N2" s="393"/>
      <c r="O2" s="393"/>
      <c r="P2" s="394"/>
      <c r="R2" s="392" t="s">
        <v>148</v>
      </c>
      <c r="S2" s="393"/>
      <c r="T2" s="394"/>
    </row>
    <row r="3" spans="2:23" ht="20.100000000000001" customHeight="1" thickTop="1" x14ac:dyDescent="0.35">
      <c r="B3" s="93" t="s">
        <v>32</v>
      </c>
      <c r="C3" s="248">
        <f>Adatok!C19</f>
        <v>209.93787253710997</v>
      </c>
      <c r="D3" s="96" t="s">
        <v>22</v>
      </c>
      <c r="F3" s="93"/>
      <c r="G3" s="106"/>
      <c r="H3" s="96"/>
      <c r="J3" s="93"/>
      <c r="K3" s="106"/>
      <c r="L3" s="106"/>
      <c r="M3" s="106"/>
      <c r="N3" s="106"/>
      <c r="O3" s="106"/>
      <c r="P3" s="106"/>
      <c r="R3" s="149" t="s">
        <v>72</v>
      </c>
      <c r="S3" s="267">
        <v>13.36</v>
      </c>
      <c r="T3" s="166" t="s">
        <v>22</v>
      </c>
    </row>
    <row r="4" spans="2:23" ht="20.100000000000001" customHeight="1" x14ac:dyDescent="0.35">
      <c r="B4" s="93" t="s">
        <v>34</v>
      </c>
      <c r="C4" s="248">
        <f>0.6*Adatok!I10/Adatok!C14</f>
        <v>92.385542092751052</v>
      </c>
      <c r="D4" s="96" t="s">
        <v>22</v>
      </c>
      <c r="F4" s="93"/>
      <c r="G4" s="106"/>
      <c r="H4" s="96"/>
      <c r="J4" s="93"/>
      <c r="K4" s="106"/>
      <c r="L4" s="106"/>
      <c r="M4" s="106"/>
      <c r="N4" s="106"/>
      <c r="O4" s="106"/>
      <c r="P4" s="106"/>
      <c r="R4" s="153" t="s">
        <v>23</v>
      </c>
      <c r="S4" s="268">
        <v>350</v>
      </c>
      <c r="T4" s="157" t="s">
        <v>22</v>
      </c>
    </row>
    <row r="5" spans="2:23" ht="20.100000000000001" customHeight="1" thickBot="1" x14ac:dyDescent="0.4">
      <c r="B5" s="102" t="s">
        <v>33</v>
      </c>
      <c r="C5" s="131">
        <f>IF(Adatok!C10&gt;0,Adatok!C21*SQRT((360*(Adatok!C10))/((Adatok!C14^2)-(Adatok!C13^2))),Adatok!C21*SQRT((1560*(Adatok!C10))/((Adatok!C13^2)-(Adatok!C14^2))))</f>
        <v>10.518378416179193</v>
      </c>
      <c r="D5" s="104" t="s">
        <v>22</v>
      </c>
      <c r="F5" s="93"/>
      <c r="G5" s="106"/>
      <c r="H5" s="96"/>
      <c r="J5" s="93"/>
      <c r="K5" s="106"/>
      <c r="L5" s="106"/>
      <c r="M5" s="106"/>
      <c r="N5" s="106"/>
      <c r="O5" s="106"/>
      <c r="P5" s="106"/>
      <c r="R5" s="157" t="s">
        <v>85</v>
      </c>
      <c r="S5" s="269">
        <v>60</v>
      </c>
      <c r="T5" s="172" t="s">
        <v>22</v>
      </c>
    </row>
    <row r="6" spans="2:23" ht="20.100000000000001" customHeight="1" thickBot="1" x14ac:dyDescent="0.45">
      <c r="F6" s="93"/>
      <c r="G6" s="106"/>
      <c r="H6" s="96"/>
      <c r="J6" s="93"/>
      <c r="K6" s="106"/>
      <c r="L6" s="106"/>
      <c r="M6" s="106"/>
      <c r="N6" s="106"/>
      <c r="O6" s="106"/>
      <c r="P6" s="106"/>
      <c r="R6" s="209" t="s">
        <v>90</v>
      </c>
      <c r="S6" s="210">
        <f>(S4*(SQRT(S4^2+S5^2))*Adatok!C13*Adatok!C20)/(8*S3)</f>
        <v>40.432424409540197</v>
      </c>
      <c r="T6" s="211" t="s">
        <v>8</v>
      </c>
    </row>
    <row r="7" spans="2:23" ht="25.2" customHeight="1" thickBot="1" x14ac:dyDescent="0.3">
      <c r="B7" s="392" t="s">
        <v>35</v>
      </c>
      <c r="C7" s="393"/>
      <c r="D7" s="394"/>
      <c r="F7" s="93"/>
      <c r="G7" s="106"/>
      <c r="H7" s="96"/>
      <c r="J7" s="93"/>
      <c r="K7" s="106"/>
      <c r="L7" s="106"/>
      <c r="M7" s="106"/>
      <c r="N7" s="106"/>
      <c r="O7" s="106"/>
      <c r="P7" s="106"/>
    </row>
    <row r="8" spans="2:23" ht="20.100000000000001" customHeight="1" thickTop="1" x14ac:dyDescent="0.25">
      <c r="B8" s="93"/>
      <c r="C8" s="248">
        <f>Adatok!C21</f>
        <v>6.9225265457020795</v>
      </c>
      <c r="D8" s="96" t="s">
        <v>8</v>
      </c>
      <c r="F8" s="93"/>
      <c r="G8" s="106"/>
      <c r="H8" s="96"/>
      <c r="J8" s="93"/>
      <c r="K8" s="106"/>
      <c r="L8" s="106"/>
      <c r="M8" s="106"/>
      <c r="N8" s="106"/>
      <c r="O8" s="106"/>
      <c r="P8" s="106"/>
    </row>
    <row r="9" spans="2:23" ht="20.100000000000001" customHeight="1" x14ac:dyDescent="0.35">
      <c r="B9" s="93" t="s">
        <v>36</v>
      </c>
      <c r="C9" s="106">
        <f>IF(Adatok!C10&gt;0,IF(C3&gt;C5,-5,-20),IF(C3&gt;C5,-5,60))</f>
        <v>-5</v>
      </c>
      <c r="D9" s="96" t="s">
        <v>16</v>
      </c>
      <c r="F9" s="93"/>
      <c r="G9" s="106"/>
      <c r="H9" s="96"/>
      <c r="J9" s="93"/>
      <c r="K9" s="106"/>
      <c r="L9" s="106"/>
      <c r="M9" s="106"/>
      <c r="N9" s="106"/>
      <c r="O9" s="106"/>
      <c r="P9" s="106"/>
    </row>
    <row r="10" spans="2:23" ht="20.100000000000001" customHeight="1" x14ac:dyDescent="0.3">
      <c r="B10" s="249" t="s">
        <v>37</v>
      </c>
      <c r="C10" s="250">
        <f>(C3^2)*(Adatok!C13^2)/24</f>
        <v>2.2191256636977341</v>
      </c>
      <c r="D10" s="96"/>
      <c r="F10" s="93"/>
      <c r="G10" s="106"/>
      <c r="H10" s="96"/>
      <c r="J10" s="93"/>
      <c r="K10" s="106"/>
      <c r="L10" s="106"/>
      <c r="M10" s="106"/>
      <c r="N10" s="106"/>
      <c r="O10" s="106"/>
      <c r="P10" s="106"/>
    </row>
    <row r="11" spans="2:23" ht="20.100000000000001" customHeight="1" thickBot="1" x14ac:dyDescent="0.4">
      <c r="B11" s="249" t="s">
        <v>38</v>
      </c>
      <c r="C11" s="250">
        <f>IF(C9=-20,C10,(C3^2)*(Adatok!C14^2)/24)</f>
        <v>7.7457739726317456</v>
      </c>
      <c r="D11" s="96"/>
      <c r="F11" s="102"/>
      <c r="G11" s="103"/>
      <c r="H11" s="104"/>
      <c r="J11" s="102"/>
      <c r="K11" s="103"/>
      <c r="L11" s="103"/>
      <c r="M11" s="103"/>
      <c r="N11" s="103"/>
      <c r="O11" s="103"/>
      <c r="P11" s="103"/>
    </row>
    <row r="12" spans="2:23" ht="20.100000000000001" customHeight="1" x14ac:dyDescent="0.3">
      <c r="B12" s="249" t="s">
        <v>39</v>
      </c>
      <c r="C12" s="251">
        <f>(-1)*(C10*Adatok!C11)</f>
        <v>-160220.87291897641</v>
      </c>
      <c r="D12" s="96"/>
    </row>
    <row r="13" spans="2:23" ht="20.100000000000001" customHeight="1" thickBot="1" x14ac:dyDescent="0.4">
      <c r="B13" s="93" t="s">
        <v>44</v>
      </c>
      <c r="C13" s="106">
        <f>Adatok!F9</f>
        <v>40</v>
      </c>
      <c r="D13" s="96" t="s">
        <v>16</v>
      </c>
    </row>
    <row r="14" spans="2:23" ht="20.100000000000001" customHeight="1" x14ac:dyDescent="0.35">
      <c r="B14" s="93" t="s">
        <v>45</v>
      </c>
      <c r="C14" s="106">
        <f>Adatok!F10</f>
        <v>-10</v>
      </c>
      <c r="D14" s="96" t="s">
        <v>16</v>
      </c>
      <c r="R14" s="166" t="s">
        <v>65</v>
      </c>
    </row>
    <row r="15" spans="2:23" ht="20.100000000000001" customHeight="1" thickBot="1" x14ac:dyDescent="0.3">
      <c r="B15" s="102"/>
      <c r="C15" s="103">
        <f>Adatok!F11</f>
        <v>-5</v>
      </c>
      <c r="D15" s="104" t="s">
        <v>16</v>
      </c>
      <c r="R15" s="157">
        <f>(-C11*Adatok!C11)</f>
        <v>-559244.88082401198</v>
      </c>
    </row>
    <row r="16" spans="2:23" ht="40.5" customHeight="1" thickBot="1" x14ac:dyDescent="0.3">
      <c r="R16" s="397" t="s">
        <v>91</v>
      </c>
      <c r="S16" s="405"/>
      <c r="T16" s="405"/>
      <c r="U16" s="398"/>
      <c r="V16" s="397" t="s">
        <v>92</v>
      </c>
      <c r="W16" s="398"/>
    </row>
    <row r="17" spans="1:24" ht="20.100000000000001" customHeight="1" thickBot="1" x14ac:dyDescent="0.4">
      <c r="B17" s="155"/>
      <c r="C17" s="155"/>
      <c r="D17" s="155"/>
      <c r="E17" s="155"/>
      <c r="F17" s="155"/>
      <c r="G17" s="155"/>
      <c r="H17" s="155"/>
      <c r="I17" s="155"/>
      <c r="L17" s="395" t="s">
        <v>23</v>
      </c>
      <c r="M17" s="396"/>
      <c r="N17" s="396"/>
      <c r="O17" s="396"/>
      <c r="P17" s="240" t="s">
        <v>147</v>
      </c>
      <c r="R17" s="155"/>
      <c r="S17" s="212" t="s">
        <v>90</v>
      </c>
      <c r="T17" s="247">
        <v>41.387</v>
      </c>
      <c r="U17" s="186" t="s">
        <v>8</v>
      </c>
      <c r="V17" s="246">
        <v>40</v>
      </c>
      <c r="W17" s="213" t="s">
        <v>16</v>
      </c>
    </row>
    <row r="18" spans="1:24" s="218" customFormat="1" ht="20.100000000000001" customHeight="1" thickBot="1" x14ac:dyDescent="0.35">
      <c r="A18" s="146" t="s">
        <v>27</v>
      </c>
      <c r="B18" s="235" t="s">
        <v>46</v>
      </c>
      <c r="C18" s="236" t="s">
        <v>40</v>
      </c>
      <c r="D18" s="237" t="s">
        <v>41</v>
      </c>
      <c r="E18" s="237" t="s">
        <v>42</v>
      </c>
      <c r="F18" s="237" t="s">
        <v>43</v>
      </c>
      <c r="G18" s="239" t="s">
        <v>145</v>
      </c>
      <c r="H18" s="390" t="s">
        <v>146</v>
      </c>
      <c r="I18" s="391"/>
      <c r="J18" s="214"/>
      <c r="K18" s="215"/>
      <c r="L18" s="241"/>
      <c r="M18" s="238"/>
      <c r="N18" s="238"/>
      <c r="O18" s="242" t="s">
        <v>26</v>
      </c>
      <c r="P18" s="243" t="s">
        <v>63</v>
      </c>
      <c r="Q18" s="245"/>
      <c r="R18" s="216" t="s">
        <v>64</v>
      </c>
      <c r="S18" s="216" t="s">
        <v>66</v>
      </c>
      <c r="T18" s="216" t="s">
        <v>67</v>
      </c>
      <c r="U18" s="217" t="s">
        <v>68</v>
      </c>
      <c r="V18" s="399" t="s">
        <v>93</v>
      </c>
      <c r="W18" s="400"/>
    </row>
    <row r="19" spans="1:24" ht="20.100000000000001" customHeight="1" thickTop="1" x14ac:dyDescent="0.25">
      <c r="A19" s="145">
        <v>1</v>
      </c>
      <c r="B19" s="252">
        <f>Adatok!F9</f>
        <v>40</v>
      </c>
      <c r="C19" s="219">
        <f>(B19-$C$9)*Adatok!$C$10</f>
        <v>8.6850000000000002E-4</v>
      </c>
      <c r="D19" s="158">
        <f>(C19-($C$8/Adatok!$C$11)+($C$11/($C$8^2)))*Adatok!$C$11</f>
        <v>11725.83427505016</v>
      </c>
      <c r="E19" s="158">
        <f>(-9*D19^2)/27</f>
        <v>-45831729.815313689</v>
      </c>
      <c r="F19" s="158">
        <f>((2*D19^3)+(27*$C$12))/27</f>
        <v>119425454968.73679</v>
      </c>
      <c r="G19" s="220">
        <f>(F19/2)^2+(E19/3)^3</f>
        <v>-9567231737331712</v>
      </c>
      <c r="H19" s="253">
        <f>IF(G19&lt;0,(-D19/3)-(2*(SQRT((-E19)/3))*(COS((120/180)*PI()+(1/3)*ACOS((F19/2)/SQRT((-E19/3)^3))))),(-D19/3)+(((-F19/2)+(SQRT(G19)))^(1/3))+(((-F19/2)-(SQRT(G19)))^(1/3)))</f>
        <v>3.6958917150191155</v>
      </c>
      <c r="I19" s="96" t="s">
        <v>8</v>
      </c>
      <c r="L19" s="258">
        <f>Adatok!F19</f>
        <v>15</v>
      </c>
      <c r="M19" s="259" t="s">
        <v>27</v>
      </c>
      <c r="N19" s="260">
        <f>Adatok!H19</f>
        <v>16</v>
      </c>
      <c r="O19" s="261">
        <f>'Szerelési táblázat'!F20</f>
        <v>224.28</v>
      </c>
      <c r="P19" s="262">
        <f>IF(Adatok!$C$16+$A19&lt;Adatok!$C$17+1,(((Adatok!$C$14*Adatok!$C$20*Adatok!I19*Adatok!J19)/(8*Adatok!$C$21))+((Adatok!$C$14^3*Adatok!$C$20^3*Adatok!$I19^3*Adatok!$J19)/(384*Adatok!$C$21^3)))*100,$A$18)</f>
        <v>6455.1689881916918</v>
      </c>
      <c r="R19" s="222">
        <f>(C19+($T$17/Adatok!$C$11)-($C$10/($T$17^2)))*Adatok!$C$11*(-1)</f>
        <v>-10.554028072181415</v>
      </c>
      <c r="S19" s="223">
        <f>(-9*R19^2)/27</f>
        <v>-37.129169516131121</v>
      </c>
      <c r="T19" s="223">
        <f>((2*R19^3)+(27*$R$15))/27</f>
        <v>-559331.96133453865</v>
      </c>
      <c r="U19" s="224">
        <f>(T19/2)^2+(S19/3)^3</f>
        <v>78213058846.831635</v>
      </c>
      <c r="V19" s="225">
        <f>IF(U19&lt;0,(-R19/3)-(2*(SQRT((-S19)/3))*(COS((120/180)*PI()+(1/3)*ACOS((T19/2)/SQRT((-S19/3)^3))))),(-R19/3)+(((-T19/2)+(SQRT(U19)))^(1/3))+(((-T19/2)-(SQRT(U19)))^(1/3)))</f>
        <v>86.061138035312581</v>
      </c>
      <c r="W19" s="401">
        <f>VLOOKUP(V17,B19:V63,21,FALSE)/Adatok!C20</f>
        <v>86.042341586925943</v>
      </c>
      <c r="X19" s="403" t="s">
        <v>74</v>
      </c>
    </row>
    <row r="20" spans="1:24" ht="20.100000000000001" customHeight="1" thickBot="1" x14ac:dyDescent="0.3">
      <c r="A20" s="145">
        <v>2</v>
      </c>
      <c r="B20" s="254">
        <f>IF($C$13+A19*$C$15&lt;$C$14,$A$18,$C$13+A19*$C$15)</f>
        <v>35</v>
      </c>
      <c r="C20" s="219">
        <f>IF($C$13+A19*$C$15&lt;$C$14,$A$18,(B20-$C$9)*Adatok!$C$10)</f>
        <v>7.7200000000000012E-4</v>
      </c>
      <c r="D20" s="158">
        <f>IF($C$13+A19*$C$15&lt;$C$14,$A$18,(C20-($C$8/Adatok!$C$11)+($C$11/$C$8^2))*Adatok!$C$11)</f>
        <v>11718.866975050161</v>
      </c>
      <c r="E20" s="158">
        <f>IF($C$13+A19*$C$15&lt;$C$14,$A$18,(-9*D20^2)/27)</f>
        <v>-45777281.059640437</v>
      </c>
      <c r="F20" s="158">
        <f>IF($C$13+A19*$C$15&lt;$C$14,$A$18,((2*D20^3)+(27*$C$12))/27)</f>
        <v>119212699160.77365</v>
      </c>
      <c r="G20" s="220">
        <f>IF($C$13+A19*$C$15&lt;$C$14,$A$18,(F20/2)^2+(E20/3)^3)</f>
        <v>-9550187778277376</v>
      </c>
      <c r="H20" s="253">
        <f>IF($C$13+A19*$C$15&lt;$C$14,$A$18,(IF(G20&lt;0,(-D20/3)-(2*(SQRT((-E20)/3))*(COS((120/180)*PI()+(1/3)*ACOS((F20/2)/SQRT((-E20/3)^3))))),(-D20/3)+(((-F20/2)+(SQRT(G20)))^(1/3))+(((-F20/2)-(SQRT(G20)))^(1/3)))))</f>
        <v>3.6969897048738858</v>
      </c>
      <c r="I20" s="96" t="s">
        <v>8</v>
      </c>
      <c r="L20" s="258">
        <f>Adatok!F20</f>
        <v>16</v>
      </c>
      <c r="M20" s="259" t="s">
        <v>27</v>
      </c>
      <c r="N20" s="260">
        <f>Adatok!H20</f>
        <v>17</v>
      </c>
      <c r="O20" s="261">
        <f>'Szerelési táblázat'!F21</f>
        <v>213.32</v>
      </c>
      <c r="P20" s="262">
        <f>IF(Adatok!$C$16+$A20&lt;Adatok!$C$17+1,(((Adatok!$C$14*Adatok!$C$20*Adatok!I20*Adatok!J20)/(8*Adatok!$C$21))+((Adatok!$C$14^3*Adatok!$C$20^3*Adatok!$I20^3*Adatok!$J20)/(384*Adatok!$C$21^3)))*100,$A$18)</f>
        <v>5783.2385265986377</v>
      </c>
      <c r="R20" s="226">
        <f>IF($C$13+A19*$C$15&lt;$C$14,$A$18,(C20+($T$17/Adatok!$C$11)-($C$10/($T$17^2)))*Adatok!$C$11*(-1))</f>
        <v>-3.5867280721814137</v>
      </c>
      <c r="S20" s="227">
        <f>IF($C$13+A19*$C$15&lt;$C$14,$A$18,(-9*R20^2)/27)</f>
        <v>-4.2882060879247339</v>
      </c>
      <c r="T20" s="227">
        <f>IF($C$13+A19*$C$15&lt;$C$14,$A$18,((2*R20^3)+(27*$R$15))/27)</f>
        <v>-559248.29874160199</v>
      </c>
      <c r="U20" s="228">
        <f>IF($C$13+A19*$C$15&lt;$C$14,$A$18,(T20/2)^2+(S20/3)^3)</f>
        <v>78189664908.423477</v>
      </c>
      <c r="V20" s="221">
        <f>IF($C$13+A19*$C$15&lt;$C$14,$A$18,IF(U20&lt;0,(-R20/3)-(2*(SQRT((-S20)/3))*(COS((120/180)*PI()+(1/3)*ACOS((T20/2)/SQRT((-S20/3)^3))))),(-R20/3)+(((-T20/2)+(SQRT(U20)))^(1/3))+(((-T20/2)-(SQRT(U20)))^(1/3))))</f>
        <v>83.601734331420104</v>
      </c>
      <c r="W20" s="402"/>
      <c r="X20" s="404"/>
    </row>
    <row r="21" spans="1:24" ht="20.100000000000001" customHeight="1" x14ac:dyDescent="0.3">
      <c r="A21" s="145">
        <v>3</v>
      </c>
      <c r="B21" s="254">
        <f t="shared" ref="B21:B63" si="0">IF($C$13+A20*$C$15&lt;$C$14,$A$18,$C$13+A20*$C$15)</f>
        <v>30</v>
      </c>
      <c r="C21" s="219">
        <f>IF($C$13+A20*$C$15&lt;$C$14,$A$18,(B21-$C$9)*Adatok!$C$10)</f>
        <v>6.755000000000001E-4</v>
      </c>
      <c r="D21" s="158">
        <f>IF($C$13+A20*$C$15&lt;$C$14,$A$18,(C21-($C$8/Adatok!$C$11)+($C$11/$C$8^2))*Adatok!$C$11)</f>
        <v>11711.899675050161</v>
      </c>
      <c r="E21" s="158">
        <f t="shared" ref="E21:E63" si="1">IF($C$13+A20*$C$15&lt;$C$14,$A$18,(-9*D21^2)/27)</f>
        <v>-45722864.666146688</v>
      </c>
      <c r="F21" s="158">
        <f t="shared" ref="F21:F63" si="2">IF($C$13+A20*$C$15&lt;$C$14,$A$18,((2*D21^3)+(27*$C$12))/27)</f>
        <v>119000196184.86171</v>
      </c>
      <c r="G21" s="220">
        <f t="shared" ref="G21:G63" si="3">IF($C$13+A20*$C$15&lt;$C$14,$A$18,(F21/2)^2+(E21/3)^3)</f>
        <v>-9533164074041344</v>
      </c>
      <c r="H21" s="253">
        <f t="shared" ref="H21:H63" si="4">IF($C$13+A20*$C$15&lt;$C$14,$A$18,(IF(G21&lt;0,(-D21/3)-(2*(SQRT((-E21)/3))*(COS((120/180)*PI()+(1/3)*ACOS((F21/2)/SQRT((-E21/3)^3))))),(-D21/3)+(((-F21/2)+(SQRT(G21)))^(1/3))+(((-F21/2)-(SQRT(G21)))^(1/3)))))</f>
        <v>3.698088673708753</v>
      </c>
      <c r="I21" s="96" t="s">
        <v>47</v>
      </c>
      <c r="L21" s="258">
        <f>Adatok!F21</f>
        <v>17</v>
      </c>
      <c r="M21" s="259" t="s">
        <v>27</v>
      </c>
      <c r="N21" s="260">
        <f>Adatok!H21</f>
        <v>18</v>
      </c>
      <c r="O21" s="261">
        <f>'Szerelési táblázat'!F22</f>
        <v>214.95</v>
      </c>
      <c r="P21" s="262">
        <f>IF(Adatok!$C$16+$A21&lt;Adatok!$C$17+1,(((Adatok!$C$14*Adatok!$C$20*Adatok!I21*Adatok!J21)/(8*Adatok!$C$21))+((Adatok!$C$14^3*Adatok!$C$20^3*Adatok!$I21^3*Adatok!$J21)/(384*Adatok!$C$21^3)))*100,$A$18)</f>
        <v>5878.8971765411079</v>
      </c>
      <c r="R21" s="226">
        <f>IF($C$13+A20*$C$15&lt;$C$14,$A$18,(C21+($T$17/Adatok!$C$11)-($C$10/($T$17^2)))*Adatok!$C$11*(-1))</f>
        <v>3.380571927818572</v>
      </c>
      <c r="S21" s="227">
        <f t="shared" ref="S21:S63" si="5">IF($C$13+A20*$C$15&lt;$C$14,$A$18,(-9*R21^2)/27)</f>
        <v>-3.809422186384992</v>
      </c>
      <c r="T21" s="227">
        <f t="shared" ref="T21:T63" si="6">IF($C$13+A20*$C$15&lt;$C$14,$A$18,((2*R21^3)+(27*$R$15))/27)</f>
        <v>-559242.01904052217</v>
      </c>
      <c r="U21" s="228">
        <f t="shared" ref="U21:U63" si="7">IF($C$13+A20*$C$15&lt;$C$14,$A$18,(T21/2)^2+(S21/3)^3)</f>
        <v>78187908963.082489</v>
      </c>
      <c r="V21" s="221">
        <f t="shared" ref="V21:V63" si="8">IF($C$13+A20*$C$15&lt;$C$14,$A$18,IF(U21&lt;0,(-R21/3)-(2*(SQRT((-S21)/3))*(COS((120/180)*PI()+(1/3)*ACOS((T21/2)/SQRT((-S21/3)^3))))),(-R21/3)+(((-T21/2)+(SQRT(U21)))^(1/3))+(((-T21/2)-(SQRT(U21)))^(1/3))))</f>
        <v>81.277055527229223</v>
      </c>
    </row>
    <row r="22" spans="1:24" ht="20.100000000000001" customHeight="1" x14ac:dyDescent="0.3">
      <c r="A22" s="145">
        <v>4</v>
      </c>
      <c r="B22" s="254">
        <f t="shared" si="0"/>
        <v>25</v>
      </c>
      <c r="C22" s="219">
        <f>IF($C$13+A21*$C$15&lt;$C$14,$A$18,(B22-$C$9)*Adatok!$C$10)</f>
        <v>5.7900000000000009E-4</v>
      </c>
      <c r="D22" s="158">
        <f>IF($C$13+A21*$C$15&lt;$C$14,$A$18,(C22-($C$8/Adatok!$C$11)+($C$11/$C$8^2))*Adatok!$C$11)</f>
        <v>11704.932375050161</v>
      </c>
      <c r="E22" s="158">
        <f t="shared" si="1"/>
        <v>-45668480.634832464</v>
      </c>
      <c r="F22" s="158">
        <f t="shared" si="2"/>
        <v>118787945890.68303</v>
      </c>
      <c r="G22" s="220">
        <f t="shared" si="3"/>
        <v>-9516160609943552</v>
      </c>
      <c r="H22" s="253">
        <f t="shared" si="4"/>
        <v>3.6991886226878705</v>
      </c>
      <c r="I22" s="96" t="s">
        <v>47</v>
      </c>
      <c r="L22" s="258">
        <f>Adatok!F22</f>
        <v>18</v>
      </c>
      <c r="M22" s="259" t="s">
        <v>27</v>
      </c>
      <c r="N22" s="260">
        <f>Adatok!H22</f>
        <v>19</v>
      </c>
      <c r="O22" s="261">
        <f>'Szerelési táblázat'!F23</f>
        <v>193.4</v>
      </c>
      <c r="P22" s="262">
        <f>IF(Adatok!$C$16+$A22&lt;Adatok!$C$17+1,(((Adatok!$C$14*Adatok!$C$20*Adatok!I22*Adatok!J22)/(8*Adatok!$C$21))+((Adatok!$C$14^3*Adatok!$C$20^3*Adatok!$I22^3*Adatok!$J22)/(384*Adatok!$C$21^3)))*100,$A$18)</f>
        <v>4688.373236770909</v>
      </c>
      <c r="R22" s="226">
        <f>IF($C$13+A21*$C$15&lt;$C$14,$A$18,(C22+($T$17/Adatok!$C$11)-($C$10/($T$17^2)))*Adatok!$C$11*(-1))</f>
        <v>10.347871927818588</v>
      </c>
      <c r="S22" s="227">
        <f t="shared" si="5"/>
        <v>-35.692817811511993</v>
      </c>
      <c r="T22" s="227">
        <f t="shared" si="6"/>
        <v>-559162.80422235501</v>
      </c>
      <c r="U22" s="228">
        <f t="shared" si="7"/>
        <v>78165758722.309799</v>
      </c>
      <c r="V22" s="221">
        <f t="shared" si="8"/>
        <v>79.079734843479031</v>
      </c>
    </row>
    <row r="23" spans="1:24" ht="20.100000000000001" customHeight="1" x14ac:dyDescent="0.3">
      <c r="A23" s="145">
        <v>5</v>
      </c>
      <c r="B23" s="254">
        <f t="shared" si="0"/>
        <v>20</v>
      </c>
      <c r="C23" s="219">
        <f>IF($C$13+A22*$C$15&lt;$C$14,$A$18,(B23-$C$9)*Adatok!$C$10)</f>
        <v>4.8250000000000002E-4</v>
      </c>
      <c r="D23" s="158">
        <f>IF($C$13+A22*$C$15&lt;$C$14,$A$18,(C23-($C$8/Adatok!$C$11)+($C$11/$C$8^2))*Adatok!$C$11)</f>
        <v>11697.965075050161</v>
      </c>
      <c r="E23" s="158">
        <f t="shared" si="1"/>
        <v>-45614128.965697765</v>
      </c>
      <c r="F23" s="158">
        <f t="shared" si="2"/>
        <v>118575948127.9196</v>
      </c>
      <c r="G23" s="220">
        <f t="shared" si="3"/>
        <v>-9499177375498240</v>
      </c>
      <c r="H23" s="253">
        <f t="shared" si="4"/>
        <v>3.7002895533555602</v>
      </c>
      <c r="I23" s="96" t="s">
        <v>47</v>
      </c>
      <c r="L23" s="258">
        <f>Adatok!F23</f>
        <v>19</v>
      </c>
      <c r="M23" s="259" t="s">
        <v>27</v>
      </c>
      <c r="N23" s="260">
        <f>Adatok!H23</f>
        <v>20</v>
      </c>
      <c r="O23" s="261">
        <f>'Szerelési táblázat'!F24</f>
        <v>201.79</v>
      </c>
      <c r="P23" s="262">
        <f>IF(Adatok!$C$16+$A23&lt;Adatok!$C$17+1,(((Adatok!$C$14*Adatok!$C$20*Adatok!I23*Adatok!J23)/(8*Adatok!$C$21))+((Adatok!$C$14^3*Adatok!$C$20^3*Adatok!$I23^3*Adatok!$J23)/(384*Adatok!$C$21^3)))*100,$A$18)</f>
        <v>5133.0262627789016</v>
      </c>
      <c r="R23" s="226">
        <f>IF($C$13+A22*$C$15&lt;$C$14,$A$18,(C23+($T$17/Adatok!$C$11)-($C$10/($T$17^2)))*Adatok!$C$11*(-1))</f>
        <v>17.315171927818589</v>
      </c>
      <c r="S23" s="227">
        <f t="shared" si="5"/>
        <v>-99.938392963305631</v>
      </c>
      <c r="T23" s="227">
        <f t="shared" si="6"/>
        <v>-558860.33627815649</v>
      </c>
      <c r="U23" s="228">
        <f t="shared" si="7"/>
        <v>78081181897.606598</v>
      </c>
      <c r="V23" s="221">
        <f t="shared" si="8"/>
        <v>77.00245556401083</v>
      </c>
    </row>
    <row r="24" spans="1:24" ht="20.100000000000001" customHeight="1" x14ac:dyDescent="0.3">
      <c r="A24" s="145">
        <v>6</v>
      </c>
      <c r="B24" s="254">
        <f t="shared" si="0"/>
        <v>15</v>
      </c>
      <c r="C24" s="219">
        <f>IF($C$13+A23*$C$15&lt;$C$14,$A$18,(B24-$C$9)*Adatok!$C$10)</f>
        <v>3.8600000000000006E-4</v>
      </c>
      <c r="D24" s="158">
        <f>IF($C$13+A23*$C$15&lt;$C$14,$A$18,(C24-($C$8/Adatok!$C$11)+($C$11/$C$8^2))*Adatok!$C$11)</f>
        <v>11690.99777505016</v>
      </c>
      <c r="E24" s="158">
        <f t="shared" si="1"/>
        <v>-45559809.658742599</v>
      </c>
      <c r="F24" s="158">
        <f t="shared" si="2"/>
        <v>118364202746.25342</v>
      </c>
      <c r="G24" s="220">
        <f t="shared" si="3"/>
        <v>-9482214361268224</v>
      </c>
      <c r="H24" s="253">
        <f t="shared" si="4"/>
        <v>3.701391467780013</v>
      </c>
      <c r="I24" s="96" t="s">
        <v>47</v>
      </c>
      <c r="L24" s="258">
        <f>Adatok!F24</f>
        <v>20</v>
      </c>
      <c r="M24" s="259" t="s">
        <v>27</v>
      </c>
      <c r="N24" s="260">
        <f>Adatok!H24</f>
        <v>21</v>
      </c>
      <c r="O24" s="261">
        <f>'Szerelési táblázat'!F25</f>
        <v>209.18</v>
      </c>
      <c r="P24" s="262">
        <f>IF(Adatok!$C$16+$A24&lt;Adatok!$C$17+1,(((Adatok!$C$14*Adatok!$C$20*Adatok!I24*Adatok!J24)/(8*Adatok!$C$21))+((Adatok!$C$14^3*Adatok!$C$20^3*Adatok!$I24^3*Adatok!$J24)/(384*Adatok!$C$21^3)))*100,$A$18)</f>
        <v>5544.4717554413355</v>
      </c>
      <c r="R24" s="226">
        <f>IF($C$13+A23*$C$15&lt;$C$14,$A$18,(C24+($T$17/Adatok!$C$11)-($C$10/($T$17^2)))*Adatok!$C$11*(-1))</f>
        <v>24.282471927818584</v>
      </c>
      <c r="S24" s="227">
        <f t="shared" si="5"/>
        <v>-196.54614764176586</v>
      </c>
      <c r="T24" s="227">
        <f t="shared" si="6"/>
        <v>-558184.29719898268</v>
      </c>
      <c r="U24" s="228">
        <f t="shared" si="7"/>
        <v>77892146200.474136</v>
      </c>
      <c r="V24" s="221">
        <f t="shared" si="8"/>
        <v>75.038046557536276</v>
      </c>
    </row>
    <row r="25" spans="1:24" ht="20.100000000000001" customHeight="1" x14ac:dyDescent="0.3">
      <c r="A25" s="145">
        <v>7</v>
      </c>
      <c r="B25" s="254">
        <f t="shared" si="0"/>
        <v>10</v>
      </c>
      <c r="C25" s="219">
        <f>IF($C$13+A24*$C$15&lt;$C$14,$A$18,(B25-$C$9)*Adatok!$C$10)</f>
        <v>2.8950000000000004E-4</v>
      </c>
      <c r="D25" s="158">
        <f>IF($C$13+A24*$C$15&lt;$C$14,$A$18,(C25-($C$8/Adatok!$C$11)+($C$11/$C$8^2))*Adatok!$C$11)</f>
        <v>11684.03047505016</v>
      </c>
      <c r="E25" s="158">
        <f t="shared" si="1"/>
        <v>-45505522.713966951</v>
      </c>
      <c r="F25" s="158">
        <f t="shared" si="2"/>
        <v>118152709595.36644</v>
      </c>
      <c r="G25" s="220">
        <f t="shared" si="3"/>
        <v>-9465271551524864</v>
      </c>
      <c r="H25" s="253">
        <f t="shared" si="4"/>
        <v>3.7024943667302068</v>
      </c>
      <c r="I25" s="96" t="s">
        <v>47</v>
      </c>
      <c r="L25" s="258">
        <f>Adatok!F25</f>
        <v>21</v>
      </c>
      <c r="M25" s="259" t="s">
        <v>27</v>
      </c>
      <c r="N25" s="260">
        <f>Adatok!H25</f>
        <v>22</v>
      </c>
      <c r="O25" s="261">
        <f>'Szerelési táblázat'!F26</f>
        <v>209.7</v>
      </c>
      <c r="P25" s="262">
        <f>IF(Adatok!$C$16+$A25&lt;Adatok!$C$17+1,(((Adatok!$C$14*Adatok!$C$20*Adatok!I25*Adatok!J25)/(8*Adatok!$C$21))+((Adatok!$C$14^3*Adatok!$C$20^3*Adatok!$I25^3*Adatok!$J25)/(384*Adatok!$C$21^3)))*100,$A$18)</f>
        <v>5574.1330552598401</v>
      </c>
      <c r="R25" s="226">
        <f>IF($C$13+A24*$C$15&lt;$C$14,$A$18,(C25+($T$17/Adatok!$C$11)-($C$10/($T$17^2)))*Adatok!$C$11*(-1))</f>
        <v>31.249771927818585</v>
      </c>
      <c r="S25" s="227">
        <f t="shared" si="5"/>
        <v>-325.51608184689286</v>
      </c>
      <c r="T25" s="227">
        <f t="shared" si="6"/>
        <v>-556984.36897588917</v>
      </c>
      <c r="U25" s="228">
        <f t="shared" si="7"/>
        <v>77556619342.413483</v>
      </c>
      <c r="V25" s="221">
        <f t="shared" si="8"/>
        <v>73.179555624340949</v>
      </c>
    </row>
    <row r="26" spans="1:24" ht="20.100000000000001" customHeight="1" x14ac:dyDescent="0.3">
      <c r="A26" s="145">
        <v>8</v>
      </c>
      <c r="B26" s="254">
        <f t="shared" si="0"/>
        <v>5</v>
      </c>
      <c r="C26" s="219">
        <f>IF($C$13+A25*$C$15&lt;$C$14,$A$18,(B26-$C$9)*Adatok!$C$10)</f>
        <v>1.9300000000000003E-4</v>
      </c>
      <c r="D26" s="158">
        <f>IF($C$13+A25*$C$15&lt;$C$14,$A$18,(C26-($C$8/Adatok!$C$11)+($C$11/$C$8^2))*Adatok!$C$11)</f>
        <v>11677.063175050162</v>
      </c>
      <c r="E26" s="158">
        <f t="shared" si="1"/>
        <v>-45451268.13137085</v>
      </c>
      <c r="F26" s="158">
        <f t="shared" si="2"/>
        <v>117941468524.94075</v>
      </c>
      <c r="G26" s="220">
        <f t="shared" si="3"/>
        <v>-9448348937879552</v>
      </c>
      <c r="H26" s="253">
        <f t="shared" si="4"/>
        <v>3.703598252266147</v>
      </c>
      <c r="I26" s="96" t="s">
        <v>47</v>
      </c>
      <c r="L26" s="258">
        <f>Adatok!F26</f>
        <v>22</v>
      </c>
      <c r="M26" s="259" t="s">
        <v>27</v>
      </c>
      <c r="N26" s="260">
        <f>Adatok!H26</f>
        <v>23</v>
      </c>
      <c r="O26" s="261">
        <f>'Szerelési táblázat'!F27</f>
        <v>208.73</v>
      </c>
      <c r="P26" s="262">
        <f>IF(Adatok!$C$16+$A26&lt;Adatok!$C$17+1,(((Adatok!$C$14*Adatok!$C$20*Adatok!I26*Adatok!J26)/(8*Adatok!$C$21))+((Adatok!$C$14^3*Adatok!$C$20^3*Adatok!$I26^3*Adatok!$J26)/(384*Adatok!$C$21^3)))*100,$A$18)</f>
        <v>5518.8791877268022</v>
      </c>
      <c r="R26" s="226">
        <f>IF($C$13+A25*$C$15&lt;$C$14,$A$18,(C26+($T$17/Adatok!$C$11)-($C$10/($T$17^2)))*Adatok!$C$11*(-1))</f>
        <v>38.217071927818587</v>
      </c>
      <c r="S26" s="227">
        <f t="shared" si="5"/>
        <v>-486.8481955786865</v>
      </c>
      <c r="T26" s="227">
        <f t="shared" si="6"/>
        <v>-555110.23359993205</v>
      </c>
      <c r="U26" s="228">
        <f t="shared" si="7"/>
        <v>77032569034.925888</v>
      </c>
      <c r="V26" s="221">
        <f t="shared" si="8"/>
        <v>71.420303749779109</v>
      </c>
    </row>
    <row r="27" spans="1:24" ht="20.100000000000001" customHeight="1" x14ac:dyDescent="0.3">
      <c r="A27" s="145">
        <v>9</v>
      </c>
      <c r="B27" s="254">
        <f t="shared" si="0"/>
        <v>0</v>
      </c>
      <c r="C27" s="219">
        <f>IF($C$13+A26*$C$15&lt;$C$14,$A$18,(B27-$C$9)*Adatok!$C$10)</f>
        <v>9.6500000000000015E-5</v>
      </c>
      <c r="D27" s="158">
        <f>IF($C$13+A26*$C$15&lt;$C$14,$A$18,(C27-($C$8/Adatok!$C$11)+($C$11/$C$8^2))*Adatok!$C$11)</f>
        <v>11670.095875050161</v>
      </c>
      <c r="E27" s="158">
        <f t="shared" si="1"/>
        <v>-45397045.910954267</v>
      </c>
      <c r="F27" s="158">
        <f t="shared" si="2"/>
        <v>117730479384.65823</v>
      </c>
      <c r="G27" s="220">
        <f t="shared" si="3"/>
        <v>-9431446506700800</v>
      </c>
      <c r="H27" s="253">
        <f t="shared" si="4"/>
        <v>3.7047031256024638</v>
      </c>
      <c r="I27" s="96" t="s">
        <v>47</v>
      </c>
      <c r="L27" s="258" t="str">
        <f>Adatok!F27</f>
        <v>-</v>
      </c>
      <c r="M27" s="259" t="s">
        <v>27</v>
      </c>
      <c r="N27" s="260" t="str">
        <f>Adatok!H27</f>
        <v>-</v>
      </c>
      <c r="O27" s="261" t="str">
        <f>'Szerelési táblázat'!F28</f>
        <v>-</v>
      </c>
      <c r="P27" s="262" t="str">
        <f>IF(Adatok!$C$16+$A27&lt;Adatok!$C$17+1,(((Adatok!$C$14*Adatok!$C$20*Adatok!I27*Adatok!J27)/(8*Adatok!$C$21))+((Adatok!$C$14^3*Adatok!$C$20^3*Adatok!$I27^3*Adatok!$J27)/(384*Adatok!$C$21^3)))*100,$A$18)</f>
        <v>-</v>
      </c>
      <c r="R27" s="226">
        <f>IF($C$13+A26*$C$15&lt;$C$14,$A$18,(C27+($T$17/Adatok!$C$11)-($C$10/($T$17^2)))*Adatok!$C$11*(-1))</f>
        <v>45.184371927818589</v>
      </c>
      <c r="S27" s="227">
        <f t="shared" si="5"/>
        <v>-680.54248883714683</v>
      </c>
      <c r="T27" s="227">
        <f t="shared" si="6"/>
        <v>-552411.57306216739</v>
      </c>
      <c r="U27" s="228">
        <f t="shared" si="7"/>
        <v>76277962989.512558</v>
      </c>
      <c r="V27" s="221">
        <f t="shared" si="8"/>
        <v>69.753922503787862</v>
      </c>
    </row>
    <row r="28" spans="1:24" ht="20.100000000000001" customHeight="1" x14ac:dyDescent="0.3">
      <c r="A28" s="145">
        <v>10</v>
      </c>
      <c r="B28" s="254">
        <f t="shared" si="0"/>
        <v>-5</v>
      </c>
      <c r="C28" s="219">
        <f>IF($C$13+A27*$C$15&lt;$C$14,$A$18,(B28-$C$9)*Adatok!$C$10)</f>
        <v>0</v>
      </c>
      <c r="D28" s="158">
        <f>IF($C$13+A27*$C$15&lt;$C$14,$A$18,(C28-($C$8/Adatok!$C$11)+($C$11/$C$8^2))*Adatok!$C$11)</f>
        <v>11663.128575050161</v>
      </c>
      <c r="E28" s="158">
        <f t="shared" si="1"/>
        <v>-45342856.052717201</v>
      </c>
      <c r="F28" s="158">
        <f t="shared" si="2"/>
        <v>117519742024.20088</v>
      </c>
      <c r="G28" s="220">
        <f t="shared" si="3"/>
        <v>-9414564244357120</v>
      </c>
      <c r="H28" s="253">
        <f t="shared" si="4"/>
        <v>3.7058089881793421</v>
      </c>
      <c r="I28" s="96" t="s">
        <v>47</v>
      </c>
      <c r="L28" s="258" t="str">
        <f>Adatok!F28</f>
        <v>-</v>
      </c>
      <c r="M28" s="259" t="s">
        <v>27</v>
      </c>
      <c r="N28" s="260" t="str">
        <f>Adatok!H28</f>
        <v>-</v>
      </c>
      <c r="O28" s="261" t="str">
        <f>'Szerelési táblázat'!F29</f>
        <v>-</v>
      </c>
      <c r="P28" s="262" t="str">
        <f>IF(Adatok!$C$16+$A28&lt;Adatok!$C$17+1,(((Adatok!$C$14*Adatok!$C$20*Adatok!I28*Adatok!J28)/(8*Adatok!$C$21))+((Adatok!$C$14^3*Adatok!$C$20^3*Adatok!$I28^3*Adatok!$J28)/(384*Adatok!$C$21^3)))*100,$A$18)</f>
        <v>-</v>
      </c>
      <c r="R28" s="226">
        <f>IF($C$13+A27*$C$15&lt;$C$14,$A$18,(C28+($T$17/Adatok!$C$11)-($C$10/($T$17^2)))*Adatok!$C$11*(-1))</f>
        <v>52.15167192781859</v>
      </c>
      <c r="S28" s="227">
        <f t="shared" si="5"/>
        <v>-906.59896162227381</v>
      </c>
      <c r="T28" s="227">
        <f t="shared" si="6"/>
        <v>-548738.06935365067</v>
      </c>
      <c r="U28" s="228">
        <f t="shared" si="7"/>
        <v>75250768917.674545</v>
      </c>
      <c r="V28" s="221">
        <f t="shared" si="8"/>
        <v>68.17437732335479</v>
      </c>
    </row>
    <row r="29" spans="1:24" ht="20.100000000000001" customHeight="1" x14ac:dyDescent="0.3">
      <c r="A29" s="145">
        <v>11</v>
      </c>
      <c r="B29" s="254">
        <f t="shared" si="0"/>
        <v>-10</v>
      </c>
      <c r="C29" s="219">
        <f>IF($C$13+A28*$C$15&lt;$C$14,$A$18,(B29-$C$9)*Adatok!$C$10)</f>
        <v>-9.6500000000000015E-5</v>
      </c>
      <c r="D29" s="158">
        <f>IF($C$13+A28*$C$15&lt;$C$14,$A$18,(C29-($C$8/Adatok!$C$11)+($C$11/$C$8^2))*Adatok!$C$11)</f>
        <v>11656.161275050161</v>
      </c>
      <c r="E29" s="158">
        <f t="shared" si="1"/>
        <v>-45288698.556659669</v>
      </c>
      <c r="F29" s="158">
        <f t="shared" si="2"/>
        <v>117309256293.25076</v>
      </c>
      <c r="G29" s="220">
        <f t="shared" si="3"/>
        <v>-9397702139838464</v>
      </c>
      <c r="H29" s="253">
        <f t="shared" si="4"/>
        <v>3.7069158412050456</v>
      </c>
      <c r="I29" s="96" t="s">
        <v>47</v>
      </c>
      <c r="L29" s="258" t="str">
        <f>Adatok!F29</f>
        <v>-</v>
      </c>
      <c r="M29" s="259" t="s">
        <v>27</v>
      </c>
      <c r="N29" s="260" t="str">
        <f>Adatok!H29</f>
        <v>-</v>
      </c>
      <c r="O29" s="261" t="str">
        <f>'Szerelési táblázat'!F30</f>
        <v>-</v>
      </c>
      <c r="P29" s="262" t="str">
        <f>IF(Adatok!$C$16+$A29&lt;Adatok!$C$17+1,(((Adatok!$C$14*Adatok!$C$20*Adatok!I29*Adatok!J29)/(8*Adatok!$C$21))+((Adatok!$C$14^3*Adatok!$C$20^3*Adatok!$I29^3*Adatok!$J29)/(384*Adatok!$C$21^3)))*100,$A$18)</f>
        <v>-</v>
      </c>
      <c r="R29" s="226">
        <f>IF($C$13+A28*$C$15&lt;$C$14,$A$18,(C29+($T$17/Adatok!$C$11)-($C$10/($T$17^2)))*Adatok!$C$11*(-1))</f>
        <v>59.118971927818585</v>
      </c>
      <c r="S29" s="227">
        <f t="shared" si="5"/>
        <v>-1165.0176139340672</v>
      </c>
      <c r="T29" s="227">
        <f t="shared" si="6"/>
        <v>-543939.40446543822</v>
      </c>
      <c r="U29" s="228">
        <f t="shared" si="7"/>
        <v>73908954530.913177</v>
      </c>
      <c r="V29" s="221">
        <f t="shared" si="8"/>
        <v>66.675979307382548</v>
      </c>
    </row>
    <row r="30" spans="1:24" ht="20.100000000000001" customHeight="1" x14ac:dyDescent="0.3">
      <c r="A30" s="145">
        <v>12</v>
      </c>
      <c r="B30" s="254" t="str">
        <f t="shared" si="0"/>
        <v>-</v>
      </c>
      <c r="C30" s="219" t="str">
        <f>IF($C$13+A29*$C$15&lt;$C$14,$A$18,(B30-$C$9)*Adatok!$C$10)</f>
        <v>-</v>
      </c>
      <c r="D30" s="158" t="str">
        <f>IF($C$13+A29*$C$15&lt;$C$14,$A$18,(C30-($C$8/Adatok!$C$11)+($C$11/$C$8^2))*Adatok!$C$11)</f>
        <v>-</v>
      </c>
      <c r="E30" s="158" t="str">
        <f t="shared" si="1"/>
        <v>-</v>
      </c>
      <c r="F30" s="158" t="str">
        <f t="shared" si="2"/>
        <v>-</v>
      </c>
      <c r="G30" s="220" t="str">
        <f t="shared" si="3"/>
        <v>-</v>
      </c>
      <c r="H30" s="253" t="str">
        <f t="shared" si="4"/>
        <v>-</v>
      </c>
      <c r="I30" s="96" t="s">
        <v>47</v>
      </c>
      <c r="L30" s="258" t="str">
        <f>Adatok!F30</f>
        <v>-</v>
      </c>
      <c r="M30" s="259" t="s">
        <v>27</v>
      </c>
      <c r="N30" s="260" t="str">
        <f>Adatok!H30</f>
        <v>-</v>
      </c>
      <c r="O30" s="261" t="str">
        <f>'Szerelési táblázat'!F31</f>
        <v>-</v>
      </c>
      <c r="P30" s="262" t="str">
        <f>IF(Adatok!$C$16+$A30&lt;Adatok!$C$17+1,(((Adatok!$C$14*Adatok!$C$20*Adatok!I30*Adatok!J30)/(8*Adatok!$C$21))+((Adatok!$C$14^3*Adatok!$C$20^3*Adatok!$I30^3*Adatok!$J30)/(384*Adatok!$C$21^3)))*100,$A$18)</f>
        <v>-</v>
      </c>
      <c r="R30" s="226" t="str">
        <f>IF($C$13+A29*$C$15&lt;$C$14,$A$18,(C30+($T$17/Adatok!$C$11)-($C$10/($T$17^2)))*Adatok!$C$11*(-1))</f>
        <v>-</v>
      </c>
      <c r="S30" s="227" t="str">
        <f t="shared" si="5"/>
        <v>-</v>
      </c>
      <c r="T30" s="227" t="str">
        <f t="shared" si="6"/>
        <v>-</v>
      </c>
      <c r="U30" s="228" t="str">
        <f t="shared" si="7"/>
        <v>-</v>
      </c>
      <c r="V30" s="221" t="str">
        <f t="shared" si="8"/>
        <v>-</v>
      </c>
    </row>
    <row r="31" spans="1:24" ht="20.100000000000001" customHeight="1" x14ac:dyDescent="0.3">
      <c r="A31" s="145">
        <v>13</v>
      </c>
      <c r="B31" s="254" t="str">
        <f t="shared" si="0"/>
        <v>-</v>
      </c>
      <c r="C31" s="219" t="str">
        <f>IF($C$13+A30*$C$15&lt;$C$14,$A$18,(B31-$C$9)*Adatok!$C$10)</f>
        <v>-</v>
      </c>
      <c r="D31" s="158" t="str">
        <f>IF($C$13+A30*$C$15&lt;$C$14,$A$18,(C31-($C$8/Adatok!$C$11)+($C$11/$C$8^2))*Adatok!$C$11)</f>
        <v>-</v>
      </c>
      <c r="E31" s="158" t="str">
        <f t="shared" si="1"/>
        <v>-</v>
      </c>
      <c r="F31" s="158" t="str">
        <f t="shared" si="2"/>
        <v>-</v>
      </c>
      <c r="G31" s="220" t="str">
        <f t="shared" si="3"/>
        <v>-</v>
      </c>
      <c r="H31" s="253" t="str">
        <f t="shared" si="4"/>
        <v>-</v>
      </c>
      <c r="I31" s="96" t="s">
        <v>47</v>
      </c>
      <c r="L31" s="258" t="str">
        <f>Adatok!F31</f>
        <v>-</v>
      </c>
      <c r="M31" s="259" t="s">
        <v>27</v>
      </c>
      <c r="N31" s="260" t="str">
        <f>Adatok!H31</f>
        <v>-</v>
      </c>
      <c r="O31" s="261" t="str">
        <f>'Szerelési táblázat'!F32</f>
        <v>-</v>
      </c>
      <c r="P31" s="262" t="str">
        <f>IF(Adatok!$C$16+$A31&lt;Adatok!$C$17+1,(((Adatok!$C$14*Adatok!$C$20*Adatok!I31*Adatok!J31)/(8*Adatok!$C$21))+((Adatok!$C$14^3*Adatok!$C$20^3*Adatok!$I31^3*Adatok!$J31)/(384*Adatok!$C$21^3)))*100,$A$18)</f>
        <v>-</v>
      </c>
      <c r="R31" s="226" t="str">
        <f>IF($C$13+A30*$C$15&lt;$C$14,$A$18,(C31+($T$17/Adatok!$C$11)-($C$10/($T$17^2)))*Adatok!$C$11*(-1))</f>
        <v>-</v>
      </c>
      <c r="S31" s="227" t="str">
        <f t="shared" si="5"/>
        <v>-</v>
      </c>
      <c r="T31" s="227" t="str">
        <f t="shared" si="6"/>
        <v>-</v>
      </c>
      <c r="U31" s="228" t="str">
        <f t="shared" si="7"/>
        <v>-</v>
      </c>
      <c r="V31" s="221" t="str">
        <f t="shared" si="8"/>
        <v>-</v>
      </c>
    </row>
    <row r="32" spans="1:24" ht="20.100000000000001" customHeight="1" x14ac:dyDescent="0.3">
      <c r="A32" s="145">
        <v>14</v>
      </c>
      <c r="B32" s="254" t="str">
        <f t="shared" si="0"/>
        <v>-</v>
      </c>
      <c r="C32" s="219" t="str">
        <f>IF($C$13+A31*$C$15&lt;$C$14,$A$18,(B32-$C$9)*Adatok!$C$10)</f>
        <v>-</v>
      </c>
      <c r="D32" s="158" t="str">
        <f>IF($C$13+A31*$C$15&lt;$C$14,$A$18,(C32-($C$8/Adatok!$C$11)+($C$11/$C$8^2))*Adatok!$C$11)</f>
        <v>-</v>
      </c>
      <c r="E32" s="158" t="str">
        <f t="shared" si="1"/>
        <v>-</v>
      </c>
      <c r="F32" s="158" t="str">
        <f t="shared" si="2"/>
        <v>-</v>
      </c>
      <c r="G32" s="220" t="str">
        <f t="shared" si="3"/>
        <v>-</v>
      </c>
      <c r="H32" s="253" t="str">
        <f t="shared" si="4"/>
        <v>-</v>
      </c>
      <c r="I32" s="96" t="s">
        <v>47</v>
      </c>
      <c r="L32" s="258" t="str">
        <f>Adatok!F32</f>
        <v>-</v>
      </c>
      <c r="M32" s="259" t="s">
        <v>27</v>
      </c>
      <c r="N32" s="260" t="str">
        <f>Adatok!H32</f>
        <v>-</v>
      </c>
      <c r="O32" s="261" t="str">
        <f>'Szerelési táblázat'!F33</f>
        <v>-</v>
      </c>
      <c r="P32" s="262" t="str">
        <f>IF(Adatok!$C$16+$A32&lt;Adatok!$C$17+1,(((Adatok!$C$14*Adatok!$C$20*Adatok!I32*Adatok!J32)/(8*Adatok!$C$21))+((Adatok!$C$14^3*Adatok!$C$20^3*Adatok!$I32^3*Adatok!$J32)/(384*Adatok!$C$21^3)))*100,$A$18)</f>
        <v>-</v>
      </c>
      <c r="R32" s="226" t="str">
        <f>IF($C$13+A31*$C$15&lt;$C$14,$A$18,(C32+($T$17/Adatok!$C$11)-($C$10/($T$17^2)))*Adatok!$C$11*(-1))</f>
        <v>-</v>
      </c>
      <c r="S32" s="227" t="str">
        <f t="shared" si="5"/>
        <v>-</v>
      </c>
      <c r="T32" s="227" t="str">
        <f t="shared" si="6"/>
        <v>-</v>
      </c>
      <c r="U32" s="228" t="str">
        <f t="shared" si="7"/>
        <v>-</v>
      </c>
      <c r="V32" s="221" t="str">
        <f t="shared" si="8"/>
        <v>-</v>
      </c>
    </row>
    <row r="33" spans="1:22" ht="20.100000000000001" customHeight="1" x14ac:dyDescent="0.3">
      <c r="A33" s="145">
        <v>15</v>
      </c>
      <c r="B33" s="254" t="str">
        <f t="shared" si="0"/>
        <v>-</v>
      </c>
      <c r="C33" s="219" t="str">
        <f>IF($C$13+A32*$C$15&lt;$C$14,$A$18,(B33-$C$9)*Adatok!$C$10)</f>
        <v>-</v>
      </c>
      <c r="D33" s="158" t="str">
        <f>IF($C$13+A32*$C$15&lt;$C$14,$A$18,(C33-($C$8/Adatok!$C$11)+($C$11/$C$8^2))*Adatok!$C$11)</f>
        <v>-</v>
      </c>
      <c r="E33" s="158" t="str">
        <f t="shared" si="1"/>
        <v>-</v>
      </c>
      <c r="F33" s="158" t="str">
        <f t="shared" si="2"/>
        <v>-</v>
      </c>
      <c r="G33" s="220" t="str">
        <f t="shared" si="3"/>
        <v>-</v>
      </c>
      <c r="H33" s="253" t="str">
        <f t="shared" si="4"/>
        <v>-</v>
      </c>
      <c r="I33" s="96" t="s">
        <v>47</v>
      </c>
      <c r="L33" s="258" t="str">
        <f>Adatok!F33</f>
        <v>-</v>
      </c>
      <c r="M33" s="259" t="s">
        <v>27</v>
      </c>
      <c r="N33" s="260" t="str">
        <f>Adatok!H33</f>
        <v>-</v>
      </c>
      <c r="O33" s="261" t="str">
        <f>'Szerelési táblázat'!F34</f>
        <v>-</v>
      </c>
      <c r="P33" s="262" t="str">
        <f>IF(Adatok!$C$16+$A33&lt;Adatok!$C$17+1,(((Adatok!$C$14*Adatok!$C$20*Adatok!I33*Adatok!J33)/(8*Adatok!$C$21))+((Adatok!$C$14^3*Adatok!$C$20^3*Adatok!$I33^3*Adatok!$J33)/(384*Adatok!$C$21^3)))*100,$A$18)</f>
        <v>-</v>
      </c>
      <c r="R33" s="226" t="str">
        <f>IF($C$13+A32*$C$15&lt;$C$14,$A$18,(C33+($T$17/Adatok!$C$11)-($C$10/($T$17^2)))*Adatok!$C$11*(-1))</f>
        <v>-</v>
      </c>
      <c r="S33" s="227" t="str">
        <f t="shared" si="5"/>
        <v>-</v>
      </c>
      <c r="T33" s="227" t="str">
        <f t="shared" si="6"/>
        <v>-</v>
      </c>
      <c r="U33" s="228" t="str">
        <f t="shared" si="7"/>
        <v>-</v>
      </c>
      <c r="V33" s="221" t="str">
        <f t="shared" si="8"/>
        <v>-</v>
      </c>
    </row>
    <row r="34" spans="1:22" ht="20.100000000000001" customHeight="1" x14ac:dyDescent="0.3">
      <c r="A34" s="145">
        <v>16</v>
      </c>
      <c r="B34" s="254" t="str">
        <f t="shared" si="0"/>
        <v>-</v>
      </c>
      <c r="C34" s="219" t="str">
        <f>IF($C$13+A33*$C$15&lt;$C$14,$A$18,(B34-$C$9)*Adatok!$C$10)</f>
        <v>-</v>
      </c>
      <c r="D34" s="158" t="str">
        <f>IF($C$13+A33*$C$15&lt;$C$14,$A$18,(C34-($C$8/Adatok!$C$11)+($C$11/$C$8^2))*Adatok!$C$11)</f>
        <v>-</v>
      </c>
      <c r="E34" s="158" t="str">
        <f t="shared" si="1"/>
        <v>-</v>
      </c>
      <c r="F34" s="158" t="str">
        <f t="shared" si="2"/>
        <v>-</v>
      </c>
      <c r="G34" s="220" t="str">
        <f t="shared" si="3"/>
        <v>-</v>
      </c>
      <c r="H34" s="253" t="str">
        <f t="shared" si="4"/>
        <v>-</v>
      </c>
      <c r="I34" s="96" t="s">
        <v>47</v>
      </c>
      <c r="L34" s="258" t="str">
        <f>Adatok!F34</f>
        <v>-</v>
      </c>
      <c r="M34" s="259" t="s">
        <v>27</v>
      </c>
      <c r="N34" s="260" t="str">
        <f>Adatok!H34</f>
        <v>-</v>
      </c>
      <c r="O34" s="261" t="str">
        <f>'Szerelési táblázat'!F35</f>
        <v>-</v>
      </c>
      <c r="P34" s="262" t="str">
        <f>IF(Adatok!$C$16+$A34&lt;Adatok!$C$17+1,(((Adatok!$C$14*Adatok!$C$20*Adatok!I34*Adatok!J34)/(8*Adatok!$C$21))+((Adatok!$C$14^3*Adatok!$C$20^3*Adatok!$I34^3*Adatok!$J34)/(384*Adatok!$C$21^3)))*100,$A$18)</f>
        <v>-</v>
      </c>
      <c r="R34" s="226" t="str">
        <f>IF($C$13+A33*$C$15&lt;$C$14,$A$18,(C34+($T$17/Adatok!$C$11)-($C$10/($T$17^2)))*Adatok!$C$11*(-1))</f>
        <v>-</v>
      </c>
      <c r="S34" s="227" t="str">
        <f t="shared" si="5"/>
        <v>-</v>
      </c>
      <c r="T34" s="227" t="str">
        <f t="shared" si="6"/>
        <v>-</v>
      </c>
      <c r="U34" s="228" t="str">
        <f t="shared" si="7"/>
        <v>-</v>
      </c>
      <c r="V34" s="221" t="str">
        <f t="shared" si="8"/>
        <v>-</v>
      </c>
    </row>
    <row r="35" spans="1:22" ht="20.100000000000001" customHeight="1" x14ac:dyDescent="0.3">
      <c r="A35" s="145">
        <v>17</v>
      </c>
      <c r="B35" s="254" t="str">
        <f t="shared" si="0"/>
        <v>-</v>
      </c>
      <c r="C35" s="219" t="str">
        <f>IF($C$13+A34*$C$15&lt;$C$14,$A$18,(B35-$C$9)*Adatok!$C$10)</f>
        <v>-</v>
      </c>
      <c r="D35" s="158" t="str">
        <f>IF($C$13+A34*$C$15&lt;$C$14,$A$18,(C35-($C$8/Adatok!$C$11)+($C$11/$C$8^2))*Adatok!$C$11)</f>
        <v>-</v>
      </c>
      <c r="E35" s="158" t="str">
        <f t="shared" si="1"/>
        <v>-</v>
      </c>
      <c r="F35" s="158" t="str">
        <f t="shared" si="2"/>
        <v>-</v>
      </c>
      <c r="G35" s="220" t="str">
        <f t="shared" si="3"/>
        <v>-</v>
      </c>
      <c r="H35" s="253" t="str">
        <f t="shared" si="4"/>
        <v>-</v>
      </c>
      <c r="I35" s="96" t="s">
        <v>47</v>
      </c>
      <c r="L35" s="258" t="str">
        <f>Adatok!F35</f>
        <v>-</v>
      </c>
      <c r="M35" s="259" t="s">
        <v>27</v>
      </c>
      <c r="N35" s="260" t="str">
        <f>Adatok!H35</f>
        <v>-</v>
      </c>
      <c r="O35" s="261" t="str">
        <f>'Szerelési táblázat'!F36</f>
        <v>-</v>
      </c>
      <c r="P35" s="262" t="str">
        <f>IF(Adatok!$C$16+$A35&lt;Adatok!$C$17+1,(((Adatok!$C$14*Adatok!$C$20*Adatok!I35*Adatok!J35)/(8*Adatok!$C$21))+((Adatok!$C$14^3*Adatok!$C$20^3*Adatok!$I35^3*Adatok!$J35)/(384*Adatok!$C$21^3)))*100,$A$18)</f>
        <v>-</v>
      </c>
      <c r="R35" s="226" t="str">
        <f>IF($C$13+A34*$C$15&lt;$C$14,$A$18,(C35+($T$17/Adatok!$C$11)-($C$10/($T$17^2)))*Adatok!$C$11*(-1))</f>
        <v>-</v>
      </c>
      <c r="S35" s="227" t="str">
        <f t="shared" si="5"/>
        <v>-</v>
      </c>
      <c r="T35" s="227" t="str">
        <f t="shared" si="6"/>
        <v>-</v>
      </c>
      <c r="U35" s="228" t="str">
        <f t="shared" si="7"/>
        <v>-</v>
      </c>
      <c r="V35" s="221" t="str">
        <f t="shared" si="8"/>
        <v>-</v>
      </c>
    </row>
    <row r="36" spans="1:22" ht="20.100000000000001" customHeight="1" x14ac:dyDescent="0.3">
      <c r="A36" s="145">
        <v>18</v>
      </c>
      <c r="B36" s="254" t="str">
        <f t="shared" si="0"/>
        <v>-</v>
      </c>
      <c r="C36" s="219" t="str">
        <f>IF($C$13+A35*$C$15&lt;$C$14,$A$18,(B36-$C$9)*Adatok!$C$10)</f>
        <v>-</v>
      </c>
      <c r="D36" s="158" t="str">
        <f>IF($C$13+A35*$C$15&lt;$C$14,$A$18,(C36-($C$8/Adatok!$C$11)+($C$11/$C$8^2))*Adatok!$C$11)</f>
        <v>-</v>
      </c>
      <c r="E36" s="158" t="str">
        <f t="shared" si="1"/>
        <v>-</v>
      </c>
      <c r="F36" s="158" t="str">
        <f t="shared" si="2"/>
        <v>-</v>
      </c>
      <c r="G36" s="220" t="str">
        <f t="shared" si="3"/>
        <v>-</v>
      </c>
      <c r="H36" s="253" t="str">
        <f t="shared" si="4"/>
        <v>-</v>
      </c>
      <c r="I36" s="96" t="s">
        <v>47</v>
      </c>
      <c r="L36" s="258" t="str">
        <f>Adatok!F36</f>
        <v>-</v>
      </c>
      <c r="M36" s="259" t="s">
        <v>27</v>
      </c>
      <c r="N36" s="260" t="str">
        <f>Adatok!H36</f>
        <v>-</v>
      </c>
      <c r="O36" s="261" t="str">
        <f>'Szerelési táblázat'!F37</f>
        <v>-</v>
      </c>
      <c r="P36" s="262" t="str">
        <f>IF(Adatok!$C$16+$A36&lt;Adatok!$C$17+1,(((Adatok!$C$14*Adatok!$C$20*Adatok!I36*Adatok!J36)/(8*Adatok!$C$21))+((Adatok!$C$14^3*Adatok!$C$20^3*Adatok!$I36^3*Adatok!$J36)/(384*Adatok!$C$21^3)))*100,$A$18)</f>
        <v>-</v>
      </c>
      <c r="R36" s="226" t="str">
        <f>IF($C$13+A35*$C$15&lt;$C$14,$A$18,(C36+($T$17/Adatok!$C$11)-($C$10/($T$17^2)))*Adatok!$C$11*(-1))</f>
        <v>-</v>
      </c>
      <c r="S36" s="227" t="str">
        <f t="shared" si="5"/>
        <v>-</v>
      </c>
      <c r="T36" s="227" t="str">
        <f t="shared" si="6"/>
        <v>-</v>
      </c>
      <c r="U36" s="228" t="str">
        <f t="shared" si="7"/>
        <v>-</v>
      </c>
      <c r="V36" s="221" t="str">
        <f t="shared" si="8"/>
        <v>-</v>
      </c>
    </row>
    <row r="37" spans="1:22" ht="20.100000000000001" customHeight="1" x14ac:dyDescent="0.3">
      <c r="A37" s="145">
        <v>19</v>
      </c>
      <c r="B37" s="254" t="str">
        <f t="shared" si="0"/>
        <v>-</v>
      </c>
      <c r="C37" s="219" t="str">
        <f>IF($C$13+A36*$C$15&lt;$C$14,$A$18,(B37-$C$9)*Adatok!$C$10)</f>
        <v>-</v>
      </c>
      <c r="D37" s="158" t="str">
        <f>IF($C$13+A36*$C$15&lt;$C$14,$A$18,(C37-($C$8/Adatok!$C$11)+($C$11/$C$8^2))*Adatok!$C$11)</f>
        <v>-</v>
      </c>
      <c r="E37" s="158" t="str">
        <f t="shared" si="1"/>
        <v>-</v>
      </c>
      <c r="F37" s="158" t="str">
        <f t="shared" si="2"/>
        <v>-</v>
      </c>
      <c r="G37" s="220" t="str">
        <f t="shared" si="3"/>
        <v>-</v>
      </c>
      <c r="H37" s="253" t="str">
        <f t="shared" si="4"/>
        <v>-</v>
      </c>
      <c r="I37" s="96" t="s">
        <v>47</v>
      </c>
      <c r="L37" s="258" t="str">
        <f>Adatok!F37</f>
        <v>-</v>
      </c>
      <c r="M37" s="259" t="s">
        <v>27</v>
      </c>
      <c r="N37" s="260" t="str">
        <f>Adatok!H37</f>
        <v>-</v>
      </c>
      <c r="O37" s="261" t="str">
        <f>'Szerelési táblázat'!F38</f>
        <v>-</v>
      </c>
      <c r="P37" s="262" t="str">
        <f>IF(Adatok!$C$16+$A37&lt;Adatok!$C$17+1,(((Adatok!$C$14*Adatok!$C$20*Adatok!I37*Adatok!J37)/(8*Adatok!$C$21))+((Adatok!$C$14^3*Adatok!$C$20^3*Adatok!$I37^3*Adatok!$J37)/(384*Adatok!$C$21^3)))*100,$A$18)</f>
        <v>-</v>
      </c>
      <c r="R37" s="226" t="str">
        <f>IF($C$13+A36*$C$15&lt;$C$14,$A$18,(C37+($T$17/Adatok!$C$11)-($C$10/($T$17^2)))*Adatok!$C$11*(-1))</f>
        <v>-</v>
      </c>
      <c r="S37" s="227" t="str">
        <f t="shared" si="5"/>
        <v>-</v>
      </c>
      <c r="T37" s="227" t="str">
        <f t="shared" si="6"/>
        <v>-</v>
      </c>
      <c r="U37" s="228" t="str">
        <f t="shared" si="7"/>
        <v>-</v>
      </c>
      <c r="V37" s="221" t="str">
        <f t="shared" si="8"/>
        <v>-</v>
      </c>
    </row>
    <row r="38" spans="1:22" ht="20.100000000000001" customHeight="1" x14ac:dyDescent="0.3">
      <c r="A38" s="145">
        <v>20</v>
      </c>
      <c r="B38" s="254" t="str">
        <f t="shared" si="0"/>
        <v>-</v>
      </c>
      <c r="C38" s="219" t="str">
        <f>IF($C$13+A37*$C$15&lt;$C$14,$A$18,(B38-$C$9)*Adatok!$C$10)</f>
        <v>-</v>
      </c>
      <c r="D38" s="158" t="str">
        <f>IF($C$13+A37*$C$15&lt;$C$14,$A$18,(C38-($C$8/Adatok!$C$11)+($C$11/$C$8^2))*Adatok!$C$11)</f>
        <v>-</v>
      </c>
      <c r="E38" s="158" t="str">
        <f t="shared" si="1"/>
        <v>-</v>
      </c>
      <c r="F38" s="158" t="str">
        <f t="shared" si="2"/>
        <v>-</v>
      </c>
      <c r="G38" s="220" t="str">
        <f t="shared" si="3"/>
        <v>-</v>
      </c>
      <c r="H38" s="253" t="str">
        <f t="shared" si="4"/>
        <v>-</v>
      </c>
      <c r="I38" s="96" t="s">
        <v>47</v>
      </c>
      <c r="L38" s="258" t="str">
        <f>Adatok!F38</f>
        <v>-</v>
      </c>
      <c r="M38" s="259" t="s">
        <v>27</v>
      </c>
      <c r="N38" s="260" t="str">
        <f>Adatok!H38</f>
        <v>-</v>
      </c>
      <c r="O38" s="261" t="str">
        <f>'Szerelési táblázat'!F39</f>
        <v>-</v>
      </c>
      <c r="P38" s="262" t="str">
        <f>IF(Adatok!$C$16+$A38&lt;Adatok!$C$17+1,(((Adatok!$C$14*Adatok!$C$20*Adatok!I38*Adatok!J38)/(8*Adatok!$C$21))+((Adatok!$C$14^3*Adatok!$C$20^3*Adatok!$I38^3*Adatok!$J38)/(384*Adatok!$C$21^3)))*100,$A$18)</f>
        <v>-</v>
      </c>
      <c r="R38" s="226" t="str">
        <f>IF($C$13+A37*$C$15&lt;$C$14,$A$18,(C38+($T$17/Adatok!$C$11)-($C$10/($T$17^2)))*Adatok!$C$11*(-1))</f>
        <v>-</v>
      </c>
      <c r="S38" s="227" t="str">
        <f t="shared" si="5"/>
        <v>-</v>
      </c>
      <c r="T38" s="227" t="str">
        <f t="shared" si="6"/>
        <v>-</v>
      </c>
      <c r="U38" s="228" t="str">
        <f t="shared" si="7"/>
        <v>-</v>
      </c>
      <c r="V38" s="221" t="str">
        <f t="shared" si="8"/>
        <v>-</v>
      </c>
    </row>
    <row r="39" spans="1:22" ht="20.100000000000001" customHeight="1" x14ac:dyDescent="0.3">
      <c r="A39" s="145">
        <v>21</v>
      </c>
      <c r="B39" s="254" t="str">
        <f t="shared" si="0"/>
        <v>-</v>
      </c>
      <c r="C39" s="219" t="str">
        <f>IF($C$13+A38*$C$15&lt;$C$14,$A$18,(B39-$C$9)*Adatok!$C$10)</f>
        <v>-</v>
      </c>
      <c r="D39" s="158" t="str">
        <f>IF($C$13+A38*$C$15&lt;$C$14,$A$18,(C39-($C$8/Adatok!$C$11)+($C$11/$C$8^2))*Adatok!$C$11)</f>
        <v>-</v>
      </c>
      <c r="E39" s="158" t="str">
        <f t="shared" si="1"/>
        <v>-</v>
      </c>
      <c r="F39" s="158" t="str">
        <f t="shared" si="2"/>
        <v>-</v>
      </c>
      <c r="G39" s="220" t="str">
        <f t="shared" si="3"/>
        <v>-</v>
      </c>
      <c r="H39" s="253" t="str">
        <f t="shared" si="4"/>
        <v>-</v>
      </c>
      <c r="I39" s="96" t="s">
        <v>47</v>
      </c>
      <c r="L39" s="258" t="str">
        <f>Adatok!F39</f>
        <v>-</v>
      </c>
      <c r="M39" s="259" t="s">
        <v>27</v>
      </c>
      <c r="N39" s="260" t="str">
        <f>Adatok!H39</f>
        <v>-</v>
      </c>
      <c r="O39" s="261" t="str">
        <f>'Szerelési táblázat'!F40</f>
        <v>-</v>
      </c>
      <c r="P39" s="262" t="str">
        <f>IF(Adatok!$C$16+$A39&lt;Adatok!$C$17+1,(((Adatok!$C$14*Adatok!$C$20*Adatok!I39*Adatok!J39)/(8*Adatok!$C$21))+((Adatok!$C$14^3*Adatok!$C$20^3*Adatok!$I39^3*Adatok!$J39)/(384*Adatok!$C$21^3)))*100,$A$18)</f>
        <v>-</v>
      </c>
      <c r="R39" s="226" t="str">
        <f>IF($C$13+A38*$C$15&lt;$C$14,$A$18,(C39+($T$17/Adatok!$C$11)-($C$10/($T$17^2)))*Adatok!$C$11*(-1))</f>
        <v>-</v>
      </c>
      <c r="S39" s="227" t="str">
        <f t="shared" si="5"/>
        <v>-</v>
      </c>
      <c r="T39" s="227" t="str">
        <f t="shared" si="6"/>
        <v>-</v>
      </c>
      <c r="U39" s="228" t="str">
        <f t="shared" si="7"/>
        <v>-</v>
      </c>
      <c r="V39" s="221" t="str">
        <f t="shared" si="8"/>
        <v>-</v>
      </c>
    </row>
    <row r="40" spans="1:22" ht="20.100000000000001" customHeight="1" x14ac:dyDescent="0.3">
      <c r="A40" s="145">
        <v>22</v>
      </c>
      <c r="B40" s="254" t="str">
        <f t="shared" si="0"/>
        <v>-</v>
      </c>
      <c r="C40" s="219" t="str">
        <f>IF($C$13+A39*$C$15&lt;$C$14,$A$18,(B40-$C$9)*Adatok!$C$10)</f>
        <v>-</v>
      </c>
      <c r="D40" s="158" t="str">
        <f>IF($C$13+A39*$C$15&lt;$C$14,$A$18,(C40-($C$8/Adatok!$C$11)+($C$11/$C$8^2))*Adatok!$C$11)</f>
        <v>-</v>
      </c>
      <c r="E40" s="158" t="str">
        <f t="shared" si="1"/>
        <v>-</v>
      </c>
      <c r="F40" s="158" t="str">
        <f t="shared" si="2"/>
        <v>-</v>
      </c>
      <c r="G40" s="220" t="str">
        <f t="shared" si="3"/>
        <v>-</v>
      </c>
      <c r="H40" s="253" t="str">
        <f t="shared" si="4"/>
        <v>-</v>
      </c>
      <c r="I40" s="96" t="s">
        <v>47</v>
      </c>
      <c r="L40" s="258" t="str">
        <f>Adatok!F40</f>
        <v>-</v>
      </c>
      <c r="M40" s="259" t="s">
        <v>27</v>
      </c>
      <c r="N40" s="260" t="str">
        <f>Adatok!H40</f>
        <v>-</v>
      </c>
      <c r="O40" s="261" t="str">
        <f>'Szerelési táblázat'!F41</f>
        <v>-</v>
      </c>
      <c r="P40" s="262" t="str">
        <f>IF(Adatok!$C$16+$A40&lt;Adatok!$C$17+1,(((Adatok!$C$14*Adatok!$C$20*Adatok!I40*Adatok!J40)/(8*Adatok!$C$21))+((Adatok!$C$14^3*Adatok!$C$20^3*Adatok!$I40^3*Adatok!$J40)/(384*Adatok!$C$21^3)))*100,$A$18)</f>
        <v>-</v>
      </c>
      <c r="R40" s="226" t="str">
        <f>IF($C$13+A39*$C$15&lt;$C$14,$A$18,(C40+($T$17/Adatok!$C$11)-($C$10/($T$17^2)))*Adatok!$C$11*(-1))</f>
        <v>-</v>
      </c>
      <c r="S40" s="227" t="str">
        <f t="shared" si="5"/>
        <v>-</v>
      </c>
      <c r="T40" s="227" t="str">
        <f t="shared" si="6"/>
        <v>-</v>
      </c>
      <c r="U40" s="228" t="str">
        <f t="shared" si="7"/>
        <v>-</v>
      </c>
      <c r="V40" s="221" t="str">
        <f t="shared" si="8"/>
        <v>-</v>
      </c>
    </row>
    <row r="41" spans="1:22" ht="20.100000000000001" customHeight="1" x14ac:dyDescent="0.3">
      <c r="A41" s="145">
        <v>23</v>
      </c>
      <c r="B41" s="254" t="str">
        <f t="shared" si="0"/>
        <v>-</v>
      </c>
      <c r="C41" s="219" t="str">
        <f>IF($C$13+A40*$C$15&lt;$C$14,$A$18,(B41-$C$9)*Adatok!$C$10)</f>
        <v>-</v>
      </c>
      <c r="D41" s="158" t="str">
        <f>IF($C$13+A40*$C$15&lt;$C$14,$A$18,(C41-($C$8/Adatok!$C$11)+($C$11/$C$8^2))*Adatok!$C$11)</f>
        <v>-</v>
      </c>
      <c r="E41" s="158" t="str">
        <f t="shared" si="1"/>
        <v>-</v>
      </c>
      <c r="F41" s="158" t="str">
        <f t="shared" si="2"/>
        <v>-</v>
      </c>
      <c r="G41" s="220" t="str">
        <f t="shared" si="3"/>
        <v>-</v>
      </c>
      <c r="H41" s="253" t="str">
        <f t="shared" si="4"/>
        <v>-</v>
      </c>
      <c r="I41" s="96" t="s">
        <v>47</v>
      </c>
      <c r="L41" s="258" t="str">
        <f>Adatok!F41</f>
        <v>-</v>
      </c>
      <c r="M41" s="259" t="s">
        <v>27</v>
      </c>
      <c r="N41" s="260" t="str">
        <f>Adatok!H41</f>
        <v>-</v>
      </c>
      <c r="O41" s="261" t="str">
        <f>'Szerelési táblázat'!F42</f>
        <v>-</v>
      </c>
      <c r="P41" s="262" t="str">
        <f>IF(Adatok!$C$16+$A41&lt;Adatok!$C$17+1,(((Adatok!$C$14*Adatok!$C$20*Adatok!I41*Adatok!J41)/(8*Adatok!$C$21))+((Adatok!$C$14^3*Adatok!$C$20^3*Adatok!$I41^3*Adatok!$J41)/(384*Adatok!$C$21^3)))*100,$A$18)</f>
        <v>-</v>
      </c>
      <c r="R41" s="226" t="str">
        <f>IF($C$13+A40*$C$15&lt;$C$14,$A$18,(C41+($T$17/Adatok!$C$11)-($C$10/($T$17^2)))*Adatok!$C$11*(-1))</f>
        <v>-</v>
      </c>
      <c r="S41" s="227" t="str">
        <f t="shared" si="5"/>
        <v>-</v>
      </c>
      <c r="T41" s="227" t="str">
        <f t="shared" si="6"/>
        <v>-</v>
      </c>
      <c r="U41" s="228" t="str">
        <f t="shared" si="7"/>
        <v>-</v>
      </c>
      <c r="V41" s="221" t="str">
        <f t="shared" si="8"/>
        <v>-</v>
      </c>
    </row>
    <row r="42" spans="1:22" ht="20.100000000000001" customHeight="1" x14ac:dyDescent="0.3">
      <c r="A42" s="145">
        <v>24</v>
      </c>
      <c r="B42" s="254" t="str">
        <f t="shared" si="0"/>
        <v>-</v>
      </c>
      <c r="C42" s="219" t="str">
        <f>IF($C$13+A41*$C$15&lt;$C$14,$A$18,(B42-$C$9)*Adatok!$C$10)</f>
        <v>-</v>
      </c>
      <c r="D42" s="158" t="str">
        <f>IF($C$13+A41*$C$15&lt;$C$14,$A$18,(C42-($C$8/Adatok!$C$11)+($C$11/$C$8^2))*Adatok!$C$11)</f>
        <v>-</v>
      </c>
      <c r="E42" s="158" t="str">
        <f t="shared" si="1"/>
        <v>-</v>
      </c>
      <c r="F42" s="158" t="str">
        <f t="shared" si="2"/>
        <v>-</v>
      </c>
      <c r="G42" s="220" t="str">
        <f t="shared" si="3"/>
        <v>-</v>
      </c>
      <c r="H42" s="253" t="str">
        <f t="shared" si="4"/>
        <v>-</v>
      </c>
      <c r="I42" s="96" t="s">
        <v>47</v>
      </c>
      <c r="L42" s="258" t="str">
        <f>Adatok!F42</f>
        <v>-</v>
      </c>
      <c r="M42" s="259" t="s">
        <v>27</v>
      </c>
      <c r="N42" s="260" t="str">
        <f>Adatok!H42</f>
        <v>-</v>
      </c>
      <c r="O42" s="261" t="str">
        <f>'Szerelési táblázat'!F43</f>
        <v>-</v>
      </c>
      <c r="P42" s="262" t="str">
        <f>IF(Adatok!$C$16+$A42&lt;Adatok!$C$17+1,(((Adatok!$C$14*Adatok!$C$20*Adatok!I42*Adatok!J42)/(8*Adatok!$C$21))+((Adatok!$C$14^3*Adatok!$C$20^3*Adatok!$I42^3*Adatok!$J42)/(384*Adatok!$C$21^3)))*100,$A$18)</f>
        <v>-</v>
      </c>
      <c r="R42" s="226" t="str">
        <f>IF($C$13+A41*$C$15&lt;$C$14,$A$18,(C42+($T$17/Adatok!$C$11)-($C$10/($T$17^2)))*Adatok!$C$11*(-1))</f>
        <v>-</v>
      </c>
      <c r="S42" s="227" t="str">
        <f t="shared" si="5"/>
        <v>-</v>
      </c>
      <c r="T42" s="227" t="str">
        <f t="shared" si="6"/>
        <v>-</v>
      </c>
      <c r="U42" s="228" t="str">
        <f t="shared" si="7"/>
        <v>-</v>
      </c>
      <c r="V42" s="221" t="str">
        <f t="shared" si="8"/>
        <v>-</v>
      </c>
    </row>
    <row r="43" spans="1:22" ht="20.100000000000001" customHeight="1" x14ac:dyDescent="0.3">
      <c r="A43" s="145">
        <v>25</v>
      </c>
      <c r="B43" s="254" t="str">
        <f t="shared" si="0"/>
        <v>-</v>
      </c>
      <c r="C43" s="219" t="str">
        <f>IF($C$13+A42*$C$15&lt;$C$14,$A$18,(B43-$C$9)*Adatok!$C$10)</f>
        <v>-</v>
      </c>
      <c r="D43" s="158" t="str">
        <f>IF($C$13+A42*$C$15&lt;$C$14,$A$18,(C43-($C$8/Adatok!$C$11)+($C$11/$C$8^2))*Adatok!$C$11)</f>
        <v>-</v>
      </c>
      <c r="E43" s="158" t="str">
        <f t="shared" si="1"/>
        <v>-</v>
      </c>
      <c r="F43" s="158" t="str">
        <f t="shared" si="2"/>
        <v>-</v>
      </c>
      <c r="G43" s="220" t="str">
        <f t="shared" si="3"/>
        <v>-</v>
      </c>
      <c r="H43" s="253" t="str">
        <f t="shared" si="4"/>
        <v>-</v>
      </c>
      <c r="I43" s="96" t="s">
        <v>47</v>
      </c>
      <c r="L43" s="258" t="str">
        <f>Adatok!F43</f>
        <v>-</v>
      </c>
      <c r="M43" s="259" t="s">
        <v>27</v>
      </c>
      <c r="N43" s="260" t="str">
        <f>Adatok!H43</f>
        <v>-</v>
      </c>
      <c r="O43" s="261" t="str">
        <f>'Szerelési táblázat'!F44</f>
        <v>-</v>
      </c>
      <c r="P43" s="262" t="str">
        <f>IF(Adatok!$C$16+$A43&lt;Adatok!$C$17+1,(((Adatok!$C$14*Adatok!$C$20*Adatok!I43*Adatok!J43)/(8*Adatok!$C$21))+((Adatok!$C$14^3*Adatok!$C$20^3*Adatok!$I43^3*Adatok!$J43)/(384*Adatok!$C$21^3)))*100,$A$18)</f>
        <v>-</v>
      </c>
      <c r="R43" s="226" t="str">
        <f>IF($C$13+A42*$C$15&lt;$C$14,$A$18,(C43+($T$17/Adatok!$C$11)-($C$10/($T$17^2)))*Adatok!$C$11*(-1))</f>
        <v>-</v>
      </c>
      <c r="S43" s="227" t="str">
        <f t="shared" si="5"/>
        <v>-</v>
      </c>
      <c r="T43" s="227" t="str">
        <f t="shared" si="6"/>
        <v>-</v>
      </c>
      <c r="U43" s="228" t="str">
        <f t="shared" si="7"/>
        <v>-</v>
      </c>
      <c r="V43" s="221" t="str">
        <f t="shared" si="8"/>
        <v>-</v>
      </c>
    </row>
    <row r="44" spans="1:22" ht="20.100000000000001" customHeight="1" x14ac:dyDescent="0.3">
      <c r="A44" s="145">
        <v>26</v>
      </c>
      <c r="B44" s="254" t="str">
        <f t="shared" si="0"/>
        <v>-</v>
      </c>
      <c r="C44" s="219" t="str">
        <f>IF($C$13+A43*$C$15&lt;$C$14,$A$18,(B44-$C$9)*Adatok!$C$10)</f>
        <v>-</v>
      </c>
      <c r="D44" s="158" t="str">
        <f>IF($C$13+A43*$C$15&lt;$C$14,$A$18,(C44-($C$8/Adatok!$C$11)+($C$11/$C$8^2))*Adatok!$C$11)</f>
        <v>-</v>
      </c>
      <c r="E44" s="158" t="str">
        <f t="shared" si="1"/>
        <v>-</v>
      </c>
      <c r="F44" s="158" t="str">
        <f t="shared" si="2"/>
        <v>-</v>
      </c>
      <c r="G44" s="220" t="str">
        <f t="shared" si="3"/>
        <v>-</v>
      </c>
      <c r="H44" s="253" t="str">
        <f t="shared" si="4"/>
        <v>-</v>
      </c>
      <c r="I44" s="96" t="s">
        <v>47</v>
      </c>
      <c r="L44" s="258" t="str">
        <f>Adatok!F44</f>
        <v>-</v>
      </c>
      <c r="M44" s="259" t="s">
        <v>27</v>
      </c>
      <c r="N44" s="260" t="str">
        <f>Adatok!H44</f>
        <v>-</v>
      </c>
      <c r="O44" s="261" t="str">
        <f>'Szerelési táblázat'!F45</f>
        <v>-</v>
      </c>
      <c r="P44" s="262" t="str">
        <f>IF(Adatok!$C$16+$A44&lt;Adatok!$C$17+1,(((Adatok!$C$14*Adatok!$C$20*Adatok!I44*Adatok!J44)/(8*Adatok!$C$21))+((Adatok!$C$14^3*Adatok!$C$20^3*Adatok!$I44^3*Adatok!$J44)/(384*Adatok!$C$21^3)))*100,$A$18)</f>
        <v>-</v>
      </c>
      <c r="R44" s="226" t="str">
        <f>IF($C$13+A43*$C$15&lt;$C$14,$A$18,(C44+($T$17/Adatok!$C$11)-($C$10/($T$17^2)))*Adatok!$C$11*(-1))</f>
        <v>-</v>
      </c>
      <c r="S44" s="227" t="str">
        <f t="shared" si="5"/>
        <v>-</v>
      </c>
      <c r="T44" s="227" t="str">
        <f t="shared" si="6"/>
        <v>-</v>
      </c>
      <c r="U44" s="228" t="str">
        <f t="shared" si="7"/>
        <v>-</v>
      </c>
      <c r="V44" s="221" t="str">
        <f t="shared" si="8"/>
        <v>-</v>
      </c>
    </row>
    <row r="45" spans="1:22" ht="20.100000000000001" customHeight="1" x14ac:dyDescent="0.3">
      <c r="A45" s="145">
        <v>27</v>
      </c>
      <c r="B45" s="254" t="str">
        <f t="shared" si="0"/>
        <v>-</v>
      </c>
      <c r="C45" s="219" t="str">
        <f>IF($C$13+A44*$C$15&lt;$C$14,$A$18,(B45-$C$9)*Adatok!$C$10)</f>
        <v>-</v>
      </c>
      <c r="D45" s="158" t="str">
        <f>IF($C$13+A44*$C$15&lt;$C$14,$A$18,(C45-($C$8/Adatok!$C$11)+($C$11/$C$8^2))*Adatok!$C$11)</f>
        <v>-</v>
      </c>
      <c r="E45" s="158" t="str">
        <f t="shared" si="1"/>
        <v>-</v>
      </c>
      <c r="F45" s="158" t="str">
        <f t="shared" si="2"/>
        <v>-</v>
      </c>
      <c r="G45" s="220" t="str">
        <f t="shared" si="3"/>
        <v>-</v>
      </c>
      <c r="H45" s="253" t="str">
        <f t="shared" si="4"/>
        <v>-</v>
      </c>
      <c r="I45" s="96" t="s">
        <v>47</v>
      </c>
      <c r="L45" s="258" t="str">
        <f>Adatok!F45</f>
        <v>-</v>
      </c>
      <c r="M45" s="259" t="s">
        <v>27</v>
      </c>
      <c r="N45" s="260" t="str">
        <f>Adatok!H45</f>
        <v>-</v>
      </c>
      <c r="O45" s="261" t="str">
        <f>'Szerelési táblázat'!F46</f>
        <v>-</v>
      </c>
      <c r="P45" s="262" t="str">
        <f>IF(Adatok!$C$16+$A45&lt;Adatok!$C$17+1,(((Adatok!$C$14*Adatok!$C$20*Adatok!I45*Adatok!J45)/(8*Adatok!$C$21))+((Adatok!$C$14^3*Adatok!$C$20^3*Adatok!$I45^3*Adatok!$J45)/(384*Adatok!$C$21^3)))*100,$A$18)</f>
        <v>-</v>
      </c>
      <c r="R45" s="226" t="str">
        <f>IF($C$13+A44*$C$15&lt;$C$14,$A$18,(C45+($T$17/Adatok!$C$11)-($C$10/($T$17^2)))*Adatok!$C$11*(-1))</f>
        <v>-</v>
      </c>
      <c r="S45" s="227" t="str">
        <f t="shared" si="5"/>
        <v>-</v>
      </c>
      <c r="T45" s="227" t="str">
        <f t="shared" si="6"/>
        <v>-</v>
      </c>
      <c r="U45" s="228" t="str">
        <f t="shared" si="7"/>
        <v>-</v>
      </c>
      <c r="V45" s="221" t="str">
        <f t="shared" si="8"/>
        <v>-</v>
      </c>
    </row>
    <row r="46" spans="1:22" ht="20.100000000000001" customHeight="1" x14ac:dyDescent="0.3">
      <c r="A46" s="145">
        <v>28</v>
      </c>
      <c r="B46" s="254" t="str">
        <f t="shared" si="0"/>
        <v>-</v>
      </c>
      <c r="C46" s="219" t="str">
        <f>IF($C$13+A45*$C$15&lt;$C$14,$A$18,(B46-$C$9)*Adatok!$C$10)</f>
        <v>-</v>
      </c>
      <c r="D46" s="158" t="str">
        <f>IF($C$13+A45*$C$15&lt;$C$14,$A$18,(C46-($C$8/Adatok!$C$11)+($C$11/$C$8^2))*Adatok!$C$11)</f>
        <v>-</v>
      </c>
      <c r="E46" s="158" t="str">
        <f t="shared" si="1"/>
        <v>-</v>
      </c>
      <c r="F46" s="158" t="str">
        <f t="shared" si="2"/>
        <v>-</v>
      </c>
      <c r="G46" s="220" t="str">
        <f t="shared" si="3"/>
        <v>-</v>
      </c>
      <c r="H46" s="253" t="str">
        <f t="shared" si="4"/>
        <v>-</v>
      </c>
      <c r="I46" s="96" t="s">
        <v>47</v>
      </c>
      <c r="L46" s="258" t="str">
        <f>Adatok!F46</f>
        <v>-</v>
      </c>
      <c r="M46" s="259" t="s">
        <v>27</v>
      </c>
      <c r="N46" s="260" t="str">
        <f>Adatok!H46</f>
        <v>-</v>
      </c>
      <c r="O46" s="261" t="str">
        <f>'Szerelési táblázat'!F47</f>
        <v>-</v>
      </c>
      <c r="P46" s="262" t="str">
        <f>IF(Adatok!$C$16+$A46&lt;Adatok!$C$17+1,(((Adatok!$C$14*Adatok!$C$20*Adatok!I46*Adatok!J46)/(8*Adatok!$C$21))+((Adatok!$C$14^3*Adatok!$C$20^3*Adatok!$I46^3*Adatok!$J46)/(384*Adatok!$C$21^3)))*100,$A$18)</f>
        <v>-</v>
      </c>
      <c r="R46" s="226" t="str">
        <f>IF($C$13+A45*$C$15&lt;$C$14,$A$18,(C46+($T$17/Adatok!$C$11)-($C$10/($T$17^2)))*Adatok!$C$11*(-1))</f>
        <v>-</v>
      </c>
      <c r="S46" s="227" t="str">
        <f t="shared" si="5"/>
        <v>-</v>
      </c>
      <c r="T46" s="227" t="str">
        <f t="shared" si="6"/>
        <v>-</v>
      </c>
      <c r="U46" s="228" t="str">
        <f t="shared" si="7"/>
        <v>-</v>
      </c>
      <c r="V46" s="221" t="str">
        <f t="shared" si="8"/>
        <v>-</v>
      </c>
    </row>
    <row r="47" spans="1:22" ht="20.100000000000001" customHeight="1" x14ac:dyDescent="0.3">
      <c r="A47" s="145">
        <v>29</v>
      </c>
      <c r="B47" s="254" t="str">
        <f t="shared" si="0"/>
        <v>-</v>
      </c>
      <c r="C47" s="219" t="str">
        <f>IF($C$13+A46*$C$15&lt;$C$14,$A$18,(B47-$C$9)*Adatok!$C$10)</f>
        <v>-</v>
      </c>
      <c r="D47" s="158" t="str">
        <f>IF($C$13+A46*$C$15&lt;$C$14,$A$18,(C47-($C$8/Adatok!$C$11)+($C$11/$C$8^2))*Adatok!$C$11)</f>
        <v>-</v>
      </c>
      <c r="E47" s="158" t="str">
        <f t="shared" si="1"/>
        <v>-</v>
      </c>
      <c r="F47" s="158" t="str">
        <f t="shared" si="2"/>
        <v>-</v>
      </c>
      <c r="G47" s="220" t="str">
        <f t="shared" si="3"/>
        <v>-</v>
      </c>
      <c r="H47" s="253" t="str">
        <f t="shared" si="4"/>
        <v>-</v>
      </c>
      <c r="I47" s="96" t="s">
        <v>47</v>
      </c>
      <c r="L47" s="258" t="str">
        <f>Adatok!F47</f>
        <v>-</v>
      </c>
      <c r="M47" s="259" t="s">
        <v>27</v>
      </c>
      <c r="N47" s="260" t="str">
        <f>Adatok!H47</f>
        <v>-</v>
      </c>
      <c r="O47" s="261" t="str">
        <f>'Szerelési táblázat'!F48</f>
        <v>-</v>
      </c>
      <c r="P47" s="262" t="str">
        <f>IF(Adatok!$C$16+$A47&lt;Adatok!$C$17+1,(((Adatok!$C$14*Adatok!$C$20*Adatok!I47*Adatok!J47)/(8*Adatok!$C$21))+((Adatok!$C$14^3*Adatok!$C$20^3*Adatok!$I47^3*Adatok!$J47)/(384*Adatok!$C$21^3)))*100,$A$18)</f>
        <v>-</v>
      </c>
      <c r="R47" s="226" t="str">
        <f>IF($C$13+A46*$C$15&lt;$C$14,$A$18,(C47+($T$17/Adatok!$C$11)-($C$10/($T$17^2)))*Adatok!$C$11*(-1))</f>
        <v>-</v>
      </c>
      <c r="S47" s="227" t="str">
        <f t="shared" si="5"/>
        <v>-</v>
      </c>
      <c r="T47" s="227" t="str">
        <f t="shared" si="6"/>
        <v>-</v>
      </c>
      <c r="U47" s="228" t="str">
        <f t="shared" si="7"/>
        <v>-</v>
      </c>
      <c r="V47" s="221" t="str">
        <f t="shared" si="8"/>
        <v>-</v>
      </c>
    </row>
    <row r="48" spans="1:22" ht="20.100000000000001" customHeight="1" x14ac:dyDescent="0.3">
      <c r="A48" s="145">
        <v>30</v>
      </c>
      <c r="B48" s="254" t="str">
        <f t="shared" si="0"/>
        <v>-</v>
      </c>
      <c r="C48" s="219" t="str">
        <f>IF($C$13+A47*$C$15&lt;$C$14,$A$18,(B48-$C$9)*Adatok!$C$10)</f>
        <v>-</v>
      </c>
      <c r="D48" s="158" t="str">
        <f>IF($C$13+A47*$C$15&lt;$C$14,$A$18,(C48-($C$8/Adatok!$C$11)+($C$11/$C$8^2))*Adatok!$C$11)</f>
        <v>-</v>
      </c>
      <c r="E48" s="158" t="str">
        <f t="shared" si="1"/>
        <v>-</v>
      </c>
      <c r="F48" s="158" t="str">
        <f t="shared" si="2"/>
        <v>-</v>
      </c>
      <c r="G48" s="220" t="str">
        <f t="shared" si="3"/>
        <v>-</v>
      </c>
      <c r="H48" s="253" t="str">
        <f t="shared" si="4"/>
        <v>-</v>
      </c>
      <c r="I48" s="96" t="s">
        <v>47</v>
      </c>
      <c r="L48" s="258" t="str">
        <f>Adatok!F48</f>
        <v>-</v>
      </c>
      <c r="M48" s="259" t="s">
        <v>27</v>
      </c>
      <c r="N48" s="260" t="str">
        <f>Adatok!H48</f>
        <v>-</v>
      </c>
      <c r="O48" s="261" t="str">
        <f>'Szerelési táblázat'!F49</f>
        <v>-</v>
      </c>
      <c r="P48" s="262" t="str">
        <f>IF(Adatok!$C$16+$A48&lt;Adatok!$C$17+1,(((Adatok!$C$14*Adatok!$C$20*Adatok!I48*Adatok!J48)/(8*Adatok!$C$21))+((Adatok!$C$14^3*Adatok!$C$20^3*Adatok!$I48^3*Adatok!$J48)/(384*Adatok!$C$21^3)))*100,$A$18)</f>
        <v>-</v>
      </c>
      <c r="R48" s="226" t="str">
        <f>IF($C$13+A47*$C$15&lt;$C$14,$A$18,(C48+($T$17/Adatok!$C$11)-($C$10/($T$17^2)))*Adatok!$C$11*(-1))</f>
        <v>-</v>
      </c>
      <c r="S48" s="227" t="str">
        <f t="shared" si="5"/>
        <v>-</v>
      </c>
      <c r="T48" s="227" t="str">
        <f t="shared" si="6"/>
        <v>-</v>
      </c>
      <c r="U48" s="228" t="str">
        <f t="shared" si="7"/>
        <v>-</v>
      </c>
      <c r="V48" s="221" t="str">
        <f t="shared" si="8"/>
        <v>-</v>
      </c>
    </row>
    <row r="49" spans="1:22" ht="20.100000000000001" customHeight="1" x14ac:dyDescent="0.3">
      <c r="A49" s="145">
        <v>31</v>
      </c>
      <c r="B49" s="254" t="str">
        <f t="shared" si="0"/>
        <v>-</v>
      </c>
      <c r="C49" s="219" t="str">
        <f>IF($C$13+A48*$C$15&lt;$C$14,$A$18,(B49-$C$9)*Adatok!$C$10)</f>
        <v>-</v>
      </c>
      <c r="D49" s="158" t="str">
        <f>IF($C$13+A48*$C$15&lt;$C$14,$A$18,(C49-($C$8/Adatok!$C$11)+($C$11/$C$8^2))*Adatok!$C$11)</f>
        <v>-</v>
      </c>
      <c r="E49" s="158" t="str">
        <f t="shared" si="1"/>
        <v>-</v>
      </c>
      <c r="F49" s="158" t="str">
        <f t="shared" si="2"/>
        <v>-</v>
      </c>
      <c r="G49" s="220" t="str">
        <f t="shared" si="3"/>
        <v>-</v>
      </c>
      <c r="H49" s="253" t="str">
        <f t="shared" si="4"/>
        <v>-</v>
      </c>
      <c r="I49" s="96" t="s">
        <v>47</v>
      </c>
      <c r="L49" s="258" t="str">
        <f>Adatok!F49</f>
        <v>-</v>
      </c>
      <c r="M49" s="259" t="s">
        <v>27</v>
      </c>
      <c r="N49" s="260" t="str">
        <f>Adatok!H49</f>
        <v>-</v>
      </c>
      <c r="O49" s="261" t="str">
        <f>'Szerelési táblázat'!F50</f>
        <v>-</v>
      </c>
      <c r="P49" s="262" t="str">
        <f>IF(Adatok!$C$16+$A49&lt;Adatok!$C$17+1,(((Adatok!$C$14*Adatok!$C$20*Adatok!I49*Adatok!J49)/(8*Adatok!$C$21))+((Adatok!$C$14^3*Adatok!$C$20^3*Adatok!$I49^3*Adatok!$J49)/(384*Adatok!$C$21^3)))*100,$A$18)</f>
        <v>-</v>
      </c>
      <c r="R49" s="226" t="str">
        <f>IF($C$13+A48*$C$15&lt;$C$14,$A$18,(C49+($T$17/Adatok!$C$11)-($C$10/($T$17^2)))*Adatok!$C$11*(-1))</f>
        <v>-</v>
      </c>
      <c r="S49" s="227" t="str">
        <f t="shared" si="5"/>
        <v>-</v>
      </c>
      <c r="T49" s="227" t="str">
        <f t="shared" si="6"/>
        <v>-</v>
      </c>
      <c r="U49" s="228" t="str">
        <f t="shared" si="7"/>
        <v>-</v>
      </c>
      <c r="V49" s="221" t="str">
        <f t="shared" si="8"/>
        <v>-</v>
      </c>
    </row>
    <row r="50" spans="1:22" ht="20.100000000000001" customHeight="1" x14ac:dyDescent="0.3">
      <c r="A50" s="145">
        <v>32</v>
      </c>
      <c r="B50" s="254" t="str">
        <f t="shared" si="0"/>
        <v>-</v>
      </c>
      <c r="C50" s="219" t="str">
        <f>IF($C$13+A49*$C$15&lt;$C$14,$A$18,(B50-$C$9)*Adatok!$C$10)</f>
        <v>-</v>
      </c>
      <c r="D50" s="158" t="str">
        <f>IF($C$13+A49*$C$15&lt;$C$14,$A$18,(C50-($C$8/Adatok!$C$11)+($C$11/$C$8^2))*Adatok!$C$11)</f>
        <v>-</v>
      </c>
      <c r="E50" s="158" t="str">
        <f t="shared" si="1"/>
        <v>-</v>
      </c>
      <c r="F50" s="158" t="str">
        <f t="shared" si="2"/>
        <v>-</v>
      </c>
      <c r="G50" s="220" t="str">
        <f t="shared" si="3"/>
        <v>-</v>
      </c>
      <c r="H50" s="253" t="str">
        <f t="shared" si="4"/>
        <v>-</v>
      </c>
      <c r="I50" s="96" t="s">
        <v>47</v>
      </c>
      <c r="L50" s="258" t="str">
        <f>Adatok!F50</f>
        <v>-</v>
      </c>
      <c r="M50" s="259" t="s">
        <v>27</v>
      </c>
      <c r="N50" s="260" t="str">
        <f>Adatok!H50</f>
        <v>-</v>
      </c>
      <c r="O50" s="261" t="str">
        <f>'Szerelési táblázat'!F51</f>
        <v>-</v>
      </c>
      <c r="P50" s="262" t="str">
        <f>IF(Adatok!$C$16+$A50&lt;Adatok!$C$17+1,(((Adatok!$C$14*Adatok!$C$20*Adatok!I50*Adatok!J50)/(8*Adatok!$C$21))+((Adatok!$C$14^3*Adatok!$C$20^3*Adatok!$I50^3*Adatok!$J50)/(384*Adatok!$C$21^3)))*100,$A$18)</f>
        <v>-</v>
      </c>
      <c r="R50" s="226" t="str">
        <f>IF($C$13+A49*$C$15&lt;$C$14,$A$18,(C50+($T$17/Adatok!$C$11)-($C$10/($T$17^2)))*Adatok!$C$11*(-1))</f>
        <v>-</v>
      </c>
      <c r="S50" s="227" t="str">
        <f t="shared" si="5"/>
        <v>-</v>
      </c>
      <c r="T50" s="227" t="str">
        <f t="shared" si="6"/>
        <v>-</v>
      </c>
      <c r="U50" s="228" t="str">
        <f t="shared" si="7"/>
        <v>-</v>
      </c>
      <c r="V50" s="221" t="str">
        <f t="shared" si="8"/>
        <v>-</v>
      </c>
    </row>
    <row r="51" spans="1:22" ht="20.100000000000001" customHeight="1" x14ac:dyDescent="0.3">
      <c r="A51" s="145">
        <v>33</v>
      </c>
      <c r="B51" s="254" t="str">
        <f t="shared" si="0"/>
        <v>-</v>
      </c>
      <c r="C51" s="219" t="str">
        <f>IF($C$13+A50*$C$15&lt;$C$14,$A$18,(B51-$C$9)*Adatok!$C$10)</f>
        <v>-</v>
      </c>
      <c r="D51" s="158" t="str">
        <f>IF($C$13+A50*$C$15&lt;$C$14,$A$18,(C51-($C$8/Adatok!$C$11)+($C$11/$C$8^2))*Adatok!$C$11)</f>
        <v>-</v>
      </c>
      <c r="E51" s="158" t="str">
        <f t="shared" si="1"/>
        <v>-</v>
      </c>
      <c r="F51" s="158" t="str">
        <f t="shared" si="2"/>
        <v>-</v>
      </c>
      <c r="G51" s="220" t="str">
        <f t="shared" si="3"/>
        <v>-</v>
      </c>
      <c r="H51" s="253" t="str">
        <f t="shared" si="4"/>
        <v>-</v>
      </c>
      <c r="I51" s="96" t="s">
        <v>47</v>
      </c>
      <c r="L51" s="258" t="str">
        <f>Adatok!F51</f>
        <v>-</v>
      </c>
      <c r="M51" s="259" t="s">
        <v>27</v>
      </c>
      <c r="N51" s="260" t="str">
        <f>Adatok!H51</f>
        <v>-</v>
      </c>
      <c r="O51" s="261" t="str">
        <f>'Szerelési táblázat'!F52</f>
        <v>-</v>
      </c>
      <c r="P51" s="262" t="str">
        <f>IF(Adatok!$C$16+$A51&lt;Adatok!$C$17+1,(((Adatok!$C$14*Adatok!$C$20*Adatok!I51*Adatok!J51)/(8*Adatok!$C$21))+((Adatok!$C$14^3*Adatok!$C$20^3*Adatok!$I51^3*Adatok!$J51)/(384*Adatok!$C$21^3)))*100,$A$18)</f>
        <v>-</v>
      </c>
      <c r="R51" s="226" t="str">
        <f>IF($C$13+A50*$C$15&lt;$C$14,$A$18,(C51+($T$17/Adatok!$C$11)-($C$10/($T$17^2)))*Adatok!$C$11*(-1))</f>
        <v>-</v>
      </c>
      <c r="S51" s="227" t="str">
        <f t="shared" si="5"/>
        <v>-</v>
      </c>
      <c r="T51" s="227" t="str">
        <f t="shared" si="6"/>
        <v>-</v>
      </c>
      <c r="U51" s="228" t="str">
        <f t="shared" si="7"/>
        <v>-</v>
      </c>
      <c r="V51" s="221" t="str">
        <f t="shared" si="8"/>
        <v>-</v>
      </c>
    </row>
    <row r="52" spans="1:22" ht="20.100000000000001" customHeight="1" x14ac:dyDescent="0.3">
      <c r="A52" s="145">
        <v>34</v>
      </c>
      <c r="B52" s="254" t="str">
        <f t="shared" si="0"/>
        <v>-</v>
      </c>
      <c r="C52" s="219" t="str">
        <f>IF($C$13+A51*$C$15&lt;$C$14,$A$18,(B52-$C$9)*Adatok!$C$10)</f>
        <v>-</v>
      </c>
      <c r="D52" s="158" t="str">
        <f>IF($C$13+A51*$C$15&lt;$C$14,$A$18,(C52-($C$8/Adatok!$C$11)+($C$11/$C$8^2))*Adatok!$C$11)</f>
        <v>-</v>
      </c>
      <c r="E52" s="158" t="str">
        <f t="shared" si="1"/>
        <v>-</v>
      </c>
      <c r="F52" s="158" t="str">
        <f t="shared" si="2"/>
        <v>-</v>
      </c>
      <c r="G52" s="220" t="str">
        <f t="shared" si="3"/>
        <v>-</v>
      </c>
      <c r="H52" s="253" t="str">
        <f t="shared" si="4"/>
        <v>-</v>
      </c>
      <c r="I52" s="96" t="s">
        <v>47</v>
      </c>
      <c r="L52" s="258" t="str">
        <f>Adatok!F52</f>
        <v>-</v>
      </c>
      <c r="M52" s="259" t="s">
        <v>27</v>
      </c>
      <c r="N52" s="260" t="str">
        <f>Adatok!H52</f>
        <v>-</v>
      </c>
      <c r="O52" s="261" t="str">
        <f>'Szerelési táblázat'!F53</f>
        <v>-</v>
      </c>
      <c r="P52" s="262" t="str">
        <f>IF(Adatok!$C$16+$A52&lt;Adatok!$C$17+1,(((Adatok!$C$14*Adatok!$C$20*Adatok!I52*Adatok!J52)/(8*Adatok!$C$21))+((Adatok!$C$14^3*Adatok!$C$20^3*Adatok!$I52^3*Adatok!$J52)/(384*Adatok!$C$21^3)))*100,$A$18)</f>
        <v>-</v>
      </c>
      <c r="R52" s="226" t="str">
        <f>IF($C$13+A51*$C$15&lt;$C$14,$A$18,(C52+($T$17/Adatok!$C$11)-($C$10/($T$17^2)))*Adatok!$C$11*(-1))</f>
        <v>-</v>
      </c>
      <c r="S52" s="227" t="str">
        <f t="shared" si="5"/>
        <v>-</v>
      </c>
      <c r="T52" s="227" t="str">
        <f t="shared" si="6"/>
        <v>-</v>
      </c>
      <c r="U52" s="228" t="str">
        <f t="shared" si="7"/>
        <v>-</v>
      </c>
      <c r="V52" s="221" t="str">
        <f t="shared" si="8"/>
        <v>-</v>
      </c>
    </row>
    <row r="53" spans="1:22" ht="20.100000000000001" customHeight="1" x14ac:dyDescent="0.3">
      <c r="A53" s="145">
        <v>35</v>
      </c>
      <c r="B53" s="254" t="str">
        <f t="shared" si="0"/>
        <v>-</v>
      </c>
      <c r="C53" s="219" t="str">
        <f>IF($C$13+A52*$C$15&lt;$C$14,$A$18,(B53-$C$9)*Adatok!$C$10)</f>
        <v>-</v>
      </c>
      <c r="D53" s="158" t="str">
        <f>IF($C$13+A52*$C$15&lt;$C$14,$A$18,(C53-($C$8/Adatok!$C$11)+($C$11/$C$8^2))*Adatok!$C$11)</f>
        <v>-</v>
      </c>
      <c r="E53" s="158" t="str">
        <f t="shared" si="1"/>
        <v>-</v>
      </c>
      <c r="F53" s="158" t="str">
        <f t="shared" si="2"/>
        <v>-</v>
      </c>
      <c r="G53" s="220" t="str">
        <f t="shared" si="3"/>
        <v>-</v>
      </c>
      <c r="H53" s="253" t="str">
        <f t="shared" si="4"/>
        <v>-</v>
      </c>
      <c r="I53" s="96" t="s">
        <v>47</v>
      </c>
      <c r="L53" s="258" t="str">
        <f>Adatok!F53</f>
        <v>-</v>
      </c>
      <c r="M53" s="259" t="s">
        <v>27</v>
      </c>
      <c r="N53" s="260" t="str">
        <f>Adatok!H53</f>
        <v>-</v>
      </c>
      <c r="O53" s="261" t="str">
        <f>'Szerelési táblázat'!F54</f>
        <v>-</v>
      </c>
      <c r="P53" s="262" t="str">
        <f>IF(Adatok!$C$16+$A53&lt;Adatok!$C$17+1,(((Adatok!$C$14*Adatok!$C$20*Adatok!I53*Adatok!J53)/(8*Adatok!$C$21))+((Adatok!$C$14^3*Adatok!$C$20^3*Adatok!$I53^3*Adatok!$J53)/(384*Adatok!$C$21^3)))*100,$A$18)</f>
        <v>-</v>
      </c>
      <c r="R53" s="226" t="str">
        <f>IF($C$13+A52*$C$15&lt;$C$14,$A$18,(C53+($T$17/Adatok!$C$11)-($C$10/($T$17^2)))*Adatok!$C$11*(-1))</f>
        <v>-</v>
      </c>
      <c r="S53" s="227" t="str">
        <f t="shared" si="5"/>
        <v>-</v>
      </c>
      <c r="T53" s="227" t="str">
        <f t="shared" si="6"/>
        <v>-</v>
      </c>
      <c r="U53" s="228" t="str">
        <f t="shared" si="7"/>
        <v>-</v>
      </c>
      <c r="V53" s="221" t="str">
        <f t="shared" si="8"/>
        <v>-</v>
      </c>
    </row>
    <row r="54" spans="1:22" ht="20.100000000000001" customHeight="1" x14ac:dyDescent="0.3">
      <c r="A54" s="145">
        <v>36</v>
      </c>
      <c r="B54" s="254" t="str">
        <f t="shared" si="0"/>
        <v>-</v>
      </c>
      <c r="C54" s="219" t="str">
        <f>IF($C$13+A53*$C$15&lt;$C$14,$A$18,(B54-$C$9)*Adatok!$C$10)</f>
        <v>-</v>
      </c>
      <c r="D54" s="158" t="str">
        <f>IF($C$13+A53*$C$15&lt;$C$14,$A$18,(C54-($C$8/Adatok!$C$11)+($C$11/$C$8^2))*Adatok!$C$11)</f>
        <v>-</v>
      </c>
      <c r="E54" s="158" t="str">
        <f t="shared" si="1"/>
        <v>-</v>
      </c>
      <c r="F54" s="158" t="str">
        <f t="shared" si="2"/>
        <v>-</v>
      </c>
      <c r="G54" s="220" t="str">
        <f t="shared" si="3"/>
        <v>-</v>
      </c>
      <c r="H54" s="253" t="str">
        <f t="shared" si="4"/>
        <v>-</v>
      </c>
      <c r="I54" s="96" t="s">
        <v>47</v>
      </c>
      <c r="L54" s="258" t="str">
        <f>Adatok!F54</f>
        <v>-</v>
      </c>
      <c r="M54" s="259" t="s">
        <v>27</v>
      </c>
      <c r="N54" s="260" t="str">
        <f>Adatok!H54</f>
        <v>-</v>
      </c>
      <c r="O54" s="261" t="str">
        <f>'Szerelési táblázat'!F55</f>
        <v>-</v>
      </c>
      <c r="P54" s="262" t="str">
        <f>IF(Adatok!$C$16+$A54&lt;Adatok!$C$17+1,(((Adatok!$C$14*Adatok!$C$20*Adatok!I54*Adatok!J54)/(8*Adatok!$C$21))+((Adatok!$C$14^3*Adatok!$C$20^3*Adatok!$I54^3*Adatok!$J54)/(384*Adatok!$C$21^3)))*100,$A$18)</f>
        <v>-</v>
      </c>
      <c r="R54" s="226" t="str">
        <f>IF($C$13+A53*$C$15&lt;$C$14,$A$18,(C54+($T$17/Adatok!$C$11)-($C$10/($T$17^2)))*Adatok!$C$11*(-1))</f>
        <v>-</v>
      </c>
      <c r="S54" s="227" t="str">
        <f t="shared" si="5"/>
        <v>-</v>
      </c>
      <c r="T54" s="227" t="str">
        <f t="shared" si="6"/>
        <v>-</v>
      </c>
      <c r="U54" s="228" t="str">
        <f t="shared" si="7"/>
        <v>-</v>
      </c>
      <c r="V54" s="221" t="str">
        <f t="shared" si="8"/>
        <v>-</v>
      </c>
    </row>
    <row r="55" spans="1:22" ht="20.100000000000001" customHeight="1" x14ac:dyDescent="0.3">
      <c r="A55" s="145">
        <v>37</v>
      </c>
      <c r="B55" s="254" t="str">
        <f t="shared" si="0"/>
        <v>-</v>
      </c>
      <c r="C55" s="219" t="str">
        <f>IF($C$13+A54*$C$15&lt;$C$14,$A$18,(B55-$C$9)*Adatok!$C$10)</f>
        <v>-</v>
      </c>
      <c r="D55" s="158" t="str">
        <f>IF($C$13+A54*$C$15&lt;$C$14,$A$18,(C55-($C$8/Adatok!$C$11)+($C$11/$C$8^2))*Adatok!$C$11)</f>
        <v>-</v>
      </c>
      <c r="E55" s="158" t="str">
        <f t="shared" si="1"/>
        <v>-</v>
      </c>
      <c r="F55" s="158" t="str">
        <f t="shared" si="2"/>
        <v>-</v>
      </c>
      <c r="G55" s="220" t="str">
        <f t="shared" si="3"/>
        <v>-</v>
      </c>
      <c r="H55" s="253" t="str">
        <f t="shared" si="4"/>
        <v>-</v>
      </c>
      <c r="I55" s="96" t="s">
        <v>47</v>
      </c>
      <c r="L55" s="258" t="str">
        <f>Adatok!F55</f>
        <v>-</v>
      </c>
      <c r="M55" s="259" t="s">
        <v>27</v>
      </c>
      <c r="N55" s="260" t="str">
        <f>Adatok!H55</f>
        <v>-</v>
      </c>
      <c r="O55" s="261" t="str">
        <f>'Szerelési táblázat'!F56</f>
        <v>-</v>
      </c>
      <c r="P55" s="262" t="str">
        <f>IF(Adatok!$C$16+$A55&lt;Adatok!$C$17+1,(((Adatok!$C$14*Adatok!$C$20*Adatok!I55*Adatok!J55)/(8*Adatok!$C$21))+((Adatok!$C$14^3*Adatok!$C$20^3*Adatok!$I55^3*Adatok!$J55)/(384*Adatok!$C$21^3)))*100,$A$18)</f>
        <v>-</v>
      </c>
      <c r="R55" s="226" t="str">
        <f>IF($C$13+A54*$C$15&lt;$C$14,$A$18,(C55+($T$17/Adatok!$C$11)-($C$10/($T$17^2)))*Adatok!$C$11*(-1))</f>
        <v>-</v>
      </c>
      <c r="S55" s="227" t="str">
        <f t="shared" si="5"/>
        <v>-</v>
      </c>
      <c r="T55" s="227" t="str">
        <f t="shared" si="6"/>
        <v>-</v>
      </c>
      <c r="U55" s="228" t="str">
        <f t="shared" si="7"/>
        <v>-</v>
      </c>
      <c r="V55" s="221" t="str">
        <f t="shared" si="8"/>
        <v>-</v>
      </c>
    </row>
    <row r="56" spans="1:22" ht="20.100000000000001" customHeight="1" x14ac:dyDescent="0.3">
      <c r="A56" s="145">
        <v>38</v>
      </c>
      <c r="B56" s="254" t="str">
        <f t="shared" si="0"/>
        <v>-</v>
      </c>
      <c r="C56" s="219" t="str">
        <f>IF($C$13+A55*$C$15&lt;$C$14,$A$18,(B56-$C$9)*Adatok!$C$10)</f>
        <v>-</v>
      </c>
      <c r="D56" s="158" t="str">
        <f>IF($C$13+A55*$C$15&lt;$C$14,$A$18,(C56-($C$8/Adatok!$C$11)+($C$11/$C$8^2))*Adatok!$C$11)</f>
        <v>-</v>
      </c>
      <c r="E56" s="158" t="str">
        <f t="shared" si="1"/>
        <v>-</v>
      </c>
      <c r="F56" s="158" t="str">
        <f t="shared" si="2"/>
        <v>-</v>
      </c>
      <c r="G56" s="220" t="str">
        <f t="shared" si="3"/>
        <v>-</v>
      </c>
      <c r="H56" s="253" t="str">
        <f t="shared" si="4"/>
        <v>-</v>
      </c>
      <c r="I56" s="96" t="s">
        <v>47</v>
      </c>
      <c r="L56" s="258" t="str">
        <f>Adatok!F56</f>
        <v>-</v>
      </c>
      <c r="M56" s="259" t="s">
        <v>27</v>
      </c>
      <c r="N56" s="260" t="str">
        <f>Adatok!H56</f>
        <v>-</v>
      </c>
      <c r="O56" s="261" t="str">
        <f>'Szerelési táblázat'!F57</f>
        <v>-</v>
      </c>
      <c r="P56" s="262" t="str">
        <f>IF(Adatok!$C$16+$A56&lt;Adatok!$C$17+1,(((Adatok!$C$14*Adatok!$C$20*Adatok!I56*Adatok!J56)/(8*Adatok!$C$21))+((Adatok!$C$14^3*Adatok!$C$20^3*Adatok!$I56^3*Adatok!$J56)/(384*Adatok!$C$21^3)))*100,$A$18)</f>
        <v>-</v>
      </c>
      <c r="R56" s="226" t="str">
        <f>IF($C$13+A55*$C$15&lt;$C$14,$A$18,(C56+($T$17/Adatok!$C$11)-($C$10/($T$17^2)))*Adatok!$C$11*(-1))</f>
        <v>-</v>
      </c>
      <c r="S56" s="227" t="str">
        <f t="shared" si="5"/>
        <v>-</v>
      </c>
      <c r="T56" s="227" t="str">
        <f t="shared" si="6"/>
        <v>-</v>
      </c>
      <c r="U56" s="228" t="str">
        <f t="shared" si="7"/>
        <v>-</v>
      </c>
      <c r="V56" s="221" t="str">
        <f t="shared" si="8"/>
        <v>-</v>
      </c>
    </row>
    <row r="57" spans="1:22" ht="20.100000000000001" customHeight="1" x14ac:dyDescent="0.3">
      <c r="A57" s="145">
        <v>39</v>
      </c>
      <c r="B57" s="254" t="str">
        <f t="shared" si="0"/>
        <v>-</v>
      </c>
      <c r="C57" s="219" t="str">
        <f>IF($C$13+A56*$C$15&lt;$C$14,$A$18,(B57-$C$9)*Adatok!$C$10)</f>
        <v>-</v>
      </c>
      <c r="D57" s="158" t="str">
        <f>IF($C$13+A56*$C$15&lt;$C$14,$A$18,(C57-($C$8/Adatok!$C$11)+($C$11/$C$8^2))*Adatok!$C$11)</f>
        <v>-</v>
      </c>
      <c r="E57" s="158" t="str">
        <f t="shared" si="1"/>
        <v>-</v>
      </c>
      <c r="F57" s="158" t="str">
        <f t="shared" si="2"/>
        <v>-</v>
      </c>
      <c r="G57" s="220" t="str">
        <f t="shared" si="3"/>
        <v>-</v>
      </c>
      <c r="H57" s="253" t="str">
        <f t="shared" si="4"/>
        <v>-</v>
      </c>
      <c r="I57" s="96" t="s">
        <v>47</v>
      </c>
      <c r="L57" s="258" t="str">
        <f>Adatok!F57</f>
        <v>-</v>
      </c>
      <c r="M57" s="259" t="s">
        <v>27</v>
      </c>
      <c r="N57" s="260" t="str">
        <f>Adatok!H57</f>
        <v>-</v>
      </c>
      <c r="O57" s="261" t="str">
        <f>'Szerelési táblázat'!F58</f>
        <v>-</v>
      </c>
      <c r="P57" s="262" t="str">
        <f>IF(Adatok!$C$16+$A57&lt;Adatok!$C$17+1,(((Adatok!$C$14*Adatok!$C$20*Adatok!I57*Adatok!J57)/(8*Adatok!$C$21))+((Adatok!$C$14^3*Adatok!$C$20^3*Adatok!$I57^3*Adatok!$J57)/(384*Adatok!$C$21^3)))*100,$A$18)</f>
        <v>-</v>
      </c>
      <c r="R57" s="226" t="str">
        <f>IF($C$13+A56*$C$15&lt;$C$14,$A$18,(C57+($T$17/Adatok!$C$11)-($C$10/($T$17^2)))*Adatok!$C$11*(-1))</f>
        <v>-</v>
      </c>
      <c r="S57" s="227" t="str">
        <f t="shared" si="5"/>
        <v>-</v>
      </c>
      <c r="T57" s="227" t="str">
        <f t="shared" si="6"/>
        <v>-</v>
      </c>
      <c r="U57" s="228" t="str">
        <f t="shared" si="7"/>
        <v>-</v>
      </c>
      <c r="V57" s="221" t="str">
        <f t="shared" si="8"/>
        <v>-</v>
      </c>
    </row>
    <row r="58" spans="1:22" ht="20.100000000000001" customHeight="1" thickBot="1" x14ac:dyDescent="0.35">
      <c r="A58" s="145">
        <v>40</v>
      </c>
      <c r="B58" s="254" t="str">
        <f t="shared" si="0"/>
        <v>-</v>
      </c>
      <c r="C58" s="219" t="str">
        <f>IF($C$13+A57*$C$15&lt;$C$14,$A$18,(B58-$C$9)*Adatok!$C$10)</f>
        <v>-</v>
      </c>
      <c r="D58" s="158" t="str">
        <f>IF($C$13+A57*$C$15&lt;$C$14,$A$18,(C58-($C$8/Adatok!$C$11)+($C$11/$C$8^2))*Adatok!$C$11)</f>
        <v>-</v>
      </c>
      <c r="E58" s="158" t="str">
        <f t="shared" si="1"/>
        <v>-</v>
      </c>
      <c r="F58" s="158" t="str">
        <f t="shared" si="2"/>
        <v>-</v>
      </c>
      <c r="G58" s="220" t="str">
        <f t="shared" si="3"/>
        <v>-</v>
      </c>
      <c r="H58" s="253" t="str">
        <f t="shared" si="4"/>
        <v>-</v>
      </c>
      <c r="I58" s="96" t="s">
        <v>47</v>
      </c>
      <c r="L58" s="263" t="str">
        <f>Adatok!F58</f>
        <v>-</v>
      </c>
      <c r="M58" s="264" t="s">
        <v>27</v>
      </c>
      <c r="N58" s="265" t="str">
        <f>Adatok!H58</f>
        <v>-</v>
      </c>
      <c r="O58" s="266" t="str">
        <f>'Szerelési táblázat'!F59</f>
        <v>-</v>
      </c>
      <c r="P58" s="300" t="str">
        <f>IF(Adatok!$C$16+$A58&lt;Adatok!$C$17+1,(((Adatok!$C$14*Adatok!$C$20*Adatok!I58*Adatok!J58)/(8*Adatok!$C$21))+((Adatok!$C$14^3*Adatok!$C$20^3*Adatok!$I58^3*Adatok!$J58)/(384*Adatok!$C$21^3)))*100,$A$18)</f>
        <v>-</v>
      </c>
      <c r="R58" s="226" t="str">
        <f>IF($C$13+A57*$C$15&lt;$C$14,$A$18,(C58+($T$17/Adatok!$C$11)-($C$10/($T$17^2)))*Adatok!$C$11*(-1))</f>
        <v>-</v>
      </c>
      <c r="S58" s="227" t="str">
        <f t="shared" si="5"/>
        <v>-</v>
      </c>
      <c r="T58" s="227" t="str">
        <f t="shared" si="6"/>
        <v>-</v>
      </c>
      <c r="U58" s="228" t="str">
        <f t="shared" si="7"/>
        <v>-</v>
      </c>
      <c r="V58" s="221" t="str">
        <f t="shared" si="8"/>
        <v>-</v>
      </c>
    </row>
    <row r="59" spans="1:22" ht="20.100000000000001" customHeight="1" x14ac:dyDescent="0.3">
      <c r="A59" s="145">
        <v>41</v>
      </c>
      <c r="B59" s="254" t="str">
        <f t="shared" si="0"/>
        <v>-</v>
      </c>
      <c r="C59" s="219" t="str">
        <f>IF($C$13+A58*$C$15&lt;$C$14,$A$18,(B59-$C$9)*Adatok!$C$10)</f>
        <v>-</v>
      </c>
      <c r="D59" s="158" t="str">
        <f>IF($C$13+A58*$C$15&lt;$C$14,$A$18,(C59-($C$8/Adatok!$C$11)+($C$11/$C$8^2))*Adatok!$C$11)</f>
        <v>-</v>
      </c>
      <c r="E59" s="158" t="str">
        <f t="shared" si="1"/>
        <v>-</v>
      </c>
      <c r="F59" s="158" t="str">
        <f t="shared" si="2"/>
        <v>-</v>
      </c>
      <c r="G59" s="220" t="str">
        <f t="shared" si="3"/>
        <v>-</v>
      </c>
      <c r="H59" s="253" t="str">
        <f t="shared" si="4"/>
        <v>-</v>
      </c>
      <c r="I59" s="96" t="s">
        <v>47</v>
      </c>
      <c r="R59" s="226" t="str">
        <f>IF($C$13+A58*$C$15&lt;$C$14,$A$18,(C59+($T$17/Adatok!$C$11)-($C$10/($T$17^2)))*Adatok!$C$11*(-1))</f>
        <v>-</v>
      </c>
      <c r="S59" s="227" t="str">
        <f t="shared" si="5"/>
        <v>-</v>
      </c>
      <c r="T59" s="227" t="str">
        <f t="shared" si="6"/>
        <v>-</v>
      </c>
      <c r="U59" s="228" t="str">
        <f t="shared" si="7"/>
        <v>-</v>
      </c>
      <c r="V59" s="221" t="str">
        <f t="shared" si="8"/>
        <v>-</v>
      </c>
    </row>
    <row r="60" spans="1:22" ht="20.100000000000001" customHeight="1" x14ac:dyDescent="0.3">
      <c r="A60" s="145">
        <v>42</v>
      </c>
      <c r="B60" s="254" t="str">
        <f t="shared" si="0"/>
        <v>-</v>
      </c>
      <c r="C60" s="219" t="str">
        <f>IF($C$13+A59*$C$15&lt;$C$14,$A$18,(B60-$C$9)*Adatok!$C$10)</f>
        <v>-</v>
      </c>
      <c r="D60" s="158" t="str">
        <f>IF($C$13+A59*$C$15&lt;$C$14,$A$18,(C60-($C$8/Adatok!$C$11)+($C$11/$C$8^2))*Adatok!$C$11)</f>
        <v>-</v>
      </c>
      <c r="E60" s="158" t="str">
        <f t="shared" si="1"/>
        <v>-</v>
      </c>
      <c r="F60" s="158" t="str">
        <f t="shared" si="2"/>
        <v>-</v>
      </c>
      <c r="G60" s="220" t="str">
        <f t="shared" si="3"/>
        <v>-</v>
      </c>
      <c r="H60" s="253" t="str">
        <f t="shared" si="4"/>
        <v>-</v>
      </c>
      <c r="I60" s="96" t="s">
        <v>47</v>
      </c>
      <c r="R60" s="226" t="str">
        <f>IF($C$13+A59*$C$15&lt;$C$14,$A$18,(C60+($T$17/Adatok!$C$11)-($C$10/($T$17^2)))*Adatok!$C$11*(-1))</f>
        <v>-</v>
      </c>
      <c r="S60" s="227" t="str">
        <f t="shared" si="5"/>
        <v>-</v>
      </c>
      <c r="T60" s="227" t="str">
        <f t="shared" si="6"/>
        <v>-</v>
      </c>
      <c r="U60" s="228" t="str">
        <f t="shared" si="7"/>
        <v>-</v>
      </c>
      <c r="V60" s="221" t="str">
        <f t="shared" si="8"/>
        <v>-</v>
      </c>
    </row>
    <row r="61" spans="1:22" ht="20.100000000000001" customHeight="1" x14ac:dyDescent="0.3">
      <c r="A61" s="145">
        <v>43</v>
      </c>
      <c r="B61" s="254" t="str">
        <f t="shared" si="0"/>
        <v>-</v>
      </c>
      <c r="C61" s="219" t="str">
        <f>IF($C$13+A60*$C$15&lt;$C$14,$A$18,(B61-$C$9)*Adatok!$C$10)</f>
        <v>-</v>
      </c>
      <c r="D61" s="158" t="str">
        <f>IF($C$13+A60*$C$15&lt;$C$14,$A$18,(C61-($C$8/Adatok!$C$11)+($C$11/$C$8^2))*Adatok!$C$11)</f>
        <v>-</v>
      </c>
      <c r="E61" s="158" t="str">
        <f t="shared" si="1"/>
        <v>-</v>
      </c>
      <c r="F61" s="158" t="str">
        <f t="shared" si="2"/>
        <v>-</v>
      </c>
      <c r="G61" s="220" t="str">
        <f t="shared" si="3"/>
        <v>-</v>
      </c>
      <c r="H61" s="253" t="str">
        <f t="shared" si="4"/>
        <v>-</v>
      </c>
      <c r="I61" s="96" t="s">
        <v>47</v>
      </c>
      <c r="R61" s="226" t="str">
        <f>IF($C$13+A60*$C$15&lt;$C$14,$A$18,(C61+($T$17/Adatok!$C$11)-($C$10/($T$17^2)))*Adatok!$C$11*(-1))</f>
        <v>-</v>
      </c>
      <c r="S61" s="227" t="str">
        <f t="shared" si="5"/>
        <v>-</v>
      </c>
      <c r="T61" s="227" t="str">
        <f t="shared" si="6"/>
        <v>-</v>
      </c>
      <c r="U61" s="228" t="str">
        <f t="shared" si="7"/>
        <v>-</v>
      </c>
      <c r="V61" s="221" t="str">
        <f t="shared" si="8"/>
        <v>-</v>
      </c>
    </row>
    <row r="62" spans="1:22" ht="20.100000000000001" customHeight="1" x14ac:dyDescent="0.3">
      <c r="A62" s="145">
        <v>44</v>
      </c>
      <c r="B62" s="254" t="str">
        <f t="shared" si="0"/>
        <v>-</v>
      </c>
      <c r="C62" s="219" t="str">
        <f>IF($C$13+A61*$C$15&lt;$C$14,$A$18,(B62-$C$9)*Adatok!$C$10)</f>
        <v>-</v>
      </c>
      <c r="D62" s="158" t="str">
        <f>IF($C$13+A61*$C$15&lt;$C$14,$A$18,(C62-($C$8/Adatok!$C$11)+($C$11/$C$8^2))*Adatok!$C$11)</f>
        <v>-</v>
      </c>
      <c r="E62" s="158" t="str">
        <f t="shared" si="1"/>
        <v>-</v>
      </c>
      <c r="F62" s="158" t="str">
        <f t="shared" si="2"/>
        <v>-</v>
      </c>
      <c r="G62" s="220" t="str">
        <f t="shared" si="3"/>
        <v>-</v>
      </c>
      <c r="H62" s="253" t="str">
        <f t="shared" si="4"/>
        <v>-</v>
      </c>
      <c r="I62" s="96" t="s">
        <v>47</v>
      </c>
      <c r="R62" s="226" t="str">
        <f>IF($C$13+A61*$C$15&lt;$C$14,$A$18,(C62+($T$17/Adatok!$C$11)-($C$10/($T$17^2)))*Adatok!$C$11*(-1))</f>
        <v>-</v>
      </c>
      <c r="S62" s="227" t="str">
        <f t="shared" si="5"/>
        <v>-</v>
      </c>
      <c r="T62" s="227" t="str">
        <f t="shared" si="6"/>
        <v>-</v>
      </c>
      <c r="U62" s="228" t="str">
        <f t="shared" si="7"/>
        <v>-</v>
      </c>
      <c r="V62" s="221" t="str">
        <f t="shared" si="8"/>
        <v>-</v>
      </c>
    </row>
    <row r="63" spans="1:22" ht="20.100000000000001" customHeight="1" thickBot="1" x14ac:dyDescent="0.35">
      <c r="A63" s="145">
        <v>45</v>
      </c>
      <c r="B63" s="255" t="str">
        <f t="shared" si="0"/>
        <v>-</v>
      </c>
      <c r="C63" s="230" t="str">
        <f>IF($C$13+A62*$C$15&lt;$C$14,$A$18,(B63-$C$9)*Adatok!$C$10)</f>
        <v>-</v>
      </c>
      <c r="D63" s="185" t="str">
        <f>IF($C$13+A62*$C$15&lt;$C$14,$A$18,(C63-($C$8/Adatok!$C$11)+($C$11/$C$8^2))*Adatok!$C$11)</f>
        <v>-</v>
      </c>
      <c r="E63" s="185" t="str">
        <f t="shared" si="1"/>
        <v>-</v>
      </c>
      <c r="F63" s="185" t="str">
        <f t="shared" si="2"/>
        <v>-</v>
      </c>
      <c r="G63" s="231" t="str">
        <f t="shared" si="3"/>
        <v>-</v>
      </c>
      <c r="H63" s="257" t="str">
        <f t="shared" si="4"/>
        <v>-</v>
      </c>
      <c r="I63" s="104" t="s">
        <v>47</v>
      </c>
      <c r="R63" s="232" t="str">
        <f>IF($C$13+A62*$C$15&lt;$C$14,$A$18,(C63+($T$17/Adatok!$C$11)-($C$10/($T$17^2)))*Adatok!$C$11*(-1))</f>
        <v>-</v>
      </c>
      <c r="S63" s="233" t="str">
        <f t="shared" si="5"/>
        <v>-</v>
      </c>
      <c r="T63" s="233" t="str">
        <f t="shared" si="6"/>
        <v>-</v>
      </c>
      <c r="U63" s="234" t="str">
        <f t="shared" si="7"/>
        <v>-</v>
      </c>
      <c r="V63" s="229" t="str">
        <f t="shared" si="8"/>
        <v>-</v>
      </c>
    </row>
    <row r="64" spans="1:22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</sheetData>
  <sheetProtection sheet="1" objects="1" scenarios="1"/>
  <mergeCells count="12">
    <mergeCell ref="V16:W16"/>
    <mergeCell ref="V18:W18"/>
    <mergeCell ref="W19:W20"/>
    <mergeCell ref="X19:X20"/>
    <mergeCell ref="R2:T2"/>
    <mergeCell ref="R16:U16"/>
    <mergeCell ref="H18:I18"/>
    <mergeCell ref="B2:D2"/>
    <mergeCell ref="F2:H2"/>
    <mergeCell ref="J2:P2"/>
    <mergeCell ref="B7:D7"/>
    <mergeCell ref="L17:O1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="90" zoomScaleNormal="90" workbookViewId="0">
      <selection activeCell="F12" sqref="F12"/>
    </sheetView>
  </sheetViews>
  <sheetFormatPr defaultColWidth="9.109375" defaultRowHeight="13.8" x14ac:dyDescent="0.25"/>
  <cols>
    <col min="1" max="1" width="3.6640625" style="145" customWidth="1"/>
    <col min="2" max="2" width="5.6640625" style="145" hidden="1" customWidth="1"/>
    <col min="3" max="3" width="7.6640625" style="145" customWidth="1"/>
    <col min="4" max="4" width="3.6640625" style="145" customWidth="1"/>
    <col min="5" max="5" width="7.6640625" style="145" customWidth="1"/>
    <col min="6" max="6" width="9.109375" style="145"/>
    <col min="7" max="7" width="3.6640625" style="145" customWidth="1"/>
    <col min="8" max="8" width="13.6640625" style="145" customWidth="1"/>
    <col min="9" max="9" width="14.33203125" style="145" customWidth="1"/>
    <col min="10" max="10" width="15.6640625" style="145" customWidth="1"/>
    <col min="11" max="16384" width="9.109375" style="145"/>
  </cols>
  <sheetData>
    <row r="1" spans="1:10" ht="14.4" thickBot="1" x14ac:dyDescent="0.3"/>
    <row r="2" spans="1:10" ht="40.200000000000003" customHeight="1" thickBot="1" x14ac:dyDescent="0.3">
      <c r="C2" s="411" t="s">
        <v>69</v>
      </c>
      <c r="D2" s="412"/>
      <c r="E2" s="412"/>
      <c r="F2" s="412"/>
      <c r="G2" s="412"/>
      <c r="H2" s="412"/>
      <c r="I2" s="413"/>
    </row>
    <row r="3" spans="1:10" x14ac:dyDescent="0.25">
      <c r="C3" s="152"/>
      <c r="D3" s="153"/>
      <c r="E3" s="153"/>
      <c r="F3" s="153"/>
      <c r="G3" s="153"/>
      <c r="H3" s="153"/>
      <c r="I3" s="157"/>
    </row>
    <row r="4" spans="1:10" ht="40.200000000000003" customHeight="1" x14ac:dyDescent="0.25">
      <c r="C4" s="270" t="s">
        <v>57</v>
      </c>
      <c r="D4" s="271"/>
      <c r="E4" s="271"/>
      <c r="F4" s="417">
        <f>Adatok!B4</f>
        <v>0</v>
      </c>
      <c r="G4" s="417"/>
      <c r="H4" s="417"/>
      <c r="I4" s="418"/>
    </row>
    <row r="5" spans="1:10" ht="20.100000000000001" customHeight="1" thickBot="1" x14ac:dyDescent="0.35">
      <c r="C5" s="272" t="s">
        <v>58</v>
      </c>
      <c r="D5" s="271"/>
      <c r="E5" s="271"/>
      <c r="F5" s="273" t="str">
        <f>Adatok!C6</f>
        <v>250/40 ACSR</v>
      </c>
      <c r="G5" s="271"/>
      <c r="H5" s="271"/>
      <c r="I5" s="157"/>
    </row>
    <row r="6" spans="1:10" ht="20.100000000000001" customHeight="1" thickBot="1" x14ac:dyDescent="0.35">
      <c r="C6" s="272" t="s">
        <v>70</v>
      </c>
      <c r="D6" s="271"/>
      <c r="E6" s="271"/>
      <c r="F6" s="278">
        <v>25</v>
      </c>
      <c r="G6" s="273" t="s">
        <v>16</v>
      </c>
      <c r="H6" s="271"/>
      <c r="I6" s="157"/>
    </row>
    <row r="7" spans="1:10" ht="20.100000000000001" customHeight="1" thickBot="1" x14ac:dyDescent="0.35">
      <c r="C7" s="272" t="s">
        <v>71</v>
      </c>
      <c r="D7" s="271"/>
      <c r="E7" s="271"/>
      <c r="F7" s="274">
        <f>Adatok!C16</f>
        <v>15</v>
      </c>
      <c r="G7" s="275" t="s">
        <v>27</v>
      </c>
      <c r="H7" s="276">
        <f>Adatok!C17</f>
        <v>23</v>
      </c>
      <c r="I7" s="157"/>
    </row>
    <row r="8" spans="1:10" s="218" customFormat="1" ht="30" customHeight="1" thickBot="1" x14ac:dyDescent="0.35">
      <c r="C8" s="414" t="s">
        <v>73</v>
      </c>
      <c r="D8" s="415"/>
      <c r="E8" s="415"/>
      <c r="F8" s="416"/>
      <c r="G8" s="286"/>
      <c r="H8" s="287">
        <f>SUM(I12:I51)</f>
        <v>2012.2643890707263</v>
      </c>
      <c r="I8" s="288" t="s">
        <v>22</v>
      </c>
    </row>
    <row r="9" spans="1:10" ht="14.4" thickBot="1" x14ac:dyDescent="0.3"/>
    <row r="10" spans="1:10" ht="20.100000000000001" customHeight="1" x14ac:dyDescent="0.3">
      <c r="C10" s="406" t="s">
        <v>23</v>
      </c>
      <c r="D10" s="407"/>
      <c r="E10" s="407"/>
      <c r="F10" s="408"/>
      <c r="G10" s="279"/>
      <c r="H10" s="280" t="s">
        <v>72</v>
      </c>
      <c r="I10" s="281" t="s">
        <v>69</v>
      </c>
      <c r="J10" s="277"/>
    </row>
    <row r="11" spans="1:10" ht="20.100000000000001" customHeight="1" thickBot="1" x14ac:dyDescent="0.35">
      <c r="A11" s="157"/>
      <c r="B11" s="145" t="s">
        <v>27</v>
      </c>
      <c r="C11" s="409" t="s">
        <v>24</v>
      </c>
      <c r="D11" s="409"/>
      <c r="E11" s="410"/>
      <c r="F11" s="282" t="s">
        <v>26</v>
      </c>
      <c r="G11" s="283"/>
      <c r="H11" s="284" t="s">
        <v>26</v>
      </c>
      <c r="I11" s="285" t="s">
        <v>26</v>
      </c>
    </row>
    <row r="12" spans="1:10" ht="20.100000000000001" customHeight="1" thickTop="1" x14ac:dyDescent="0.25">
      <c r="A12" s="157"/>
      <c r="B12" s="145">
        <v>1</v>
      </c>
      <c r="C12" s="289">
        <f>'Szerelési táblázat'!C20</f>
        <v>15</v>
      </c>
      <c r="D12" s="121" t="s">
        <v>27</v>
      </c>
      <c r="E12" s="290">
        <f>'Szerelési táblázat'!E20</f>
        <v>16</v>
      </c>
      <c r="F12" s="291">
        <f>'Szerelési táblázat'!F20</f>
        <v>224.28</v>
      </c>
      <c r="G12" s="118"/>
      <c r="H12" s="261">
        <f>(HLOOKUP($F$6,'Szerelési táblázat'!$I$19:$BA$59,B12+1,FALSE))/100</f>
        <v>64.67636223447839</v>
      </c>
      <c r="I12" s="292">
        <f>(F12+((8/3)*(H12^2/F12))+((32/15)*(H12^4/F12^3)))*'Szerelési táblázat'!H20</f>
        <v>277.7758977229563</v>
      </c>
    </row>
    <row r="13" spans="1:10" ht="20.100000000000001" customHeight="1" x14ac:dyDescent="0.25">
      <c r="A13" s="157"/>
      <c r="B13" s="145">
        <v>2</v>
      </c>
      <c r="C13" s="289">
        <f>'Szerelési táblázat'!C21</f>
        <v>16</v>
      </c>
      <c r="D13" s="121" t="s">
        <v>27</v>
      </c>
      <c r="E13" s="290">
        <f>'Szerelési táblázat'!E21</f>
        <v>17</v>
      </c>
      <c r="F13" s="291">
        <f>'Szerelési táblázat'!F21</f>
        <v>213.32</v>
      </c>
      <c r="G13" s="118"/>
      <c r="H13" s="261">
        <f>IF(Adatok!$C$16+B13&gt;Adatok!$C$17,$B$11,(HLOOKUP($F$6,'Szerelési táblázat'!$I$19:$BA$59,B13+1,FALSE))/100)</f>
        <v>57.942656503242027</v>
      </c>
      <c r="I13" s="292">
        <f>IF(Adatok!$C$16+B13&gt;Adatok!$C$17,$B$11,(F13+((8/3)*(H13^2/F13))+((32/15)*(H13^4/F13^3)))*'Szerelési táblázat'!H21)</f>
        <v>257.76669635107174</v>
      </c>
    </row>
    <row r="14" spans="1:10" ht="20.100000000000001" customHeight="1" x14ac:dyDescent="0.25">
      <c r="A14" s="157"/>
      <c r="B14" s="145">
        <v>3</v>
      </c>
      <c r="C14" s="289">
        <f>'Szerelési táblázat'!C22</f>
        <v>17</v>
      </c>
      <c r="D14" s="121" t="s">
        <v>27</v>
      </c>
      <c r="E14" s="290">
        <f>'Szerelési táblázat'!E22</f>
        <v>18</v>
      </c>
      <c r="F14" s="291">
        <f>'Szerelési táblázat'!F22</f>
        <v>214.95</v>
      </c>
      <c r="G14" s="118"/>
      <c r="H14" s="261">
        <f>IF(Adatok!$C$16+B14&gt;Adatok!$C$17,$B$11,(HLOOKUP($F$6,'Szerelési táblázat'!$I$19:$BA$59,B14+1,FALSE))/100)</f>
        <v>58.901279078412742</v>
      </c>
      <c r="I14" s="292">
        <f>IF(Adatok!$C$16+B14&gt;Adatok!$C$17,$B$11,(F14+((8/3)*(H14^2/F14))+((32/15)*(H14^4/F14^3)))*'Szerelési táblázat'!H22)</f>
        <v>260.57634396025924</v>
      </c>
    </row>
    <row r="15" spans="1:10" ht="20.100000000000001" customHeight="1" x14ac:dyDescent="0.25">
      <c r="A15" s="157"/>
      <c r="B15" s="145">
        <v>4</v>
      </c>
      <c r="C15" s="289">
        <f>'Szerelési táblázat'!C23</f>
        <v>18</v>
      </c>
      <c r="D15" s="121" t="s">
        <v>27</v>
      </c>
      <c r="E15" s="290">
        <f>'Szerelési táblázat'!E23</f>
        <v>19</v>
      </c>
      <c r="F15" s="291">
        <f>'Szerelési táblázat'!F23</f>
        <v>193.4</v>
      </c>
      <c r="G15" s="118"/>
      <c r="H15" s="261">
        <f>IF(Adatok!$C$16+B15&gt;Adatok!$C$17,$B$11,(HLOOKUP($F$6,'Szerelési táblázat'!$I$19:$BA$59,B15+1,FALSE))/100)</f>
        <v>46.971134466625664</v>
      </c>
      <c r="I15" s="292">
        <f>IF(Adatok!$C$16+B15&gt;Adatok!$C$17,$B$11,(F15+((8/3)*(H15^2/F15))+((32/15)*(H15^4/F15^3)))*'Szerelési táblázat'!H23)</f>
        <v>225.25659541528302</v>
      </c>
    </row>
    <row r="16" spans="1:10" ht="20.100000000000001" customHeight="1" x14ac:dyDescent="0.25">
      <c r="A16" s="157"/>
      <c r="B16" s="145">
        <v>5</v>
      </c>
      <c r="C16" s="289">
        <f>'Szerelési táblázat'!C24</f>
        <v>19</v>
      </c>
      <c r="D16" s="121" t="s">
        <v>27</v>
      </c>
      <c r="E16" s="290">
        <f>'Szerelési táblázat'!E24</f>
        <v>20</v>
      </c>
      <c r="F16" s="291">
        <f>'Szerelési táblázat'!F24</f>
        <v>201.79</v>
      </c>
      <c r="G16" s="118"/>
      <c r="H16" s="261">
        <f>IF(Adatok!$C$16+B16&gt;Adatok!$C$17,$B$11,(HLOOKUP($F$6,'Szerelési táblázat'!$I$19:$BA$59,B16+1,FALSE))/100)</f>
        <v>51.426854324768435</v>
      </c>
      <c r="I16" s="292">
        <f>IF(Adatok!$C$16+B16&gt;Adatok!$C$17,$B$11,(F16+((8/3)*(H16^2/F16))+((32/15)*(H16^4/F16^3)))*'Szerelési táblázat'!H24)</f>
        <v>238.55616332566029</v>
      </c>
    </row>
    <row r="17" spans="1:9" ht="20.100000000000001" customHeight="1" x14ac:dyDescent="0.25">
      <c r="A17" s="157"/>
      <c r="B17" s="145">
        <v>6</v>
      </c>
      <c r="C17" s="289">
        <f>'Szerelési táblázat'!C25</f>
        <v>20</v>
      </c>
      <c r="D17" s="121" t="s">
        <v>27</v>
      </c>
      <c r="E17" s="290">
        <f>'Szerelési táblázat'!E25</f>
        <v>21</v>
      </c>
      <c r="F17" s="291">
        <f>'Szerelési táblázat'!F25</f>
        <v>209.18</v>
      </c>
      <c r="G17" s="118"/>
      <c r="H17" s="261">
        <f>IF(Adatok!$C$16+B17&gt;Adatok!$C$17,$B$11,(HLOOKUP($F$6,'Szerelési táblázat'!$I$19:$BA$59,B17+1,FALSE))/100)</f>
        <v>55.549932795974328</v>
      </c>
      <c r="I17" s="292">
        <f>IF(Adatok!$C$16+B17&gt;Adatok!$C$17,$B$11,(F17+((8/3)*(H17^2/F17))+((32/15)*(H17^4/F17^3)))*'Szerelési táblázat'!H25)</f>
        <v>250.73768927043443</v>
      </c>
    </row>
    <row r="18" spans="1:9" ht="20.100000000000001" customHeight="1" x14ac:dyDescent="0.25">
      <c r="A18" s="157"/>
      <c r="B18" s="145">
        <v>7</v>
      </c>
      <c r="C18" s="289">
        <f>'Szerelési táblázat'!C26</f>
        <v>21</v>
      </c>
      <c r="D18" s="121" t="s">
        <v>27</v>
      </c>
      <c r="E18" s="290">
        <f>'Szerelési táblázat'!E26</f>
        <v>22</v>
      </c>
      <c r="F18" s="291">
        <f>'Szerelési táblázat'!F26</f>
        <v>209.7</v>
      </c>
      <c r="G18" s="118"/>
      <c r="H18" s="261">
        <f>IF(Adatok!$C$16+B18&gt;Adatok!$C$17,$B$11,(HLOOKUP($F$6,'Szerelési táblázat'!$I$19:$BA$59,B18+1,FALSE))/100)</f>
        <v>55.847171843481362</v>
      </c>
      <c r="I18" s="292">
        <f>IF(Adatok!$C$16+B18&gt;Adatok!$C$17,$B$11,(F18+((8/3)*(H18^2/F18))+((32/15)*(H18^4/F18^3)))*'Szerelési táblázat'!H26)</f>
        <v>251.61226673611469</v>
      </c>
    </row>
    <row r="19" spans="1:9" ht="20.100000000000001" customHeight="1" x14ac:dyDescent="0.25">
      <c r="A19" s="157"/>
      <c r="B19" s="145">
        <v>8</v>
      </c>
      <c r="C19" s="289">
        <f>'Szerelési táblázat'!C27</f>
        <v>22</v>
      </c>
      <c r="D19" s="121" t="s">
        <v>27</v>
      </c>
      <c r="E19" s="290">
        <f>'Szerelési táblázat'!E27</f>
        <v>23</v>
      </c>
      <c r="F19" s="291">
        <f>'Szerelési táblázat'!F27</f>
        <v>208.73</v>
      </c>
      <c r="G19" s="118"/>
      <c r="H19" s="261">
        <f>IF(Adatok!$C$16+B19&gt;Adatok!$C$17,$B$11,(HLOOKUP($F$6,'Szerelési táblázat'!$I$19:$BA$59,B19+1,FALSE))/100)</f>
        <v>55.293467415107756</v>
      </c>
      <c r="I19" s="292">
        <f>IF(Adatok!$C$16+B19&gt;Adatok!$C$17,$B$11,(F19+((8/3)*(H19^2/F19))+((32/15)*(H19^4/F19^3)))*'Szerelési táblázat'!H27)</f>
        <v>249.98273628894668</v>
      </c>
    </row>
    <row r="20" spans="1:9" ht="20.100000000000001" customHeight="1" x14ac:dyDescent="0.25">
      <c r="A20" s="157"/>
      <c r="B20" s="145">
        <v>9</v>
      </c>
      <c r="C20" s="289" t="str">
        <f>'Szerelési táblázat'!C28</f>
        <v>-</v>
      </c>
      <c r="D20" s="121" t="s">
        <v>27</v>
      </c>
      <c r="E20" s="290" t="str">
        <f>'Szerelési táblázat'!E28</f>
        <v>-</v>
      </c>
      <c r="F20" s="291" t="str">
        <f>'Szerelési táblázat'!F28</f>
        <v>-</v>
      </c>
      <c r="G20" s="118"/>
      <c r="H20" s="261" t="str">
        <f>IF(Adatok!$C$16+B20&gt;Adatok!$C$17,$B$11,(HLOOKUP($F$6,'Szerelési táblázat'!$I$19:$BA$59,B20+1,FALSE))/100)</f>
        <v>-</v>
      </c>
      <c r="I20" s="292" t="str">
        <f>IF(Adatok!$C$16+B20&gt;Adatok!$C$17,$B$11,(F20+((8/3)*(H20^2/F20))+((32/15)*(H20^4/F20^3)))*'Szerelési táblázat'!H28)</f>
        <v>-</v>
      </c>
    </row>
    <row r="21" spans="1:9" ht="20.100000000000001" customHeight="1" x14ac:dyDescent="0.25">
      <c r="A21" s="157"/>
      <c r="B21" s="145">
        <v>10</v>
      </c>
      <c r="C21" s="289" t="str">
        <f>'Szerelési táblázat'!C29</f>
        <v>-</v>
      </c>
      <c r="D21" s="121" t="s">
        <v>27</v>
      </c>
      <c r="E21" s="290" t="str">
        <f>'Szerelési táblázat'!E29</f>
        <v>-</v>
      </c>
      <c r="F21" s="291" t="str">
        <f>'Szerelési táblázat'!F29</f>
        <v>-</v>
      </c>
      <c r="G21" s="118"/>
      <c r="H21" s="261" t="str">
        <f>IF(Adatok!$C$16+B21&gt;Adatok!$C$17,$B$11,(HLOOKUP($F$6,'Szerelési táblázat'!$I$19:$BA$59,B21+1,FALSE))/100)</f>
        <v>-</v>
      </c>
      <c r="I21" s="292" t="str">
        <f>IF(Adatok!$C$16+B21&gt;Adatok!$C$17,$B$11,(F21+((8/3)*(H21^2/F21))+((32/15)*(H21^4/F21^3)))*'Szerelési táblázat'!H29)</f>
        <v>-</v>
      </c>
    </row>
    <row r="22" spans="1:9" ht="20.100000000000001" customHeight="1" x14ac:dyDescent="0.25">
      <c r="A22" s="157"/>
      <c r="B22" s="145">
        <v>11</v>
      </c>
      <c r="C22" s="289" t="str">
        <f>'Szerelési táblázat'!C30</f>
        <v>-</v>
      </c>
      <c r="D22" s="121" t="s">
        <v>27</v>
      </c>
      <c r="E22" s="290" t="str">
        <f>'Szerelési táblázat'!E30</f>
        <v>-</v>
      </c>
      <c r="F22" s="291" t="str">
        <f>'Szerelési táblázat'!F30</f>
        <v>-</v>
      </c>
      <c r="G22" s="118"/>
      <c r="H22" s="261" t="str">
        <f>IF(Adatok!$C$16+B22&gt;Adatok!$C$17,$B$11,(HLOOKUP($F$6,'Szerelési táblázat'!$I$19:$BA$59,B22+1,FALSE))/100)</f>
        <v>-</v>
      </c>
      <c r="I22" s="292" t="str">
        <f>IF(Adatok!$C$16+B22&gt;Adatok!$C$17,$B$11,(F22+((8/3)*(H22^2/F22))+((32/15)*(H22^4/F22^3)))*'Szerelési táblázat'!H30)</f>
        <v>-</v>
      </c>
    </row>
    <row r="23" spans="1:9" ht="20.100000000000001" customHeight="1" x14ac:dyDescent="0.25">
      <c r="A23" s="157"/>
      <c r="B23" s="145">
        <v>12</v>
      </c>
      <c r="C23" s="289" t="str">
        <f>'Szerelési táblázat'!C31</f>
        <v>-</v>
      </c>
      <c r="D23" s="121" t="s">
        <v>27</v>
      </c>
      <c r="E23" s="290" t="str">
        <f>'Szerelési táblázat'!E31</f>
        <v>-</v>
      </c>
      <c r="F23" s="291" t="str">
        <f>'Szerelési táblázat'!F31</f>
        <v>-</v>
      </c>
      <c r="G23" s="118"/>
      <c r="H23" s="261" t="str">
        <f>IF(Adatok!$C$16+B23&gt;Adatok!$C$17,$B$11,(HLOOKUP($F$6,'Szerelési táblázat'!$I$19:$BA$59,B23+1,FALSE))/100)</f>
        <v>-</v>
      </c>
      <c r="I23" s="292" t="str">
        <f>IF(Adatok!$C$16+B23&gt;Adatok!$C$17,$B$11,(F23+((8/3)*(H23^2/F23))+((32/15)*(H23^4/F23^3)))*'Szerelési táblázat'!H31)</f>
        <v>-</v>
      </c>
    </row>
    <row r="24" spans="1:9" ht="20.100000000000001" customHeight="1" x14ac:dyDescent="0.25">
      <c r="A24" s="157"/>
      <c r="B24" s="145">
        <v>13</v>
      </c>
      <c r="C24" s="289" t="str">
        <f>'Szerelési táblázat'!C32</f>
        <v>-</v>
      </c>
      <c r="D24" s="121" t="s">
        <v>27</v>
      </c>
      <c r="E24" s="290" t="str">
        <f>'Szerelési táblázat'!E32</f>
        <v>-</v>
      </c>
      <c r="F24" s="291" t="str">
        <f>'Szerelési táblázat'!F32</f>
        <v>-</v>
      </c>
      <c r="G24" s="118"/>
      <c r="H24" s="261" t="str">
        <f>IF(Adatok!$C$16+B24&gt;Adatok!$C$17,$B$11,(HLOOKUP($F$6,'Szerelési táblázat'!$I$19:$BA$59,B24+1,FALSE))/100)</f>
        <v>-</v>
      </c>
      <c r="I24" s="292" t="str">
        <f>IF(Adatok!$C$16+B24&gt;Adatok!$C$17,$B$11,(F24+((8/3)*(H24^2/F24))+((32/15)*(H24^4/F24^3)))*'Szerelési táblázat'!H32)</f>
        <v>-</v>
      </c>
    </row>
    <row r="25" spans="1:9" ht="20.100000000000001" customHeight="1" x14ac:dyDescent="0.25">
      <c r="A25" s="157"/>
      <c r="B25" s="145">
        <v>14</v>
      </c>
      <c r="C25" s="289" t="str">
        <f>'Szerelési táblázat'!C33</f>
        <v>-</v>
      </c>
      <c r="D25" s="121" t="s">
        <v>27</v>
      </c>
      <c r="E25" s="290" t="str">
        <f>'Szerelési táblázat'!E33</f>
        <v>-</v>
      </c>
      <c r="F25" s="291" t="str">
        <f>'Szerelési táblázat'!F33</f>
        <v>-</v>
      </c>
      <c r="G25" s="118"/>
      <c r="H25" s="261" t="str">
        <f>IF(Adatok!$C$16+B25&gt;Adatok!$C$17,$B$11,(HLOOKUP($F$6,'Szerelési táblázat'!$I$19:$BA$59,B25+1,FALSE))/100)</f>
        <v>-</v>
      </c>
      <c r="I25" s="292" t="str">
        <f>IF(Adatok!$C$16+B25&gt;Adatok!$C$17,$B$11,(F25+((8/3)*(H25^2/F25))+((32/15)*(H25^4/F25^3)))*'Szerelési táblázat'!H33)</f>
        <v>-</v>
      </c>
    </row>
    <row r="26" spans="1:9" ht="20.100000000000001" customHeight="1" x14ac:dyDescent="0.25">
      <c r="A26" s="157"/>
      <c r="B26" s="145">
        <v>15</v>
      </c>
      <c r="C26" s="289" t="str">
        <f>'Szerelési táblázat'!C34</f>
        <v>-</v>
      </c>
      <c r="D26" s="121" t="s">
        <v>27</v>
      </c>
      <c r="E26" s="290" t="str">
        <f>'Szerelési táblázat'!E34</f>
        <v>-</v>
      </c>
      <c r="F26" s="291" t="str">
        <f>'Szerelési táblázat'!F34</f>
        <v>-</v>
      </c>
      <c r="G26" s="118"/>
      <c r="H26" s="261" t="str">
        <f>IF(Adatok!$C$16+B26&gt;Adatok!$C$17,$B$11,(HLOOKUP($F$6,'Szerelési táblázat'!$I$19:$BA$59,B26+1,FALSE))/100)</f>
        <v>-</v>
      </c>
      <c r="I26" s="292" t="str">
        <f>IF(Adatok!$C$16+B26&gt;Adatok!$C$17,$B$11,(F26+((8/3)*(H26^2/F26))+((32/15)*(H26^4/F26^3)))*'Szerelési táblázat'!H34)</f>
        <v>-</v>
      </c>
    </row>
    <row r="27" spans="1:9" ht="20.100000000000001" customHeight="1" x14ac:dyDescent="0.25">
      <c r="A27" s="157"/>
      <c r="B27" s="145">
        <v>16</v>
      </c>
      <c r="C27" s="289" t="str">
        <f>'Szerelési táblázat'!C35</f>
        <v>-</v>
      </c>
      <c r="D27" s="121" t="s">
        <v>27</v>
      </c>
      <c r="E27" s="290" t="str">
        <f>'Szerelési táblázat'!E35</f>
        <v>-</v>
      </c>
      <c r="F27" s="291" t="str">
        <f>'Szerelési táblázat'!F35</f>
        <v>-</v>
      </c>
      <c r="G27" s="118"/>
      <c r="H27" s="261" t="str">
        <f>IF(Adatok!$C$16+B27&gt;Adatok!$C$17,$B$11,(HLOOKUP($F$6,'Szerelési táblázat'!$I$19:$BA$59,B27+1,FALSE))/100)</f>
        <v>-</v>
      </c>
      <c r="I27" s="292" t="str">
        <f>IF(Adatok!$C$16+B27&gt;Adatok!$C$17,$B$11,(F27+((8/3)*(H27^2/F27))+((32/15)*(H27^4/F27^3)))*'Szerelési táblázat'!H35)</f>
        <v>-</v>
      </c>
    </row>
    <row r="28" spans="1:9" ht="20.100000000000001" customHeight="1" x14ac:dyDescent="0.25">
      <c r="A28" s="157"/>
      <c r="B28" s="145">
        <v>17</v>
      </c>
      <c r="C28" s="289" t="str">
        <f>'Szerelési táblázat'!C36</f>
        <v>-</v>
      </c>
      <c r="D28" s="121" t="s">
        <v>27</v>
      </c>
      <c r="E28" s="290" t="str">
        <f>'Szerelési táblázat'!E36</f>
        <v>-</v>
      </c>
      <c r="F28" s="291" t="str">
        <f>'Szerelési táblázat'!F36</f>
        <v>-</v>
      </c>
      <c r="G28" s="118"/>
      <c r="H28" s="261" t="str">
        <f>IF(Adatok!$C$16+B28&gt;Adatok!$C$17,$B$11,(HLOOKUP($F$6,'Szerelési táblázat'!$I$19:$BA$59,B28+1,FALSE))/100)</f>
        <v>-</v>
      </c>
      <c r="I28" s="292" t="str">
        <f>IF(Adatok!$C$16+B28&gt;Adatok!$C$17,$B$11,(F28+((8/3)*(H28^2/F28))+((32/15)*(H28^4/F28^3)))*'Szerelési táblázat'!H36)</f>
        <v>-</v>
      </c>
    </row>
    <row r="29" spans="1:9" ht="20.100000000000001" customHeight="1" x14ac:dyDescent="0.25">
      <c r="A29" s="157"/>
      <c r="B29" s="145">
        <v>18</v>
      </c>
      <c r="C29" s="289" t="str">
        <f>'Szerelési táblázat'!C37</f>
        <v>-</v>
      </c>
      <c r="D29" s="121" t="s">
        <v>27</v>
      </c>
      <c r="E29" s="290" t="str">
        <f>'Szerelési táblázat'!E37</f>
        <v>-</v>
      </c>
      <c r="F29" s="291" t="str">
        <f>'Szerelési táblázat'!F37</f>
        <v>-</v>
      </c>
      <c r="G29" s="118"/>
      <c r="H29" s="261" t="str">
        <f>IF(Adatok!$C$16+B29&gt;Adatok!$C$17,$B$11,(HLOOKUP($F$6,'Szerelési táblázat'!$I$19:$BA$59,B29+1,FALSE))/100)</f>
        <v>-</v>
      </c>
      <c r="I29" s="292" t="str">
        <f>IF(Adatok!$C$16+B29&gt;Adatok!$C$17,$B$11,(F29+((8/3)*(H29^2/F29))+((32/15)*(H29^4/F29^3)))*'Szerelési táblázat'!H37)</f>
        <v>-</v>
      </c>
    </row>
    <row r="30" spans="1:9" ht="20.100000000000001" customHeight="1" x14ac:dyDescent="0.25">
      <c r="A30" s="157"/>
      <c r="B30" s="145">
        <v>19</v>
      </c>
      <c r="C30" s="289" t="str">
        <f>'Szerelési táblázat'!C38</f>
        <v>-</v>
      </c>
      <c r="D30" s="121" t="s">
        <v>27</v>
      </c>
      <c r="E30" s="290" t="str">
        <f>'Szerelési táblázat'!E38</f>
        <v>-</v>
      </c>
      <c r="F30" s="291" t="str">
        <f>'Szerelési táblázat'!F38</f>
        <v>-</v>
      </c>
      <c r="G30" s="118"/>
      <c r="H30" s="261" t="str">
        <f>IF(Adatok!$C$16+B30&gt;Adatok!$C$17,$B$11,(HLOOKUP($F$6,'Szerelési táblázat'!$I$19:$BA$59,B30+1,FALSE))/100)</f>
        <v>-</v>
      </c>
      <c r="I30" s="292" t="str">
        <f>IF(Adatok!$C$16+B30&gt;Adatok!$C$17,$B$11,(F30+((8/3)*(H30^2/F30))+((32/15)*(H30^4/F30^3)))*'Szerelési táblázat'!H38)</f>
        <v>-</v>
      </c>
    </row>
    <row r="31" spans="1:9" ht="20.100000000000001" customHeight="1" x14ac:dyDescent="0.25">
      <c r="A31" s="157"/>
      <c r="B31" s="145">
        <v>20</v>
      </c>
      <c r="C31" s="289" t="str">
        <f>'Szerelési táblázat'!C39</f>
        <v>-</v>
      </c>
      <c r="D31" s="121" t="s">
        <v>27</v>
      </c>
      <c r="E31" s="290" t="str">
        <f>'Szerelési táblázat'!E39</f>
        <v>-</v>
      </c>
      <c r="F31" s="291" t="str">
        <f>'Szerelési táblázat'!F39</f>
        <v>-</v>
      </c>
      <c r="G31" s="118"/>
      <c r="H31" s="261" t="str">
        <f>IF(Adatok!$C$16+B31&gt;Adatok!$C$17,$B$11,(HLOOKUP($F$6,'Szerelési táblázat'!$I$19:$BA$59,B31+1,FALSE))/100)</f>
        <v>-</v>
      </c>
      <c r="I31" s="292" t="str">
        <f>IF(Adatok!$C$16+B31&gt;Adatok!$C$17,$B$11,(F31+((8/3)*(H31^2/F31))+((32/15)*(H31^4/F31^3)))*'Szerelési táblázat'!H39)</f>
        <v>-</v>
      </c>
    </row>
    <row r="32" spans="1:9" ht="20.100000000000001" customHeight="1" x14ac:dyDescent="0.25">
      <c r="A32" s="157"/>
      <c r="B32" s="145">
        <v>21</v>
      </c>
      <c r="C32" s="289" t="str">
        <f>'Szerelési táblázat'!C40</f>
        <v>-</v>
      </c>
      <c r="D32" s="121" t="s">
        <v>27</v>
      </c>
      <c r="E32" s="290" t="str">
        <f>'Szerelési táblázat'!E40</f>
        <v>-</v>
      </c>
      <c r="F32" s="291" t="str">
        <f>'Szerelési táblázat'!F40</f>
        <v>-</v>
      </c>
      <c r="G32" s="118"/>
      <c r="H32" s="261" t="str">
        <f>IF(Adatok!$C$16+B32&gt;Adatok!$C$17,$B$11,(HLOOKUP($F$6,'Szerelési táblázat'!$I$19:$BA$59,B32+1,FALSE))/100)</f>
        <v>-</v>
      </c>
      <c r="I32" s="292" t="str">
        <f>IF(Adatok!$C$16+B32&gt;Adatok!$C$17,$B$11,(F32+((8/3)*(H32^2/F32))+((32/15)*(H32^4/F32^3)))*'Szerelési táblázat'!H40)</f>
        <v>-</v>
      </c>
    </row>
    <row r="33" spans="1:9" ht="20.100000000000001" customHeight="1" x14ac:dyDescent="0.25">
      <c r="A33" s="157"/>
      <c r="B33" s="145">
        <v>22</v>
      </c>
      <c r="C33" s="289" t="str">
        <f>'Szerelési táblázat'!C41</f>
        <v>-</v>
      </c>
      <c r="D33" s="121" t="s">
        <v>27</v>
      </c>
      <c r="E33" s="290" t="str">
        <f>'Szerelési táblázat'!E41</f>
        <v>-</v>
      </c>
      <c r="F33" s="291" t="str">
        <f>'Szerelési táblázat'!F41</f>
        <v>-</v>
      </c>
      <c r="G33" s="118"/>
      <c r="H33" s="261" t="str">
        <f>IF(Adatok!$C$16+B33&gt;Adatok!$C$17,$B$11,(HLOOKUP($F$6,'Szerelési táblázat'!$I$19:$BA$59,B33+1,FALSE))/100)</f>
        <v>-</v>
      </c>
      <c r="I33" s="292" t="str">
        <f>IF(Adatok!$C$16+B33&gt;Adatok!$C$17,$B$11,(F33+((8/3)*(H33^2/F33))+((32/15)*(H33^4/F33^3)))*'Szerelési táblázat'!H41)</f>
        <v>-</v>
      </c>
    </row>
    <row r="34" spans="1:9" ht="20.100000000000001" customHeight="1" x14ac:dyDescent="0.25">
      <c r="A34" s="157"/>
      <c r="B34" s="145">
        <v>23</v>
      </c>
      <c r="C34" s="289" t="str">
        <f>'Szerelési táblázat'!C42</f>
        <v>-</v>
      </c>
      <c r="D34" s="121" t="s">
        <v>27</v>
      </c>
      <c r="E34" s="290" t="str">
        <f>'Szerelési táblázat'!E42</f>
        <v>-</v>
      </c>
      <c r="F34" s="291" t="str">
        <f>'Szerelési táblázat'!F42</f>
        <v>-</v>
      </c>
      <c r="G34" s="118"/>
      <c r="H34" s="261" t="str">
        <f>IF(Adatok!$C$16+B34&gt;Adatok!$C$17,$B$11,(HLOOKUP($F$6,'Szerelési táblázat'!$I$19:$BA$59,B34+1,FALSE))/100)</f>
        <v>-</v>
      </c>
      <c r="I34" s="292" t="str">
        <f>IF(Adatok!$C$16+B34&gt;Adatok!$C$17,$B$11,(F34+((8/3)*(H34^2/F34))+((32/15)*(H34^4/F34^3)))*'Szerelési táblázat'!H42)</f>
        <v>-</v>
      </c>
    </row>
    <row r="35" spans="1:9" ht="20.100000000000001" customHeight="1" x14ac:dyDescent="0.25">
      <c r="A35" s="157"/>
      <c r="B35" s="145">
        <v>24</v>
      </c>
      <c r="C35" s="289" t="str">
        <f>'Szerelési táblázat'!C43</f>
        <v>-</v>
      </c>
      <c r="D35" s="121" t="s">
        <v>27</v>
      </c>
      <c r="E35" s="290" t="str">
        <f>'Szerelési táblázat'!E43</f>
        <v>-</v>
      </c>
      <c r="F35" s="291" t="str">
        <f>'Szerelési táblázat'!F43</f>
        <v>-</v>
      </c>
      <c r="G35" s="118"/>
      <c r="H35" s="261" t="str">
        <f>IF(Adatok!$C$16+B35&gt;Adatok!$C$17,$B$11,(HLOOKUP($F$6,'Szerelési táblázat'!$I$19:$BA$59,B35+1,FALSE))/100)</f>
        <v>-</v>
      </c>
      <c r="I35" s="292" t="str">
        <f>IF(Adatok!$C$16+B35&gt;Adatok!$C$17,$B$11,(F35+((8/3)*(H35^2/F35))+((32/15)*(H35^4/F35^3)))*'Szerelési táblázat'!H43)</f>
        <v>-</v>
      </c>
    </row>
    <row r="36" spans="1:9" ht="20.100000000000001" customHeight="1" x14ac:dyDescent="0.25">
      <c r="A36" s="157"/>
      <c r="B36" s="145">
        <v>25</v>
      </c>
      <c r="C36" s="289" t="str">
        <f>'Szerelési táblázat'!C44</f>
        <v>-</v>
      </c>
      <c r="D36" s="121" t="s">
        <v>27</v>
      </c>
      <c r="E36" s="290" t="str">
        <f>'Szerelési táblázat'!E44</f>
        <v>-</v>
      </c>
      <c r="F36" s="291" t="str">
        <f>'Szerelési táblázat'!F44</f>
        <v>-</v>
      </c>
      <c r="G36" s="118"/>
      <c r="H36" s="261" t="str">
        <f>IF(Adatok!$C$16+B36&gt;Adatok!$C$17,$B$11,(HLOOKUP($F$6,'Szerelési táblázat'!$I$19:$BA$59,B36+1,FALSE))/100)</f>
        <v>-</v>
      </c>
      <c r="I36" s="292" t="str">
        <f>IF(Adatok!$C$16+B36&gt;Adatok!$C$17,$B$11,(F36+((8/3)*(H36^2/F36))+((32/15)*(H36^4/F36^3)))*'Szerelési táblázat'!H44)</f>
        <v>-</v>
      </c>
    </row>
    <row r="37" spans="1:9" ht="20.100000000000001" customHeight="1" x14ac:dyDescent="0.25">
      <c r="A37" s="157"/>
      <c r="B37" s="145">
        <v>26</v>
      </c>
      <c r="C37" s="289" t="str">
        <f>'Szerelési táblázat'!C45</f>
        <v>-</v>
      </c>
      <c r="D37" s="121" t="s">
        <v>27</v>
      </c>
      <c r="E37" s="290" t="str">
        <f>'Szerelési táblázat'!E45</f>
        <v>-</v>
      </c>
      <c r="F37" s="291" t="str">
        <f>'Szerelési táblázat'!F45</f>
        <v>-</v>
      </c>
      <c r="G37" s="118"/>
      <c r="H37" s="261" t="str">
        <f>IF(Adatok!$C$16+B37&gt;Adatok!$C$17,$B$11,(HLOOKUP($F$6,'Szerelési táblázat'!$I$19:$BA$59,B37+1,FALSE))/100)</f>
        <v>-</v>
      </c>
      <c r="I37" s="292" t="str">
        <f>IF(Adatok!$C$16+B37&gt;Adatok!$C$17,$B$11,(F37+((8/3)*(H37^2/F37))+((32/15)*(H37^4/F37^3)))*'Szerelési táblázat'!H45)</f>
        <v>-</v>
      </c>
    </row>
    <row r="38" spans="1:9" ht="20.100000000000001" customHeight="1" x14ac:dyDescent="0.25">
      <c r="A38" s="157"/>
      <c r="B38" s="145">
        <v>27</v>
      </c>
      <c r="C38" s="289" t="str">
        <f>'Szerelési táblázat'!C46</f>
        <v>-</v>
      </c>
      <c r="D38" s="121" t="s">
        <v>27</v>
      </c>
      <c r="E38" s="290" t="str">
        <f>'Szerelési táblázat'!E46</f>
        <v>-</v>
      </c>
      <c r="F38" s="291" t="str">
        <f>'Szerelési táblázat'!F46</f>
        <v>-</v>
      </c>
      <c r="G38" s="118"/>
      <c r="H38" s="261" t="str">
        <f>IF(Adatok!$C$16+B38&gt;Adatok!$C$17,$B$11,(HLOOKUP($F$6,'Szerelési táblázat'!$I$19:$BA$59,B38+1,FALSE))/100)</f>
        <v>-</v>
      </c>
      <c r="I38" s="292" t="str">
        <f>IF(Adatok!$C$16+B38&gt;Adatok!$C$17,$B$11,(F38+((8/3)*(H38^2/F38))+((32/15)*(H38^4/F38^3)))*'Szerelési táblázat'!H46)</f>
        <v>-</v>
      </c>
    </row>
    <row r="39" spans="1:9" ht="20.100000000000001" customHeight="1" x14ac:dyDescent="0.25">
      <c r="A39" s="157"/>
      <c r="B39" s="145">
        <v>28</v>
      </c>
      <c r="C39" s="289" t="str">
        <f>'Szerelési táblázat'!C47</f>
        <v>-</v>
      </c>
      <c r="D39" s="121" t="s">
        <v>27</v>
      </c>
      <c r="E39" s="290" t="str">
        <f>'Szerelési táblázat'!E47</f>
        <v>-</v>
      </c>
      <c r="F39" s="291" t="str">
        <f>'Szerelési táblázat'!F47</f>
        <v>-</v>
      </c>
      <c r="G39" s="118"/>
      <c r="H39" s="261" t="str">
        <f>IF(Adatok!$C$16+B39&gt;Adatok!$C$17,$B$11,(HLOOKUP($F$6,'Szerelési táblázat'!$I$19:$BA$59,B39+1,FALSE))/100)</f>
        <v>-</v>
      </c>
      <c r="I39" s="292" t="str">
        <f>IF(Adatok!$C$16+B39&gt;Adatok!$C$17,$B$11,(F39+((8/3)*(H39^2/F39))+((32/15)*(H39^4/F39^3)))*'Szerelési táblázat'!H47)</f>
        <v>-</v>
      </c>
    </row>
    <row r="40" spans="1:9" ht="20.100000000000001" customHeight="1" x14ac:dyDescent="0.25">
      <c r="A40" s="157"/>
      <c r="B40" s="145">
        <v>29</v>
      </c>
      <c r="C40" s="289" t="str">
        <f>'Szerelési táblázat'!C48</f>
        <v>-</v>
      </c>
      <c r="D40" s="121" t="s">
        <v>27</v>
      </c>
      <c r="E40" s="290" t="str">
        <f>'Szerelési táblázat'!E48</f>
        <v>-</v>
      </c>
      <c r="F40" s="291" t="str">
        <f>'Szerelési táblázat'!F48</f>
        <v>-</v>
      </c>
      <c r="G40" s="118"/>
      <c r="H40" s="261" t="str">
        <f>IF(Adatok!$C$16+B40&gt;Adatok!$C$17,$B$11,(HLOOKUP($F$6,'Szerelési táblázat'!$I$19:$BA$59,B40+1,FALSE))/100)</f>
        <v>-</v>
      </c>
      <c r="I40" s="292" t="str">
        <f>IF(Adatok!$C$16+B40&gt;Adatok!$C$17,$B$11,(F40+((8/3)*(H40^2/F40))+((32/15)*(H40^4/F40^3)))*'Szerelési táblázat'!H48)</f>
        <v>-</v>
      </c>
    </row>
    <row r="41" spans="1:9" ht="20.100000000000001" customHeight="1" x14ac:dyDescent="0.25">
      <c r="A41" s="157"/>
      <c r="B41" s="145">
        <v>30</v>
      </c>
      <c r="C41" s="289" t="str">
        <f>'Szerelési táblázat'!C49</f>
        <v>-</v>
      </c>
      <c r="D41" s="121" t="s">
        <v>27</v>
      </c>
      <c r="E41" s="290" t="str">
        <f>'Szerelési táblázat'!E49</f>
        <v>-</v>
      </c>
      <c r="F41" s="291" t="str">
        <f>'Szerelési táblázat'!F49</f>
        <v>-</v>
      </c>
      <c r="G41" s="118"/>
      <c r="H41" s="261" t="str">
        <f>IF(Adatok!$C$16+B41&gt;Adatok!$C$17,$B$11,(HLOOKUP($F$6,'Szerelési táblázat'!$I$19:$BA$59,B41+1,FALSE))/100)</f>
        <v>-</v>
      </c>
      <c r="I41" s="292" t="str">
        <f>IF(Adatok!$C$16+B41&gt;Adatok!$C$17,$B$11,(F41+((8/3)*(H41^2/F41))+((32/15)*(H41^4/F41^3)))*'Szerelési táblázat'!H49)</f>
        <v>-</v>
      </c>
    </row>
    <row r="42" spans="1:9" ht="20.100000000000001" customHeight="1" x14ac:dyDescent="0.25">
      <c r="A42" s="157"/>
      <c r="B42" s="145">
        <v>31</v>
      </c>
      <c r="C42" s="289" t="str">
        <f>'Szerelési táblázat'!C50</f>
        <v>-</v>
      </c>
      <c r="D42" s="121" t="s">
        <v>27</v>
      </c>
      <c r="E42" s="290" t="str">
        <f>'Szerelési táblázat'!E50</f>
        <v>-</v>
      </c>
      <c r="F42" s="291" t="str">
        <f>'Szerelési táblázat'!F50</f>
        <v>-</v>
      </c>
      <c r="G42" s="118"/>
      <c r="H42" s="261" t="str">
        <f>IF(Adatok!$C$16+B42&gt;Adatok!$C$17,$B$11,(HLOOKUP($F$6,'Szerelési táblázat'!$I$19:$BA$59,B42+1,FALSE))/100)</f>
        <v>-</v>
      </c>
      <c r="I42" s="292" t="str">
        <f>IF(Adatok!$C$16+B42&gt;Adatok!$C$17,$B$11,(F42+((8/3)*(H42^2/F42))+((32/15)*(H42^4/F42^3)))*'Szerelési táblázat'!H50)</f>
        <v>-</v>
      </c>
    </row>
    <row r="43" spans="1:9" ht="20.100000000000001" customHeight="1" x14ac:dyDescent="0.25">
      <c r="A43" s="157"/>
      <c r="B43" s="145">
        <v>32</v>
      </c>
      <c r="C43" s="289" t="str">
        <f>'Szerelési táblázat'!C51</f>
        <v>-</v>
      </c>
      <c r="D43" s="121" t="s">
        <v>27</v>
      </c>
      <c r="E43" s="290" t="str">
        <f>'Szerelési táblázat'!E51</f>
        <v>-</v>
      </c>
      <c r="F43" s="291" t="str">
        <f>'Szerelési táblázat'!F51</f>
        <v>-</v>
      </c>
      <c r="G43" s="118"/>
      <c r="H43" s="261" t="str">
        <f>IF(Adatok!$C$16+B43&gt;Adatok!$C$17,$B$11,(HLOOKUP($F$6,'Szerelési táblázat'!$I$19:$BA$59,B43+1,FALSE))/100)</f>
        <v>-</v>
      </c>
      <c r="I43" s="292" t="str">
        <f>IF(Adatok!$C$16+B43&gt;Adatok!$C$17,$B$11,(F43+((8/3)*(H43^2/F43))+((32/15)*(H43^4/F43^3)))*'Szerelési táblázat'!H51)</f>
        <v>-</v>
      </c>
    </row>
    <row r="44" spans="1:9" ht="20.100000000000001" customHeight="1" x14ac:dyDescent="0.25">
      <c r="A44" s="157"/>
      <c r="B44" s="145">
        <v>33</v>
      </c>
      <c r="C44" s="289" t="str">
        <f>'Szerelési táblázat'!C52</f>
        <v>-</v>
      </c>
      <c r="D44" s="121" t="s">
        <v>27</v>
      </c>
      <c r="E44" s="290" t="str">
        <f>'Szerelési táblázat'!E52</f>
        <v>-</v>
      </c>
      <c r="F44" s="291" t="str">
        <f>'Szerelési táblázat'!F52</f>
        <v>-</v>
      </c>
      <c r="G44" s="118"/>
      <c r="H44" s="261" t="str">
        <f>IF(Adatok!$C$16+B44&gt;Adatok!$C$17,$B$11,(HLOOKUP($F$6,'Szerelési táblázat'!$I$19:$BA$59,B44+1,FALSE))/100)</f>
        <v>-</v>
      </c>
      <c r="I44" s="292" t="str">
        <f>IF(Adatok!$C$16+B44&gt;Adatok!$C$17,$B$11,(F44+((8/3)*(H44^2/F44))+((32/15)*(H44^4/F44^3)))*'Szerelési táblázat'!H52)</f>
        <v>-</v>
      </c>
    </row>
    <row r="45" spans="1:9" ht="20.100000000000001" customHeight="1" x14ac:dyDescent="0.25">
      <c r="A45" s="157"/>
      <c r="B45" s="145">
        <v>34</v>
      </c>
      <c r="C45" s="289" t="str">
        <f>'Szerelési táblázat'!C53</f>
        <v>-</v>
      </c>
      <c r="D45" s="121" t="s">
        <v>27</v>
      </c>
      <c r="E45" s="290" t="str">
        <f>'Szerelési táblázat'!E53</f>
        <v>-</v>
      </c>
      <c r="F45" s="291" t="str">
        <f>'Szerelési táblázat'!F53</f>
        <v>-</v>
      </c>
      <c r="G45" s="118"/>
      <c r="H45" s="261" t="str">
        <f>IF(Adatok!$C$16+B45&gt;Adatok!$C$17,$B$11,(HLOOKUP($F$6,'Szerelési táblázat'!$I$19:$BA$59,B45+1,FALSE))/100)</f>
        <v>-</v>
      </c>
      <c r="I45" s="292" t="str">
        <f>IF(Adatok!$C$16+B45&gt;Adatok!$C$17,$B$11,(F45+((8/3)*(H45^2/F45))+((32/15)*(H45^4/F45^3)))*'Szerelési táblázat'!H53)</f>
        <v>-</v>
      </c>
    </row>
    <row r="46" spans="1:9" ht="20.100000000000001" customHeight="1" x14ac:dyDescent="0.25">
      <c r="A46" s="157"/>
      <c r="B46" s="145">
        <v>35</v>
      </c>
      <c r="C46" s="289" t="str">
        <f>'Szerelési táblázat'!C54</f>
        <v>-</v>
      </c>
      <c r="D46" s="121" t="s">
        <v>27</v>
      </c>
      <c r="E46" s="290" t="str">
        <f>'Szerelési táblázat'!E54</f>
        <v>-</v>
      </c>
      <c r="F46" s="291" t="str">
        <f>'Szerelési táblázat'!F54</f>
        <v>-</v>
      </c>
      <c r="G46" s="118"/>
      <c r="H46" s="261" t="str">
        <f>IF(Adatok!$C$16+B46&gt;Adatok!$C$17,$B$11,(HLOOKUP($F$6,'Szerelési táblázat'!$I$19:$BA$59,B46+1,FALSE))/100)</f>
        <v>-</v>
      </c>
      <c r="I46" s="292" t="str">
        <f>IF(Adatok!$C$16+B46&gt;Adatok!$C$17,$B$11,(F46+((8/3)*(H46^2/F46))+((32/15)*(H46^4/F46^3)))*'Szerelési táblázat'!H54)</f>
        <v>-</v>
      </c>
    </row>
    <row r="47" spans="1:9" ht="20.100000000000001" customHeight="1" x14ac:dyDescent="0.25">
      <c r="A47" s="157"/>
      <c r="B47" s="145">
        <v>36</v>
      </c>
      <c r="C47" s="289" t="str">
        <f>'Szerelési táblázat'!C55</f>
        <v>-</v>
      </c>
      <c r="D47" s="121" t="s">
        <v>27</v>
      </c>
      <c r="E47" s="290" t="str">
        <f>'Szerelési táblázat'!E55</f>
        <v>-</v>
      </c>
      <c r="F47" s="291" t="str">
        <f>'Szerelési táblázat'!F55</f>
        <v>-</v>
      </c>
      <c r="G47" s="118"/>
      <c r="H47" s="261" t="str">
        <f>IF(Adatok!$C$16+B47&gt;Adatok!$C$17,$B$11,(HLOOKUP($F$6,'Szerelési táblázat'!$I$19:$BA$59,B47+1,FALSE))/100)</f>
        <v>-</v>
      </c>
      <c r="I47" s="292" t="str">
        <f>IF(Adatok!$C$16+B47&gt;Adatok!$C$17,$B$11,(F47+((8/3)*(H47^2/F47))+((32/15)*(H47^4/F47^3)))*'Szerelési táblázat'!H55)</f>
        <v>-</v>
      </c>
    </row>
    <row r="48" spans="1:9" ht="20.100000000000001" customHeight="1" x14ac:dyDescent="0.25">
      <c r="A48" s="157"/>
      <c r="B48" s="145">
        <v>37</v>
      </c>
      <c r="C48" s="289" t="str">
        <f>'Szerelési táblázat'!C56</f>
        <v>-</v>
      </c>
      <c r="D48" s="121" t="s">
        <v>27</v>
      </c>
      <c r="E48" s="290" t="str">
        <f>'Szerelési táblázat'!E56</f>
        <v>-</v>
      </c>
      <c r="F48" s="291" t="str">
        <f>'Szerelési táblázat'!F56</f>
        <v>-</v>
      </c>
      <c r="G48" s="118"/>
      <c r="H48" s="261" t="str">
        <f>IF(Adatok!$C$16+B48&gt;Adatok!$C$17,$B$11,(HLOOKUP($F$6,'Szerelési táblázat'!$I$19:$BA$59,B48+1,FALSE))/100)</f>
        <v>-</v>
      </c>
      <c r="I48" s="292" t="str">
        <f>IF(Adatok!$C$16+B48&gt;Adatok!$C$17,$B$11,(F48+((8/3)*(H48^2/F48))+((32/15)*(H48^4/F48^3)))*'Szerelési táblázat'!H56)</f>
        <v>-</v>
      </c>
    </row>
    <row r="49" spans="1:9" ht="20.100000000000001" customHeight="1" x14ac:dyDescent="0.25">
      <c r="A49" s="157"/>
      <c r="B49" s="145">
        <v>38</v>
      </c>
      <c r="C49" s="289" t="str">
        <f>'Szerelési táblázat'!C57</f>
        <v>-</v>
      </c>
      <c r="D49" s="121" t="s">
        <v>27</v>
      </c>
      <c r="E49" s="290" t="str">
        <f>'Szerelési táblázat'!E57</f>
        <v>-</v>
      </c>
      <c r="F49" s="291" t="str">
        <f>'Szerelési táblázat'!F57</f>
        <v>-</v>
      </c>
      <c r="G49" s="118"/>
      <c r="H49" s="261" t="str">
        <f>IF(Adatok!$C$16+B49&gt;Adatok!$C$17,$B$11,(HLOOKUP($F$6,'Szerelési táblázat'!$I$19:$BA$59,B49+1,FALSE))/100)</f>
        <v>-</v>
      </c>
      <c r="I49" s="292" t="str">
        <f>IF(Adatok!$C$16+B49&gt;Adatok!$C$17,$B$11,(F49+((8/3)*(H49^2/F49))+((32/15)*(H49^4/F49^3)))*'Szerelési táblázat'!H57)</f>
        <v>-</v>
      </c>
    </row>
    <row r="50" spans="1:9" ht="20.100000000000001" customHeight="1" x14ac:dyDescent="0.25">
      <c r="A50" s="157"/>
      <c r="B50" s="145">
        <v>39</v>
      </c>
      <c r="C50" s="289" t="str">
        <f>'Szerelési táblázat'!C58</f>
        <v>-</v>
      </c>
      <c r="D50" s="121" t="s">
        <v>27</v>
      </c>
      <c r="E50" s="290" t="str">
        <f>'Szerelési táblázat'!E58</f>
        <v>-</v>
      </c>
      <c r="F50" s="291" t="str">
        <f>'Szerelési táblázat'!F58</f>
        <v>-</v>
      </c>
      <c r="G50" s="118"/>
      <c r="H50" s="261" t="str">
        <f>IF(Adatok!$C$16+B50&gt;Adatok!$C$17,$B$11,(HLOOKUP($F$6,'Szerelési táblázat'!$I$19:$BA$59,B50+1,FALSE))/100)</f>
        <v>-</v>
      </c>
      <c r="I50" s="292" t="str">
        <f>IF(Adatok!$C$16+B50&gt;Adatok!$C$17,$B$11,(F50+((8/3)*(H50^2/F50))+((32/15)*(H50^4/F50^3)))*'Szerelési táblázat'!H58)</f>
        <v>-</v>
      </c>
    </row>
    <row r="51" spans="1:9" ht="20.100000000000001" customHeight="1" thickBot="1" x14ac:dyDescent="0.3">
      <c r="A51" s="157"/>
      <c r="B51" s="145">
        <v>40</v>
      </c>
      <c r="C51" s="293" t="str">
        <f>'Szerelési táblázat'!C59</f>
        <v>-</v>
      </c>
      <c r="D51" s="256" t="s">
        <v>27</v>
      </c>
      <c r="E51" s="294" t="str">
        <f>'Szerelési táblázat'!E59</f>
        <v>-</v>
      </c>
      <c r="F51" s="295" t="str">
        <f>'Szerelési táblázat'!F59</f>
        <v>-</v>
      </c>
      <c r="G51" s="103"/>
      <c r="H51" s="266" t="str">
        <f>IF(Adatok!$C$16+B51&gt;Adatok!$C$17,$B$11,(HLOOKUP($F$6,'Szerelési táblázat'!$I$19:$BA$59,B51+1,FALSE))/100)</f>
        <v>-</v>
      </c>
      <c r="I51" s="342" t="str">
        <f>IF(Adatok!$C$16+B51&gt;Adatok!$C$17,$B$11,(F51+((8/3)*(H51^2/F51))+((32/15)*(H51^4/F51^3)))*'Szerelési táblázat'!H59)</f>
        <v>-</v>
      </c>
    </row>
  </sheetData>
  <sheetProtection sheet="1" objects="1" scenarios="1"/>
  <mergeCells count="5">
    <mergeCell ref="C10:F10"/>
    <mergeCell ref="C11:E11"/>
    <mergeCell ref="C2:I2"/>
    <mergeCell ref="C8:F8"/>
    <mergeCell ref="F4:I4"/>
  </mergeCells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601"/>
  <sheetViews>
    <sheetView zoomScale="90" zoomScaleNormal="90" workbookViewId="0">
      <selection activeCell="E16" sqref="E16"/>
    </sheetView>
  </sheetViews>
  <sheetFormatPr defaultColWidth="9.109375" defaultRowHeight="13.8" x14ac:dyDescent="0.25"/>
  <cols>
    <col min="1" max="1" width="15.33203125" style="308" customWidth="1"/>
    <col min="2" max="2" width="42" style="302" customWidth="1"/>
    <col min="3" max="3" width="9.109375" style="341"/>
    <col min="4" max="4" width="12" style="308" customWidth="1"/>
    <col min="5" max="33" width="9.6640625" style="308" customWidth="1"/>
    <col min="34" max="16384" width="9.109375" style="308"/>
  </cols>
  <sheetData>
    <row r="1" spans="1:68" s="303" customFormat="1" ht="21.75" customHeight="1" thickBot="1" x14ac:dyDescent="0.3">
      <c r="A1" s="323" t="s">
        <v>174</v>
      </c>
      <c r="B1" s="343" t="str">
        <f>IF($E$2&gt;0,CONCATENATE($A$3,E16,$A$4,F16),0)</f>
        <v>01000</v>
      </c>
      <c r="C1" s="337">
        <f>Adatok!F19</f>
        <v>15</v>
      </c>
      <c r="D1" s="320" t="s">
        <v>23</v>
      </c>
      <c r="E1" s="321" t="str">
        <f>CONCATENATE(Adatok!F19,Adatok!G19,Adatok!H19)</f>
        <v>15-16</v>
      </c>
      <c r="F1" s="322"/>
      <c r="G1" s="321" t="str">
        <f>CONCATENATE(Adatok!F20,Adatok!G20,Adatok!H20)</f>
        <v>16-17</v>
      </c>
      <c r="H1" s="322"/>
      <c r="I1" s="321" t="str">
        <f>CONCATENATE(Adatok!F21,Adatok!G21,Adatok!H21)</f>
        <v>17-18</v>
      </c>
      <c r="J1" s="322"/>
      <c r="K1" s="321" t="str">
        <f>CONCATENATE(Adatok!F22,Adatok!G22,Adatok!H22)</f>
        <v>18-19</v>
      </c>
      <c r="L1" s="322"/>
      <c r="M1" s="321" t="str">
        <f>CONCATENATE(Adatok!F23,Adatok!G23,Adatok!H23)</f>
        <v>19-20</v>
      </c>
      <c r="N1" s="322"/>
      <c r="O1" s="321" t="str">
        <f>CONCATENATE(Adatok!$F$24,Adatok!$G$24,Adatok!$H$24)</f>
        <v>20-21</v>
      </c>
      <c r="P1" s="322"/>
      <c r="Q1" s="321" t="str">
        <f>CONCATENATE(Adatok!$F$25,Adatok!$G$25,Adatok!$H$25)</f>
        <v>21-22</v>
      </c>
      <c r="R1" s="322"/>
      <c r="S1" s="321" t="str">
        <f>CONCATENATE(Adatok!$F$26,Adatok!$G$26,Adatok!$H$26)</f>
        <v>22-23</v>
      </c>
      <c r="T1" s="322"/>
      <c r="U1" s="321" t="str">
        <f>CONCATENATE(Adatok!$F$27,Adatok!$G$27,Adatok!$H$27)</f>
        <v>---</v>
      </c>
      <c r="V1" s="322"/>
      <c r="W1" s="321" t="str">
        <f>CONCATENATE(Adatok!$F$28,Adatok!$G$28,Adatok!$H$28)</f>
        <v>---</v>
      </c>
      <c r="X1" s="322"/>
      <c r="Y1" s="321" t="str">
        <f>CONCATENATE(Adatok!$F$29,Adatok!$G$29,Adatok!$H$29)</f>
        <v>---</v>
      </c>
      <c r="Z1" s="322"/>
      <c r="AA1" s="321" t="str">
        <f>CONCATENATE(Adatok!$F$30,Adatok!$G$30,Adatok!$H$30)</f>
        <v>---</v>
      </c>
      <c r="AB1" s="322"/>
      <c r="AC1" s="321" t="str">
        <f>CONCATENATE(Adatok!$F$31,Adatok!$G$31,Adatok!$H$31)</f>
        <v>---</v>
      </c>
      <c r="AD1" s="322"/>
      <c r="AE1" s="321" t="str">
        <f>CONCATENATE(Adatok!$F$32,Adatok!$G$32,Adatok!$H$32)</f>
        <v>---</v>
      </c>
      <c r="AF1" s="322"/>
      <c r="AG1" s="321" t="str">
        <f>CONCATENATE(Adatok!$F$33,Adatok!$G$33,Adatok!$H$33)</f>
        <v>---</v>
      </c>
      <c r="AH1" s="322"/>
      <c r="AI1" s="321" t="str">
        <f>CONCATENATE(Adatok!$F$34,Adatok!$G$34,Adatok!$H$34)</f>
        <v>---</v>
      </c>
      <c r="AJ1" s="322"/>
      <c r="AK1" s="321" t="str">
        <f>CONCATENATE(Adatok!$F$35,Adatok!$G$35,Adatok!$H$35)</f>
        <v>---</v>
      </c>
      <c r="AL1" s="322"/>
      <c r="AM1" s="321" t="str">
        <f>CONCATENATE(Adatok!$F$36,Adatok!$G$36,Adatok!$H$36)</f>
        <v>---</v>
      </c>
      <c r="AN1" s="322"/>
      <c r="AO1" s="321" t="str">
        <f>CONCATENATE(Adatok!$F$37,Adatok!$G$37,Adatok!$H$37)</f>
        <v>---</v>
      </c>
      <c r="AP1" s="322"/>
      <c r="AQ1" s="321" t="str">
        <f>CONCATENATE(Adatok!$F$38,Adatok!$G$38,Adatok!$H$38)</f>
        <v>---</v>
      </c>
      <c r="AR1" s="322"/>
      <c r="AS1" s="321" t="str">
        <f>CONCATENATE(Adatok!$F$39,Adatok!$G$39,Adatok!$H$39)</f>
        <v>---</v>
      </c>
      <c r="AT1" s="322"/>
      <c r="AU1" s="321" t="str">
        <f>CONCATENATE(Adatok!$F$40,Adatok!$G$40,Adatok!$H$40)</f>
        <v>---</v>
      </c>
      <c r="AV1" s="322"/>
      <c r="AW1" s="321" t="str">
        <f>CONCATENATE(Adatok!$F$41,Adatok!$G$41,Adatok!$H$41)</f>
        <v>---</v>
      </c>
      <c r="AX1" s="322"/>
      <c r="AY1" s="321" t="str">
        <f>CONCATENATE(Adatok!$F$42,Adatok!$G$42,Adatok!$H$42)</f>
        <v>---</v>
      </c>
      <c r="AZ1" s="322"/>
      <c r="BA1" s="321" t="str">
        <f>CONCATENATE(Adatok!$F$43,Adatok!$G$43,Adatok!$H$43)</f>
        <v>---</v>
      </c>
      <c r="BB1" s="322"/>
      <c r="BC1" s="321" t="str">
        <f>CONCATENATE(Adatok!$F$44,Adatok!$G$44,Adatok!$H$44)</f>
        <v>---</v>
      </c>
      <c r="BD1" s="322"/>
      <c r="BE1" s="321" t="str">
        <f>CONCATENATE(Adatok!$F$45,Adatok!$G$45,Adatok!$H$45)</f>
        <v>---</v>
      </c>
      <c r="BF1" s="322"/>
      <c r="BG1" s="321" t="str">
        <f>CONCATENATE(Adatok!$F$46,Adatok!$G$46,Adatok!$H$46)</f>
        <v>---</v>
      </c>
      <c r="BH1" s="322"/>
      <c r="BI1" s="321" t="str">
        <f>CONCATENATE(Adatok!$F$47,Adatok!$G$47,Adatok!$H$47)</f>
        <v>---</v>
      </c>
      <c r="BJ1" s="322"/>
      <c r="BK1" s="321" t="str">
        <f>CONCATENATE(Adatok!$F$48,Adatok!$G$48,Adatok!$H$48)</f>
        <v>---</v>
      </c>
      <c r="BL1" s="322"/>
      <c r="BM1" s="321" t="str">
        <f>CONCATENATE(Adatok!$F$49,Adatok!$G$49,Adatok!$H$49)</f>
        <v>---</v>
      </c>
      <c r="BN1" s="322"/>
      <c r="BO1" s="321" t="str">
        <f>CONCATENATE(Adatok!$F$50,Adatok!$G$50,Adatok!$H$50)</f>
        <v>---</v>
      </c>
      <c r="BP1" s="322"/>
    </row>
    <row r="2" spans="1:68" ht="14.4" thickBot="1" x14ac:dyDescent="0.3">
      <c r="A2" s="319">
        <v>20</v>
      </c>
      <c r="B2" s="344" t="str">
        <f t="shared" ref="B2:B51" si="0">IF($E$2&gt;0,CONCATENATE($A$3,E17,$A$4,F17),0)</f>
        <v>4,48560000000001948,31850462842</v>
      </c>
      <c r="C2" s="338"/>
      <c r="D2" s="304" t="s">
        <v>161</v>
      </c>
      <c r="E2" s="305">
        <f>Adatok!I19</f>
        <v>224.28</v>
      </c>
      <c r="F2" s="306"/>
      <c r="G2" s="305">
        <f>Adatok!I20</f>
        <v>213.32</v>
      </c>
      <c r="H2" s="306"/>
      <c r="I2" s="305">
        <f>Adatok!I21</f>
        <v>214.95</v>
      </c>
      <c r="J2" s="306"/>
      <c r="K2" s="305">
        <f>Adatok!I22</f>
        <v>193.4</v>
      </c>
      <c r="L2" s="306"/>
      <c r="M2" s="305">
        <f>Adatok!I23</f>
        <v>201.79</v>
      </c>
      <c r="N2" s="307"/>
      <c r="O2" s="305">
        <f>Adatok!I24</f>
        <v>209.18</v>
      </c>
      <c r="P2" s="307"/>
      <c r="Q2" s="305">
        <f>Adatok!I25</f>
        <v>209.7</v>
      </c>
      <c r="R2" s="307"/>
      <c r="S2" s="305">
        <f>Adatok!I26</f>
        <v>208.73</v>
      </c>
      <c r="T2" s="307"/>
      <c r="U2" s="305">
        <f>Adatok!I27</f>
        <v>0</v>
      </c>
      <c r="V2" s="307"/>
      <c r="W2" s="305">
        <f>Adatok!I28</f>
        <v>0</v>
      </c>
      <c r="X2" s="307"/>
      <c r="Y2" s="305">
        <f>Adatok!I29</f>
        <v>0</v>
      </c>
      <c r="Z2" s="307"/>
      <c r="AA2" s="305">
        <f>Adatok!I30</f>
        <v>0</v>
      </c>
      <c r="AB2" s="307"/>
      <c r="AC2" s="305">
        <f>Adatok!I31</f>
        <v>0</v>
      </c>
      <c r="AD2" s="307"/>
      <c r="AE2" s="305">
        <f>Adatok!I32</f>
        <v>0</v>
      </c>
      <c r="AF2" s="307"/>
      <c r="AG2" s="305">
        <f>Adatok!$I33</f>
        <v>0</v>
      </c>
      <c r="AH2" s="307"/>
      <c r="AI2" s="305">
        <f>Adatok!$I34</f>
        <v>0</v>
      </c>
      <c r="AJ2" s="307"/>
      <c r="AK2" s="305">
        <f>Adatok!$I35</f>
        <v>0</v>
      </c>
      <c r="AL2" s="307"/>
      <c r="AM2" s="305">
        <f>Adatok!$I36</f>
        <v>0</v>
      </c>
      <c r="AN2" s="307"/>
      <c r="AO2" s="305">
        <f>Adatok!$I37</f>
        <v>0</v>
      </c>
      <c r="AP2" s="307"/>
      <c r="AQ2" s="305">
        <f>Adatok!$I38</f>
        <v>0</v>
      </c>
      <c r="AR2" s="307"/>
      <c r="AS2" s="305">
        <f>Adatok!$I39</f>
        <v>0</v>
      </c>
      <c r="AT2" s="307"/>
      <c r="AU2" s="305">
        <f>Adatok!$I40</f>
        <v>0</v>
      </c>
      <c r="AV2" s="307"/>
      <c r="AW2" s="305">
        <f>Adatok!$I41</f>
        <v>0</v>
      </c>
      <c r="AX2" s="307"/>
      <c r="AY2" s="305">
        <f>Adatok!$I42</f>
        <v>0</v>
      </c>
      <c r="AZ2" s="307"/>
      <c r="BA2" s="305">
        <f>Adatok!$I43</f>
        <v>0</v>
      </c>
      <c r="BB2" s="307"/>
      <c r="BC2" s="305">
        <f>Adatok!$I44</f>
        <v>0</v>
      </c>
      <c r="BD2" s="307"/>
      <c r="BE2" s="305">
        <f>Adatok!$I45</f>
        <v>0</v>
      </c>
      <c r="BF2" s="307"/>
      <c r="BG2" s="305">
        <f>Adatok!$I46</f>
        <v>0</v>
      </c>
      <c r="BH2" s="307"/>
      <c r="BI2" s="305">
        <f>Adatok!$I47</f>
        <v>0</v>
      </c>
      <c r="BJ2" s="307"/>
      <c r="BK2" s="305">
        <f>Adatok!$I48</f>
        <v>0</v>
      </c>
      <c r="BL2" s="307"/>
      <c r="BM2" s="305">
        <f>Adatok!$I49</f>
        <v>0</v>
      </c>
      <c r="BN2" s="307"/>
      <c r="BO2" s="305">
        <f>Adatok!$I50</f>
        <v>0</v>
      </c>
      <c r="BP2" s="307"/>
    </row>
    <row r="3" spans="1:68" x14ac:dyDescent="0.25">
      <c r="B3" s="344" t="str">
        <f t="shared" si="0"/>
        <v>8,9712899,476400544774</v>
      </c>
      <c r="C3" s="339"/>
      <c r="D3" s="309" t="s">
        <v>22</v>
      </c>
      <c r="E3" s="305">
        <f>Adatok!E19</f>
        <v>12.8</v>
      </c>
      <c r="F3" s="310"/>
      <c r="G3" s="305">
        <f>Adatok!$E20</f>
        <v>0</v>
      </c>
      <c r="H3" s="310"/>
      <c r="I3" s="305">
        <f>Adatok!$E21</f>
        <v>0</v>
      </c>
      <c r="J3" s="310"/>
      <c r="K3" s="305">
        <f>Adatok!$E22</f>
        <v>0</v>
      </c>
      <c r="L3" s="310"/>
      <c r="M3" s="305">
        <f>Adatok!$E23</f>
        <v>0</v>
      </c>
      <c r="N3" s="310"/>
      <c r="O3" s="305">
        <f>Adatok!$E24</f>
        <v>0</v>
      </c>
      <c r="P3" s="310"/>
      <c r="Q3" s="305">
        <f>Adatok!$E25</f>
        <v>0</v>
      </c>
      <c r="R3" s="310"/>
      <c r="S3" s="305">
        <f>Adatok!$E26</f>
        <v>0</v>
      </c>
      <c r="T3" s="310"/>
      <c r="U3" s="305">
        <f>Adatok!$E27</f>
        <v>0</v>
      </c>
      <c r="V3" s="310"/>
      <c r="W3" s="305">
        <f>Adatok!$E28</f>
        <v>0</v>
      </c>
      <c r="X3" s="310"/>
      <c r="Y3" s="305">
        <f>Adatok!$E29</f>
        <v>0</v>
      </c>
      <c r="Z3" s="310"/>
      <c r="AA3" s="305">
        <f>Adatok!$E30</f>
        <v>0</v>
      </c>
      <c r="AB3" s="310"/>
      <c r="AC3" s="305">
        <f>Adatok!$E31</f>
        <v>0</v>
      </c>
      <c r="AD3" s="310"/>
      <c r="AE3" s="305">
        <f>Adatok!$E32</f>
        <v>0</v>
      </c>
      <c r="AF3" s="310"/>
      <c r="AG3" s="305">
        <f>Adatok!$E33</f>
        <v>0</v>
      </c>
      <c r="AH3" s="307"/>
      <c r="AI3" s="305">
        <f>Adatok!$E34</f>
        <v>0</v>
      </c>
      <c r="AJ3" s="307"/>
      <c r="AK3" s="305">
        <f>Adatok!$E35</f>
        <v>0</v>
      </c>
      <c r="AL3" s="307"/>
      <c r="AM3" s="305">
        <f>Adatok!$E36</f>
        <v>0</v>
      </c>
      <c r="AN3" s="307"/>
      <c r="AO3" s="305">
        <f>Adatok!$E37</f>
        <v>0</v>
      </c>
      <c r="AP3" s="307"/>
      <c r="AQ3" s="305">
        <f>Adatok!$E38</f>
        <v>0</v>
      </c>
      <c r="AR3" s="307"/>
      <c r="AS3" s="305">
        <f>Adatok!$E39</f>
        <v>0</v>
      </c>
      <c r="AT3" s="307"/>
      <c r="AU3" s="305">
        <f>Adatok!$E40</f>
        <v>0</v>
      </c>
      <c r="AV3" s="307"/>
      <c r="AW3" s="305">
        <f>Adatok!$E41</f>
        <v>0</v>
      </c>
      <c r="AX3" s="307"/>
      <c r="AY3" s="305">
        <f>Adatok!$E42</f>
        <v>0</v>
      </c>
      <c r="AZ3" s="307"/>
      <c r="BA3" s="305">
        <f>Adatok!$E43</f>
        <v>0</v>
      </c>
      <c r="BB3" s="307"/>
      <c r="BC3" s="305">
        <f>Adatok!$E44</f>
        <v>0</v>
      </c>
      <c r="BD3" s="307"/>
      <c r="BE3" s="305">
        <f>Adatok!$E45</f>
        <v>0</v>
      </c>
      <c r="BF3" s="307"/>
      <c r="BG3" s="305">
        <f>Adatok!$E46</f>
        <v>0</v>
      </c>
      <c r="BH3" s="307"/>
      <c r="BI3" s="305">
        <f>Adatok!$E47</f>
        <v>0</v>
      </c>
      <c r="BJ3" s="307"/>
      <c r="BK3" s="305">
        <f>Adatok!$E48</f>
        <v>0</v>
      </c>
      <c r="BL3" s="307"/>
      <c r="BM3" s="305">
        <f>Adatok!$E49</f>
        <v>0</v>
      </c>
      <c r="BN3" s="307"/>
      <c r="BO3" s="305">
        <f>Adatok!$E50</f>
        <v>0</v>
      </c>
      <c r="BP3" s="307"/>
    </row>
    <row r="4" spans="1:68" x14ac:dyDescent="0.25">
      <c r="B4" s="344" t="str">
        <f t="shared" si="0"/>
        <v>13,4568853,386905758631</v>
      </c>
      <c r="C4" s="340"/>
      <c r="D4" s="309" t="s">
        <v>162</v>
      </c>
      <c r="E4" s="311">
        <f>VLOOKUP($A$2,Számítás!$B$19:$H$63,7,FALSE)/Adatok!$C$20/Adatok!$C$13</f>
        <v>106.42289501373779</v>
      </c>
      <c r="F4" s="307"/>
      <c r="G4" s="311">
        <f>VLOOKUP($A$2,Számítás!$B$19:$H$63,7,FALSE)/Adatok!$C$20/Adatok!$C$13</f>
        <v>106.42289501373779</v>
      </c>
      <c r="H4" s="307"/>
      <c r="I4" s="311">
        <f>VLOOKUP($A$2,Számítás!$B$19:$H$63,7,FALSE)/Adatok!$C$20/Adatok!$C$13</f>
        <v>106.42289501373779</v>
      </c>
      <c r="J4" s="307"/>
      <c r="K4" s="311">
        <f>VLOOKUP($A$2,Számítás!$B$19:$H$63,7,FALSE)/Adatok!$C$20/Adatok!$C$13</f>
        <v>106.42289501373779</v>
      </c>
      <c r="L4" s="307"/>
      <c r="M4" s="311">
        <f>VLOOKUP($A$2,Számítás!$B$19:$H$63,7,FALSE)/Adatok!$C$20/Adatok!$C$13</f>
        <v>106.42289501373779</v>
      </c>
      <c r="N4" s="307"/>
      <c r="O4" s="311">
        <f>VLOOKUP($A$2,Számítás!$B$19:$H$63,7,FALSE)/Adatok!$C$20/Adatok!$C$13</f>
        <v>106.42289501373779</v>
      </c>
      <c r="P4" s="307"/>
      <c r="Q4" s="311">
        <f>VLOOKUP($A$2,Számítás!$B$19:$H$63,7,FALSE)/Adatok!$C$20/Adatok!$C$13</f>
        <v>106.42289501373779</v>
      </c>
      <c r="R4" s="307"/>
      <c r="S4" s="311">
        <f>VLOOKUP($A$2,Számítás!$B$19:$H$63,7,FALSE)/Adatok!$C$20/Adatok!$C$13</f>
        <v>106.42289501373779</v>
      </c>
      <c r="T4" s="307"/>
      <c r="U4" s="311">
        <f>VLOOKUP($A$2,Számítás!$B$19:$H$63,7,FALSE)/Adatok!$C$20/Adatok!$C$13</f>
        <v>106.42289501373779</v>
      </c>
      <c r="V4" s="307"/>
      <c r="W4" s="311">
        <f>VLOOKUP($A$2,Számítás!$B$19:$H$63,7,FALSE)/Adatok!$C$20/Adatok!$C$13</f>
        <v>106.42289501373779</v>
      </c>
      <c r="X4" s="307"/>
      <c r="Y4" s="311">
        <f>VLOOKUP($A$2,Számítás!$B$19:$H$63,7,FALSE)/Adatok!$C$20/Adatok!$C$13</f>
        <v>106.42289501373779</v>
      </c>
      <c r="Z4" s="307"/>
      <c r="AA4" s="311">
        <f>VLOOKUP($A$2,Számítás!$B$19:$H$63,7,FALSE)/Adatok!$C$20/Adatok!$C$13</f>
        <v>106.42289501373779</v>
      </c>
      <c r="AB4" s="307"/>
      <c r="AC4" s="311">
        <f>VLOOKUP($A$2,Számítás!$B$19:$H$63,7,FALSE)/Adatok!$C$20/Adatok!$C$13</f>
        <v>106.42289501373779</v>
      </c>
      <c r="AD4" s="307"/>
      <c r="AE4" s="311">
        <f>VLOOKUP($A$2,Számítás!$B$19:$H$63,7,FALSE)/Adatok!$C$20/Adatok!$C$13</f>
        <v>106.42289501373779</v>
      </c>
      <c r="AF4" s="307"/>
      <c r="AG4" s="311">
        <f>VLOOKUP($A$2,Számítás!$B$19:$H$63,7,FALSE)/Adatok!$C$20/Adatok!$C$13</f>
        <v>106.42289501373779</v>
      </c>
      <c r="AH4" s="307"/>
      <c r="AI4" s="311">
        <f>VLOOKUP($A$2,Számítás!$B$19:$H$63,7,FALSE)/Adatok!$C$20/Adatok!$C$13</f>
        <v>106.42289501373779</v>
      </c>
      <c r="AJ4" s="307"/>
      <c r="AK4" s="311">
        <f>VLOOKUP($A$2,Számítás!$B$19:$H$63,7,FALSE)/Adatok!$C$20/Adatok!$C$13</f>
        <v>106.42289501373779</v>
      </c>
      <c r="AL4" s="307"/>
      <c r="AM4" s="311">
        <f>VLOOKUP($A$2,Számítás!$B$19:$H$63,7,FALSE)/Adatok!$C$20/Adatok!$C$13</f>
        <v>106.42289501373779</v>
      </c>
      <c r="AN4" s="307"/>
      <c r="AO4" s="311">
        <f>VLOOKUP($A$2,Számítás!$B$19:$H$63,7,FALSE)/Adatok!$C$20/Adatok!$C$13</f>
        <v>106.42289501373779</v>
      </c>
      <c r="AP4" s="307"/>
      <c r="AQ4" s="311">
        <f>VLOOKUP($A$2,Számítás!$B$19:$H$63,7,FALSE)/Adatok!$C$20/Adatok!$C$13</f>
        <v>106.42289501373779</v>
      </c>
      <c r="AR4" s="307"/>
      <c r="AS4" s="311">
        <f>VLOOKUP($A$2,Számítás!$B$19:$H$63,7,FALSE)/Adatok!$C$20/Adatok!$C$13</f>
        <v>106.42289501373779</v>
      </c>
      <c r="AT4" s="307"/>
      <c r="AU4" s="311">
        <f>VLOOKUP($A$2,Számítás!$B$19:$H$63,7,FALSE)/Adatok!$C$20/Adatok!$C$13</f>
        <v>106.42289501373779</v>
      </c>
      <c r="AV4" s="307"/>
      <c r="AW4" s="311">
        <f>VLOOKUP($A$2,Számítás!$B$19:$H$63,7,FALSE)/Adatok!$C$20/Adatok!$C$13</f>
        <v>106.42289501373779</v>
      </c>
      <c r="AX4" s="307"/>
      <c r="AY4" s="311">
        <f>VLOOKUP($A$2,Számítás!$B$19:$H$63,7,FALSE)/Adatok!$C$20/Adatok!$C$13</f>
        <v>106.42289501373779</v>
      </c>
      <c r="AZ4" s="307"/>
      <c r="BA4" s="311">
        <f>VLOOKUP($A$2,Számítás!$B$19:$H$63,7,FALSE)/Adatok!$C$20/Adatok!$C$13</f>
        <v>106.42289501373779</v>
      </c>
      <c r="BB4" s="307"/>
      <c r="BC4" s="311">
        <f>VLOOKUP($A$2,Számítás!$B$19:$H$63,7,FALSE)/Adatok!$C$20/Adatok!$C$13</f>
        <v>106.42289501373779</v>
      </c>
      <c r="BD4" s="307"/>
      <c r="BE4" s="311">
        <f>VLOOKUP($A$2,Számítás!$B$19:$H$63,7,FALSE)/Adatok!$C$20/Adatok!$C$13</f>
        <v>106.42289501373779</v>
      </c>
      <c r="BF4" s="307"/>
      <c r="BG4" s="311">
        <f>VLOOKUP($A$2,Számítás!$B$19:$H$63,7,FALSE)/Adatok!$C$20/Adatok!$C$13</f>
        <v>106.42289501373779</v>
      </c>
      <c r="BH4" s="307"/>
      <c r="BI4" s="311">
        <f>VLOOKUP($A$2,Számítás!$B$19:$H$63,7,FALSE)/Adatok!$C$20/Adatok!$C$13</f>
        <v>106.42289501373779</v>
      </c>
      <c r="BJ4" s="307"/>
      <c r="BK4" s="311">
        <f>VLOOKUP($A$2,Számítás!$B$19:$H$63,7,FALSE)/Adatok!$C$20/Adatok!$C$13</f>
        <v>106.42289501373779</v>
      </c>
      <c r="BL4" s="307"/>
      <c r="BM4" s="311">
        <f>VLOOKUP($A$2,Számítás!$B$19:$H$63,7,FALSE)/Adatok!$C$20/Adatok!$C$13</f>
        <v>106.42289501373779</v>
      </c>
      <c r="BN4" s="307"/>
      <c r="BO4" s="311">
        <f>VLOOKUP($A$2,Számítás!$B$19:$H$63,7,FALSE)/Adatok!$C$20/Adatok!$C$13</f>
        <v>106.42289501373779</v>
      </c>
      <c r="BP4" s="307"/>
    </row>
    <row r="5" spans="1:68" x14ac:dyDescent="0.25">
      <c r="B5" s="344" t="str">
        <f t="shared" si="0"/>
        <v>17,9424809,96812907856</v>
      </c>
      <c r="C5" s="340"/>
      <c r="D5" s="309" t="s">
        <v>163</v>
      </c>
      <c r="E5" s="312">
        <f>E2+2*E4*ASINH(E3/(2*E4*SINH(E2/(2*E4))))</f>
        <v>234.43622630689958</v>
      </c>
      <c r="F5" s="310"/>
      <c r="G5" s="312">
        <f>G2+2*G4*ASINH(G3/(2*G4*SINH(G2/(2*G4))))</f>
        <v>213.32</v>
      </c>
      <c r="H5" s="310"/>
      <c r="I5" s="312">
        <f>I2+2*I4*ASINH(I3/(2*I4*SINH(I2/(2*I4))))</f>
        <v>214.95</v>
      </c>
      <c r="J5" s="310"/>
      <c r="K5" s="312">
        <f>K2+2*K4*ASINH(K3/(2*K4*SINH(K2/(2*K4))))</f>
        <v>193.4</v>
      </c>
      <c r="L5" s="310"/>
      <c r="M5" s="312">
        <f t="shared" ref="M5" si="1">M2+2*M4*ASINH(M3/(2*M4*SINH(M2/(2*M4))))</f>
        <v>201.79</v>
      </c>
      <c r="N5" s="310"/>
      <c r="O5" s="312">
        <f t="shared" ref="O5" si="2">O2+2*O4*ASINH(O3/(2*O4*SINH(O2/(2*O4))))</f>
        <v>209.18</v>
      </c>
      <c r="P5" s="310"/>
      <c r="Q5" s="312">
        <f t="shared" ref="Q5" si="3">Q2+2*Q4*ASINH(Q3/(2*Q4*SINH(Q2/(2*Q4))))</f>
        <v>209.7</v>
      </c>
      <c r="R5" s="310"/>
      <c r="S5" s="312">
        <f t="shared" ref="S5" si="4">S2+2*S4*ASINH(S3/(2*S4*SINH(S2/(2*S4))))</f>
        <v>208.73</v>
      </c>
      <c r="T5" s="310"/>
      <c r="U5" s="312" t="e">
        <f t="shared" ref="U5" si="5">U2+2*U4*ASINH(U3/(2*U4*SINH(U2/(2*U4))))</f>
        <v>#DIV/0!</v>
      </c>
      <c r="V5" s="310"/>
      <c r="W5" s="312" t="e">
        <f t="shared" ref="W5" si="6">W2+2*W4*ASINH(W3/(2*W4*SINH(W2/(2*W4))))</f>
        <v>#DIV/0!</v>
      </c>
      <c r="X5" s="310"/>
      <c r="Y5" s="312" t="e">
        <f t="shared" ref="Y5" si="7">Y2+2*Y4*ASINH(Y3/(2*Y4*SINH(Y2/(2*Y4))))</f>
        <v>#DIV/0!</v>
      </c>
      <c r="Z5" s="310"/>
      <c r="AA5" s="312" t="e">
        <f t="shared" ref="AA5" si="8">AA2+2*AA4*ASINH(AA3/(2*AA4*SINH(AA2/(2*AA4))))</f>
        <v>#DIV/0!</v>
      </c>
      <c r="AB5" s="310"/>
      <c r="AC5" s="312" t="e">
        <f t="shared" ref="AC5" si="9">AC2+2*AC4*ASINH(AC3/(2*AC4*SINH(AC2/(2*AC4))))</f>
        <v>#DIV/0!</v>
      </c>
      <c r="AD5" s="310"/>
      <c r="AE5" s="312" t="e">
        <f t="shared" ref="AE5" si="10">AE2+2*AE4*ASINH(AE3/(2*AE4*SINH(AE2/(2*AE4))))</f>
        <v>#DIV/0!</v>
      </c>
      <c r="AF5" s="310"/>
      <c r="AG5" s="312" t="e">
        <f t="shared" ref="AG5:AI5" si="11">AG2+2*AG4*ASINH(AG3/(2*AG4*SINH(AG2/(2*AG4))))</f>
        <v>#DIV/0!</v>
      </c>
      <c r="AH5" s="307"/>
      <c r="AI5" s="312" t="e">
        <f t="shared" si="11"/>
        <v>#DIV/0!</v>
      </c>
      <c r="AJ5" s="307"/>
      <c r="AK5" s="312" t="e">
        <f t="shared" ref="AK5" si="12">AK2+2*AK4*ASINH(AK3/(2*AK4*SINH(AK2/(2*AK4))))</f>
        <v>#DIV/0!</v>
      </c>
      <c r="AL5" s="307"/>
      <c r="AM5" s="312" t="e">
        <f t="shared" ref="AM5" si="13">AM2+2*AM4*ASINH(AM3/(2*AM4*SINH(AM2/(2*AM4))))</f>
        <v>#DIV/0!</v>
      </c>
      <c r="AN5" s="307"/>
      <c r="AO5" s="312" t="e">
        <f t="shared" ref="AO5" si="14">AO2+2*AO4*ASINH(AO3/(2*AO4*SINH(AO2/(2*AO4))))</f>
        <v>#DIV/0!</v>
      </c>
      <c r="AP5" s="307"/>
      <c r="AQ5" s="312" t="e">
        <f t="shared" ref="AQ5" si="15">AQ2+2*AQ4*ASINH(AQ3/(2*AQ4*SINH(AQ2/(2*AQ4))))</f>
        <v>#DIV/0!</v>
      </c>
      <c r="AR5" s="307"/>
      <c r="AS5" s="312" t="e">
        <f t="shared" ref="AS5" si="16">AS2+2*AS4*ASINH(AS3/(2*AS4*SINH(AS2/(2*AS4))))</f>
        <v>#DIV/0!</v>
      </c>
      <c r="AT5" s="307"/>
      <c r="AU5" s="312" t="e">
        <f t="shared" ref="AU5" si="17">AU2+2*AU4*ASINH(AU3/(2*AU4*SINH(AU2/(2*AU4))))</f>
        <v>#DIV/0!</v>
      </c>
      <c r="AV5" s="307"/>
      <c r="AW5" s="312" t="e">
        <f t="shared" ref="AW5" si="18">AW2+2*AW4*ASINH(AW3/(2*AW4*SINH(AW2/(2*AW4))))</f>
        <v>#DIV/0!</v>
      </c>
      <c r="AX5" s="307"/>
      <c r="AY5" s="312" t="e">
        <f t="shared" ref="AY5" si="19">AY2+2*AY4*ASINH(AY3/(2*AY4*SINH(AY2/(2*AY4))))</f>
        <v>#DIV/0!</v>
      </c>
      <c r="AZ5" s="307"/>
      <c r="BA5" s="312" t="e">
        <f t="shared" ref="BA5" si="20">BA2+2*BA4*ASINH(BA3/(2*BA4*SINH(BA2/(2*BA4))))</f>
        <v>#DIV/0!</v>
      </c>
      <c r="BB5" s="307"/>
      <c r="BC5" s="312" t="e">
        <f t="shared" ref="BC5" si="21">BC2+2*BC4*ASINH(BC3/(2*BC4*SINH(BC2/(2*BC4))))</f>
        <v>#DIV/0!</v>
      </c>
      <c r="BD5" s="307"/>
      <c r="BE5" s="312" t="e">
        <f t="shared" ref="BE5" si="22">BE2+2*BE4*ASINH(BE3/(2*BE4*SINH(BE2/(2*BE4))))</f>
        <v>#DIV/0!</v>
      </c>
      <c r="BF5" s="307"/>
      <c r="BG5" s="312" t="e">
        <f t="shared" ref="BG5" si="23">BG2+2*BG4*ASINH(BG3/(2*BG4*SINH(BG2/(2*BG4))))</f>
        <v>#DIV/0!</v>
      </c>
      <c r="BH5" s="307"/>
      <c r="BI5" s="312" t="e">
        <f t="shared" ref="BI5" si="24">BI2+2*BI4*ASINH(BI3/(2*BI4*SINH(BI2/(2*BI4))))</f>
        <v>#DIV/0!</v>
      </c>
      <c r="BJ5" s="307"/>
      <c r="BK5" s="312" t="e">
        <f t="shared" ref="BK5" si="25">BK2+2*BK4*ASINH(BK3/(2*BK4*SINH(BK2/(2*BK4))))</f>
        <v>#DIV/0!</v>
      </c>
      <c r="BL5" s="307"/>
      <c r="BM5" s="312" t="e">
        <f t="shared" ref="BM5" si="26">BM2+2*BM4*ASINH(BM3/(2*BM4*SINH(BM2/(2*BM4))))</f>
        <v>#DIV/0!</v>
      </c>
      <c r="BN5" s="307"/>
      <c r="BO5" s="312" t="e">
        <f t="shared" ref="BO5" si="27">BO2+2*BO4*ASINH(BO3/(2*BO4*SINH(BO2/(2*BO4))))</f>
        <v>#DIV/0!</v>
      </c>
      <c r="BP5" s="307"/>
    </row>
    <row r="6" spans="1:68" x14ac:dyDescent="0.25">
      <c r="B6" s="344" t="str">
        <f t="shared" si="0"/>
        <v>22,428769,142924608963</v>
      </c>
      <c r="C6" s="340"/>
      <c r="D6" s="309" t="s">
        <v>164</v>
      </c>
      <c r="E6" s="312">
        <f>E2-2*E4*ASINH(E3/(2*E4*SINH(E2/(2*E4))))</f>
        <v>214.12377369310042</v>
      </c>
      <c r="F6" s="310"/>
      <c r="G6" s="312">
        <f>G2-2*G4*ASINH(G3/(2*G4*SINH(G2/(2*G4))))</f>
        <v>213.32</v>
      </c>
      <c r="H6" s="310"/>
      <c r="I6" s="312">
        <f>I2-2*I4*ASINH(I3/(2*I4*SINH(I2/(2*I4))))</f>
        <v>214.95</v>
      </c>
      <c r="J6" s="310"/>
      <c r="K6" s="312">
        <f>K2-2*K4*ASINH(K3/(2*K4*SINH(K2/(2*K4))))</f>
        <v>193.4</v>
      </c>
      <c r="L6" s="310"/>
      <c r="M6" s="312">
        <f t="shared" ref="M6" si="28">M2-2*M4*ASINH(M3/(2*M4*SINH(M2/(2*M4))))</f>
        <v>201.79</v>
      </c>
      <c r="N6" s="310"/>
      <c r="O6" s="312">
        <f t="shared" ref="O6" si="29">O2-2*O4*ASINH(O3/(2*O4*SINH(O2/(2*O4))))</f>
        <v>209.18</v>
      </c>
      <c r="P6" s="310"/>
      <c r="Q6" s="312">
        <f t="shared" ref="Q6" si="30">Q2-2*Q4*ASINH(Q3/(2*Q4*SINH(Q2/(2*Q4))))</f>
        <v>209.7</v>
      </c>
      <c r="R6" s="310"/>
      <c r="S6" s="312">
        <f t="shared" ref="S6" si="31">S2-2*S4*ASINH(S3/(2*S4*SINH(S2/(2*S4))))</f>
        <v>208.73</v>
      </c>
      <c r="T6" s="310"/>
      <c r="U6" s="312" t="e">
        <f t="shared" ref="U6" si="32">U2-2*U4*ASINH(U3/(2*U4*SINH(U2/(2*U4))))</f>
        <v>#DIV/0!</v>
      </c>
      <c r="V6" s="310"/>
      <c r="W6" s="312" t="e">
        <f t="shared" ref="W6" si="33">W2-2*W4*ASINH(W3/(2*W4*SINH(W2/(2*W4))))</f>
        <v>#DIV/0!</v>
      </c>
      <c r="X6" s="310"/>
      <c r="Y6" s="312" t="e">
        <f t="shared" ref="Y6" si="34">Y2-2*Y4*ASINH(Y3/(2*Y4*SINH(Y2/(2*Y4))))</f>
        <v>#DIV/0!</v>
      </c>
      <c r="Z6" s="310"/>
      <c r="AA6" s="312" t="e">
        <f t="shared" ref="AA6" si="35">AA2-2*AA4*ASINH(AA3/(2*AA4*SINH(AA2/(2*AA4))))</f>
        <v>#DIV/0!</v>
      </c>
      <c r="AB6" s="310"/>
      <c r="AC6" s="312" t="e">
        <f t="shared" ref="AC6" si="36">AC2-2*AC4*ASINH(AC3/(2*AC4*SINH(AC2/(2*AC4))))</f>
        <v>#DIV/0!</v>
      </c>
      <c r="AD6" s="310"/>
      <c r="AE6" s="312" t="e">
        <f t="shared" ref="AE6" si="37">AE2-2*AE4*ASINH(AE3/(2*AE4*SINH(AE2/(2*AE4))))</f>
        <v>#DIV/0!</v>
      </c>
      <c r="AF6" s="310"/>
      <c r="AG6" s="312" t="e">
        <f t="shared" ref="AG6:AI6" si="38">AG2-2*AG4*ASINH(AG3/(2*AG4*SINH(AG2/(2*AG4))))</f>
        <v>#DIV/0!</v>
      </c>
      <c r="AH6" s="307"/>
      <c r="AI6" s="312" t="e">
        <f t="shared" si="38"/>
        <v>#DIV/0!</v>
      </c>
      <c r="AJ6" s="307"/>
      <c r="AK6" s="312" t="e">
        <f t="shared" ref="AK6" si="39">AK2-2*AK4*ASINH(AK3/(2*AK4*SINH(AK2/(2*AK4))))</f>
        <v>#DIV/0!</v>
      </c>
      <c r="AL6" s="307"/>
      <c r="AM6" s="312" t="e">
        <f t="shared" ref="AM6" si="40">AM2-2*AM4*ASINH(AM3/(2*AM4*SINH(AM2/(2*AM4))))</f>
        <v>#DIV/0!</v>
      </c>
      <c r="AN6" s="307"/>
      <c r="AO6" s="312" t="e">
        <f t="shared" ref="AO6" si="41">AO2-2*AO4*ASINH(AO3/(2*AO4*SINH(AO2/(2*AO4))))</f>
        <v>#DIV/0!</v>
      </c>
      <c r="AP6" s="307"/>
      <c r="AQ6" s="312" t="e">
        <f t="shared" ref="AQ6" si="42">AQ2-2*AQ4*ASINH(AQ3/(2*AQ4*SINH(AQ2/(2*AQ4))))</f>
        <v>#DIV/0!</v>
      </c>
      <c r="AR6" s="307"/>
      <c r="AS6" s="312" t="e">
        <f t="shared" ref="AS6" si="43">AS2-2*AS4*ASINH(AS3/(2*AS4*SINH(AS2/(2*AS4))))</f>
        <v>#DIV/0!</v>
      </c>
      <c r="AT6" s="307"/>
      <c r="AU6" s="312" t="e">
        <f t="shared" ref="AU6" si="44">AU2-2*AU4*ASINH(AU3/(2*AU4*SINH(AU2/(2*AU4))))</f>
        <v>#DIV/0!</v>
      </c>
      <c r="AV6" s="307"/>
      <c r="AW6" s="312" t="e">
        <f t="shared" ref="AW6" si="45">AW2-2*AW4*ASINH(AW3/(2*AW4*SINH(AW2/(2*AW4))))</f>
        <v>#DIV/0!</v>
      </c>
      <c r="AX6" s="307"/>
      <c r="AY6" s="312" t="e">
        <f t="shared" ref="AY6" si="46">AY2-2*AY4*ASINH(AY3/(2*AY4*SINH(AY2/(2*AY4))))</f>
        <v>#DIV/0!</v>
      </c>
      <c r="AZ6" s="307"/>
      <c r="BA6" s="312" t="e">
        <f t="shared" ref="BA6" si="47">BA2-2*BA4*ASINH(BA3/(2*BA4*SINH(BA2/(2*BA4))))</f>
        <v>#DIV/0!</v>
      </c>
      <c r="BB6" s="307"/>
      <c r="BC6" s="312" t="e">
        <f t="shared" ref="BC6" si="48">BC2-2*BC4*ASINH(BC3/(2*BC4*SINH(BC2/(2*BC4))))</f>
        <v>#DIV/0!</v>
      </c>
      <c r="BD6" s="307"/>
      <c r="BE6" s="312" t="e">
        <f t="shared" ref="BE6" si="49">BE2-2*BE4*ASINH(BE3/(2*BE4*SINH(BE2/(2*BE4))))</f>
        <v>#DIV/0!</v>
      </c>
      <c r="BF6" s="307"/>
      <c r="BG6" s="312" t="e">
        <f t="shared" ref="BG6" si="50">BG2-2*BG4*ASINH(BG3/(2*BG4*SINH(BG2/(2*BG4))))</f>
        <v>#DIV/0!</v>
      </c>
      <c r="BH6" s="307"/>
      <c r="BI6" s="312" t="e">
        <f t="shared" ref="BI6" si="51">BI2-2*BI4*ASINH(BI3/(2*BI4*SINH(BI2/(2*BI4))))</f>
        <v>#DIV/0!</v>
      </c>
      <c r="BJ6" s="307"/>
      <c r="BK6" s="312" t="e">
        <f t="shared" ref="BK6" si="52">BK2-2*BK4*ASINH(BK3/(2*BK4*SINH(BK2/(2*BK4))))</f>
        <v>#DIV/0!</v>
      </c>
      <c r="BL6" s="307"/>
      <c r="BM6" s="312" t="e">
        <f t="shared" ref="BM6" si="53">BM2-2*BM4*ASINH(BM3/(2*BM4*SINH(BM2/(2*BM4))))</f>
        <v>#DIV/0!</v>
      </c>
      <c r="BN6" s="307"/>
      <c r="BO6" s="312" t="e">
        <f t="shared" ref="BO6" si="54">BO2-2*BO4*ASINH(BO3/(2*BO4*SINH(BO2/(2*BO4))))</f>
        <v>#DIV/0!</v>
      </c>
      <c r="BP6" s="307"/>
    </row>
    <row r="7" spans="1:68" x14ac:dyDescent="0.25">
      <c r="B7" s="344" t="str">
        <f t="shared" si="0"/>
        <v>26,9136730,838754678296</v>
      </c>
      <c r="C7" s="340"/>
      <c r="D7" s="309" t="s">
        <v>165</v>
      </c>
      <c r="E7" s="312">
        <f>-E6/2</f>
        <v>-107.06188684655021</v>
      </c>
      <c r="F7" s="310"/>
      <c r="G7" s="312">
        <f>-G6/2</f>
        <v>-106.66</v>
      </c>
      <c r="H7" s="310"/>
      <c r="I7" s="312">
        <f>-I6/2</f>
        <v>-107.47499999999999</v>
      </c>
      <c r="J7" s="310"/>
      <c r="K7" s="312">
        <f>-K6/2</f>
        <v>-96.7</v>
      </c>
      <c r="L7" s="310"/>
      <c r="M7" s="312">
        <f t="shared" ref="M7" si="55">-M6/2</f>
        <v>-100.895</v>
      </c>
      <c r="N7" s="310"/>
      <c r="O7" s="312">
        <f t="shared" ref="O7" si="56">-O6/2</f>
        <v>-104.59</v>
      </c>
      <c r="P7" s="310"/>
      <c r="Q7" s="312">
        <f t="shared" ref="Q7" si="57">-Q6/2</f>
        <v>-104.85</v>
      </c>
      <c r="R7" s="310"/>
      <c r="S7" s="312">
        <f t="shared" ref="S7" si="58">-S6/2</f>
        <v>-104.36499999999999</v>
      </c>
      <c r="T7" s="310"/>
      <c r="U7" s="312" t="e">
        <f t="shared" ref="U7" si="59">-U6/2</f>
        <v>#DIV/0!</v>
      </c>
      <c r="V7" s="310"/>
      <c r="W7" s="312" t="e">
        <f t="shared" ref="W7" si="60">-W6/2</f>
        <v>#DIV/0!</v>
      </c>
      <c r="X7" s="310"/>
      <c r="Y7" s="312" t="e">
        <f t="shared" ref="Y7" si="61">-Y6/2</f>
        <v>#DIV/0!</v>
      </c>
      <c r="Z7" s="310"/>
      <c r="AA7" s="312" t="e">
        <f t="shared" ref="AA7" si="62">-AA6/2</f>
        <v>#DIV/0!</v>
      </c>
      <c r="AB7" s="310"/>
      <c r="AC7" s="312" t="e">
        <f t="shared" ref="AC7" si="63">-AC6/2</f>
        <v>#DIV/0!</v>
      </c>
      <c r="AD7" s="310"/>
      <c r="AE7" s="312" t="e">
        <f t="shared" ref="AE7" si="64">-AE6/2</f>
        <v>#DIV/0!</v>
      </c>
      <c r="AF7" s="310"/>
      <c r="AG7" s="312" t="e">
        <f t="shared" ref="AG7:AI7" si="65">-AG6/2</f>
        <v>#DIV/0!</v>
      </c>
      <c r="AH7" s="307"/>
      <c r="AI7" s="312" t="e">
        <f t="shared" si="65"/>
        <v>#DIV/0!</v>
      </c>
      <c r="AJ7" s="307"/>
      <c r="AK7" s="312" t="e">
        <f t="shared" ref="AK7" si="66">-AK6/2</f>
        <v>#DIV/0!</v>
      </c>
      <c r="AL7" s="307"/>
      <c r="AM7" s="312" t="e">
        <f t="shared" ref="AM7" si="67">-AM6/2</f>
        <v>#DIV/0!</v>
      </c>
      <c r="AN7" s="307"/>
      <c r="AO7" s="312" t="e">
        <f t="shared" ref="AO7" si="68">-AO6/2</f>
        <v>#DIV/0!</v>
      </c>
      <c r="AP7" s="307"/>
      <c r="AQ7" s="312" t="e">
        <f t="shared" ref="AQ7" si="69">-AQ6/2</f>
        <v>#DIV/0!</v>
      </c>
      <c r="AR7" s="307"/>
      <c r="AS7" s="312" t="e">
        <f t="shared" ref="AS7" si="70">-AS6/2</f>
        <v>#DIV/0!</v>
      </c>
      <c r="AT7" s="307"/>
      <c r="AU7" s="312" t="e">
        <f t="shared" ref="AU7" si="71">-AU6/2</f>
        <v>#DIV/0!</v>
      </c>
      <c r="AV7" s="307"/>
      <c r="AW7" s="312" t="e">
        <f t="shared" ref="AW7" si="72">-AW6/2</f>
        <v>#DIV/0!</v>
      </c>
      <c r="AX7" s="307"/>
      <c r="AY7" s="312" t="e">
        <f t="shared" ref="AY7" si="73">-AY6/2</f>
        <v>#DIV/0!</v>
      </c>
      <c r="AZ7" s="307"/>
      <c r="BA7" s="312" t="e">
        <f t="shared" ref="BA7" si="74">-BA6/2</f>
        <v>#DIV/0!</v>
      </c>
      <c r="BB7" s="307"/>
      <c r="BC7" s="312" t="e">
        <f t="shared" ref="BC7" si="75">-BC6/2</f>
        <v>#DIV/0!</v>
      </c>
      <c r="BD7" s="307"/>
      <c r="BE7" s="312" t="e">
        <f t="shared" ref="BE7" si="76">-BE6/2</f>
        <v>#DIV/0!</v>
      </c>
      <c r="BF7" s="307"/>
      <c r="BG7" s="312" t="e">
        <f t="shared" ref="BG7" si="77">-BG6/2</f>
        <v>#DIV/0!</v>
      </c>
      <c r="BH7" s="307"/>
      <c r="BI7" s="312" t="e">
        <f t="shared" ref="BI7" si="78">-BI6/2</f>
        <v>#DIV/0!</v>
      </c>
      <c r="BJ7" s="307"/>
      <c r="BK7" s="312" t="e">
        <f t="shared" ref="BK7" si="79">-BK6/2</f>
        <v>#DIV/0!</v>
      </c>
      <c r="BL7" s="307"/>
      <c r="BM7" s="312" t="e">
        <f t="shared" ref="BM7" si="80">-BM6/2</f>
        <v>#DIV/0!</v>
      </c>
      <c r="BN7" s="307"/>
      <c r="BO7" s="312" t="e">
        <f t="shared" ref="BO7" si="81">-BO6/2</f>
        <v>#DIV/0!</v>
      </c>
      <c r="BP7" s="307"/>
    </row>
    <row r="8" spans="1:68" x14ac:dyDescent="0.25">
      <c r="B8" s="344" t="str">
        <f t="shared" si="0"/>
        <v>31,3992694,98756095511</v>
      </c>
      <c r="C8" s="340"/>
      <c r="D8" s="309" t="s">
        <v>166</v>
      </c>
      <c r="E8" s="312">
        <f>E5/2</f>
        <v>117.21811315344979</v>
      </c>
      <c r="F8" s="310"/>
      <c r="G8" s="312">
        <f>G5/2</f>
        <v>106.66</v>
      </c>
      <c r="H8" s="310"/>
      <c r="I8" s="312">
        <f>I5/2</f>
        <v>107.47499999999999</v>
      </c>
      <c r="J8" s="310"/>
      <c r="K8" s="312">
        <f>K5/2</f>
        <v>96.7</v>
      </c>
      <c r="L8" s="310"/>
      <c r="M8" s="312">
        <f t="shared" ref="M8" si="82">M5/2</f>
        <v>100.895</v>
      </c>
      <c r="N8" s="310"/>
      <c r="O8" s="312">
        <f t="shared" ref="O8" si="83">O5/2</f>
        <v>104.59</v>
      </c>
      <c r="P8" s="310"/>
      <c r="Q8" s="312">
        <f t="shared" ref="Q8" si="84">Q5/2</f>
        <v>104.85</v>
      </c>
      <c r="R8" s="310"/>
      <c r="S8" s="312">
        <f t="shared" ref="S8" si="85">S5/2</f>
        <v>104.36499999999999</v>
      </c>
      <c r="T8" s="310"/>
      <c r="U8" s="312" t="e">
        <f t="shared" ref="U8" si="86">U5/2</f>
        <v>#DIV/0!</v>
      </c>
      <c r="V8" s="310"/>
      <c r="W8" s="312" t="e">
        <f t="shared" ref="W8" si="87">W5/2</f>
        <v>#DIV/0!</v>
      </c>
      <c r="X8" s="310"/>
      <c r="Y8" s="312" t="e">
        <f t="shared" ref="Y8" si="88">Y5/2</f>
        <v>#DIV/0!</v>
      </c>
      <c r="Z8" s="310"/>
      <c r="AA8" s="312" t="e">
        <f t="shared" ref="AA8" si="89">AA5/2</f>
        <v>#DIV/0!</v>
      </c>
      <c r="AB8" s="310"/>
      <c r="AC8" s="312" t="e">
        <f t="shared" ref="AC8" si="90">AC5/2</f>
        <v>#DIV/0!</v>
      </c>
      <c r="AD8" s="310"/>
      <c r="AE8" s="312" t="e">
        <f t="shared" ref="AE8" si="91">AE5/2</f>
        <v>#DIV/0!</v>
      </c>
      <c r="AF8" s="310"/>
      <c r="AG8" s="312" t="e">
        <f t="shared" ref="AG8:AI8" si="92">AG5/2</f>
        <v>#DIV/0!</v>
      </c>
      <c r="AH8" s="307"/>
      <c r="AI8" s="312" t="e">
        <f t="shared" si="92"/>
        <v>#DIV/0!</v>
      </c>
      <c r="AJ8" s="307"/>
      <c r="AK8" s="312" t="e">
        <f t="shared" ref="AK8" si="93">AK5/2</f>
        <v>#DIV/0!</v>
      </c>
      <c r="AL8" s="307"/>
      <c r="AM8" s="312" t="e">
        <f t="shared" ref="AM8" si="94">AM5/2</f>
        <v>#DIV/0!</v>
      </c>
      <c r="AN8" s="307"/>
      <c r="AO8" s="312" t="e">
        <f t="shared" ref="AO8" si="95">AO5/2</f>
        <v>#DIV/0!</v>
      </c>
      <c r="AP8" s="307"/>
      <c r="AQ8" s="312" t="e">
        <f t="shared" ref="AQ8" si="96">AQ5/2</f>
        <v>#DIV/0!</v>
      </c>
      <c r="AR8" s="307"/>
      <c r="AS8" s="312" t="e">
        <f t="shared" ref="AS8" si="97">AS5/2</f>
        <v>#DIV/0!</v>
      </c>
      <c r="AT8" s="307"/>
      <c r="AU8" s="312" t="e">
        <f t="shared" ref="AU8" si="98">AU5/2</f>
        <v>#DIV/0!</v>
      </c>
      <c r="AV8" s="307"/>
      <c r="AW8" s="312" t="e">
        <f t="shared" ref="AW8" si="99">AW5/2</f>
        <v>#DIV/0!</v>
      </c>
      <c r="AX8" s="307"/>
      <c r="AY8" s="312" t="e">
        <f t="shared" ref="AY8" si="100">AY5/2</f>
        <v>#DIV/0!</v>
      </c>
      <c r="AZ8" s="307"/>
      <c r="BA8" s="312" t="e">
        <f t="shared" ref="BA8" si="101">BA5/2</f>
        <v>#DIV/0!</v>
      </c>
      <c r="BB8" s="307"/>
      <c r="BC8" s="312" t="e">
        <f t="shared" ref="BC8" si="102">BC5/2</f>
        <v>#DIV/0!</v>
      </c>
      <c r="BD8" s="307"/>
      <c r="BE8" s="312" t="e">
        <f t="shared" ref="BE8" si="103">BE5/2</f>
        <v>#DIV/0!</v>
      </c>
      <c r="BF8" s="307"/>
      <c r="BG8" s="312" t="e">
        <f t="shared" ref="BG8" si="104">BG5/2</f>
        <v>#DIV/0!</v>
      </c>
      <c r="BH8" s="307"/>
      <c r="BI8" s="312" t="e">
        <f t="shared" ref="BI8" si="105">BI5/2</f>
        <v>#DIV/0!</v>
      </c>
      <c r="BJ8" s="307"/>
      <c r="BK8" s="312" t="e">
        <f t="shared" ref="BK8" si="106">BK5/2</f>
        <v>#DIV/0!</v>
      </c>
      <c r="BL8" s="307"/>
      <c r="BM8" s="312" t="e">
        <f t="shared" ref="BM8" si="107">BM5/2</f>
        <v>#DIV/0!</v>
      </c>
      <c r="BN8" s="307"/>
      <c r="BO8" s="312" t="e">
        <f t="shared" ref="BO8" si="108">BO5/2</f>
        <v>#DIV/0!</v>
      </c>
      <c r="BP8" s="307"/>
    </row>
    <row r="9" spans="1:68" x14ac:dyDescent="0.25">
      <c r="B9" s="344" t="str">
        <f t="shared" si="0"/>
        <v>35,8848661,525643522931</v>
      </c>
      <c r="C9" s="340"/>
      <c r="D9" s="309" t="s">
        <v>167</v>
      </c>
      <c r="E9" s="312">
        <f>E2/50</f>
        <v>4.4855999999999998</v>
      </c>
      <c r="F9" s="310"/>
      <c r="G9" s="312">
        <f>G2/50</f>
        <v>4.2664</v>
      </c>
      <c r="H9" s="310"/>
      <c r="I9" s="312">
        <f>I2/50</f>
        <v>4.2989999999999995</v>
      </c>
      <c r="J9" s="310"/>
      <c r="K9" s="312">
        <f>K2/50</f>
        <v>3.8680000000000003</v>
      </c>
      <c r="L9" s="310"/>
      <c r="M9" s="312">
        <f t="shared" ref="M9" si="109">M2/50</f>
        <v>4.0358000000000001</v>
      </c>
      <c r="N9" s="310"/>
      <c r="O9" s="312">
        <f t="shared" ref="O9" si="110">O2/50</f>
        <v>4.1836000000000002</v>
      </c>
      <c r="P9" s="310"/>
      <c r="Q9" s="312">
        <f t="shared" ref="Q9" si="111">Q2/50</f>
        <v>4.194</v>
      </c>
      <c r="R9" s="310"/>
      <c r="S9" s="312">
        <f t="shared" ref="S9" si="112">S2/50</f>
        <v>4.1745999999999999</v>
      </c>
      <c r="T9" s="310"/>
      <c r="U9" s="312">
        <f t="shared" ref="U9" si="113">U2/50</f>
        <v>0</v>
      </c>
      <c r="V9" s="310"/>
      <c r="W9" s="312">
        <f t="shared" ref="W9" si="114">W2/50</f>
        <v>0</v>
      </c>
      <c r="X9" s="310"/>
      <c r="Y9" s="312">
        <f t="shared" ref="Y9" si="115">Y2/50</f>
        <v>0</v>
      </c>
      <c r="Z9" s="310"/>
      <c r="AA9" s="312">
        <f t="shared" ref="AA9" si="116">AA2/50</f>
        <v>0</v>
      </c>
      <c r="AB9" s="310"/>
      <c r="AC9" s="312">
        <f t="shared" ref="AC9" si="117">AC2/50</f>
        <v>0</v>
      </c>
      <c r="AD9" s="310"/>
      <c r="AE9" s="312">
        <f t="shared" ref="AE9" si="118">AE2/50</f>
        <v>0</v>
      </c>
      <c r="AF9" s="310"/>
      <c r="AG9" s="312">
        <f t="shared" ref="AG9:AI9" si="119">AG2/50</f>
        <v>0</v>
      </c>
      <c r="AH9" s="307"/>
      <c r="AI9" s="312">
        <f t="shared" si="119"/>
        <v>0</v>
      </c>
      <c r="AJ9" s="307"/>
      <c r="AK9" s="312">
        <f t="shared" ref="AK9" si="120">AK2/50</f>
        <v>0</v>
      </c>
      <c r="AL9" s="307"/>
      <c r="AM9" s="312">
        <f t="shared" ref="AM9" si="121">AM2/50</f>
        <v>0</v>
      </c>
      <c r="AN9" s="307"/>
      <c r="AO9" s="312">
        <f t="shared" ref="AO9" si="122">AO2/50</f>
        <v>0</v>
      </c>
      <c r="AP9" s="307"/>
      <c r="AQ9" s="312">
        <f t="shared" ref="AQ9" si="123">AQ2/50</f>
        <v>0</v>
      </c>
      <c r="AR9" s="307"/>
      <c r="AS9" s="312">
        <f t="shared" ref="AS9" si="124">AS2/50</f>
        <v>0</v>
      </c>
      <c r="AT9" s="307"/>
      <c r="AU9" s="312">
        <f t="shared" ref="AU9" si="125">AU2/50</f>
        <v>0</v>
      </c>
      <c r="AV9" s="307"/>
      <c r="AW9" s="312">
        <f t="shared" ref="AW9" si="126">AW2/50</f>
        <v>0</v>
      </c>
      <c r="AX9" s="307"/>
      <c r="AY9" s="312">
        <f t="shared" ref="AY9" si="127">AY2/50</f>
        <v>0</v>
      </c>
      <c r="AZ9" s="307"/>
      <c r="BA9" s="312">
        <f t="shared" ref="BA9" si="128">BA2/50</f>
        <v>0</v>
      </c>
      <c r="BB9" s="307"/>
      <c r="BC9" s="312">
        <f t="shared" ref="BC9" si="129">BC2/50</f>
        <v>0</v>
      </c>
      <c r="BD9" s="307"/>
      <c r="BE9" s="312">
        <f t="shared" ref="BE9" si="130">BE2/50</f>
        <v>0</v>
      </c>
      <c r="BF9" s="307"/>
      <c r="BG9" s="312">
        <f t="shared" ref="BG9" si="131">BG2/50</f>
        <v>0</v>
      </c>
      <c r="BH9" s="307"/>
      <c r="BI9" s="312">
        <f t="shared" ref="BI9" si="132">BI2/50</f>
        <v>0</v>
      </c>
      <c r="BJ9" s="307"/>
      <c r="BK9" s="312">
        <f t="shared" ref="BK9" si="133">BK2/50</f>
        <v>0</v>
      </c>
      <c r="BL9" s="307"/>
      <c r="BM9" s="312">
        <f t="shared" ref="BM9" si="134">BM2/50</f>
        <v>0</v>
      </c>
      <c r="BN9" s="307"/>
      <c r="BO9" s="312">
        <f t="shared" ref="BO9" si="135">BO2/50</f>
        <v>0</v>
      </c>
      <c r="BP9" s="307"/>
    </row>
    <row r="10" spans="1:68" x14ac:dyDescent="0.25">
      <c r="B10" s="344" t="str">
        <f t="shared" si="0"/>
        <v>40,3704630,393547699105</v>
      </c>
      <c r="C10" s="340"/>
      <c r="D10" s="309" t="s">
        <v>168</v>
      </c>
      <c r="E10" s="312">
        <v>0</v>
      </c>
      <c r="F10" s="310"/>
      <c r="G10" s="305">
        <f>E12</f>
        <v>224.28</v>
      </c>
      <c r="H10" s="310"/>
      <c r="I10" s="305">
        <f>G12</f>
        <v>437.6</v>
      </c>
      <c r="J10" s="310"/>
      <c r="K10" s="305">
        <f>I12</f>
        <v>652.54999999999995</v>
      </c>
      <c r="L10" s="310"/>
      <c r="M10" s="305">
        <f t="shared" ref="M10:M11" si="136">K12</f>
        <v>845.94999999999993</v>
      </c>
      <c r="N10" s="310"/>
      <c r="O10" s="305">
        <f t="shared" ref="O10:O11" si="137">M12</f>
        <v>1047.74</v>
      </c>
      <c r="P10" s="310"/>
      <c r="Q10" s="305">
        <f t="shared" ref="Q10:Q11" si="138">O12</f>
        <v>1256.92</v>
      </c>
      <c r="R10" s="310"/>
      <c r="S10" s="305">
        <f t="shared" ref="S10:S11" si="139">Q12</f>
        <v>1466.6200000000001</v>
      </c>
      <c r="T10" s="310"/>
      <c r="U10" s="305">
        <f t="shared" ref="U10:U11" si="140">S12</f>
        <v>1675.3500000000001</v>
      </c>
      <c r="V10" s="310"/>
      <c r="W10" s="305">
        <f t="shared" ref="W10:W11" si="141">U12</f>
        <v>1675.3500000000001</v>
      </c>
      <c r="X10" s="310"/>
      <c r="Y10" s="305">
        <f t="shared" ref="Y10:Y11" si="142">W12</f>
        <v>1675.3500000000001</v>
      </c>
      <c r="Z10" s="310"/>
      <c r="AA10" s="305">
        <f t="shared" ref="AA10:AA11" si="143">Y12</f>
        <v>1675.3500000000001</v>
      </c>
      <c r="AB10" s="310"/>
      <c r="AC10" s="305">
        <f t="shared" ref="AC10:AC11" si="144">AA12</f>
        <v>1675.3500000000001</v>
      </c>
      <c r="AD10" s="310"/>
      <c r="AE10" s="305">
        <f t="shared" ref="AE10:AE11" si="145">AC12</f>
        <v>1675.3500000000001</v>
      </c>
      <c r="AF10" s="310"/>
      <c r="AG10" s="305">
        <f t="shared" ref="AG10:AG11" si="146">AE12</f>
        <v>1675.3500000000001</v>
      </c>
      <c r="AH10" s="307"/>
      <c r="AI10" s="305">
        <f t="shared" ref="AI10:AI11" si="147">AG12</f>
        <v>1675.3500000000001</v>
      </c>
      <c r="AJ10" s="307"/>
      <c r="AK10" s="305">
        <f t="shared" ref="AK10:AK11" si="148">AI12</f>
        <v>1675.3500000000001</v>
      </c>
      <c r="AL10" s="307"/>
      <c r="AM10" s="305">
        <f t="shared" ref="AM10:AM11" si="149">AK12</f>
        <v>1675.3500000000001</v>
      </c>
      <c r="AN10" s="307"/>
      <c r="AO10" s="305">
        <f t="shared" ref="AO10:AO11" si="150">AM12</f>
        <v>1675.3500000000001</v>
      </c>
      <c r="AP10" s="307"/>
      <c r="AQ10" s="305">
        <f t="shared" ref="AQ10:AQ11" si="151">AO12</f>
        <v>1675.3500000000001</v>
      </c>
      <c r="AR10" s="307"/>
      <c r="AS10" s="305">
        <f t="shared" ref="AS10:AS11" si="152">AQ12</f>
        <v>1675.3500000000001</v>
      </c>
      <c r="AT10" s="307"/>
      <c r="AU10" s="305">
        <f t="shared" ref="AU10:AU11" si="153">AS12</f>
        <v>1675.3500000000001</v>
      </c>
      <c r="AV10" s="307"/>
      <c r="AW10" s="305">
        <f t="shared" ref="AW10:AW11" si="154">AU12</f>
        <v>1675.3500000000001</v>
      </c>
      <c r="AX10" s="307"/>
      <c r="AY10" s="305">
        <f t="shared" ref="AY10:AY11" si="155">AW12</f>
        <v>1675.3500000000001</v>
      </c>
      <c r="AZ10" s="307"/>
      <c r="BA10" s="305">
        <f t="shared" ref="BA10:BA11" si="156">AY12</f>
        <v>1675.3500000000001</v>
      </c>
      <c r="BB10" s="307"/>
      <c r="BC10" s="305">
        <f t="shared" ref="BC10:BC11" si="157">BA12</f>
        <v>1675.3500000000001</v>
      </c>
      <c r="BD10" s="307"/>
      <c r="BE10" s="305">
        <f t="shared" ref="BE10:BE11" si="158">BC12</f>
        <v>1675.3500000000001</v>
      </c>
      <c r="BF10" s="307"/>
      <c r="BG10" s="305">
        <f t="shared" ref="BG10:BG11" si="159">BE12</f>
        <v>1675.3500000000001</v>
      </c>
      <c r="BH10" s="307"/>
      <c r="BI10" s="305">
        <f t="shared" ref="BI10:BI11" si="160">BG12</f>
        <v>1675.3500000000001</v>
      </c>
      <c r="BJ10" s="307"/>
      <c r="BK10" s="305">
        <f t="shared" ref="BK10:BK11" si="161">BI12</f>
        <v>1675.3500000000001</v>
      </c>
      <c r="BL10" s="307"/>
      <c r="BM10" s="305">
        <f t="shared" ref="BM10:BM11" si="162">BK12</f>
        <v>1675.3500000000001</v>
      </c>
      <c r="BN10" s="307"/>
      <c r="BO10" s="305">
        <f t="shared" ref="BO10:BO11" si="163">BM12</f>
        <v>1675.3500000000001</v>
      </c>
      <c r="BP10" s="307"/>
    </row>
    <row r="11" spans="1:68" x14ac:dyDescent="0.25">
      <c r="B11" s="344" t="str">
        <f t="shared" si="0"/>
        <v>44,856601,535958396526</v>
      </c>
      <c r="C11" s="340"/>
      <c r="D11" s="309" t="s">
        <v>169</v>
      </c>
      <c r="E11" s="312">
        <v>1000</v>
      </c>
      <c r="F11" s="307"/>
      <c r="G11" s="305">
        <f>E13</f>
        <v>1128</v>
      </c>
      <c r="H11" s="307"/>
      <c r="I11" s="305">
        <f>G13</f>
        <v>1128</v>
      </c>
      <c r="J11" s="307"/>
      <c r="K11" s="305">
        <f>I13</f>
        <v>1128</v>
      </c>
      <c r="L11" s="307"/>
      <c r="M11" s="305">
        <f t="shared" si="136"/>
        <v>1128</v>
      </c>
      <c r="N11" s="307"/>
      <c r="O11" s="305">
        <f t="shared" si="137"/>
        <v>1128</v>
      </c>
      <c r="P11" s="307"/>
      <c r="Q11" s="305">
        <f t="shared" si="138"/>
        <v>1128</v>
      </c>
      <c r="R11" s="307"/>
      <c r="S11" s="305">
        <f t="shared" si="139"/>
        <v>1128</v>
      </c>
      <c r="T11" s="307"/>
      <c r="U11" s="305">
        <f t="shared" si="140"/>
        <v>1128</v>
      </c>
      <c r="V11" s="307"/>
      <c r="W11" s="305">
        <f t="shared" si="141"/>
        <v>1128</v>
      </c>
      <c r="X11" s="307"/>
      <c r="Y11" s="305">
        <f t="shared" si="142"/>
        <v>1128</v>
      </c>
      <c r="Z11" s="307"/>
      <c r="AA11" s="305">
        <f t="shared" si="143"/>
        <v>1128</v>
      </c>
      <c r="AB11" s="307"/>
      <c r="AC11" s="305">
        <f t="shared" si="144"/>
        <v>1128</v>
      </c>
      <c r="AD11" s="307"/>
      <c r="AE11" s="305">
        <f t="shared" si="145"/>
        <v>1128</v>
      </c>
      <c r="AF11" s="307"/>
      <c r="AG11" s="305">
        <f t="shared" si="146"/>
        <v>1128</v>
      </c>
      <c r="AH11" s="307"/>
      <c r="AI11" s="305">
        <f t="shared" si="147"/>
        <v>1128</v>
      </c>
      <c r="AJ11" s="307"/>
      <c r="AK11" s="305">
        <f t="shared" si="148"/>
        <v>1128</v>
      </c>
      <c r="AL11" s="307"/>
      <c r="AM11" s="305">
        <f t="shared" si="149"/>
        <v>1128</v>
      </c>
      <c r="AN11" s="307"/>
      <c r="AO11" s="305">
        <f t="shared" si="150"/>
        <v>1128</v>
      </c>
      <c r="AP11" s="307"/>
      <c r="AQ11" s="305">
        <f t="shared" si="151"/>
        <v>1128</v>
      </c>
      <c r="AR11" s="307"/>
      <c r="AS11" s="305">
        <f t="shared" si="152"/>
        <v>1128</v>
      </c>
      <c r="AT11" s="307"/>
      <c r="AU11" s="305">
        <f t="shared" si="153"/>
        <v>1128</v>
      </c>
      <c r="AV11" s="307"/>
      <c r="AW11" s="305">
        <f t="shared" si="154"/>
        <v>1128</v>
      </c>
      <c r="AX11" s="307"/>
      <c r="AY11" s="305">
        <f t="shared" si="155"/>
        <v>1128</v>
      </c>
      <c r="AZ11" s="307"/>
      <c r="BA11" s="305">
        <f t="shared" si="156"/>
        <v>1128</v>
      </c>
      <c r="BB11" s="307"/>
      <c r="BC11" s="305">
        <f t="shared" si="157"/>
        <v>1128</v>
      </c>
      <c r="BD11" s="307"/>
      <c r="BE11" s="305">
        <f t="shared" si="158"/>
        <v>1128</v>
      </c>
      <c r="BF11" s="307"/>
      <c r="BG11" s="305">
        <f t="shared" si="159"/>
        <v>1128</v>
      </c>
      <c r="BH11" s="307"/>
      <c r="BI11" s="305">
        <f t="shared" si="160"/>
        <v>1128</v>
      </c>
      <c r="BJ11" s="307"/>
      <c r="BK11" s="305">
        <f t="shared" si="161"/>
        <v>1128</v>
      </c>
      <c r="BL11" s="307"/>
      <c r="BM11" s="305">
        <f t="shared" si="162"/>
        <v>1128</v>
      </c>
      <c r="BN11" s="307"/>
      <c r="BO11" s="305">
        <f t="shared" si="163"/>
        <v>1128</v>
      </c>
      <c r="BP11" s="307"/>
    </row>
    <row r="12" spans="1:68" x14ac:dyDescent="0.25">
      <c r="B12" s="344" t="str">
        <f t="shared" si="0"/>
        <v>49,3416574,901601840534</v>
      </c>
      <c r="C12" s="340"/>
      <c r="D12" s="309" t="s">
        <v>170</v>
      </c>
      <c r="E12" s="313">
        <f>E10+E2</f>
        <v>224.28</v>
      </c>
      <c r="F12" s="307"/>
      <c r="G12" s="313">
        <f>G10+G2</f>
        <v>437.6</v>
      </c>
      <c r="H12" s="307"/>
      <c r="I12" s="313">
        <f>I10+I2</f>
        <v>652.54999999999995</v>
      </c>
      <c r="J12" s="307"/>
      <c r="K12" s="313">
        <f>K10+K2</f>
        <v>845.94999999999993</v>
      </c>
      <c r="L12" s="307"/>
      <c r="M12" s="313">
        <f t="shared" ref="M12" si="164">M10+M2</f>
        <v>1047.74</v>
      </c>
      <c r="N12" s="307"/>
      <c r="O12" s="313">
        <f t="shared" ref="O12" si="165">O10+O2</f>
        <v>1256.92</v>
      </c>
      <c r="P12" s="307"/>
      <c r="Q12" s="313">
        <f t="shared" ref="Q12" si="166">Q10+Q2</f>
        <v>1466.6200000000001</v>
      </c>
      <c r="R12" s="307"/>
      <c r="S12" s="313">
        <f t="shared" ref="S12" si="167">S10+S2</f>
        <v>1675.3500000000001</v>
      </c>
      <c r="T12" s="307"/>
      <c r="U12" s="313">
        <f t="shared" ref="U12" si="168">U10+U2</f>
        <v>1675.3500000000001</v>
      </c>
      <c r="V12" s="307"/>
      <c r="W12" s="313">
        <f t="shared" ref="W12" si="169">W10+W2</f>
        <v>1675.3500000000001</v>
      </c>
      <c r="X12" s="307"/>
      <c r="Y12" s="313">
        <f t="shared" ref="Y12" si="170">Y10+Y2</f>
        <v>1675.3500000000001</v>
      </c>
      <c r="Z12" s="307"/>
      <c r="AA12" s="313">
        <f t="shared" ref="AA12" si="171">AA10+AA2</f>
        <v>1675.3500000000001</v>
      </c>
      <c r="AB12" s="307"/>
      <c r="AC12" s="313">
        <f t="shared" ref="AC12" si="172">AC10+AC2</f>
        <v>1675.3500000000001</v>
      </c>
      <c r="AD12" s="307"/>
      <c r="AE12" s="313">
        <f t="shared" ref="AE12" si="173">AE10+AE2</f>
        <v>1675.3500000000001</v>
      </c>
      <c r="AF12" s="307"/>
      <c r="AG12" s="313">
        <f t="shared" ref="AG12:AI12" si="174">AG10+AG2</f>
        <v>1675.3500000000001</v>
      </c>
      <c r="AH12" s="307"/>
      <c r="AI12" s="313">
        <f t="shared" si="174"/>
        <v>1675.3500000000001</v>
      </c>
      <c r="AJ12" s="307"/>
      <c r="AK12" s="313">
        <f t="shared" ref="AK12" si="175">AK10+AK2</f>
        <v>1675.3500000000001</v>
      </c>
      <c r="AL12" s="307"/>
      <c r="AM12" s="313">
        <f t="shared" ref="AM12" si="176">AM10+AM2</f>
        <v>1675.3500000000001</v>
      </c>
      <c r="AN12" s="307"/>
      <c r="AO12" s="313">
        <f t="shared" ref="AO12" si="177">AO10+AO2</f>
        <v>1675.3500000000001</v>
      </c>
      <c r="AP12" s="307"/>
      <c r="AQ12" s="313">
        <f t="shared" ref="AQ12" si="178">AQ10+AQ2</f>
        <v>1675.3500000000001</v>
      </c>
      <c r="AR12" s="307"/>
      <c r="AS12" s="313">
        <f t="shared" ref="AS12" si="179">AS10+AS2</f>
        <v>1675.3500000000001</v>
      </c>
      <c r="AT12" s="307"/>
      <c r="AU12" s="313">
        <f t="shared" ref="AU12" si="180">AU10+AU2</f>
        <v>1675.3500000000001</v>
      </c>
      <c r="AV12" s="307"/>
      <c r="AW12" s="313">
        <f t="shared" ref="AW12" si="181">AW10+AW2</f>
        <v>1675.3500000000001</v>
      </c>
      <c r="AX12" s="307"/>
      <c r="AY12" s="313">
        <f t="shared" ref="AY12" si="182">AY10+AY2</f>
        <v>1675.3500000000001</v>
      </c>
      <c r="AZ12" s="307"/>
      <c r="BA12" s="313">
        <f t="shared" ref="BA12" si="183">BA10+BA2</f>
        <v>1675.3500000000001</v>
      </c>
      <c r="BB12" s="307"/>
      <c r="BC12" s="313">
        <f t="shared" ref="BC12" si="184">BC10+BC2</f>
        <v>1675.3500000000001</v>
      </c>
      <c r="BD12" s="307"/>
      <c r="BE12" s="313">
        <f t="shared" ref="BE12" si="185">BE10+BE2</f>
        <v>1675.3500000000001</v>
      </c>
      <c r="BF12" s="307"/>
      <c r="BG12" s="313">
        <f t="shared" ref="BG12" si="186">BG10+BG2</f>
        <v>1675.3500000000001</v>
      </c>
      <c r="BH12" s="307"/>
      <c r="BI12" s="313">
        <f t="shared" ref="BI12" si="187">BI10+BI2</f>
        <v>1675.3500000000001</v>
      </c>
      <c r="BJ12" s="307"/>
      <c r="BK12" s="313">
        <f t="shared" ref="BK12" si="188">BK10+BK2</f>
        <v>1675.3500000000001</v>
      </c>
      <c r="BL12" s="307"/>
      <c r="BM12" s="313">
        <f t="shared" ref="BM12" si="189">BM10+BM2</f>
        <v>1675.3500000000001</v>
      </c>
      <c r="BN12" s="307"/>
      <c r="BO12" s="313">
        <f t="shared" ref="BO12" si="190">BO10+BO2</f>
        <v>1675.3500000000001</v>
      </c>
      <c r="BP12" s="307"/>
    </row>
    <row r="13" spans="1:68" x14ac:dyDescent="0.25">
      <c r="B13" s="344" t="str">
        <f t="shared" si="0"/>
        <v>53,8272550,443154466366</v>
      </c>
      <c r="C13" s="340"/>
      <c r="D13" s="309" t="s">
        <v>171</v>
      </c>
      <c r="E13" s="313">
        <f>E11+10*E3</f>
        <v>1128</v>
      </c>
      <c r="F13" s="307"/>
      <c r="G13" s="314">
        <f>G11+10*G3</f>
        <v>1128</v>
      </c>
      <c r="H13" s="307"/>
      <c r="I13" s="314">
        <f>I11+10*I3</f>
        <v>1128</v>
      </c>
      <c r="J13" s="307"/>
      <c r="K13" s="314">
        <f>K11+10*K3</f>
        <v>1128</v>
      </c>
      <c r="L13" s="307"/>
      <c r="M13" s="314">
        <f t="shared" ref="M13" si="191">M11+10*M3</f>
        <v>1128</v>
      </c>
      <c r="N13" s="307"/>
      <c r="O13" s="314">
        <f t="shared" ref="O13" si="192">O11+10*O3</f>
        <v>1128</v>
      </c>
      <c r="P13" s="307"/>
      <c r="Q13" s="314">
        <f t="shared" ref="Q13" si="193">Q11+10*Q3</f>
        <v>1128</v>
      </c>
      <c r="R13" s="307"/>
      <c r="S13" s="314">
        <f t="shared" ref="S13" si="194">S11+10*S3</f>
        <v>1128</v>
      </c>
      <c r="T13" s="307"/>
      <c r="U13" s="314">
        <f t="shared" ref="U13" si="195">U11+10*U3</f>
        <v>1128</v>
      </c>
      <c r="V13" s="307"/>
      <c r="W13" s="314">
        <f t="shared" ref="W13" si="196">W11+10*W3</f>
        <v>1128</v>
      </c>
      <c r="X13" s="307"/>
      <c r="Y13" s="314">
        <f t="shared" ref="Y13" si="197">Y11+10*Y3</f>
        <v>1128</v>
      </c>
      <c r="Z13" s="307"/>
      <c r="AA13" s="314">
        <f t="shared" ref="AA13" si="198">AA11+10*AA3</f>
        <v>1128</v>
      </c>
      <c r="AB13" s="307"/>
      <c r="AC13" s="314">
        <f t="shared" ref="AC13" si="199">AC11+10*AC3</f>
        <v>1128</v>
      </c>
      <c r="AD13" s="307"/>
      <c r="AE13" s="314">
        <f t="shared" ref="AE13" si="200">AE11+10*AE3</f>
        <v>1128</v>
      </c>
      <c r="AF13" s="307"/>
      <c r="AG13" s="314">
        <f t="shared" ref="AG13:AI13" si="201">AG11+10*AG3</f>
        <v>1128</v>
      </c>
      <c r="AH13" s="307"/>
      <c r="AI13" s="314">
        <f t="shared" si="201"/>
        <v>1128</v>
      </c>
      <c r="AJ13" s="307"/>
      <c r="AK13" s="314">
        <f t="shared" ref="AK13" si="202">AK11+10*AK3</f>
        <v>1128</v>
      </c>
      <c r="AL13" s="307"/>
      <c r="AM13" s="314">
        <f t="shared" ref="AM13" si="203">AM11+10*AM3</f>
        <v>1128</v>
      </c>
      <c r="AN13" s="307"/>
      <c r="AO13" s="314">
        <f t="shared" ref="AO13" si="204">AO11+10*AO3</f>
        <v>1128</v>
      </c>
      <c r="AP13" s="307"/>
      <c r="AQ13" s="314">
        <f t="shared" ref="AQ13" si="205">AQ11+10*AQ3</f>
        <v>1128</v>
      </c>
      <c r="AR13" s="307"/>
      <c r="AS13" s="314">
        <f t="shared" ref="AS13" si="206">AS11+10*AS3</f>
        <v>1128</v>
      </c>
      <c r="AT13" s="307"/>
      <c r="AU13" s="314">
        <f t="shared" ref="AU13" si="207">AU11+10*AU3</f>
        <v>1128</v>
      </c>
      <c r="AV13" s="307"/>
      <c r="AW13" s="314">
        <f t="shared" ref="AW13" si="208">AW11+10*AW3</f>
        <v>1128</v>
      </c>
      <c r="AX13" s="307"/>
      <c r="AY13" s="314">
        <f t="shared" ref="AY13" si="209">AY11+10*AY3</f>
        <v>1128</v>
      </c>
      <c r="AZ13" s="307"/>
      <c r="BA13" s="314">
        <f t="shared" ref="BA13" si="210">BA11+10*BA3</f>
        <v>1128</v>
      </c>
      <c r="BB13" s="307"/>
      <c r="BC13" s="314">
        <f t="shared" ref="BC13" si="211">BC11+10*BC3</f>
        <v>1128</v>
      </c>
      <c r="BD13" s="307"/>
      <c r="BE13" s="314">
        <f t="shared" ref="BE13" si="212">BE11+10*BE3</f>
        <v>1128</v>
      </c>
      <c r="BF13" s="307"/>
      <c r="BG13" s="314">
        <f t="shared" ref="BG13" si="213">BG11+10*BG3</f>
        <v>1128</v>
      </c>
      <c r="BH13" s="307"/>
      <c r="BI13" s="314">
        <f t="shared" ref="BI13" si="214">BI11+10*BI3</f>
        <v>1128</v>
      </c>
      <c r="BJ13" s="307"/>
      <c r="BK13" s="314">
        <f t="shared" ref="BK13" si="215">BK11+10*BK3</f>
        <v>1128</v>
      </c>
      <c r="BL13" s="307"/>
      <c r="BM13" s="314">
        <f t="shared" ref="BM13" si="216">BM11+10*BM3</f>
        <v>1128</v>
      </c>
      <c r="BN13" s="307"/>
      <c r="BO13" s="314">
        <f t="shared" ref="BO13" si="217">BO11+10*BO3</f>
        <v>1128</v>
      </c>
      <c r="BP13" s="307"/>
    </row>
    <row r="14" spans="1:68" x14ac:dyDescent="0.25">
      <c r="B14" s="344" t="str">
        <f t="shared" si="0"/>
        <v>58,3128528,117158835285</v>
      </c>
      <c r="C14" s="340"/>
      <c r="E14" s="311"/>
      <c r="F14" s="307"/>
      <c r="G14" s="311"/>
      <c r="H14" s="307"/>
      <c r="I14" s="311"/>
      <c r="J14" s="307"/>
      <c r="K14" s="311"/>
      <c r="L14" s="307"/>
      <c r="M14" s="311"/>
      <c r="N14" s="307"/>
      <c r="O14" s="311"/>
      <c r="P14" s="307"/>
      <c r="Q14" s="311"/>
      <c r="R14" s="307"/>
      <c r="S14" s="311"/>
      <c r="T14" s="307"/>
      <c r="U14" s="311"/>
      <c r="V14" s="307"/>
      <c r="W14" s="311"/>
      <c r="X14" s="307"/>
      <c r="Y14" s="311"/>
      <c r="Z14" s="307"/>
      <c r="AA14" s="311"/>
      <c r="AB14" s="307"/>
      <c r="AC14" s="311"/>
      <c r="AD14" s="307"/>
      <c r="AE14" s="311"/>
      <c r="AF14" s="307"/>
      <c r="AG14" s="311"/>
      <c r="AH14" s="307"/>
      <c r="AI14" s="311"/>
      <c r="AJ14" s="307"/>
      <c r="AK14" s="311"/>
      <c r="AL14" s="307"/>
      <c r="AM14" s="311"/>
      <c r="AN14" s="307"/>
      <c r="AO14" s="311"/>
      <c r="AP14" s="307"/>
      <c r="AQ14" s="311"/>
      <c r="AR14" s="307"/>
      <c r="AS14" s="311"/>
      <c r="AT14" s="307"/>
      <c r="AU14" s="311"/>
      <c r="AV14" s="307"/>
      <c r="AW14" s="311"/>
      <c r="AX14" s="307"/>
      <c r="AY14" s="311"/>
      <c r="AZ14" s="307"/>
      <c r="BA14" s="311"/>
      <c r="BB14" s="307"/>
      <c r="BC14" s="311"/>
      <c r="BD14" s="307"/>
      <c r="BE14" s="311"/>
      <c r="BF14" s="307"/>
      <c r="BG14" s="311"/>
      <c r="BH14" s="307"/>
      <c r="BI14" s="311"/>
      <c r="BJ14" s="307"/>
      <c r="BK14" s="311"/>
      <c r="BL14" s="307"/>
      <c r="BM14" s="311"/>
      <c r="BN14" s="307"/>
      <c r="BO14" s="311"/>
      <c r="BP14" s="307"/>
    </row>
    <row r="15" spans="1:68" x14ac:dyDescent="0.25">
      <c r="B15" s="344" t="str">
        <f t="shared" si="0"/>
        <v>62,7984507,883946419994</v>
      </c>
      <c r="E15" s="311" t="s">
        <v>172</v>
      </c>
      <c r="F15" s="307" t="s">
        <v>173</v>
      </c>
      <c r="G15" s="311" t="s">
        <v>172</v>
      </c>
      <c r="H15" s="307" t="s">
        <v>173</v>
      </c>
      <c r="I15" s="311" t="s">
        <v>172</v>
      </c>
      <c r="J15" s="307" t="s">
        <v>173</v>
      </c>
      <c r="K15" s="311" t="s">
        <v>172</v>
      </c>
      <c r="L15" s="307" t="s">
        <v>173</v>
      </c>
      <c r="M15" s="311" t="s">
        <v>172</v>
      </c>
      <c r="N15" s="307" t="s">
        <v>173</v>
      </c>
      <c r="O15" s="311" t="s">
        <v>172</v>
      </c>
      <c r="P15" s="307" t="s">
        <v>173</v>
      </c>
      <c r="Q15" s="311" t="s">
        <v>172</v>
      </c>
      <c r="R15" s="307" t="s">
        <v>173</v>
      </c>
      <c r="S15" s="311" t="s">
        <v>172</v>
      </c>
      <c r="T15" s="307" t="s">
        <v>173</v>
      </c>
      <c r="U15" s="311" t="s">
        <v>172</v>
      </c>
      <c r="V15" s="307" t="s">
        <v>173</v>
      </c>
      <c r="W15" s="311" t="s">
        <v>172</v>
      </c>
      <c r="X15" s="307" t="s">
        <v>173</v>
      </c>
      <c r="Y15" s="311" t="s">
        <v>172</v>
      </c>
      <c r="Z15" s="307" t="s">
        <v>173</v>
      </c>
      <c r="AA15" s="311" t="s">
        <v>172</v>
      </c>
      <c r="AB15" s="307" t="s">
        <v>173</v>
      </c>
      <c r="AC15" s="311" t="s">
        <v>172</v>
      </c>
      <c r="AD15" s="307" t="s">
        <v>173</v>
      </c>
      <c r="AE15" s="311" t="s">
        <v>172</v>
      </c>
      <c r="AF15" s="307" t="s">
        <v>173</v>
      </c>
      <c r="AG15" s="311" t="s">
        <v>172</v>
      </c>
      <c r="AH15" s="307" t="s">
        <v>173</v>
      </c>
      <c r="AI15" s="311" t="s">
        <v>172</v>
      </c>
      <c r="AJ15" s="307" t="s">
        <v>173</v>
      </c>
      <c r="AK15" s="311" t="s">
        <v>172</v>
      </c>
      <c r="AL15" s="307" t="s">
        <v>173</v>
      </c>
      <c r="AM15" s="311" t="s">
        <v>172</v>
      </c>
      <c r="AN15" s="307" t="s">
        <v>173</v>
      </c>
      <c r="AO15" s="311" t="s">
        <v>172</v>
      </c>
      <c r="AP15" s="307" t="s">
        <v>173</v>
      </c>
      <c r="AQ15" s="311" t="s">
        <v>172</v>
      </c>
      <c r="AR15" s="307" t="s">
        <v>173</v>
      </c>
      <c r="AS15" s="311" t="s">
        <v>172</v>
      </c>
      <c r="AT15" s="307" t="s">
        <v>173</v>
      </c>
      <c r="AU15" s="311" t="s">
        <v>172</v>
      </c>
      <c r="AV15" s="307" t="s">
        <v>173</v>
      </c>
      <c r="AW15" s="311" t="s">
        <v>172</v>
      </c>
      <c r="AX15" s="307" t="s">
        <v>173</v>
      </c>
      <c r="AY15" s="311" t="s">
        <v>172</v>
      </c>
      <c r="AZ15" s="307" t="s">
        <v>173</v>
      </c>
      <c r="BA15" s="311" t="s">
        <v>172</v>
      </c>
      <c r="BB15" s="307" t="s">
        <v>173</v>
      </c>
      <c r="BC15" s="311" t="s">
        <v>172</v>
      </c>
      <c r="BD15" s="307" t="s">
        <v>173</v>
      </c>
      <c r="BE15" s="311" t="s">
        <v>172</v>
      </c>
      <c r="BF15" s="307" t="s">
        <v>173</v>
      </c>
      <c r="BG15" s="311" t="s">
        <v>172</v>
      </c>
      <c r="BH15" s="307" t="s">
        <v>173</v>
      </c>
      <c r="BI15" s="311" t="s">
        <v>172</v>
      </c>
      <c r="BJ15" s="307" t="s">
        <v>173</v>
      </c>
      <c r="BK15" s="311" t="s">
        <v>172</v>
      </c>
      <c r="BL15" s="307" t="s">
        <v>173</v>
      </c>
      <c r="BM15" s="311" t="s">
        <v>172</v>
      </c>
      <c r="BN15" s="307" t="s">
        <v>173</v>
      </c>
      <c r="BO15" s="311" t="s">
        <v>172</v>
      </c>
      <c r="BP15" s="307" t="s">
        <v>173</v>
      </c>
    </row>
    <row r="16" spans="1:68" x14ac:dyDescent="0.25">
      <c r="B16" s="344" t="str">
        <f t="shared" si="0"/>
        <v>67,284489,707567122125</v>
      </c>
      <c r="D16" s="308">
        <v>0</v>
      </c>
      <c r="E16" s="315">
        <f>E$7+$D16*E$9+(E$10-E$7)</f>
        <v>0</v>
      </c>
      <c r="F16" s="316">
        <f>10*E$4*COSH((E$7+$D16*E$9)/E$4)+(E$11-10*E$4*COSH(E$7/E$4))</f>
        <v>1000</v>
      </c>
      <c r="G16" s="315">
        <f>G$7+$D16*G$9+(G$10-G$7)</f>
        <v>224.28</v>
      </c>
      <c r="H16" s="316">
        <f>10*G$4*COSH((G$7+$D16*G$9)/G$4)+(G$11-10*G$4*COSH(G$7/G$4))</f>
        <v>1128</v>
      </c>
      <c r="I16" s="315">
        <f>I$7+$D16*I$9+(I$10-I$7)</f>
        <v>437.6</v>
      </c>
      <c r="J16" s="316">
        <f>10*I$4*COSH((I$7+$D16*I$9)/I$4)+(I$11-10*I$4*COSH(I$7/I$4))</f>
        <v>1128</v>
      </c>
      <c r="K16" s="315">
        <f t="shared" ref="K16" si="218">K$7+$D16*K$9+(K$10-K$7)</f>
        <v>652.54999999999995</v>
      </c>
      <c r="L16" s="316">
        <f t="shared" ref="L16" si="219">10*K$4*COSH((K$7+$D16*K$9)/K$4)+(K$11-10*K$4*COSH(K$7/K$4))</f>
        <v>1128</v>
      </c>
      <c r="M16" s="315">
        <f t="shared" ref="M16" si="220">M$7+$D16*M$9+(M$10-M$7)</f>
        <v>845.94999999999993</v>
      </c>
      <c r="N16" s="316">
        <f t="shared" ref="N16" si="221">10*M$4*COSH((M$7+$D16*M$9)/M$4)+(M$11-10*M$4*COSH(M$7/M$4))</f>
        <v>1128</v>
      </c>
      <c r="O16" s="315">
        <f t="shared" ref="O16" si="222">O$7+$D16*O$9+(O$10-O$7)</f>
        <v>1047.74</v>
      </c>
      <c r="P16" s="316">
        <f t="shared" ref="P16" si="223">10*O$4*COSH((O$7+$D16*O$9)/O$4)+(O$11-10*O$4*COSH(O$7/O$4))</f>
        <v>1128</v>
      </c>
      <c r="Q16" s="315">
        <f t="shared" ref="Q16" si="224">Q$7+$D16*Q$9+(Q$10-Q$7)</f>
        <v>1256.92</v>
      </c>
      <c r="R16" s="316">
        <f t="shared" ref="R16" si="225">10*Q$4*COSH((Q$7+$D16*Q$9)/Q$4)+(Q$11-10*Q$4*COSH(Q$7/Q$4))</f>
        <v>1128</v>
      </c>
      <c r="S16" s="315">
        <f t="shared" ref="S16" si="226">S$7+$D16*S$9+(S$10-S$7)</f>
        <v>1466.6200000000001</v>
      </c>
      <c r="T16" s="316">
        <f t="shared" ref="T16" si="227">10*S$4*COSH((S$7+$D16*S$9)/S$4)+(S$11-10*S$4*COSH(S$7/S$4))</f>
        <v>1128</v>
      </c>
      <c r="U16" s="315" t="e">
        <f t="shared" ref="U16:BO31" si="228">U$7+$D16*U$9+(U$10-U$7)</f>
        <v>#DIV/0!</v>
      </c>
      <c r="V16" s="316" t="e">
        <f t="shared" ref="V16" si="229">10*U$4*COSH((U$7+$D16*U$9)/U$4)+(U$11-10*U$4*COSH(U$7/U$4))</f>
        <v>#DIV/0!</v>
      </c>
      <c r="W16" s="315" t="e">
        <f t="shared" ref="W16" si="230">W$7+$D16*W$9+(W$10-W$7)</f>
        <v>#DIV/0!</v>
      </c>
      <c r="X16" s="316" t="e">
        <f t="shared" ref="X16" si="231">10*W$4*COSH((W$7+$D16*W$9)/W$4)+(W$11-10*W$4*COSH(W$7/W$4))</f>
        <v>#DIV/0!</v>
      </c>
      <c r="Y16" s="315" t="e">
        <f t="shared" ref="Y16" si="232">Y$7+$D16*Y$9+(Y$10-Y$7)</f>
        <v>#DIV/0!</v>
      </c>
      <c r="Z16" s="316" t="e">
        <f t="shared" ref="Z16" si="233">10*Y$4*COSH((Y$7+$D16*Y$9)/Y$4)+(Y$11-10*Y$4*COSH(Y$7/Y$4))</f>
        <v>#DIV/0!</v>
      </c>
      <c r="AA16" s="315" t="e">
        <f t="shared" ref="AA16" si="234">AA$7+$D16*AA$9+(AA$10-AA$7)</f>
        <v>#DIV/0!</v>
      </c>
      <c r="AB16" s="316" t="e">
        <f t="shared" ref="AB16" si="235">10*AA$4*COSH((AA$7+$D16*AA$9)/AA$4)+(AA$11-10*AA$4*COSH(AA$7/AA$4))</f>
        <v>#DIV/0!</v>
      </c>
      <c r="AC16" s="315" t="e">
        <f t="shared" ref="AC16" si="236">AC$7+$D16*AC$9+(AC$10-AC$7)</f>
        <v>#DIV/0!</v>
      </c>
      <c r="AD16" s="316" t="e">
        <f t="shared" ref="AD16" si="237">10*AC$4*COSH((AC$7+$D16*AC$9)/AC$4)+(AC$11-10*AC$4*COSH(AC$7/AC$4))</f>
        <v>#DIV/0!</v>
      </c>
      <c r="AE16" s="315" t="e">
        <f t="shared" ref="AE16" si="238">AE$7+$D16*AE$9+(AE$10-AE$7)</f>
        <v>#DIV/0!</v>
      </c>
      <c r="AF16" s="316" t="e">
        <f t="shared" ref="AF16" si="239">10*AE$4*COSH((AE$7+$D16*AE$9)/AE$4)+(AE$11-10*AE$4*COSH(AE$7/AE$4))</f>
        <v>#DIV/0!</v>
      </c>
      <c r="AG16" s="315" t="e">
        <f t="shared" ref="AG16:BO16" si="240">AG$7+$D16*AG$9+(AG$10-AG$7)</f>
        <v>#DIV/0!</v>
      </c>
      <c r="AH16" s="316" t="e">
        <f t="shared" ref="AH16" si="241">10*AG$4*COSH((AG$7+$D16*AG$9)/AG$4)+(AG$11-10*AG$4*COSH(AG$7/AG$4))</f>
        <v>#DIV/0!</v>
      </c>
      <c r="AI16" s="315" t="e">
        <f t="shared" si="240"/>
        <v>#DIV/0!</v>
      </c>
      <c r="AJ16" s="316" t="e">
        <f t="shared" ref="AJ16:AJ66" si="242">10*AI$4*COSH((AI$7+$D16*AI$9)/AI$4)+(AI$11-10*AI$4*COSH(AI$7/AI$4))</f>
        <v>#DIV/0!</v>
      </c>
      <c r="AK16" s="315" t="e">
        <f t="shared" si="240"/>
        <v>#DIV/0!</v>
      </c>
      <c r="AL16" s="316" t="e">
        <f t="shared" ref="AL16:AL66" si="243">10*AK$4*COSH((AK$7+$D16*AK$9)/AK$4)+(AK$11-10*AK$4*COSH(AK$7/AK$4))</f>
        <v>#DIV/0!</v>
      </c>
      <c r="AM16" s="315" t="e">
        <f t="shared" si="240"/>
        <v>#DIV/0!</v>
      </c>
      <c r="AN16" s="316" t="e">
        <f t="shared" ref="AN16:AN66" si="244">10*AM$4*COSH((AM$7+$D16*AM$9)/AM$4)+(AM$11-10*AM$4*COSH(AM$7/AM$4))</f>
        <v>#DIV/0!</v>
      </c>
      <c r="AO16" s="315" t="e">
        <f t="shared" si="240"/>
        <v>#DIV/0!</v>
      </c>
      <c r="AP16" s="316" t="e">
        <f t="shared" ref="AP16:AP66" si="245">10*AO$4*COSH((AO$7+$D16*AO$9)/AO$4)+(AO$11-10*AO$4*COSH(AO$7/AO$4))</f>
        <v>#DIV/0!</v>
      </c>
      <c r="AQ16" s="315" t="e">
        <f t="shared" si="240"/>
        <v>#DIV/0!</v>
      </c>
      <c r="AR16" s="316" t="e">
        <f t="shared" ref="AR16:AR66" si="246">10*AQ$4*COSH((AQ$7+$D16*AQ$9)/AQ$4)+(AQ$11-10*AQ$4*COSH(AQ$7/AQ$4))</f>
        <v>#DIV/0!</v>
      </c>
      <c r="AS16" s="315" t="e">
        <f t="shared" si="240"/>
        <v>#DIV/0!</v>
      </c>
      <c r="AT16" s="316" t="e">
        <f t="shared" ref="AT16:AT66" si="247">10*AS$4*COSH((AS$7+$D16*AS$9)/AS$4)+(AS$11-10*AS$4*COSH(AS$7/AS$4))</f>
        <v>#DIV/0!</v>
      </c>
      <c r="AU16" s="315" t="e">
        <f t="shared" si="240"/>
        <v>#DIV/0!</v>
      </c>
      <c r="AV16" s="316" t="e">
        <f t="shared" ref="AV16:AV66" si="248">10*AU$4*COSH((AU$7+$D16*AU$9)/AU$4)+(AU$11-10*AU$4*COSH(AU$7/AU$4))</f>
        <v>#DIV/0!</v>
      </c>
      <c r="AW16" s="315" t="e">
        <f t="shared" si="240"/>
        <v>#DIV/0!</v>
      </c>
      <c r="AX16" s="316" t="e">
        <f t="shared" ref="AX16:AX66" si="249">10*AW$4*COSH((AW$7+$D16*AW$9)/AW$4)+(AW$11-10*AW$4*COSH(AW$7/AW$4))</f>
        <v>#DIV/0!</v>
      </c>
      <c r="AY16" s="315" t="e">
        <f t="shared" si="240"/>
        <v>#DIV/0!</v>
      </c>
      <c r="AZ16" s="316" t="e">
        <f t="shared" ref="AZ16:AZ66" si="250">10*AY$4*COSH((AY$7+$D16*AY$9)/AY$4)+(AY$11-10*AY$4*COSH(AY$7/AY$4))</f>
        <v>#DIV/0!</v>
      </c>
      <c r="BA16" s="315" t="e">
        <f t="shared" si="240"/>
        <v>#DIV/0!</v>
      </c>
      <c r="BB16" s="316" t="e">
        <f t="shared" ref="BB16:BB66" si="251">10*BA$4*COSH((BA$7+$D16*BA$9)/BA$4)+(BA$11-10*BA$4*COSH(BA$7/BA$4))</f>
        <v>#DIV/0!</v>
      </c>
      <c r="BC16" s="315" t="e">
        <f t="shared" si="240"/>
        <v>#DIV/0!</v>
      </c>
      <c r="BD16" s="316" t="e">
        <f t="shared" ref="BD16:BD66" si="252">10*BC$4*COSH((BC$7+$D16*BC$9)/BC$4)+(BC$11-10*BC$4*COSH(BC$7/BC$4))</f>
        <v>#DIV/0!</v>
      </c>
      <c r="BE16" s="315" t="e">
        <f t="shared" si="240"/>
        <v>#DIV/0!</v>
      </c>
      <c r="BF16" s="316" t="e">
        <f t="shared" ref="BF16:BF66" si="253">10*BE$4*COSH((BE$7+$D16*BE$9)/BE$4)+(BE$11-10*BE$4*COSH(BE$7/BE$4))</f>
        <v>#DIV/0!</v>
      </c>
      <c r="BG16" s="315" t="e">
        <f t="shared" si="240"/>
        <v>#DIV/0!</v>
      </c>
      <c r="BH16" s="316" t="e">
        <f t="shared" ref="BH16:BH66" si="254">10*BG$4*COSH((BG$7+$D16*BG$9)/BG$4)+(BG$11-10*BG$4*COSH(BG$7/BG$4))</f>
        <v>#DIV/0!</v>
      </c>
      <c r="BI16" s="315" t="e">
        <f t="shared" si="240"/>
        <v>#DIV/0!</v>
      </c>
      <c r="BJ16" s="316" t="e">
        <f t="shared" ref="BJ16:BJ66" si="255">10*BI$4*COSH((BI$7+$D16*BI$9)/BI$4)+(BI$11-10*BI$4*COSH(BI$7/BI$4))</f>
        <v>#DIV/0!</v>
      </c>
      <c r="BK16" s="315" t="e">
        <f t="shared" si="240"/>
        <v>#DIV/0!</v>
      </c>
      <c r="BL16" s="316" t="e">
        <f t="shared" ref="BL16:BL66" si="256">10*BK$4*COSH((BK$7+$D16*BK$9)/BK$4)+(BK$11-10*BK$4*COSH(BK$7/BK$4))</f>
        <v>#DIV/0!</v>
      </c>
      <c r="BM16" s="315" t="e">
        <f t="shared" si="240"/>
        <v>#DIV/0!</v>
      </c>
      <c r="BN16" s="316" t="e">
        <f t="shared" ref="BN16:BN66" si="257">10*BM$4*COSH((BM$7+$D16*BM$9)/BM$4)+(BM$11-10*BM$4*COSH(BM$7/BM$4))</f>
        <v>#DIV/0!</v>
      </c>
      <c r="BO16" s="315" t="e">
        <f t="shared" si="240"/>
        <v>#DIV/0!</v>
      </c>
      <c r="BP16" s="316" t="e">
        <f t="shared" ref="BP16:BP66" si="258">10*BO$4*COSH((BO$7+$D16*BO$9)/BO$4)+(BO$11-10*BO$4*COSH(BO$7/BO$4))</f>
        <v>#DIV/0!</v>
      </c>
    </row>
    <row r="17" spans="2:68" x14ac:dyDescent="0.25">
      <c r="B17" s="344" t="str">
        <f t="shared" si="0"/>
        <v>71,7696473,555725396597</v>
      </c>
      <c r="D17" s="308">
        <v>1</v>
      </c>
      <c r="E17" s="315">
        <f t="shared" ref="E17:S66" si="259">E$7+$D17*E$9+(E$10-E$7)</f>
        <v>4.4856000000000051</v>
      </c>
      <c r="F17" s="316">
        <f t="shared" ref="F17:H66" si="260">10*E$4*COSH((E$7+$D17*E$9)/E$4)+(E$11-10*E$4*COSH(E$7/E$4))</f>
        <v>948.31850462841999</v>
      </c>
      <c r="G17" s="315">
        <f t="shared" si="259"/>
        <v>228.54640000000001</v>
      </c>
      <c r="H17" s="316">
        <f t="shared" si="260"/>
        <v>1079.0229791968798</v>
      </c>
      <c r="I17" s="315">
        <f t="shared" si="259"/>
        <v>441.89900000000006</v>
      </c>
      <c r="J17" s="316">
        <f t="shared" ref="J17:AH17" si="261">10*I$4*COSH((I$7+$D17*I$9)/I$4)+(I$11-10*I$4*COSH(I$7/I$4))</f>
        <v>1078.1560819028709</v>
      </c>
      <c r="K17" s="315">
        <f t="shared" si="259"/>
        <v>656.41800000000001</v>
      </c>
      <c r="L17" s="316">
        <f t="shared" si="261"/>
        <v>1088.8188508567837</v>
      </c>
      <c r="M17" s="315">
        <f t="shared" si="259"/>
        <v>849.98579999999993</v>
      </c>
      <c r="N17" s="316">
        <f t="shared" si="261"/>
        <v>1084.8686603239037</v>
      </c>
      <c r="O17" s="315">
        <f t="shared" si="259"/>
        <v>1051.9235999999999</v>
      </c>
      <c r="P17" s="316">
        <f t="shared" si="261"/>
        <v>1081.1790983026151</v>
      </c>
      <c r="Q17" s="315">
        <f t="shared" si="259"/>
        <v>1261.114</v>
      </c>
      <c r="R17" s="316">
        <f t="shared" si="261"/>
        <v>1080.9118479902293</v>
      </c>
      <c r="S17" s="315">
        <f t="shared" si="259"/>
        <v>1470.7946000000002</v>
      </c>
      <c r="T17" s="316">
        <f t="shared" si="261"/>
        <v>1081.4095524282391</v>
      </c>
      <c r="U17" s="315" t="e">
        <f t="shared" si="228"/>
        <v>#DIV/0!</v>
      </c>
      <c r="V17" s="316" t="e">
        <f t="shared" si="261"/>
        <v>#DIV/0!</v>
      </c>
      <c r="W17" s="315" t="e">
        <f t="shared" si="228"/>
        <v>#DIV/0!</v>
      </c>
      <c r="X17" s="316" t="e">
        <f t="shared" si="261"/>
        <v>#DIV/0!</v>
      </c>
      <c r="Y17" s="315" t="e">
        <f t="shared" si="228"/>
        <v>#DIV/0!</v>
      </c>
      <c r="Z17" s="316" t="e">
        <f t="shared" si="261"/>
        <v>#DIV/0!</v>
      </c>
      <c r="AA17" s="315" t="e">
        <f t="shared" si="228"/>
        <v>#DIV/0!</v>
      </c>
      <c r="AB17" s="316" t="e">
        <f t="shared" si="261"/>
        <v>#DIV/0!</v>
      </c>
      <c r="AC17" s="315" t="e">
        <f t="shared" si="228"/>
        <v>#DIV/0!</v>
      </c>
      <c r="AD17" s="316" t="e">
        <f t="shared" si="261"/>
        <v>#DIV/0!</v>
      </c>
      <c r="AE17" s="315" t="e">
        <f t="shared" si="228"/>
        <v>#DIV/0!</v>
      </c>
      <c r="AF17" s="316" t="e">
        <f t="shared" si="261"/>
        <v>#DIV/0!</v>
      </c>
      <c r="AG17" s="315" t="e">
        <f t="shared" si="228"/>
        <v>#DIV/0!</v>
      </c>
      <c r="AH17" s="316" t="e">
        <f t="shared" si="261"/>
        <v>#DIV/0!</v>
      </c>
      <c r="AI17" s="315" t="e">
        <f t="shared" si="228"/>
        <v>#DIV/0!</v>
      </c>
      <c r="AJ17" s="316" t="e">
        <f t="shared" si="242"/>
        <v>#DIV/0!</v>
      </c>
      <c r="AK17" s="315" t="e">
        <f t="shared" si="228"/>
        <v>#DIV/0!</v>
      </c>
      <c r="AL17" s="316" t="e">
        <f t="shared" si="243"/>
        <v>#DIV/0!</v>
      </c>
      <c r="AM17" s="315" t="e">
        <f t="shared" si="228"/>
        <v>#DIV/0!</v>
      </c>
      <c r="AN17" s="316" t="e">
        <f t="shared" si="244"/>
        <v>#DIV/0!</v>
      </c>
      <c r="AO17" s="315" t="e">
        <f t="shared" si="228"/>
        <v>#DIV/0!</v>
      </c>
      <c r="AP17" s="316" t="e">
        <f t="shared" si="245"/>
        <v>#DIV/0!</v>
      </c>
      <c r="AQ17" s="315" t="e">
        <f t="shared" si="228"/>
        <v>#DIV/0!</v>
      </c>
      <c r="AR17" s="316" t="e">
        <f t="shared" si="246"/>
        <v>#DIV/0!</v>
      </c>
      <c r="AS17" s="315" t="e">
        <f t="shared" si="228"/>
        <v>#DIV/0!</v>
      </c>
      <c r="AT17" s="316" t="e">
        <f t="shared" si="247"/>
        <v>#DIV/0!</v>
      </c>
      <c r="AU17" s="315" t="e">
        <f t="shared" si="228"/>
        <v>#DIV/0!</v>
      </c>
      <c r="AV17" s="316" t="e">
        <f t="shared" si="248"/>
        <v>#DIV/0!</v>
      </c>
      <c r="AW17" s="315" t="e">
        <f t="shared" si="228"/>
        <v>#DIV/0!</v>
      </c>
      <c r="AX17" s="316" t="e">
        <f t="shared" si="249"/>
        <v>#DIV/0!</v>
      </c>
      <c r="AY17" s="315" t="e">
        <f t="shared" si="228"/>
        <v>#DIV/0!</v>
      </c>
      <c r="AZ17" s="316" t="e">
        <f t="shared" si="250"/>
        <v>#DIV/0!</v>
      </c>
      <c r="BA17" s="315" t="e">
        <f t="shared" si="228"/>
        <v>#DIV/0!</v>
      </c>
      <c r="BB17" s="316" t="e">
        <f t="shared" si="251"/>
        <v>#DIV/0!</v>
      </c>
      <c r="BC17" s="315" t="e">
        <f t="shared" si="228"/>
        <v>#DIV/0!</v>
      </c>
      <c r="BD17" s="316" t="e">
        <f t="shared" si="252"/>
        <v>#DIV/0!</v>
      </c>
      <c r="BE17" s="315" t="e">
        <f t="shared" si="228"/>
        <v>#DIV/0!</v>
      </c>
      <c r="BF17" s="316" t="e">
        <f t="shared" si="253"/>
        <v>#DIV/0!</v>
      </c>
      <c r="BG17" s="315" t="e">
        <f t="shared" si="228"/>
        <v>#DIV/0!</v>
      </c>
      <c r="BH17" s="316" t="e">
        <f t="shared" si="254"/>
        <v>#DIV/0!</v>
      </c>
      <c r="BI17" s="315" t="e">
        <f t="shared" si="228"/>
        <v>#DIV/0!</v>
      </c>
      <c r="BJ17" s="316" t="e">
        <f t="shared" si="255"/>
        <v>#DIV/0!</v>
      </c>
      <c r="BK17" s="315" t="e">
        <f t="shared" si="228"/>
        <v>#DIV/0!</v>
      </c>
      <c r="BL17" s="316" t="e">
        <f t="shared" si="256"/>
        <v>#DIV/0!</v>
      </c>
      <c r="BM17" s="315" t="e">
        <f t="shared" si="228"/>
        <v>#DIV/0!</v>
      </c>
      <c r="BN17" s="316" t="e">
        <f t="shared" si="257"/>
        <v>#DIV/0!</v>
      </c>
      <c r="BO17" s="315" t="e">
        <f t="shared" si="228"/>
        <v>#DIV/0!</v>
      </c>
      <c r="BP17" s="316" t="e">
        <f t="shared" si="258"/>
        <v>#DIV/0!</v>
      </c>
    </row>
    <row r="18" spans="2:68" x14ac:dyDescent="0.25">
      <c r="B18" s="344" t="str">
        <f t="shared" si="0"/>
        <v>76,2552459,399722869327</v>
      </c>
      <c r="D18" s="308">
        <v>2</v>
      </c>
      <c r="E18" s="315">
        <f t="shared" si="259"/>
        <v>8.9711999999999961</v>
      </c>
      <c r="F18" s="316">
        <f t="shared" si="260"/>
        <v>899.47640054477392</v>
      </c>
      <c r="G18" s="315">
        <f t="shared" si="259"/>
        <v>232.81279999999998</v>
      </c>
      <c r="H18" s="316">
        <f t="shared" si="260"/>
        <v>1032.6113005997465</v>
      </c>
      <c r="I18" s="315">
        <f t="shared" si="259"/>
        <v>446.19800000000004</v>
      </c>
      <c r="J18" s="316">
        <f t="shared" ref="J18:AH18" si="262">10*I$4*COSH((I$7+$D18*I$9)/I$4)+(I$11-10*I$4*COSH(I$7/I$4))</f>
        <v>1030.93120633181</v>
      </c>
      <c r="K18" s="315">
        <f t="shared" ref="K18:AO33" si="263">K$7+$D18*K$9+(K$10-K$7)</f>
        <v>660.28600000000006</v>
      </c>
      <c r="L18" s="316">
        <f t="shared" si="262"/>
        <v>1051.6134027691039</v>
      </c>
      <c r="M18" s="315">
        <f t="shared" si="263"/>
        <v>854.02159999999992</v>
      </c>
      <c r="N18" s="316">
        <f t="shared" si="262"/>
        <v>1043.94691352584</v>
      </c>
      <c r="O18" s="315">
        <f t="shared" si="263"/>
        <v>1056.1071999999999</v>
      </c>
      <c r="P18" s="316">
        <f t="shared" si="262"/>
        <v>1036.7910213449145</v>
      </c>
      <c r="Q18" s="315">
        <f t="shared" si="263"/>
        <v>1265.308</v>
      </c>
      <c r="R18" s="316">
        <f t="shared" si="262"/>
        <v>1036.2728646169155</v>
      </c>
      <c r="S18" s="315">
        <f t="shared" si="263"/>
        <v>1474.9692000000002</v>
      </c>
      <c r="T18" s="316">
        <f t="shared" si="262"/>
        <v>1037.2378546853245</v>
      </c>
      <c r="U18" s="315" t="e">
        <f t="shared" si="263"/>
        <v>#DIV/0!</v>
      </c>
      <c r="V18" s="316" t="e">
        <f t="shared" si="262"/>
        <v>#DIV/0!</v>
      </c>
      <c r="W18" s="315" t="e">
        <f t="shared" si="263"/>
        <v>#DIV/0!</v>
      </c>
      <c r="X18" s="316" t="e">
        <f t="shared" si="262"/>
        <v>#DIV/0!</v>
      </c>
      <c r="Y18" s="315" t="e">
        <f t="shared" si="263"/>
        <v>#DIV/0!</v>
      </c>
      <c r="Z18" s="316" t="e">
        <f t="shared" si="262"/>
        <v>#DIV/0!</v>
      </c>
      <c r="AA18" s="315" t="e">
        <f t="shared" si="263"/>
        <v>#DIV/0!</v>
      </c>
      <c r="AB18" s="316" t="e">
        <f t="shared" si="262"/>
        <v>#DIV/0!</v>
      </c>
      <c r="AC18" s="315" t="e">
        <f t="shared" si="263"/>
        <v>#DIV/0!</v>
      </c>
      <c r="AD18" s="316" t="e">
        <f t="shared" si="262"/>
        <v>#DIV/0!</v>
      </c>
      <c r="AE18" s="315" t="e">
        <f t="shared" si="263"/>
        <v>#DIV/0!</v>
      </c>
      <c r="AF18" s="316" t="e">
        <f t="shared" si="262"/>
        <v>#DIV/0!</v>
      </c>
      <c r="AG18" s="315" t="e">
        <f t="shared" si="263"/>
        <v>#DIV/0!</v>
      </c>
      <c r="AH18" s="316" t="e">
        <f t="shared" si="262"/>
        <v>#DIV/0!</v>
      </c>
      <c r="AI18" s="315" t="e">
        <f t="shared" si="263"/>
        <v>#DIV/0!</v>
      </c>
      <c r="AJ18" s="316" t="e">
        <f t="shared" si="242"/>
        <v>#DIV/0!</v>
      </c>
      <c r="AK18" s="315" t="e">
        <f t="shared" si="263"/>
        <v>#DIV/0!</v>
      </c>
      <c r="AL18" s="316" t="e">
        <f t="shared" si="243"/>
        <v>#DIV/0!</v>
      </c>
      <c r="AM18" s="315" t="e">
        <f t="shared" si="263"/>
        <v>#DIV/0!</v>
      </c>
      <c r="AN18" s="316" t="e">
        <f t="shared" si="244"/>
        <v>#DIV/0!</v>
      </c>
      <c r="AO18" s="315" t="e">
        <f t="shared" si="263"/>
        <v>#DIV/0!</v>
      </c>
      <c r="AP18" s="316" t="e">
        <f t="shared" si="245"/>
        <v>#DIV/0!</v>
      </c>
      <c r="AQ18" s="315" t="e">
        <f t="shared" si="228"/>
        <v>#DIV/0!</v>
      </c>
      <c r="AR18" s="316" t="e">
        <f t="shared" si="246"/>
        <v>#DIV/0!</v>
      </c>
      <c r="AS18" s="315" t="e">
        <f t="shared" si="228"/>
        <v>#DIV/0!</v>
      </c>
      <c r="AT18" s="316" t="e">
        <f t="shared" si="247"/>
        <v>#DIV/0!</v>
      </c>
      <c r="AU18" s="315" t="e">
        <f t="shared" si="228"/>
        <v>#DIV/0!</v>
      </c>
      <c r="AV18" s="316" t="e">
        <f t="shared" si="248"/>
        <v>#DIV/0!</v>
      </c>
      <c r="AW18" s="315" t="e">
        <f t="shared" si="228"/>
        <v>#DIV/0!</v>
      </c>
      <c r="AX18" s="316" t="e">
        <f t="shared" si="249"/>
        <v>#DIV/0!</v>
      </c>
      <c r="AY18" s="315" t="e">
        <f t="shared" si="228"/>
        <v>#DIV/0!</v>
      </c>
      <c r="AZ18" s="316" t="e">
        <f t="shared" si="250"/>
        <v>#DIV/0!</v>
      </c>
      <c r="BA18" s="315" t="e">
        <f t="shared" si="228"/>
        <v>#DIV/0!</v>
      </c>
      <c r="BB18" s="316" t="e">
        <f t="shared" si="251"/>
        <v>#DIV/0!</v>
      </c>
      <c r="BC18" s="315" t="e">
        <f t="shared" si="228"/>
        <v>#DIV/0!</v>
      </c>
      <c r="BD18" s="316" t="e">
        <f t="shared" si="252"/>
        <v>#DIV/0!</v>
      </c>
      <c r="BE18" s="315" t="e">
        <f t="shared" si="228"/>
        <v>#DIV/0!</v>
      </c>
      <c r="BF18" s="316" t="e">
        <f t="shared" si="253"/>
        <v>#DIV/0!</v>
      </c>
      <c r="BG18" s="315" t="e">
        <f t="shared" si="228"/>
        <v>#DIV/0!</v>
      </c>
      <c r="BH18" s="316" t="e">
        <f t="shared" si="254"/>
        <v>#DIV/0!</v>
      </c>
      <c r="BI18" s="315" t="e">
        <f t="shared" si="228"/>
        <v>#DIV/0!</v>
      </c>
      <c r="BJ18" s="316" t="e">
        <f t="shared" si="255"/>
        <v>#DIV/0!</v>
      </c>
      <c r="BK18" s="315" t="e">
        <f t="shared" si="228"/>
        <v>#DIV/0!</v>
      </c>
      <c r="BL18" s="316" t="e">
        <f t="shared" si="256"/>
        <v>#DIV/0!</v>
      </c>
      <c r="BM18" s="315" t="e">
        <f t="shared" si="228"/>
        <v>#DIV/0!</v>
      </c>
      <c r="BN18" s="316" t="e">
        <f t="shared" si="257"/>
        <v>#DIV/0!</v>
      </c>
      <c r="BO18" s="315" t="e">
        <f t="shared" si="228"/>
        <v>#DIV/0!</v>
      </c>
      <c r="BP18" s="316" t="e">
        <f t="shared" si="258"/>
        <v>#DIV/0!</v>
      </c>
    </row>
    <row r="19" spans="2:68" x14ac:dyDescent="0.25">
      <c r="B19" s="344" t="str">
        <f t="shared" si="0"/>
        <v>80,7408447,214407346343</v>
      </c>
      <c r="D19" s="308">
        <v>3</v>
      </c>
      <c r="E19" s="315">
        <f t="shared" si="259"/>
        <v>13.456800000000001</v>
      </c>
      <c r="F19" s="316">
        <f t="shared" si="260"/>
        <v>853.38690575863097</v>
      </c>
      <c r="G19" s="315">
        <f t="shared" si="259"/>
        <v>237.07920000000001</v>
      </c>
      <c r="H19" s="316">
        <f t="shared" si="260"/>
        <v>988.69036427460151</v>
      </c>
      <c r="I19" s="315">
        <f t="shared" si="259"/>
        <v>450.49700000000007</v>
      </c>
      <c r="J19" s="316">
        <f t="shared" ref="J19:AH19" si="264">10*I$4*COSH((I$7+$D19*I$9)/I$4)+(I$11-10*I$4*COSH(I$7/I$4))</f>
        <v>986.24830164145692</v>
      </c>
      <c r="K19" s="315">
        <f t="shared" si="263"/>
        <v>664.154</v>
      </c>
      <c r="L19" s="316">
        <f t="shared" si="264"/>
        <v>1016.3345019321473</v>
      </c>
      <c r="M19" s="315">
        <f t="shared" si="263"/>
        <v>858.05739999999992</v>
      </c>
      <c r="N19" s="316">
        <f t="shared" si="264"/>
        <v>1005.1759029822579</v>
      </c>
      <c r="O19" s="315">
        <f t="shared" si="263"/>
        <v>1060.2908</v>
      </c>
      <c r="P19" s="316">
        <f t="shared" si="264"/>
        <v>994.76716465444497</v>
      </c>
      <c r="Q19" s="315">
        <f t="shared" si="263"/>
        <v>1269.502</v>
      </c>
      <c r="R19" s="316">
        <f t="shared" si="264"/>
        <v>994.01371413031734</v>
      </c>
      <c r="S19" s="315">
        <f t="shared" si="263"/>
        <v>1479.1438000000001</v>
      </c>
      <c r="T19" s="316">
        <f t="shared" si="264"/>
        <v>995.41693018057776</v>
      </c>
      <c r="U19" s="315" t="e">
        <f t="shared" si="263"/>
        <v>#DIV/0!</v>
      </c>
      <c r="V19" s="316" t="e">
        <f t="shared" si="264"/>
        <v>#DIV/0!</v>
      </c>
      <c r="W19" s="315" t="e">
        <f t="shared" si="263"/>
        <v>#DIV/0!</v>
      </c>
      <c r="X19" s="316" t="e">
        <f t="shared" si="264"/>
        <v>#DIV/0!</v>
      </c>
      <c r="Y19" s="315" t="e">
        <f t="shared" si="263"/>
        <v>#DIV/0!</v>
      </c>
      <c r="Z19" s="316" t="e">
        <f t="shared" si="264"/>
        <v>#DIV/0!</v>
      </c>
      <c r="AA19" s="315" t="e">
        <f t="shared" si="263"/>
        <v>#DIV/0!</v>
      </c>
      <c r="AB19" s="316" t="e">
        <f t="shared" si="264"/>
        <v>#DIV/0!</v>
      </c>
      <c r="AC19" s="315" t="e">
        <f t="shared" si="263"/>
        <v>#DIV/0!</v>
      </c>
      <c r="AD19" s="316" t="e">
        <f t="shared" si="264"/>
        <v>#DIV/0!</v>
      </c>
      <c r="AE19" s="315" t="e">
        <f t="shared" si="263"/>
        <v>#DIV/0!</v>
      </c>
      <c r="AF19" s="316" t="e">
        <f t="shared" si="264"/>
        <v>#DIV/0!</v>
      </c>
      <c r="AG19" s="315" t="e">
        <f t="shared" si="263"/>
        <v>#DIV/0!</v>
      </c>
      <c r="AH19" s="316" t="e">
        <f t="shared" si="264"/>
        <v>#DIV/0!</v>
      </c>
      <c r="AI19" s="315" t="e">
        <f t="shared" si="263"/>
        <v>#DIV/0!</v>
      </c>
      <c r="AJ19" s="316" t="e">
        <f t="shared" si="242"/>
        <v>#DIV/0!</v>
      </c>
      <c r="AK19" s="315" t="e">
        <f t="shared" si="263"/>
        <v>#DIV/0!</v>
      </c>
      <c r="AL19" s="316" t="e">
        <f t="shared" si="243"/>
        <v>#DIV/0!</v>
      </c>
      <c r="AM19" s="315" t="e">
        <f t="shared" si="263"/>
        <v>#DIV/0!</v>
      </c>
      <c r="AN19" s="316" t="e">
        <f t="shared" si="244"/>
        <v>#DIV/0!</v>
      </c>
      <c r="AO19" s="315" t="e">
        <f t="shared" si="263"/>
        <v>#DIV/0!</v>
      </c>
      <c r="AP19" s="316" t="e">
        <f t="shared" si="245"/>
        <v>#DIV/0!</v>
      </c>
      <c r="AQ19" s="315" t="e">
        <f t="shared" si="228"/>
        <v>#DIV/0!</v>
      </c>
      <c r="AR19" s="316" t="e">
        <f t="shared" si="246"/>
        <v>#DIV/0!</v>
      </c>
      <c r="AS19" s="315" t="e">
        <f t="shared" si="228"/>
        <v>#DIV/0!</v>
      </c>
      <c r="AT19" s="316" t="e">
        <f t="shared" si="247"/>
        <v>#DIV/0!</v>
      </c>
      <c r="AU19" s="315" t="e">
        <f t="shared" si="228"/>
        <v>#DIV/0!</v>
      </c>
      <c r="AV19" s="316" t="e">
        <f t="shared" si="248"/>
        <v>#DIV/0!</v>
      </c>
      <c r="AW19" s="315" t="e">
        <f t="shared" si="228"/>
        <v>#DIV/0!</v>
      </c>
      <c r="AX19" s="316" t="e">
        <f t="shared" si="249"/>
        <v>#DIV/0!</v>
      </c>
      <c r="AY19" s="315" t="e">
        <f t="shared" si="228"/>
        <v>#DIV/0!</v>
      </c>
      <c r="AZ19" s="316" t="e">
        <f t="shared" si="250"/>
        <v>#DIV/0!</v>
      </c>
      <c r="BA19" s="315" t="e">
        <f t="shared" si="228"/>
        <v>#DIV/0!</v>
      </c>
      <c r="BB19" s="316" t="e">
        <f t="shared" si="251"/>
        <v>#DIV/0!</v>
      </c>
      <c r="BC19" s="315" t="e">
        <f t="shared" si="228"/>
        <v>#DIV/0!</v>
      </c>
      <c r="BD19" s="316" t="e">
        <f t="shared" si="252"/>
        <v>#DIV/0!</v>
      </c>
      <c r="BE19" s="315" t="e">
        <f t="shared" si="228"/>
        <v>#DIV/0!</v>
      </c>
      <c r="BF19" s="316" t="e">
        <f t="shared" si="253"/>
        <v>#DIV/0!</v>
      </c>
      <c r="BG19" s="315" t="e">
        <f t="shared" si="228"/>
        <v>#DIV/0!</v>
      </c>
      <c r="BH19" s="316" t="e">
        <f t="shared" si="254"/>
        <v>#DIV/0!</v>
      </c>
      <c r="BI19" s="315" t="e">
        <f t="shared" si="228"/>
        <v>#DIV/0!</v>
      </c>
      <c r="BJ19" s="316" t="e">
        <f t="shared" si="255"/>
        <v>#DIV/0!</v>
      </c>
      <c r="BK19" s="315" t="e">
        <f t="shared" si="228"/>
        <v>#DIV/0!</v>
      </c>
      <c r="BL19" s="316" t="e">
        <f t="shared" si="256"/>
        <v>#DIV/0!</v>
      </c>
      <c r="BM19" s="315" t="e">
        <f t="shared" si="228"/>
        <v>#DIV/0!</v>
      </c>
      <c r="BN19" s="316" t="e">
        <f t="shared" si="257"/>
        <v>#DIV/0!</v>
      </c>
      <c r="BO19" s="315" t="e">
        <f t="shared" si="228"/>
        <v>#DIV/0!</v>
      </c>
      <c r="BP19" s="316" t="e">
        <f t="shared" si="258"/>
        <v>#DIV/0!</v>
      </c>
    </row>
    <row r="20" spans="2:68" x14ac:dyDescent="0.25">
      <c r="B20" s="344" t="str">
        <f t="shared" si="0"/>
        <v>85,2264436,978128123711</v>
      </c>
      <c r="D20" s="308">
        <v>4</v>
      </c>
      <c r="E20" s="315">
        <f t="shared" si="259"/>
        <v>17.942399999999992</v>
      </c>
      <c r="F20" s="316">
        <f t="shared" si="260"/>
        <v>809.96812907855974</v>
      </c>
      <c r="G20" s="315">
        <f t="shared" si="259"/>
        <v>241.34559999999999</v>
      </c>
      <c r="H20" s="316">
        <f t="shared" si="260"/>
        <v>947.18957378860773</v>
      </c>
      <c r="I20" s="315">
        <f t="shared" si="259"/>
        <v>454.79600000000005</v>
      </c>
      <c r="J20" s="316">
        <f t="shared" ref="J20:AH20" si="265">10*I$4*COSH((I$7+$D20*I$9)/I$4)+(I$11-10*I$4*COSH(I$7/I$4))</f>
        <v>944.03444471783178</v>
      </c>
      <c r="K20" s="315">
        <f t="shared" si="263"/>
        <v>668.02199999999993</v>
      </c>
      <c r="L20" s="316">
        <f t="shared" si="265"/>
        <v>982.93553979004514</v>
      </c>
      <c r="M20" s="315">
        <f t="shared" si="263"/>
        <v>862.09319999999991</v>
      </c>
      <c r="N20" s="316">
        <f t="shared" si="265"/>
        <v>968.49986541444014</v>
      </c>
      <c r="O20" s="315">
        <f t="shared" si="263"/>
        <v>1064.4743999999998</v>
      </c>
      <c r="P20" s="316">
        <f t="shared" si="265"/>
        <v>955.04257780495755</v>
      </c>
      <c r="Q20" s="315">
        <f t="shared" si="263"/>
        <v>1273.6959999999999</v>
      </c>
      <c r="R20" s="316">
        <f t="shared" si="265"/>
        <v>954.06875726938802</v>
      </c>
      <c r="S20" s="315">
        <f t="shared" si="263"/>
        <v>1483.3184000000001</v>
      </c>
      <c r="T20" s="316">
        <f t="shared" si="265"/>
        <v>955.88241996897091</v>
      </c>
      <c r="U20" s="315" t="e">
        <f t="shared" si="263"/>
        <v>#DIV/0!</v>
      </c>
      <c r="V20" s="316" t="e">
        <f t="shared" si="265"/>
        <v>#DIV/0!</v>
      </c>
      <c r="W20" s="315" t="e">
        <f t="shared" si="263"/>
        <v>#DIV/0!</v>
      </c>
      <c r="X20" s="316" t="e">
        <f t="shared" si="265"/>
        <v>#DIV/0!</v>
      </c>
      <c r="Y20" s="315" t="e">
        <f t="shared" si="263"/>
        <v>#DIV/0!</v>
      </c>
      <c r="Z20" s="316" t="e">
        <f t="shared" si="265"/>
        <v>#DIV/0!</v>
      </c>
      <c r="AA20" s="315" t="e">
        <f t="shared" si="263"/>
        <v>#DIV/0!</v>
      </c>
      <c r="AB20" s="316" t="e">
        <f t="shared" si="265"/>
        <v>#DIV/0!</v>
      </c>
      <c r="AC20" s="315" t="e">
        <f t="shared" si="263"/>
        <v>#DIV/0!</v>
      </c>
      <c r="AD20" s="316" t="e">
        <f t="shared" si="265"/>
        <v>#DIV/0!</v>
      </c>
      <c r="AE20" s="315" t="e">
        <f t="shared" si="263"/>
        <v>#DIV/0!</v>
      </c>
      <c r="AF20" s="316" t="e">
        <f t="shared" si="265"/>
        <v>#DIV/0!</v>
      </c>
      <c r="AG20" s="315" t="e">
        <f t="shared" si="263"/>
        <v>#DIV/0!</v>
      </c>
      <c r="AH20" s="316" t="e">
        <f t="shared" si="265"/>
        <v>#DIV/0!</v>
      </c>
      <c r="AI20" s="315" t="e">
        <f t="shared" si="263"/>
        <v>#DIV/0!</v>
      </c>
      <c r="AJ20" s="316" t="e">
        <f t="shared" si="242"/>
        <v>#DIV/0!</v>
      </c>
      <c r="AK20" s="315" t="e">
        <f t="shared" si="263"/>
        <v>#DIV/0!</v>
      </c>
      <c r="AL20" s="316" t="e">
        <f t="shared" si="243"/>
        <v>#DIV/0!</v>
      </c>
      <c r="AM20" s="315" t="e">
        <f t="shared" si="263"/>
        <v>#DIV/0!</v>
      </c>
      <c r="AN20" s="316" t="e">
        <f t="shared" si="244"/>
        <v>#DIV/0!</v>
      </c>
      <c r="AO20" s="315" t="e">
        <f t="shared" si="263"/>
        <v>#DIV/0!</v>
      </c>
      <c r="AP20" s="316" t="e">
        <f t="shared" si="245"/>
        <v>#DIV/0!</v>
      </c>
      <c r="AQ20" s="315" t="e">
        <f t="shared" si="228"/>
        <v>#DIV/0!</v>
      </c>
      <c r="AR20" s="316" t="e">
        <f t="shared" si="246"/>
        <v>#DIV/0!</v>
      </c>
      <c r="AS20" s="315" t="e">
        <f t="shared" si="228"/>
        <v>#DIV/0!</v>
      </c>
      <c r="AT20" s="316" t="e">
        <f t="shared" si="247"/>
        <v>#DIV/0!</v>
      </c>
      <c r="AU20" s="315" t="e">
        <f t="shared" si="228"/>
        <v>#DIV/0!</v>
      </c>
      <c r="AV20" s="316" t="e">
        <f t="shared" si="248"/>
        <v>#DIV/0!</v>
      </c>
      <c r="AW20" s="315" t="e">
        <f t="shared" si="228"/>
        <v>#DIV/0!</v>
      </c>
      <c r="AX20" s="316" t="e">
        <f t="shared" si="249"/>
        <v>#DIV/0!</v>
      </c>
      <c r="AY20" s="315" t="e">
        <f t="shared" si="228"/>
        <v>#DIV/0!</v>
      </c>
      <c r="AZ20" s="316" t="e">
        <f t="shared" si="250"/>
        <v>#DIV/0!</v>
      </c>
      <c r="BA20" s="315" t="e">
        <f t="shared" si="228"/>
        <v>#DIV/0!</v>
      </c>
      <c r="BB20" s="316" t="e">
        <f t="shared" si="251"/>
        <v>#DIV/0!</v>
      </c>
      <c r="BC20" s="315" t="e">
        <f t="shared" si="228"/>
        <v>#DIV/0!</v>
      </c>
      <c r="BD20" s="316" t="e">
        <f t="shared" si="252"/>
        <v>#DIV/0!</v>
      </c>
      <c r="BE20" s="315" t="e">
        <f t="shared" si="228"/>
        <v>#DIV/0!</v>
      </c>
      <c r="BF20" s="316" t="e">
        <f t="shared" si="253"/>
        <v>#DIV/0!</v>
      </c>
      <c r="BG20" s="315" t="e">
        <f t="shared" si="228"/>
        <v>#DIV/0!</v>
      </c>
      <c r="BH20" s="316" t="e">
        <f t="shared" si="254"/>
        <v>#DIV/0!</v>
      </c>
      <c r="BI20" s="315" t="e">
        <f t="shared" si="228"/>
        <v>#DIV/0!</v>
      </c>
      <c r="BJ20" s="316" t="e">
        <f t="shared" si="255"/>
        <v>#DIV/0!</v>
      </c>
      <c r="BK20" s="315" t="e">
        <f t="shared" si="228"/>
        <v>#DIV/0!</v>
      </c>
      <c r="BL20" s="316" t="e">
        <f t="shared" si="256"/>
        <v>#DIV/0!</v>
      </c>
      <c r="BM20" s="315" t="e">
        <f t="shared" si="228"/>
        <v>#DIV/0!</v>
      </c>
      <c r="BN20" s="316" t="e">
        <f t="shared" si="257"/>
        <v>#DIV/0!</v>
      </c>
      <c r="BO20" s="315" t="e">
        <f t="shared" si="228"/>
        <v>#DIV/0!</v>
      </c>
      <c r="BP20" s="316" t="e">
        <f t="shared" si="258"/>
        <v>#DIV/0!</v>
      </c>
    </row>
    <row r="21" spans="2:68" x14ac:dyDescent="0.25">
      <c r="B21" s="344" t="str">
        <f t="shared" si="0"/>
        <v>89,712428,67269751885</v>
      </c>
      <c r="D21" s="308">
        <v>5</v>
      </c>
      <c r="E21" s="315">
        <f t="shared" si="259"/>
        <v>22.427999999999997</v>
      </c>
      <c r="F21" s="316">
        <f t="shared" si="260"/>
        <v>769.14292460896286</v>
      </c>
      <c r="G21" s="315">
        <f t="shared" si="259"/>
        <v>245.61199999999999</v>
      </c>
      <c r="H21" s="316">
        <f t="shared" si="260"/>
        <v>908.04222273672508</v>
      </c>
      <c r="I21" s="315">
        <f t="shared" si="259"/>
        <v>459.09500000000003</v>
      </c>
      <c r="J21" s="316">
        <f t="shared" ref="J21:AH21" si="266">10*I$4*COSH((I$7+$D21*I$9)/I$4)+(I$11-10*I$4*COSH(I$7/I$4))</f>
        <v>904.22074196681206</v>
      </c>
      <c r="K21" s="315">
        <f t="shared" si="263"/>
        <v>671.89</v>
      </c>
      <c r="L21" s="316">
        <f t="shared" si="266"/>
        <v>951.37239145919875</v>
      </c>
      <c r="M21" s="315">
        <f t="shared" si="263"/>
        <v>866.12899999999991</v>
      </c>
      <c r="N21" s="316">
        <f t="shared" si="266"/>
        <v>933.86605068571384</v>
      </c>
      <c r="O21" s="315">
        <f t="shared" si="263"/>
        <v>1068.6579999999999</v>
      </c>
      <c r="P21" s="316">
        <f t="shared" si="266"/>
        <v>917.55586403157622</v>
      </c>
      <c r="Q21" s="315">
        <f t="shared" si="263"/>
        <v>1277.8899999999999</v>
      </c>
      <c r="R21" s="316">
        <f t="shared" si="266"/>
        <v>916.37594930723003</v>
      </c>
      <c r="S21" s="315">
        <f t="shared" si="263"/>
        <v>1487.4930000000002</v>
      </c>
      <c r="T21" s="316">
        <f t="shared" si="266"/>
        <v>918.57348370803015</v>
      </c>
      <c r="U21" s="315" t="e">
        <f t="shared" si="263"/>
        <v>#DIV/0!</v>
      </c>
      <c r="V21" s="316" t="e">
        <f t="shared" si="266"/>
        <v>#DIV/0!</v>
      </c>
      <c r="W21" s="315" t="e">
        <f t="shared" si="263"/>
        <v>#DIV/0!</v>
      </c>
      <c r="X21" s="316" t="e">
        <f t="shared" si="266"/>
        <v>#DIV/0!</v>
      </c>
      <c r="Y21" s="315" t="e">
        <f t="shared" si="263"/>
        <v>#DIV/0!</v>
      </c>
      <c r="Z21" s="316" t="e">
        <f t="shared" si="266"/>
        <v>#DIV/0!</v>
      </c>
      <c r="AA21" s="315" t="e">
        <f t="shared" si="263"/>
        <v>#DIV/0!</v>
      </c>
      <c r="AB21" s="316" t="e">
        <f t="shared" si="266"/>
        <v>#DIV/0!</v>
      </c>
      <c r="AC21" s="315" t="e">
        <f t="shared" si="263"/>
        <v>#DIV/0!</v>
      </c>
      <c r="AD21" s="316" t="e">
        <f t="shared" si="266"/>
        <v>#DIV/0!</v>
      </c>
      <c r="AE21" s="315" t="e">
        <f t="shared" si="263"/>
        <v>#DIV/0!</v>
      </c>
      <c r="AF21" s="316" t="e">
        <f t="shared" si="266"/>
        <v>#DIV/0!</v>
      </c>
      <c r="AG21" s="315" t="e">
        <f t="shared" si="263"/>
        <v>#DIV/0!</v>
      </c>
      <c r="AH21" s="316" t="e">
        <f t="shared" si="266"/>
        <v>#DIV/0!</v>
      </c>
      <c r="AI21" s="315" t="e">
        <f t="shared" si="263"/>
        <v>#DIV/0!</v>
      </c>
      <c r="AJ21" s="316" t="e">
        <f t="shared" si="242"/>
        <v>#DIV/0!</v>
      </c>
      <c r="AK21" s="315" t="e">
        <f t="shared" si="263"/>
        <v>#DIV/0!</v>
      </c>
      <c r="AL21" s="316" t="e">
        <f t="shared" si="243"/>
        <v>#DIV/0!</v>
      </c>
      <c r="AM21" s="315" t="e">
        <f t="shared" si="263"/>
        <v>#DIV/0!</v>
      </c>
      <c r="AN21" s="316" t="e">
        <f t="shared" si="244"/>
        <v>#DIV/0!</v>
      </c>
      <c r="AO21" s="315" t="e">
        <f t="shared" si="263"/>
        <v>#DIV/0!</v>
      </c>
      <c r="AP21" s="316" t="e">
        <f t="shared" si="245"/>
        <v>#DIV/0!</v>
      </c>
      <c r="AQ21" s="315" t="e">
        <f t="shared" si="228"/>
        <v>#DIV/0!</v>
      </c>
      <c r="AR21" s="316" t="e">
        <f t="shared" si="246"/>
        <v>#DIV/0!</v>
      </c>
      <c r="AS21" s="315" t="e">
        <f t="shared" si="228"/>
        <v>#DIV/0!</v>
      </c>
      <c r="AT21" s="316" t="e">
        <f t="shared" si="247"/>
        <v>#DIV/0!</v>
      </c>
      <c r="AU21" s="315" t="e">
        <f t="shared" si="228"/>
        <v>#DIV/0!</v>
      </c>
      <c r="AV21" s="316" t="e">
        <f t="shared" si="248"/>
        <v>#DIV/0!</v>
      </c>
      <c r="AW21" s="315" t="e">
        <f t="shared" si="228"/>
        <v>#DIV/0!</v>
      </c>
      <c r="AX21" s="316" t="e">
        <f t="shared" si="249"/>
        <v>#DIV/0!</v>
      </c>
      <c r="AY21" s="315" t="e">
        <f t="shared" si="228"/>
        <v>#DIV/0!</v>
      </c>
      <c r="AZ21" s="316" t="e">
        <f t="shared" si="250"/>
        <v>#DIV/0!</v>
      </c>
      <c r="BA21" s="315" t="e">
        <f t="shared" si="228"/>
        <v>#DIV/0!</v>
      </c>
      <c r="BB21" s="316" t="e">
        <f t="shared" si="251"/>
        <v>#DIV/0!</v>
      </c>
      <c r="BC21" s="315" t="e">
        <f t="shared" si="228"/>
        <v>#DIV/0!</v>
      </c>
      <c r="BD21" s="316" t="e">
        <f t="shared" si="252"/>
        <v>#DIV/0!</v>
      </c>
      <c r="BE21" s="315" t="e">
        <f t="shared" si="228"/>
        <v>#DIV/0!</v>
      </c>
      <c r="BF21" s="316" t="e">
        <f t="shared" si="253"/>
        <v>#DIV/0!</v>
      </c>
      <c r="BG21" s="315" t="e">
        <f t="shared" si="228"/>
        <v>#DIV/0!</v>
      </c>
      <c r="BH21" s="316" t="e">
        <f t="shared" si="254"/>
        <v>#DIV/0!</v>
      </c>
      <c r="BI21" s="315" t="e">
        <f t="shared" si="228"/>
        <v>#DIV/0!</v>
      </c>
      <c r="BJ21" s="316" t="e">
        <f t="shared" si="255"/>
        <v>#DIV/0!</v>
      </c>
      <c r="BK21" s="315" t="e">
        <f t="shared" si="228"/>
        <v>#DIV/0!</v>
      </c>
      <c r="BL21" s="316" t="e">
        <f t="shared" si="256"/>
        <v>#DIV/0!</v>
      </c>
      <c r="BM21" s="315" t="e">
        <f t="shared" si="228"/>
        <v>#DIV/0!</v>
      </c>
      <c r="BN21" s="316" t="e">
        <f t="shared" si="257"/>
        <v>#DIV/0!</v>
      </c>
      <c r="BO21" s="315" t="e">
        <f t="shared" si="228"/>
        <v>#DIV/0!</v>
      </c>
      <c r="BP21" s="316" t="e">
        <f t="shared" si="258"/>
        <v>#DIV/0!</v>
      </c>
    </row>
    <row r="22" spans="2:68" x14ac:dyDescent="0.25">
      <c r="B22" s="344" t="str">
        <f t="shared" si="0"/>
        <v>94,1976422,283358554913</v>
      </c>
      <c r="D22" s="308">
        <v>6</v>
      </c>
      <c r="E22" s="315">
        <f t="shared" si="259"/>
        <v>26.913600000000002</v>
      </c>
      <c r="F22" s="316">
        <f t="shared" si="260"/>
        <v>730.83875467829603</v>
      </c>
      <c r="G22" s="315">
        <f t="shared" si="259"/>
        <v>249.8784</v>
      </c>
      <c r="H22" s="316">
        <f t="shared" si="260"/>
        <v>871.1853875209938</v>
      </c>
      <c r="I22" s="315">
        <f t="shared" si="259"/>
        <v>463.39400000000006</v>
      </c>
      <c r="J22" s="316">
        <f t="shared" ref="J22:AH22" si="267">10*I$4*COSH((I$7+$D22*I$9)/I$4)+(I$11-10*I$4*COSH(I$7/I$4))</f>
        <v>866.74221687884051</v>
      </c>
      <c r="K22" s="315">
        <f t="shared" si="263"/>
        <v>675.75800000000004</v>
      </c>
      <c r="L22" s="316">
        <f t="shared" si="267"/>
        <v>921.60335743289306</v>
      </c>
      <c r="M22" s="315">
        <f t="shared" si="263"/>
        <v>870.1647999999999</v>
      </c>
      <c r="N22" s="316">
        <f t="shared" si="267"/>
        <v>901.22464593237828</v>
      </c>
      <c r="O22" s="315">
        <f t="shared" si="263"/>
        <v>1072.8416</v>
      </c>
      <c r="P22" s="316">
        <f t="shared" si="267"/>
        <v>882.24908533836265</v>
      </c>
      <c r="Q22" s="315">
        <f t="shared" si="263"/>
        <v>1282.0840000000001</v>
      </c>
      <c r="R22" s="316">
        <f t="shared" si="267"/>
        <v>880.87674367977729</v>
      </c>
      <c r="S22" s="315">
        <f t="shared" si="263"/>
        <v>1491.6676000000002</v>
      </c>
      <c r="T22" s="316">
        <f t="shared" si="267"/>
        <v>883.43270602958</v>
      </c>
      <c r="U22" s="315" t="e">
        <f t="shared" si="263"/>
        <v>#DIV/0!</v>
      </c>
      <c r="V22" s="316" t="e">
        <f t="shared" si="267"/>
        <v>#DIV/0!</v>
      </c>
      <c r="W22" s="315" t="e">
        <f t="shared" si="263"/>
        <v>#DIV/0!</v>
      </c>
      <c r="X22" s="316" t="e">
        <f t="shared" si="267"/>
        <v>#DIV/0!</v>
      </c>
      <c r="Y22" s="315" t="e">
        <f t="shared" si="263"/>
        <v>#DIV/0!</v>
      </c>
      <c r="Z22" s="316" t="e">
        <f t="shared" si="267"/>
        <v>#DIV/0!</v>
      </c>
      <c r="AA22" s="315" t="e">
        <f t="shared" si="263"/>
        <v>#DIV/0!</v>
      </c>
      <c r="AB22" s="316" t="e">
        <f t="shared" si="267"/>
        <v>#DIV/0!</v>
      </c>
      <c r="AC22" s="315" t="e">
        <f t="shared" si="263"/>
        <v>#DIV/0!</v>
      </c>
      <c r="AD22" s="316" t="e">
        <f t="shared" si="267"/>
        <v>#DIV/0!</v>
      </c>
      <c r="AE22" s="315" t="e">
        <f t="shared" si="263"/>
        <v>#DIV/0!</v>
      </c>
      <c r="AF22" s="316" t="e">
        <f t="shared" si="267"/>
        <v>#DIV/0!</v>
      </c>
      <c r="AG22" s="315" t="e">
        <f t="shared" si="263"/>
        <v>#DIV/0!</v>
      </c>
      <c r="AH22" s="316" t="e">
        <f t="shared" si="267"/>
        <v>#DIV/0!</v>
      </c>
      <c r="AI22" s="315" t="e">
        <f t="shared" si="263"/>
        <v>#DIV/0!</v>
      </c>
      <c r="AJ22" s="316" t="e">
        <f t="shared" si="242"/>
        <v>#DIV/0!</v>
      </c>
      <c r="AK22" s="315" t="e">
        <f t="shared" si="263"/>
        <v>#DIV/0!</v>
      </c>
      <c r="AL22" s="316" t="e">
        <f t="shared" si="243"/>
        <v>#DIV/0!</v>
      </c>
      <c r="AM22" s="315" t="e">
        <f t="shared" si="263"/>
        <v>#DIV/0!</v>
      </c>
      <c r="AN22" s="316" t="e">
        <f t="shared" si="244"/>
        <v>#DIV/0!</v>
      </c>
      <c r="AO22" s="315" t="e">
        <f t="shared" si="263"/>
        <v>#DIV/0!</v>
      </c>
      <c r="AP22" s="316" t="e">
        <f t="shared" si="245"/>
        <v>#DIV/0!</v>
      </c>
      <c r="AQ22" s="315" t="e">
        <f t="shared" si="228"/>
        <v>#DIV/0!</v>
      </c>
      <c r="AR22" s="316" t="e">
        <f t="shared" si="246"/>
        <v>#DIV/0!</v>
      </c>
      <c r="AS22" s="315" t="e">
        <f t="shared" si="228"/>
        <v>#DIV/0!</v>
      </c>
      <c r="AT22" s="316" t="e">
        <f t="shared" si="247"/>
        <v>#DIV/0!</v>
      </c>
      <c r="AU22" s="315" t="e">
        <f t="shared" si="228"/>
        <v>#DIV/0!</v>
      </c>
      <c r="AV22" s="316" t="e">
        <f t="shared" si="248"/>
        <v>#DIV/0!</v>
      </c>
      <c r="AW22" s="315" t="e">
        <f t="shared" si="228"/>
        <v>#DIV/0!</v>
      </c>
      <c r="AX22" s="316" t="e">
        <f t="shared" si="249"/>
        <v>#DIV/0!</v>
      </c>
      <c r="AY22" s="315" t="e">
        <f t="shared" si="228"/>
        <v>#DIV/0!</v>
      </c>
      <c r="AZ22" s="316" t="e">
        <f t="shared" si="250"/>
        <v>#DIV/0!</v>
      </c>
      <c r="BA22" s="315" t="e">
        <f t="shared" si="228"/>
        <v>#DIV/0!</v>
      </c>
      <c r="BB22" s="316" t="e">
        <f t="shared" si="251"/>
        <v>#DIV/0!</v>
      </c>
      <c r="BC22" s="315" t="e">
        <f t="shared" si="228"/>
        <v>#DIV/0!</v>
      </c>
      <c r="BD22" s="316" t="e">
        <f t="shared" si="252"/>
        <v>#DIV/0!</v>
      </c>
      <c r="BE22" s="315" t="e">
        <f t="shared" si="228"/>
        <v>#DIV/0!</v>
      </c>
      <c r="BF22" s="316" t="e">
        <f t="shared" si="253"/>
        <v>#DIV/0!</v>
      </c>
      <c r="BG22" s="315" t="e">
        <f t="shared" si="228"/>
        <v>#DIV/0!</v>
      </c>
      <c r="BH22" s="316" t="e">
        <f t="shared" si="254"/>
        <v>#DIV/0!</v>
      </c>
      <c r="BI22" s="315" t="e">
        <f t="shared" si="228"/>
        <v>#DIV/0!</v>
      </c>
      <c r="BJ22" s="316" t="e">
        <f t="shared" si="255"/>
        <v>#DIV/0!</v>
      </c>
      <c r="BK22" s="315" t="e">
        <f t="shared" si="228"/>
        <v>#DIV/0!</v>
      </c>
      <c r="BL22" s="316" t="e">
        <f t="shared" si="256"/>
        <v>#DIV/0!</v>
      </c>
      <c r="BM22" s="315" t="e">
        <f t="shared" si="228"/>
        <v>#DIV/0!</v>
      </c>
      <c r="BN22" s="316" t="e">
        <f t="shared" si="257"/>
        <v>#DIV/0!</v>
      </c>
      <c r="BO22" s="315" t="e">
        <f t="shared" si="228"/>
        <v>#DIV/0!</v>
      </c>
      <c r="BP22" s="316" t="e">
        <f t="shared" si="258"/>
        <v>#DIV/0!</v>
      </c>
    </row>
    <row r="23" spans="2:68" x14ac:dyDescent="0.25">
      <c r="B23" s="344" t="str">
        <f t="shared" si="0"/>
        <v>98,6832417,798758740779</v>
      </c>
      <c r="D23" s="308">
        <v>7</v>
      </c>
      <c r="E23" s="315">
        <f t="shared" si="259"/>
        <v>31.399200000000008</v>
      </c>
      <c r="F23" s="316">
        <f t="shared" si="260"/>
        <v>694.98756095511044</v>
      </c>
      <c r="G23" s="315">
        <f t="shared" si="259"/>
        <v>254.1448</v>
      </c>
      <c r="H23" s="316">
        <f t="shared" si="260"/>
        <v>836.55982621012572</v>
      </c>
      <c r="I23" s="315">
        <f t="shared" si="259"/>
        <v>467.69300000000004</v>
      </c>
      <c r="J23" s="316">
        <f t="shared" ref="J23:AH23" si="268">10*I$4*COSH((I$7+$D23*I$9)/I$4)+(I$11-10*I$4*COSH(I$7/I$4))</f>
        <v>831.53770398636834</v>
      </c>
      <c r="K23" s="315">
        <f t="shared" si="263"/>
        <v>679.62599999999998</v>
      </c>
      <c r="L23" s="316">
        <f t="shared" si="268"/>
        <v>893.58910849018775</v>
      </c>
      <c r="M23" s="315">
        <f t="shared" si="263"/>
        <v>874.20059999999989</v>
      </c>
      <c r="N23" s="316">
        <f t="shared" si="268"/>
        <v>870.52870391923329</v>
      </c>
      <c r="O23" s="315">
        <f t="shared" si="263"/>
        <v>1077.0252</v>
      </c>
      <c r="P23" s="316">
        <f t="shared" si="268"/>
        <v>849.06767295162149</v>
      </c>
      <c r="Q23" s="315">
        <f t="shared" si="263"/>
        <v>1286.278</v>
      </c>
      <c r="R23" s="316">
        <f t="shared" si="268"/>
        <v>847.51600104801605</v>
      </c>
      <c r="S23" s="315">
        <f t="shared" si="263"/>
        <v>1495.8422</v>
      </c>
      <c r="T23" s="316">
        <f t="shared" si="268"/>
        <v>850.40600818223834</v>
      </c>
      <c r="U23" s="315" t="e">
        <f t="shared" si="263"/>
        <v>#DIV/0!</v>
      </c>
      <c r="V23" s="316" t="e">
        <f t="shared" si="268"/>
        <v>#DIV/0!</v>
      </c>
      <c r="W23" s="315" t="e">
        <f t="shared" si="263"/>
        <v>#DIV/0!</v>
      </c>
      <c r="X23" s="316" t="e">
        <f t="shared" si="268"/>
        <v>#DIV/0!</v>
      </c>
      <c r="Y23" s="315" t="e">
        <f t="shared" si="263"/>
        <v>#DIV/0!</v>
      </c>
      <c r="Z23" s="316" t="e">
        <f t="shared" si="268"/>
        <v>#DIV/0!</v>
      </c>
      <c r="AA23" s="315" t="e">
        <f t="shared" si="263"/>
        <v>#DIV/0!</v>
      </c>
      <c r="AB23" s="316" t="e">
        <f t="shared" si="268"/>
        <v>#DIV/0!</v>
      </c>
      <c r="AC23" s="315" t="e">
        <f t="shared" si="263"/>
        <v>#DIV/0!</v>
      </c>
      <c r="AD23" s="316" t="e">
        <f t="shared" si="268"/>
        <v>#DIV/0!</v>
      </c>
      <c r="AE23" s="315" t="e">
        <f t="shared" si="263"/>
        <v>#DIV/0!</v>
      </c>
      <c r="AF23" s="316" t="e">
        <f t="shared" si="268"/>
        <v>#DIV/0!</v>
      </c>
      <c r="AG23" s="315" t="e">
        <f t="shared" si="263"/>
        <v>#DIV/0!</v>
      </c>
      <c r="AH23" s="316" t="e">
        <f t="shared" si="268"/>
        <v>#DIV/0!</v>
      </c>
      <c r="AI23" s="315" t="e">
        <f t="shared" si="263"/>
        <v>#DIV/0!</v>
      </c>
      <c r="AJ23" s="316" t="e">
        <f t="shared" si="242"/>
        <v>#DIV/0!</v>
      </c>
      <c r="AK23" s="315" t="e">
        <f t="shared" si="263"/>
        <v>#DIV/0!</v>
      </c>
      <c r="AL23" s="316" t="e">
        <f t="shared" si="243"/>
        <v>#DIV/0!</v>
      </c>
      <c r="AM23" s="315" t="e">
        <f t="shared" si="263"/>
        <v>#DIV/0!</v>
      </c>
      <c r="AN23" s="316" t="e">
        <f t="shared" si="244"/>
        <v>#DIV/0!</v>
      </c>
      <c r="AO23" s="315" t="e">
        <f t="shared" si="263"/>
        <v>#DIV/0!</v>
      </c>
      <c r="AP23" s="316" t="e">
        <f t="shared" si="245"/>
        <v>#DIV/0!</v>
      </c>
      <c r="AQ23" s="315" t="e">
        <f t="shared" si="228"/>
        <v>#DIV/0!</v>
      </c>
      <c r="AR23" s="316" t="e">
        <f t="shared" si="246"/>
        <v>#DIV/0!</v>
      </c>
      <c r="AS23" s="315" t="e">
        <f t="shared" si="228"/>
        <v>#DIV/0!</v>
      </c>
      <c r="AT23" s="316" t="e">
        <f t="shared" si="247"/>
        <v>#DIV/0!</v>
      </c>
      <c r="AU23" s="315" t="e">
        <f t="shared" si="228"/>
        <v>#DIV/0!</v>
      </c>
      <c r="AV23" s="316" t="e">
        <f t="shared" si="248"/>
        <v>#DIV/0!</v>
      </c>
      <c r="AW23" s="315" t="e">
        <f t="shared" si="228"/>
        <v>#DIV/0!</v>
      </c>
      <c r="AX23" s="316" t="e">
        <f t="shared" si="249"/>
        <v>#DIV/0!</v>
      </c>
      <c r="AY23" s="315" t="e">
        <f t="shared" si="228"/>
        <v>#DIV/0!</v>
      </c>
      <c r="AZ23" s="316" t="e">
        <f t="shared" si="250"/>
        <v>#DIV/0!</v>
      </c>
      <c r="BA23" s="315" t="e">
        <f t="shared" si="228"/>
        <v>#DIV/0!</v>
      </c>
      <c r="BB23" s="316" t="e">
        <f t="shared" si="251"/>
        <v>#DIV/0!</v>
      </c>
      <c r="BC23" s="315" t="e">
        <f t="shared" si="228"/>
        <v>#DIV/0!</v>
      </c>
      <c r="BD23" s="316" t="e">
        <f t="shared" si="252"/>
        <v>#DIV/0!</v>
      </c>
      <c r="BE23" s="315" t="e">
        <f t="shared" si="228"/>
        <v>#DIV/0!</v>
      </c>
      <c r="BF23" s="316" t="e">
        <f t="shared" si="253"/>
        <v>#DIV/0!</v>
      </c>
      <c r="BG23" s="315" t="e">
        <f t="shared" si="228"/>
        <v>#DIV/0!</v>
      </c>
      <c r="BH23" s="316" t="e">
        <f t="shared" si="254"/>
        <v>#DIV/0!</v>
      </c>
      <c r="BI23" s="315" t="e">
        <f t="shared" si="228"/>
        <v>#DIV/0!</v>
      </c>
      <c r="BJ23" s="316" t="e">
        <f t="shared" si="255"/>
        <v>#DIV/0!</v>
      </c>
      <c r="BK23" s="315" t="e">
        <f t="shared" si="228"/>
        <v>#DIV/0!</v>
      </c>
      <c r="BL23" s="316" t="e">
        <f t="shared" si="256"/>
        <v>#DIV/0!</v>
      </c>
      <c r="BM23" s="315" t="e">
        <f t="shared" si="228"/>
        <v>#DIV/0!</v>
      </c>
      <c r="BN23" s="316" t="e">
        <f t="shared" si="257"/>
        <v>#DIV/0!</v>
      </c>
      <c r="BO23" s="315" t="e">
        <f t="shared" si="228"/>
        <v>#DIV/0!</v>
      </c>
      <c r="BP23" s="316" t="e">
        <f t="shared" si="258"/>
        <v>#DIV/0!</v>
      </c>
    </row>
    <row r="24" spans="2:68" x14ac:dyDescent="0.25">
      <c r="B24" s="344" t="str">
        <f t="shared" si="0"/>
        <v>103,1688415,210929900108</v>
      </c>
      <c r="D24" s="308">
        <v>8</v>
      </c>
      <c r="E24" s="315">
        <f t="shared" si="259"/>
        <v>35.884799999999998</v>
      </c>
      <c r="F24" s="316">
        <f t="shared" si="260"/>
        <v>661.5256435229312</v>
      </c>
      <c r="G24" s="315">
        <f t="shared" si="259"/>
        <v>258.41120000000001</v>
      </c>
      <c r="H24" s="316">
        <f t="shared" si="260"/>
        <v>804.10988331682756</v>
      </c>
      <c r="I24" s="315">
        <f t="shared" si="259"/>
        <v>471.99200000000008</v>
      </c>
      <c r="J24" s="316">
        <f t="shared" ref="J24:AH24" si="269">10*I$4*COSH((I$7+$D24*I$9)/I$4)+(I$11-10*I$4*COSH(I$7/I$4))</f>
        <v>798.5497490409748</v>
      </c>
      <c r="K24" s="315">
        <f t="shared" si="263"/>
        <v>683.49400000000003</v>
      </c>
      <c r="L24" s="316">
        <f t="shared" si="269"/>
        <v>867.29263373629942</v>
      </c>
      <c r="M24" s="315">
        <f t="shared" si="263"/>
        <v>878.23639999999989</v>
      </c>
      <c r="N24" s="316">
        <f t="shared" si="269"/>
        <v>841.73407551665946</v>
      </c>
      <c r="O24" s="315">
        <f t="shared" si="263"/>
        <v>1081.2087999999999</v>
      </c>
      <c r="P24" s="316">
        <f t="shared" si="269"/>
        <v>817.9603429805386</v>
      </c>
      <c r="Q24" s="315">
        <f t="shared" si="263"/>
        <v>1290.472</v>
      </c>
      <c r="R24" s="316">
        <f t="shared" si="269"/>
        <v>816.2419036525007</v>
      </c>
      <c r="S24" s="315">
        <f t="shared" si="263"/>
        <v>1500.0168000000001</v>
      </c>
      <c r="T24" s="316">
        <f t="shared" si="269"/>
        <v>819.44256480869012</v>
      </c>
      <c r="U24" s="315" t="e">
        <f t="shared" si="263"/>
        <v>#DIV/0!</v>
      </c>
      <c r="V24" s="316" t="e">
        <f t="shared" si="269"/>
        <v>#DIV/0!</v>
      </c>
      <c r="W24" s="315" t="e">
        <f t="shared" si="263"/>
        <v>#DIV/0!</v>
      </c>
      <c r="X24" s="316" t="e">
        <f t="shared" si="269"/>
        <v>#DIV/0!</v>
      </c>
      <c r="Y24" s="315" t="e">
        <f t="shared" si="263"/>
        <v>#DIV/0!</v>
      </c>
      <c r="Z24" s="316" t="e">
        <f t="shared" si="269"/>
        <v>#DIV/0!</v>
      </c>
      <c r="AA24" s="315" t="e">
        <f t="shared" si="263"/>
        <v>#DIV/0!</v>
      </c>
      <c r="AB24" s="316" t="e">
        <f t="shared" si="269"/>
        <v>#DIV/0!</v>
      </c>
      <c r="AC24" s="315" t="e">
        <f t="shared" si="263"/>
        <v>#DIV/0!</v>
      </c>
      <c r="AD24" s="316" t="e">
        <f t="shared" si="269"/>
        <v>#DIV/0!</v>
      </c>
      <c r="AE24" s="315" t="e">
        <f t="shared" si="263"/>
        <v>#DIV/0!</v>
      </c>
      <c r="AF24" s="316" t="e">
        <f t="shared" si="269"/>
        <v>#DIV/0!</v>
      </c>
      <c r="AG24" s="315" t="e">
        <f t="shared" si="263"/>
        <v>#DIV/0!</v>
      </c>
      <c r="AH24" s="316" t="e">
        <f t="shared" si="269"/>
        <v>#DIV/0!</v>
      </c>
      <c r="AI24" s="315" t="e">
        <f t="shared" si="263"/>
        <v>#DIV/0!</v>
      </c>
      <c r="AJ24" s="316" t="e">
        <f t="shared" si="242"/>
        <v>#DIV/0!</v>
      </c>
      <c r="AK24" s="315" t="e">
        <f t="shared" si="263"/>
        <v>#DIV/0!</v>
      </c>
      <c r="AL24" s="316" t="e">
        <f t="shared" si="243"/>
        <v>#DIV/0!</v>
      </c>
      <c r="AM24" s="315" t="e">
        <f t="shared" si="263"/>
        <v>#DIV/0!</v>
      </c>
      <c r="AN24" s="316" t="e">
        <f t="shared" si="244"/>
        <v>#DIV/0!</v>
      </c>
      <c r="AO24" s="315" t="e">
        <f t="shared" si="263"/>
        <v>#DIV/0!</v>
      </c>
      <c r="AP24" s="316" t="e">
        <f t="shared" si="245"/>
        <v>#DIV/0!</v>
      </c>
      <c r="AQ24" s="315" t="e">
        <f t="shared" si="228"/>
        <v>#DIV/0!</v>
      </c>
      <c r="AR24" s="316" t="e">
        <f t="shared" si="246"/>
        <v>#DIV/0!</v>
      </c>
      <c r="AS24" s="315" t="e">
        <f t="shared" si="228"/>
        <v>#DIV/0!</v>
      </c>
      <c r="AT24" s="316" t="e">
        <f t="shared" si="247"/>
        <v>#DIV/0!</v>
      </c>
      <c r="AU24" s="315" t="e">
        <f t="shared" si="228"/>
        <v>#DIV/0!</v>
      </c>
      <c r="AV24" s="316" t="e">
        <f t="shared" si="248"/>
        <v>#DIV/0!</v>
      </c>
      <c r="AW24" s="315" t="e">
        <f t="shared" si="228"/>
        <v>#DIV/0!</v>
      </c>
      <c r="AX24" s="316" t="e">
        <f t="shared" si="249"/>
        <v>#DIV/0!</v>
      </c>
      <c r="AY24" s="315" t="e">
        <f t="shared" si="228"/>
        <v>#DIV/0!</v>
      </c>
      <c r="AZ24" s="316" t="e">
        <f t="shared" si="250"/>
        <v>#DIV/0!</v>
      </c>
      <c r="BA24" s="315" t="e">
        <f t="shared" si="228"/>
        <v>#DIV/0!</v>
      </c>
      <c r="BB24" s="316" t="e">
        <f t="shared" si="251"/>
        <v>#DIV/0!</v>
      </c>
      <c r="BC24" s="315" t="e">
        <f t="shared" si="228"/>
        <v>#DIV/0!</v>
      </c>
      <c r="BD24" s="316" t="e">
        <f t="shared" si="252"/>
        <v>#DIV/0!</v>
      </c>
      <c r="BE24" s="315" t="e">
        <f t="shared" si="228"/>
        <v>#DIV/0!</v>
      </c>
      <c r="BF24" s="316" t="e">
        <f t="shared" si="253"/>
        <v>#DIV/0!</v>
      </c>
      <c r="BG24" s="315" t="e">
        <f t="shared" si="228"/>
        <v>#DIV/0!</v>
      </c>
      <c r="BH24" s="316" t="e">
        <f t="shared" si="254"/>
        <v>#DIV/0!</v>
      </c>
      <c r="BI24" s="315" t="e">
        <f t="shared" si="228"/>
        <v>#DIV/0!</v>
      </c>
      <c r="BJ24" s="316" t="e">
        <f t="shared" si="255"/>
        <v>#DIV/0!</v>
      </c>
      <c r="BK24" s="315" t="e">
        <f t="shared" si="228"/>
        <v>#DIV/0!</v>
      </c>
      <c r="BL24" s="316" t="e">
        <f t="shared" si="256"/>
        <v>#DIV/0!</v>
      </c>
      <c r="BM24" s="315" t="e">
        <f t="shared" si="228"/>
        <v>#DIV/0!</v>
      </c>
      <c r="BN24" s="316" t="e">
        <f t="shared" si="257"/>
        <v>#DIV/0!</v>
      </c>
      <c r="BO24" s="315" t="e">
        <f t="shared" si="228"/>
        <v>#DIV/0!</v>
      </c>
      <c r="BP24" s="316" t="e">
        <f t="shared" si="258"/>
        <v>#DIV/0!</v>
      </c>
    </row>
    <row r="25" spans="2:68" x14ac:dyDescent="0.25">
      <c r="B25" s="344" t="str">
        <f t="shared" si="0"/>
        <v>107,6544414,515274013593</v>
      </c>
      <c r="D25" s="308">
        <v>9</v>
      </c>
      <c r="E25" s="315">
        <f t="shared" si="259"/>
        <v>40.370399999999989</v>
      </c>
      <c r="F25" s="316">
        <f t="shared" si="260"/>
        <v>630.39354769910506</v>
      </c>
      <c r="G25" s="315">
        <f t="shared" si="259"/>
        <v>262.67759999999998</v>
      </c>
      <c r="H25" s="316">
        <f t="shared" si="260"/>
        <v>773.78340033980726</v>
      </c>
      <c r="I25" s="315">
        <f t="shared" si="259"/>
        <v>476.29100000000005</v>
      </c>
      <c r="J25" s="316">
        <f t="shared" ref="J25:AH25" si="270">10*I$4*COSH((I$7+$D25*I$9)/I$4)+(I$11-10*I$4*COSH(I$7/I$4))</f>
        <v>767.72451524724329</v>
      </c>
      <c r="K25" s="315">
        <f t="shared" si="263"/>
        <v>687.36199999999997</v>
      </c>
      <c r="L25" s="316">
        <f t="shared" si="270"/>
        <v>842.67919170583036</v>
      </c>
      <c r="M25" s="315">
        <f t="shared" si="263"/>
        <v>882.27219999999988</v>
      </c>
      <c r="N25" s="316">
        <f t="shared" si="270"/>
        <v>814.79934620213953</v>
      </c>
      <c r="O25" s="315">
        <f t="shared" si="263"/>
        <v>1085.3924</v>
      </c>
      <c r="P25" s="316">
        <f t="shared" si="270"/>
        <v>788.87901715481371</v>
      </c>
      <c r="Q25" s="315">
        <f t="shared" si="263"/>
        <v>1294.6659999999999</v>
      </c>
      <c r="R25" s="316">
        <f t="shared" si="270"/>
        <v>787.0058748271299</v>
      </c>
      <c r="S25" s="315">
        <f t="shared" si="263"/>
        <v>1504.1914000000002</v>
      </c>
      <c r="T25" s="316">
        <f t="shared" si="270"/>
        <v>790.49472572966238</v>
      </c>
      <c r="U25" s="315" t="e">
        <f t="shared" si="263"/>
        <v>#DIV/0!</v>
      </c>
      <c r="V25" s="316" t="e">
        <f t="shared" si="270"/>
        <v>#DIV/0!</v>
      </c>
      <c r="W25" s="315" t="e">
        <f t="shared" si="263"/>
        <v>#DIV/0!</v>
      </c>
      <c r="X25" s="316" t="e">
        <f t="shared" si="270"/>
        <v>#DIV/0!</v>
      </c>
      <c r="Y25" s="315" t="e">
        <f t="shared" si="263"/>
        <v>#DIV/0!</v>
      </c>
      <c r="Z25" s="316" t="e">
        <f t="shared" si="270"/>
        <v>#DIV/0!</v>
      </c>
      <c r="AA25" s="315" t="e">
        <f t="shared" si="263"/>
        <v>#DIV/0!</v>
      </c>
      <c r="AB25" s="316" t="e">
        <f t="shared" si="270"/>
        <v>#DIV/0!</v>
      </c>
      <c r="AC25" s="315" t="e">
        <f t="shared" si="263"/>
        <v>#DIV/0!</v>
      </c>
      <c r="AD25" s="316" t="e">
        <f t="shared" si="270"/>
        <v>#DIV/0!</v>
      </c>
      <c r="AE25" s="315" t="e">
        <f t="shared" si="263"/>
        <v>#DIV/0!</v>
      </c>
      <c r="AF25" s="316" t="e">
        <f t="shared" si="270"/>
        <v>#DIV/0!</v>
      </c>
      <c r="AG25" s="315" t="e">
        <f t="shared" si="263"/>
        <v>#DIV/0!</v>
      </c>
      <c r="AH25" s="316" t="e">
        <f t="shared" si="270"/>
        <v>#DIV/0!</v>
      </c>
      <c r="AI25" s="315" t="e">
        <f t="shared" si="263"/>
        <v>#DIV/0!</v>
      </c>
      <c r="AJ25" s="316" t="e">
        <f t="shared" si="242"/>
        <v>#DIV/0!</v>
      </c>
      <c r="AK25" s="315" t="e">
        <f t="shared" si="263"/>
        <v>#DIV/0!</v>
      </c>
      <c r="AL25" s="316" t="e">
        <f t="shared" si="243"/>
        <v>#DIV/0!</v>
      </c>
      <c r="AM25" s="315" t="e">
        <f t="shared" si="263"/>
        <v>#DIV/0!</v>
      </c>
      <c r="AN25" s="316" t="e">
        <f t="shared" si="244"/>
        <v>#DIV/0!</v>
      </c>
      <c r="AO25" s="315" t="e">
        <f t="shared" si="263"/>
        <v>#DIV/0!</v>
      </c>
      <c r="AP25" s="316" t="e">
        <f t="shared" si="245"/>
        <v>#DIV/0!</v>
      </c>
      <c r="AQ25" s="315" t="e">
        <f t="shared" si="228"/>
        <v>#DIV/0!</v>
      </c>
      <c r="AR25" s="316" t="e">
        <f t="shared" si="246"/>
        <v>#DIV/0!</v>
      </c>
      <c r="AS25" s="315" t="e">
        <f t="shared" si="228"/>
        <v>#DIV/0!</v>
      </c>
      <c r="AT25" s="316" t="e">
        <f t="shared" si="247"/>
        <v>#DIV/0!</v>
      </c>
      <c r="AU25" s="315" t="e">
        <f t="shared" si="228"/>
        <v>#DIV/0!</v>
      </c>
      <c r="AV25" s="316" t="e">
        <f t="shared" si="248"/>
        <v>#DIV/0!</v>
      </c>
      <c r="AW25" s="315" t="e">
        <f t="shared" si="228"/>
        <v>#DIV/0!</v>
      </c>
      <c r="AX25" s="316" t="e">
        <f t="shared" si="249"/>
        <v>#DIV/0!</v>
      </c>
      <c r="AY25" s="315" t="e">
        <f t="shared" si="228"/>
        <v>#DIV/0!</v>
      </c>
      <c r="AZ25" s="316" t="e">
        <f t="shared" si="250"/>
        <v>#DIV/0!</v>
      </c>
      <c r="BA25" s="315" t="e">
        <f t="shared" si="228"/>
        <v>#DIV/0!</v>
      </c>
      <c r="BB25" s="316" t="e">
        <f t="shared" si="251"/>
        <v>#DIV/0!</v>
      </c>
      <c r="BC25" s="315" t="e">
        <f t="shared" si="228"/>
        <v>#DIV/0!</v>
      </c>
      <c r="BD25" s="316" t="e">
        <f t="shared" si="252"/>
        <v>#DIV/0!</v>
      </c>
      <c r="BE25" s="315" t="e">
        <f t="shared" si="228"/>
        <v>#DIV/0!</v>
      </c>
      <c r="BF25" s="316" t="e">
        <f t="shared" si="253"/>
        <v>#DIV/0!</v>
      </c>
      <c r="BG25" s="315" t="e">
        <f t="shared" si="228"/>
        <v>#DIV/0!</v>
      </c>
      <c r="BH25" s="316" t="e">
        <f t="shared" si="254"/>
        <v>#DIV/0!</v>
      </c>
      <c r="BI25" s="315" t="e">
        <f t="shared" si="228"/>
        <v>#DIV/0!</v>
      </c>
      <c r="BJ25" s="316" t="e">
        <f t="shared" si="255"/>
        <v>#DIV/0!</v>
      </c>
      <c r="BK25" s="315" t="e">
        <f t="shared" si="228"/>
        <v>#DIV/0!</v>
      </c>
      <c r="BL25" s="316" t="e">
        <f t="shared" si="256"/>
        <v>#DIV/0!</v>
      </c>
      <c r="BM25" s="315" t="e">
        <f t="shared" si="228"/>
        <v>#DIV/0!</v>
      </c>
      <c r="BN25" s="316" t="e">
        <f t="shared" si="257"/>
        <v>#DIV/0!</v>
      </c>
      <c r="BO25" s="315" t="e">
        <f t="shared" si="228"/>
        <v>#DIV/0!</v>
      </c>
      <c r="BP25" s="316" t="e">
        <f t="shared" si="258"/>
        <v>#DIV/0!</v>
      </c>
    </row>
    <row r="26" spans="2:68" x14ac:dyDescent="0.25">
      <c r="B26" s="344" t="str">
        <f t="shared" si="0"/>
        <v>112,14415,710555049254</v>
      </c>
      <c r="D26" s="308">
        <v>10</v>
      </c>
      <c r="E26" s="315">
        <f t="shared" si="259"/>
        <v>44.855999999999995</v>
      </c>
      <c r="F26" s="316">
        <f t="shared" si="260"/>
        <v>601.53595839652598</v>
      </c>
      <c r="G26" s="315">
        <f t="shared" si="259"/>
        <v>266.94400000000002</v>
      </c>
      <c r="H26" s="316">
        <f t="shared" si="260"/>
        <v>745.53163192667012</v>
      </c>
      <c r="I26" s="315">
        <f t="shared" si="259"/>
        <v>480.59000000000003</v>
      </c>
      <c r="J26" s="316">
        <f t="shared" ref="J26:AH26" si="271">10*I$4*COSH((I$7+$D26*I$9)/I$4)+(I$11-10*I$4*COSH(I$7/I$4))</f>
        <v>739.01169540037176</v>
      </c>
      <c r="K26" s="315">
        <f t="shared" si="263"/>
        <v>691.23</v>
      </c>
      <c r="L26" s="316">
        <f t="shared" si="271"/>
        <v>819.71626446424261</v>
      </c>
      <c r="M26" s="315">
        <f t="shared" si="263"/>
        <v>886.30799999999988</v>
      </c>
      <c r="N26" s="316">
        <f t="shared" si="271"/>
        <v>789.68577649488975</v>
      </c>
      <c r="O26" s="315">
        <f t="shared" si="263"/>
        <v>1089.576</v>
      </c>
      <c r="P26" s="316">
        <f t="shared" si="271"/>
        <v>761.77874851676597</v>
      </c>
      <c r="Q26" s="315">
        <f t="shared" si="263"/>
        <v>1298.8599999999999</v>
      </c>
      <c r="R26" s="316">
        <f t="shared" si="271"/>
        <v>759.76250354716899</v>
      </c>
      <c r="S26" s="315">
        <f t="shared" si="263"/>
        <v>1508.3660000000002</v>
      </c>
      <c r="T26" s="316">
        <f t="shared" si="271"/>
        <v>763.51794261424175</v>
      </c>
      <c r="U26" s="315" t="e">
        <f t="shared" si="263"/>
        <v>#DIV/0!</v>
      </c>
      <c r="V26" s="316" t="e">
        <f t="shared" si="271"/>
        <v>#DIV/0!</v>
      </c>
      <c r="W26" s="315" t="e">
        <f t="shared" si="263"/>
        <v>#DIV/0!</v>
      </c>
      <c r="X26" s="316" t="e">
        <f t="shared" si="271"/>
        <v>#DIV/0!</v>
      </c>
      <c r="Y26" s="315" t="e">
        <f t="shared" si="263"/>
        <v>#DIV/0!</v>
      </c>
      <c r="Z26" s="316" t="e">
        <f t="shared" si="271"/>
        <v>#DIV/0!</v>
      </c>
      <c r="AA26" s="315" t="e">
        <f t="shared" si="263"/>
        <v>#DIV/0!</v>
      </c>
      <c r="AB26" s="316" t="e">
        <f t="shared" si="271"/>
        <v>#DIV/0!</v>
      </c>
      <c r="AC26" s="315" t="e">
        <f t="shared" si="263"/>
        <v>#DIV/0!</v>
      </c>
      <c r="AD26" s="316" t="e">
        <f t="shared" si="271"/>
        <v>#DIV/0!</v>
      </c>
      <c r="AE26" s="315" t="e">
        <f t="shared" si="263"/>
        <v>#DIV/0!</v>
      </c>
      <c r="AF26" s="316" t="e">
        <f t="shared" si="271"/>
        <v>#DIV/0!</v>
      </c>
      <c r="AG26" s="315" t="e">
        <f t="shared" si="263"/>
        <v>#DIV/0!</v>
      </c>
      <c r="AH26" s="316" t="e">
        <f t="shared" si="271"/>
        <v>#DIV/0!</v>
      </c>
      <c r="AI26" s="315" t="e">
        <f t="shared" si="263"/>
        <v>#DIV/0!</v>
      </c>
      <c r="AJ26" s="316" t="e">
        <f t="shared" si="242"/>
        <v>#DIV/0!</v>
      </c>
      <c r="AK26" s="315" t="e">
        <f t="shared" si="263"/>
        <v>#DIV/0!</v>
      </c>
      <c r="AL26" s="316" t="e">
        <f t="shared" si="243"/>
        <v>#DIV/0!</v>
      </c>
      <c r="AM26" s="315" t="e">
        <f t="shared" si="263"/>
        <v>#DIV/0!</v>
      </c>
      <c r="AN26" s="316" t="e">
        <f t="shared" si="244"/>
        <v>#DIV/0!</v>
      </c>
      <c r="AO26" s="315" t="e">
        <f t="shared" si="263"/>
        <v>#DIV/0!</v>
      </c>
      <c r="AP26" s="316" t="e">
        <f t="shared" si="245"/>
        <v>#DIV/0!</v>
      </c>
      <c r="AQ26" s="315" t="e">
        <f t="shared" si="228"/>
        <v>#DIV/0!</v>
      </c>
      <c r="AR26" s="316" t="e">
        <f t="shared" si="246"/>
        <v>#DIV/0!</v>
      </c>
      <c r="AS26" s="315" t="e">
        <f t="shared" si="228"/>
        <v>#DIV/0!</v>
      </c>
      <c r="AT26" s="316" t="e">
        <f t="shared" si="247"/>
        <v>#DIV/0!</v>
      </c>
      <c r="AU26" s="315" t="e">
        <f t="shared" si="228"/>
        <v>#DIV/0!</v>
      </c>
      <c r="AV26" s="316" t="e">
        <f t="shared" si="248"/>
        <v>#DIV/0!</v>
      </c>
      <c r="AW26" s="315" t="e">
        <f t="shared" si="228"/>
        <v>#DIV/0!</v>
      </c>
      <c r="AX26" s="316" t="e">
        <f t="shared" si="249"/>
        <v>#DIV/0!</v>
      </c>
      <c r="AY26" s="315" t="e">
        <f t="shared" si="228"/>
        <v>#DIV/0!</v>
      </c>
      <c r="AZ26" s="316" t="e">
        <f t="shared" si="250"/>
        <v>#DIV/0!</v>
      </c>
      <c r="BA26" s="315" t="e">
        <f t="shared" si="228"/>
        <v>#DIV/0!</v>
      </c>
      <c r="BB26" s="316" t="e">
        <f t="shared" si="251"/>
        <v>#DIV/0!</v>
      </c>
      <c r="BC26" s="315" t="e">
        <f t="shared" si="228"/>
        <v>#DIV/0!</v>
      </c>
      <c r="BD26" s="316" t="e">
        <f t="shared" si="252"/>
        <v>#DIV/0!</v>
      </c>
      <c r="BE26" s="315" t="e">
        <f t="shared" si="228"/>
        <v>#DIV/0!</v>
      </c>
      <c r="BF26" s="316" t="e">
        <f t="shared" si="253"/>
        <v>#DIV/0!</v>
      </c>
      <c r="BG26" s="315" t="e">
        <f t="shared" si="228"/>
        <v>#DIV/0!</v>
      </c>
      <c r="BH26" s="316" t="e">
        <f t="shared" si="254"/>
        <v>#DIV/0!</v>
      </c>
      <c r="BI26" s="315" t="e">
        <f t="shared" si="228"/>
        <v>#DIV/0!</v>
      </c>
      <c r="BJ26" s="316" t="e">
        <f t="shared" si="255"/>
        <v>#DIV/0!</v>
      </c>
      <c r="BK26" s="315" t="e">
        <f t="shared" si="228"/>
        <v>#DIV/0!</v>
      </c>
      <c r="BL26" s="316" t="e">
        <f t="shared" si="256"/>
        <v>#DIV/0!</v>
      </c>
      <c r="BM26" s="315" t="e">
        <f t="shared" si="228"/>
        <v>#DIV/0!</v>
      </c>
      <c r="BN26" s="316" t="e">
        <f t="shared" si="257"/>
        <v>#DIV/0!</v>
      </c>
      <c r="BO26" s="315" t="e">
        <f t="shared" si="228"/>
        <v>#DIV/0!</v>
      </c>
      <c r="BP26" s="316" t="e">
        <f t="shared" si="258"/>
        <v>#DIV/0!</v>
      </c>
    </row>
    <row r="27" spans="2:68" x14ac:dyDescent="0.25">
      <c r="B27" s="344" t="str">
        <f t="shared" si="0"/>
        <v>116,6256418,798896766282</v>
      </c>
      <c r="D27" s="308">
        <v>11</v>
      </c>
      <c r="E27" s="315">
        <f t="shared" si="259"/>
        <v>49.3416</v>
      </c>
      <c r="F27" s="316">
        <f t="shared" si="260"/>
        <v>574.90160184053389</v>
      </c>
      <c r="G27" s="315">
        <f t="shared" si="259"/>
        <v>271.21039999999999</v>
      </c>
      <c r="H27" s="316">
        <f t="shared" si="260"/>
        <v>719.30916752294661</v>
      </c>
      <c r="I27" s="315">
        <f t="shared" si="259"/>
        <v>484.88900000000007</v>
      </c>
      <c r="J27" s="316">
        <f t="shared" ref="J27:AH27" si="272">10*I$4*COSH((I$7+$D27*I$9)/I$4)+(I$11-10*I$4*COSH(I$7/I$4))</f>
        <v>712.3644297841247</v>
      </c>
      <c r="K27" s="315">
        <f t="shared" si="263"/>
        <v>695.09799999999996</v>
      </c>
      <c r="L27" s="316">
        <f t="shared" si="272"/>
        <v>798.37351464694029</v>
      </c>
      <c r="M27" s="315">
        <f t="shared" si="263"/>
        <v>890.34379999999987</v>
      </c>
      <c r="N27" s="316">
        <f t="shared" si="272"/>
        <v>766.3572462379293</v>
      </c>
      <c r="O27" s="315">
        <f t="shared" si="263"/>
        <v>1093.7595999999999</v>
      </c>
      <c r="P27" s="316">
        <f t="shared" si="272"/>
        <v>736.61765195307817</v>
      </c>
      <c r="Q27" s="315">
        <f t="shared" si="263"/>
        <v>1303.0540000000001</v>
      </c>
      <c r="R27" s="316">
        <f t="shared" si="272"/>
        <v>734.46947389432285</v>
      </c>
      <c r="S27" s="315">
        <f t="shared" si="263"/>
        <v>1512.5406</v>
      </c>
      <c r="T27" s="316">
        <f t="shared" si="272"/>
        <v>738.47070042367341</v>
      </c>
      <c r="U27" s="315" t="e">
        <f t="shared" si="263"/>
        <v>#DIV/0!</v>
      </c>
      <c r="V27" s="316" t="e">
        <f t="shared" si="272"/>
        <v>#DIV/0!</v>
      </c>
      <c r="W27" s="315" t="e">
        <f t="shared" si="263"/>
        <v>#DIV/0!</v>
      </c>
      <c r="X27" s="316" t="e">
        <f t="shared" si="272"/>
        <v>#DIV/0!</v>
      </c>
      <c r="Y27" s="315" t="e">
        <f t="shared" si="263"/>
        <v>#DIV/0!</v>
      </c>
      <c r="Z27" s="316" t="e">
        <f t="shared" si="272"/>
        <v>#DIV/0!</v>
      </c>
      <c r="AA27" s="315" t="e">
        <f t="shared" si="263"/>
        <v>#DIV/0!</v>
      </c>
      <c r="AB27" s="316" t="e">
        <f t="shared" si="272"/>
        <v>#DIV/0!</v>
      </c>
      <c r="AC27" s="315" t="e">
        <f t="shared" si="263"/>
        <v>#DIV/0!</v>
      </c>
      <c r="AD27" s="316" t="e">
        <f t="shared" si="272"/>
        <v>#DIV/0!</v>
      </c>
      <c r="AE27" s="315" t="e">
        <f t="shared" si="263"/>
        <v>#DIV/0!</v>
      </c>
      <c r="AF27" s="316" t="e">
        <f t="shared" si="272"/>
        <v>#DIV/0!</v>
      </c>
      <c r="AG27" s="315" t="e">
        <f t="shared" si="263"/>
        <v>#DIV/0!</v>
      </c>
      <c r="AH27" s="316" t="e">
        <f t="shared" si="272"/>
        <v>#DIV/0!</v>
      </c>
      <c r="AI27" s="315" t="e">
        <f t="shared" si="263"/>
        <v>#DIV/0!</v>
      </c>
      <c r="AJ27" s="316" t="e">
        <f t="shared" si="242"/>
        <v>#DIV/0!</v>
      </c>
      <c r="AK27" s="315" t="e">
        <f t="shared" si="263"/>
        <v>#DIV/0!</v>
      </c>
      <c r="AL27" s="316" t="e">
        <f t="shared" si="243"/>
        <v>#DIV/0!</v>
      </c>
      <c r="AM27" s="315" t="e">
        <f t="shared" si="263"/>
        <v>#DIV/0!</v>
      </c>
      <c r="AN27" s="316" t="e">
        <f t="shared" si="244"/>
        <v>#DIV/0!</v>
      </c>
      <c r="AO27" s="315" t="e">
        <f t="shared" si="263"/>
        <v>#DIV/0!</v>
      </c>
      <c r="AP27" s="316" t="e">
        <f t="shared" si="245"/>
        <v>#DIV/0!</v>
      </c>
      <c r="AQ27" s="315" t="e">
        <f t="shared" si="228"/>
        <v>#DIV/0!</v>
      </c>
      <c r="AR27" s="316" t="e">
        <f t="shared" si="246"/>
        <v>#DIV/0!</v>
      </c>
      <c r="AS27" s="315" t="e">
        <f t="shared" si="228"/>
        <v>#DIV/0!</v>
      </c>
      <c r="AT27" s="316" t="e">
        <f t="shared" si="247"/>
        <v>#DIV/0!</v>
      </c>
      <c r="AU27" s="315" t="e">
        <f t="shared" si="228"/>
        <v>#DIV/0!</v>
      </c>
      <c r="AV27" s="316" t="e">
        <f t="shared" si="248"/>
        <v>#DIV/0!</v>
      </c>
      <c r="AW27" s="315" t="e">
        <f t="shared" si="228"/>
        <v>#DIV/0!</v>
      </c>
      <c r="AX27" s="316" t="e">
        <f t="shared" si="249"/>
        <v>#DIV/0!</v>
      </c>
      <c r="AY27" s="315" t="e">
        <f t="shared" si="228"/>
        <v>#DIV/0!</v>
      </c>
      <c r="AZ27" s="316" t="e">
        <f t="shared" si="250"/>
        <v>#DIV/0!</v>
      </c>
      <c r="BA27" s="315" t="e">
        <f t="shared" si="228"/>
        <v>#DIV/0!</v>
      </c>
      <c r="BB27" s="316" t="e">
        <f t="shared" si="251"/>
        <v>#DIV/0!</v>
      </c>
      <c r="BC27" s="315" t="e">
        <f t="shared" si="228"/>
        <v>#DIV/0!</v>
      </c>
      <c r="BD27" s="316" t="e">
        <f t="shared" si="252"/>
        <v>#DIV/0!</v>
      </c>
      <c r="BE27" s="315" t="e">
        <f t="shared" si="228"/>
        <v>#DIV/0!</v>
      </c>
      <c r="BF27" s="316" t="e">
        <f t="shared" si="253"/>
        <v>#DIV/0!</v>
      </c>
      <c r="BG27" s="315" t="e">
        <f t="shared" si="228"/>
        <v>#DIV/0!</v>
      </c>
      <c r="BH27" s="316" t="e">
        <f t="shared" si="254"/>
        <v>#DIV/0!</v>
      </c>
      <c r="BI27" s="315" t="e">
        <f t="shared" si="228"/>
        <v>#DIV/0!</v>
      </c>
      <c r="BJ27" s="316" t="e">
        <f t="shared" si="255"/>
        <v>#DIV/0!</v>
      </c>
      <c r="BK27" s="315" t="e">
        <f t="shared" si="228"/>
        <v>#DIV/0!</v>
      </c>
      <c r="BL27" s="316" t="e">
        <f t="shared" si="256"/>
        <v>#DIV/0!</v>
      </c>
      <c r="BM27" s="315" t="e">
        <f t="shared" si="228"/>
        <v>#DIV/0!</v>
      </c>
      <c r="BN27" s="316" t="e">
        <f t="shared" si="257"/>
        <v>#DIV/0!</v>
      </c>
      <c r="BO27" s="315" t="e">
        <f t="shared" si="228"/>
        <v>#DIV/0!</v>
      </c>
      <c r="BP27" s="316" t="e">
        <f t="shared" si="258"/>
        <v>#DIV/0!</v>
      </c>
    </row>
    <row r="28" spans="2:68" x14ac:dyDescent="0.25">
      <c r="B28" s="344" t="str">
        <f t="shared" si="0"/>
        <v>121,1112423,785786488502</v>
      </c>
      <c r="D28" s="308">
        <v>12</v>
      </c>
      <c r="E28" s="315">
        <f t="shared" si="259"/>
        <v>53.827199999999998</v>
      </c>
      <c r="F28" s="316">
        <f t="shared" si="260"/>
        <v>550.44315446636574</v>
      </c>
      <c r="G28" s="315">
        <f t="shared" si="259"/>
        <v>275.47680000000003</v>
      </c>
      <c r="H28" s="316">
        <f t="shared" si="260"/>
        <v>695.0738583813195</v>
      </c>
      <c r="I28" s="315">
        <f t="shared" si="259"/>
        <v>489.18800000000005</v>
      </c>
      <c r="J28" s="316">
        <f t="shared" ref="J28:AH28" si="273">10*I$4*COSH((I$7+$D28*I$9)/I$4)+(I$11-10*I$4*COSH(I$7/I$4))</f>
        <v>687.73922969513205</v>
      </c>
      <c r="K28" s="315">
        <f t="shared" si="263"/>
        <v>698.96600000000001</v>
      </c>
      <c r="L28" s="316">
        <f t="shared" si="273"/>
        <v>778.62274537920143</v>
      </c>
      <c r="M28" s="315">
        <f t="shared" si="263"/>
        <v>894.37959999999987</v>
      </c>
      <c r="N28" s="316">
        <f t="shared" si="273"/>
        <v>744.78020264745055</v>
      </c>
      <c r="O28" s="315">
        <f t="shared" si="263"/>
        <v>1097.9431999999999</v>
      </c>
      <c r="P28" s="316">
        <f t="shared" si="273"/>
        <v>713.35683945880851</v>
      </c>
      <c r="Q28" s="315">
        <f t="shared" si="263"/>
        <v>1307.248</v>
      </c>
      <c r="R28" s="316">
        <f t="shared" si="273"/>
        <v>711.08749932929959</v>
      </c>
      <c r="S28" s="315">
        <f t="shared" si="263"/>
        <v>1516.7152000000001</v>
      </c>
      <c r="T28" s="316">
        <f t="shared" si="273"/>
        <v>715.31445352315041</v>
      </c>
      <c r="U28" s="315" t="e">
        <f t="shared" si="263"/>
        <v>#DIV/0!</v>
      </c>
      <c r="V28" s="316" t="e">
        <f t="shared" si="273"/>
        <v>#DIV/0!</v>
      </c>
      <c r="W28" s="315" t="e">
        <f t="shared" si="263"/>
        <v>#DIV/0!</v>
      </c>
      <c r="X28" s="316" t="e">
        <f t="shared" si="273"/>
        <v>#DIV/0!</v>
      </c>
      <c r="Y28" s="315" t="e">
        <f t="shared" si="263"/>
        <v>#DIV/0!</v>
      </c>
      <c r="Z28" s="316" t="e">
        <f t="shared" si="273"/>
        <v>#DIV/0!</v>
      </c>
      <c r="AA28" s="315" t="e">
        <f t="shared" si="263"/>
        <v>#DIV/0!</v>
      </c>
      <c r="AB28" s="316" t="e">
        <f t="shared" si="273"/>
        <v>#DIV/0!</v>
      </c>
      <c r="AC28" s="315" t="e">
        <f t="shared" si="263"/>
        <v>#DIV/0!</v>
      </c>
      <c r="AD28" s="316" t="e">
        <f t="shared" si="273"/>
        <v>#DIV/0!</v>
      </c>
      <c r="AE28" s="315" t="e">
        <f t="shared" si="263"/>
        <v>#DIV/0!</v>
      </c>
      <c r="AF28" s="316" t="e">
        <f t="shared" si="273"/>
        <v>#DIV/0!</v>
      </c>
      <c r="AG28" s="315" t="e">
        <f t="shared" si="263"/>
        <v>#DIV/0!</v>
      </c>
      <c r="AH28" s="316" t="e">
        <f t="shared" si="273"/>
        <v>#DIV/0!</v>
      </c>
      <c r="AI28" s="315" t="e">
        <f t="shared" si="263"/>
        <v>#DIV/0!</v>
      </c>
      <c r="AJ28" s="316" t="e">
        <f t="shared" si="242"/>
        <v>#DIV/0!</v>
      </c>
      <c r="AK28" s="315" t="e">
        <f t="shared" si="263"/>
        <v>#DIV/0!</v>
      </c>
      <c r="AL28" s="316" t="e">
        <f t="shared" si="243"/>
        <v>#DIV/0!</v>
      </c>
      <c r="AM28" s="315" t="e">
        <f t="shared" si="263"/>
        <v>#DIV/0!</v>
      </c>
      <c r="AN28" s="316" t="e">
        <f t="shared" si="244"/>
        <v>#DIV/0!</v>
      </c>
      <c r="AO28" s="315" t="e">
        <f t="shared" si="263"/>
        <v>#DIV/0!</v>
      </c>
      <c r="AP28" s="316" t="e">
        <f t="shared" si="245"/>
        <v>#DIV/0!</v>
      </c>
      <c r="AQ28" s="315" t="e">
        <f t="shared" si="228"/>
        <v>#DIV/0!</v>
      </c>
      <c r="AR28" s="316" t="e">
        <f t="shared" si="246"/>
        <v>#DIV/0!</v>
      </c>
      <c r="AS28" s="315" t="e">
        <f t="shared" si="228"/>
        <v>#DIV/0!</v>
      </c>
      <c r="AT28" s="316" t="e">
        <f t="shared" si="247"/>
        <v>#DIV/0!</v>
      </c>
      <c r="AU28" s="315" t="e">
        <f t="shared" si="228"/>
        <v>#DIV/0!</v>
      </c>
      <c r="AV28" s="316" t="e">
        <f t="shared" si="248"/>
        <v>#DIV/0!</v>
      </c>
      <c r="AW28" s="315" t="e">
        <f t="shared" si="228"/>
        <v>#DIV/0!</v>
      </c>
      <c r="AX28" s="316" t="e">
        <f t="shared" si="249"/>
        <v>#DIV/0!</v>
      </c>
      <c r="AY28" s="315" t="e">
        <f t="shared" si="228"/>
        <v>#DIV/0!</v>
      </c>
      <c r="AZ28" s="316" t="e">
        <f t="shared" si="250"/>
        <v>#DIV/0!</v>
      </c>
      <c r="BA28" s="315" t="e">
        <f t="shared" si="228"/>
        <v>#DIV/0!</v>
      </c>
      <c r="BB28" s="316" t="e">
        <f t="shared" si="251"/>
        <v>#DIV/0!</v>
      </c>
      <c r="BC28" s="315" t="e">
        <f t="shared" si="228"/>
        <v>#DIV/0!</v>
      </c>
      <c r="BD28" s="316" t="e">
        <f t="shared" si="252"/>
        <v>#DIV/0!</v>
      </c>
      <c r="BE28" s="315" t="e">
        <f t="shared" si="228"/>
        <v>#DIV/0!</v>
      </c>
      <c r="BF28" s="316" t="e">
        <f t="shared" si="253"/>
        <v>#DIV/0!</v>
      </c>
      <c r="BG28" s="315" t="e">
        <f t="shared" si="228"/>
        <v>#DIV/0!</v>
      </c>
      <c r="BH28" s="316" t="e">
        <f t="shared" si="254"/>
        <v>#DIV/0!</v>
      </c>
      <c r="BI28" s="315" t="e">
        <f t="shared" si="228"/>
        <v>#DIV/0!</v>
      </c>
      <c r="BJ28" s="316" t="e">
        <f t="shared" si="255"/>
        <v>#DIV/0!</v>
      </c>
      <c r="BK28" s="315" t="e">
        <f t="shared" si="228"/>
        <v>#DIV/0!</v>
      </c>
      <c r="BL28" s="316" t="e">
        <f t="shared" si="256"/>
        <v>#DIV/0!</v>
      </c>
      <c r="BM28" s="315" t="e">
        <f t="shared" si="228"/>
        <v>#DIV/0!</v>
      </c>
      <c r="BN28" s="316" t="e">
        <f t="shared" si="257"/>
        <v>#DIV/0!</v>
      </c>
      <c r="BO28" s="315" t="e">
        <f t="shared" si="228"/>
        <v>#DIV/0!</v>
      </c>
      <c r="BP28" s="316" t="e">
        <f t="shared" si="258"/>
        <v>#DIV/0!</v>
      </c>
    </row>
    <row r="29" spans="2:68" x14ac:dyDescent="0.25">
      <c r="B29" s="344" t="str">
        <f t="shared" si="0"/>
        <v>125,5968430,680084854171</v>
      </c>
      <c r="D29" s="308">
        <v>13</v>
      </c>
      <c r="E29" s="315">
        <f t="shared" si="259"/>
        <v>58.312799999999996</v>
      </c>
      <c r="F29" s="316">
        <f t="shared" si="260"/>
        <v>528.11715883528541</v>
      </c>
      <c r="G29" s="315">
        <f t="shared" si="259"/>
        <v>279.7432</v>
      </c>
      <c r="H29" s="316">
        <f t="shared" si="260"/>
        <v>672.78674981372274</v>
      </c>
      <c r="I29" s="315">
        <f t="shared" si="259"/>
        <v>493.48700000000002</v>
      </c>
      <c r="J29" s="316">
        <f t="shared" ref="J29:AH29" si="274">10*I$4*COSH((I$7+$D29*I$9)/I$4)+(I$11-10*I$4*COSH(I$7/I$4))</f>
        <v>665.09590646872925</v>
      </c>
      <c r="K29" s="315">
        <f t="shared" si="263"/>
        <v>702.83400000000006</v>
      </c>
      <c r="L29" s="316">
        <f t="shared" si="274"/>
        <v>760.43786302400736</v>
      </c>
      <c r="M29" s="315">
        <f t="shared" si="263"/>
        <v>898.41539999999986</v>
      </c>
      <c r="N29" s="316">
        <f t="shared" si="274"/>
        <v>724.92361205477255</v>
      </c>
      <c r="O29" s="315">
        <f t="shared" si="263"/>
        <v>1102.1268</v>
      </c>
      <c r="P29" s="316">
        <f t="shared" si="274"/>
        <v>691.96036003361019</v>
      </c>
      <c r="Q29" s="315">
        <f t="shared" si="263"/>
        <v>1311.442</v>
      </c>
      <c r="R29" s="316">
        <f t="shared" si="274"/>
        <v>689.58026166977538</v>
      </c>
      <c r="S29" s="315">
        <f t="shared" si="263"/>
        <v>1520.8898000000002</v>
      </c>
      <c r="T29" s="316">
        <f t="shared" si="274"/>
        <v>694.01356636326796</v>
      </c>
      <c r="U29" s="315" t="e">
        <f t="shared" si="263"/>
        <v>#DIV/0!</v>
      </c>
      <c r="V29" s="316" t="e">
        <f t="shared" si="274"/>
        <v>#DIV/0!</v>
      </c>
      <c r="W29" s="315" t="e">
        <f t="shared" si="263"/>
        <v>#DIV/0!</v>
      </c>
      <c r="X29" s="316" t="e">
        <f t="shared" si="274"/>
        <v>#DIV/0!</v>
      </c>
      <c r="Y29" s="315" t="e">
        <f t="shared" si="263"/>
        <v>#DIV/0!</v>
      </c>
      <c r="Z29" s="316" t="e">
        <f t="shared" si="274"/>
        <v>#DIV/0!</v>
      </c>
      <c r="AA29" s="315" t="e">
        <f t="shared" si="263"/>
        <v>#DIV/0!</v>
      </c>
      <c r="AB29" s="316" t="e">
        <f t="shared" si="274"/>
        <v>#DIV/0!</v>
      </c>
      <c r="AC29" s="315" t="e">
        <f t="shared" si="263"/>
        <v>#DIV/0!</v>
      </c>
      <c r="AD29" s="316" t="e">
        <f t="shared" si="274"/>
        <v>#DIV/0!</v>
      </c>
      <c r="AE29" s="315" t="e">
        <f t="shared" si="263"/>
        <v>#DIV/0!</v>
      </c>
      <c r="AF29" s="316" t="e">
        <f t="shared" si="274"/>
        <v>#DIV/0!</v>
      </c>
      <c r="AG29" s="315" t="e">
        <f t="shared" si="263"/>
        <v>#DIV/0!</v>
      </c>
      <c r="AH29" s="316" t="e">
        <f t="shared" si="274"/>
        <v>#DIV/0!</v>
      </c>
      <c r="AI29" s="315" t="e">
        <f t="shared" si="263"/>
        <v>#DIV/0!</v>
      </c>
      <c r="AJ29" s="316" t="e">
        <f t="shared" si="242"/>
        <v>#DIV/0!</v>
      </c>
      <c r="AK29" s="315" t="e">
        <f t="shared" si="263"/>
        <v>#DIV/0!</v>
      </c>
      <c r="AL29" s="316" t="e">
        <f t="shared" si="243"/>
        <v>#DIV/0!</v>
      </c>
      <c r="AM29" s="315" t="e">
        <f t="shared" si="263"/>
        <v>#DIV/0!</v>
      </c>
      <c r="AN29" s="316" t="e">
        <f t="shared" si="244"/>
        <v>#DIV/0!</v>
      </c>
      <c r="AO29" s="315" t="e">
        <f t="shared" si="263"/>
        <v>#DIV/0!</v>
      </c>
      <c r="AP29" s="316" t="e">
        <f t="shared" si="245"/>
        <v>#DIV/0!</v>
      </c>
      <c r="AQ29" s="315" t="e">
        <f t="shared" si="228"/>
        <v>#DIV/0!</v>
      </c>
      <c r="AR29" s="316" t="e">
        <f t="shared" si="246"/>
        <v>#DIV/0!</v>
      </c>
      <c r="AS29" s="315" t="e">
        <f t="shared" si="228"/>
        <v>#DIV/0!</v>
      </c>
      <c r="AT29" s="316" t="e">
        <f t="shared" si="247"/>
        <v>#DIV/0!</v>
      </c>
      <c r="AU29" s="315" t="e">
        <f t="shared" si="228"/>
        <v>#DIV/0!</v>
      </c>
      <c r="AV29" s="316" t="e">
        <f t="shared" si="248"/>
        <v>#DIV/0!</v>
      </c>
      <c r="AW29" s="315" t="e">
        <f t="shared" si="228"/>
        <v>#DIV/0!</v>
      </c>
      <c r="AX29" s="316" t="e">
        <f t="shared" si="249"/>
        <v>#DIV/0!</v>
      </c>
      <c r="AY29" s="315" t="e">
        <f t="shared" si="228"/>
        <v>#DIV/0!</v>
      </c>
      <c r="AZ29" s="316" t="e">
        <f t="shared" si="250"/>
        <v>#DIV/0!</v>
      </c>
      <c r="BA29" s="315" t="e">
        <f t="shared" si="228"/>
        <v>#DIV/0!</v>
      </c>
      <c r="BB29" s="316" t="e">
        <f t="shared" si="251"/>
        <v>#DIV/0!</v>
      </c>
      <c r="BC29" s="315" t="e">
        <f t="shared" si="228"/>
        <v>#DIV/0!</v>
      </c>
      <c r="BD29" s="316" t="e">
        <f t="shared" si="252"/>
        <v>#DIV/0!</v>
      </c>
      <c r="BE29" s="315" t="e">
        <f t="shared" si="228"/>
        <v>#DIV/0!</v>
      </c>
      <c r="BF29" s="316" t="e">
        <f t="shared" si="253"/>
        <v>#DIV/0!</v>
      </c>
      <c r="BG29" s="315" t="e">
        <f t="shared" si="228"/>
        <v>#DIV/0!</v>
      </c>
      <c r="BH29" s="316" t="e">
        <f t="shared" si="254"/>
        <v>#DIV/0!</v>
      </c>
      <c r="BI29" s="315" t="e">
        <f t="shared" si="228"/>
        <v>#DIV/0!</v>
      </c>
      <c r="BJ29" s="316" t="e">
        <f t="shared" si="255"/>
        <v>#DIV/0!</v>
      </c>
      <c r="BK29" s="315" t="e">
        <f t="shared" si="228"/>
        <v>#DIV/0!</v>
      </c>
      <c r="BL29" s="316" t="e">
        <f t="shared" si="256"/>
        <v>#DIV/0!</v>
      </c>
      <c r="BM29" s="315" t="e">
        <f t="shared" si="228"/>
        <v>#DIV/0!</v>
      </c>
      <c r="BN29" s="316" t="e">
        <f t="shared" si="257"/>
        <v>#DIV/0!</v>
      </c>
      <c r="BO29" s="315" t="e">
        <f t="shared" si="228"/>
        <v>#DIV/0!</v>
      </c>
      <c r="BP29" s="316" t="e">
        <f t="shared" si="258"/>
        <v>#DIV/0!</v>
      </c>
    </row>
    <row r="30" spans="2:68" x14ac:dyDescent="0.25">
      <c r="B30" s="344" t="str">
        <f t="shared" si="0"/>
        <v>130,0824439,494041559451</v>
      </c>
      <c r="D30" s="308">
        <v>14</v>
      </c>
      <c r="E30" s="315">
        <f t="shared" si="259"/>
        <v>62.798400000000001</v>
      </c>
      <c r="F30" s="316">
        <f t="shared" si="260"/>
        <v>507.88394641999366</v>
      </c>
      <c r="G30" s="315">
        <f t="shared" si="259"/>
        <v>284.00959999999998</v>
      </c>
      <c r="H30" s="316">
        <f t="shared" si="260"/>
        <v>652.41201857742112</v>
      </c>
      <c r="I30" s="315">
        <f t="shared" si="259"/>
        <v>497.78600000000006</v>
      </c>
      <c r="J30" s="316">
        <f t="shared" ref="J30:AH30" si="275">10*I$4*COSH((I$7+$D30*I$9)/I$4)+(I$11-10*I$4*COSH(I$7/I$4))</f>
        <v>644.39750589050277</v>
      </c>
      <c r="K30" s="315">
        <f t="shared" si="263"/>
        <v>706.702</v>
      </c>
      <c r="L30" s="316">
        <f t="shared" si="275"/>
        <v>743.79484270855619</v>
      </c>
      <c r="M30" s="315">
        <f t="shared" si="263"/>
        <v>902.45119999999997</v>
      </c>
      <c r="N30" s="316">
        <f t="shared" si="275"/>
        <v>706.7589152714695</v>
      </c>
      <c r="O30" s="315">
        <f t="shared" si="263"/>
        <v>1106.3103999999998</v>
      </c>
      <c r="P30" s="316">
        <f t="shared" si="275"/>
        <v>672.39514411727964</v>
      </c>
      <c r="Q30" s="315">
        <f t="shared" si="263"/>
        <v>1315.636</v>
      </c>
      <c r="R30" s="316">
        <f t="shared" si="275"/>
        <v>669.91435467897418</v>
      </c>
      <c r="S30" s="315">
        <f t="shared" si="263"/>
        <v>1525.0644000000002</v>
      </c>
      <c r="T30" s="316">
        <f t="shared" si="275"/>
        <v>674.53525863986033</v>
      </c>
      <c r="U30" s="315" t="e">
        <f t="shared" si="263"/>
        <v>#DIV/0!</v>
      </c>
      <c r="V30" s="316" t="e">
        <f t="shared" si="275"/>
        <v>#DIV/0!</v>
      </c>
      <c r="W30" s="315" t="e">
        <f t="shared" si="263"/>
        <v>#DIV/0!</v>
      </c>
      <c r="X30" s="316" t="e">
        <f t="shared" si="275"/>
        <v>#DIV/0!</v>
      </c>
      <c r="Y30" s="315" t="e">
        <f t="shared" si="263"/>
        <v>#DIV/0!</v>
      </c>
      <c r="Z30" s="316" t="e">
        <f t="shared" si="275"/>
        <v>#DIV/0!</v>
      </c>
      <c r="AA30" s="315" t="e">
        <f t="shared" si="263"/>
        <v>#DIV/0!</v>
      </c>
      <c r="AB30" s="316" t="e">
        <f t="shared" si="275"/>
        <v>#DIV/0!</v>
      </c>
      <c r="AC30" s="315" t="e">
        <f t="shared" si="263"/>
        <v>#DIV/0!</v>
      </c>
      <c r="AD30" s="316" t="e">
        <f t="shared" si="275"/>
        <v>#DIV/0!</v>
      </c>
      <c r="AE30" s="315" t="e">
        <f t="shared" si="263"/>
        <v>#DIV/0!</v>
      </c>
      <c r="AF30" s="316" t="e">
        <f t="shared" si="275"/>
        <v>#DIV/0!</v>
      </c>
      <c r="AG30" s="315" t="e">
        <f t="shared" si="263"/>
        <v>#DIV/0!</v>
      </c>
      <c r="AH30" s="316" t="e">
        <f t="shared" si="275"/>
        <v>#DIV/0!</v>
      </c>
      <c r="AI30" s="315" t="e">
        <f t="shared" si="263"/>
        <v>#DIV/0!</v>
      </c>
      <c r="AJ30" s="316" t="e">
        <f t="shared" si="242"/>
        <v>#DIV/0!</v>
      </c>
      <c r="AK30" s="315" t="e">
        <f t="shared" si="263"/>
        <v>#DIV/0!</v>
      </c>
      <c r="AL30" s="316" t="e">
        <f t="shared" si="243"/>
        <v>#DIV/0!</v>
      </c>
      <c r="AM30" s="315" t="e">
        <f t="shared" si="263"/>
        <v>#DIV/0!</v>
      </c>
      <c r="AN30" s="316" t="e">
        <f t="shared" si="244"/>
        <v>#DIV/0!</v>
      </c>
      <c r="AO30" s="315" t="e">
        <f t="shared" si="263"/>
        <v>#DIV/0!</v>
      </c>
      <c r="AP30" s="316" t="e">
        <f t="shared" si="245"/>
        <v>#DIV/0!</v>
      </c>
      <c r="AQ30" s="315" t="e">
        <f t="shared" si="228"/>
        <v>#DIV/0!</v>
      </c>
      <c r="AR30" s="316" t="e">
        <f t="shared" si="246"/>
        <v>#DIV/0!</v>
      </c>
      <c r="AS30" s="315" t="e">
        <f t="shared" si="228"/>
        <v>#DIV/0!</v>
      </c>
      <c r="AT30" s="316" t="e">
        <f t="shared" si="247"/>
        <v>#DIV/0!</v>
      </c>
      <c r="AU30" s="315" t="e">
        <f t="shared" si="228"/>
        <v>#DIV/0!</v>
      </c>
      <c r="AV30" s="316" t="e">
        <f t="shared" si="248"/>
        <v>#DIV/0!</v>
      </c>
      <c r="AW30" s="315" t="e">
        <f t="shared" si="228"/>
        <v>#DIV/0!</v>
      </c>
      <c r="AX30" s="316" t="e">
        <f t="shared" si="249"/>
        <v>#DIV/0!</v>
      </c>
      <c r="AY30" s="315" t="e">
        <f t="shared" si="228"/>
        <v>#DIV/0!</v>
      </c>
      <c r="AZ30" s="316" t="e">
        <f t="shared" si="250"/>
        <v>#DIV/0!</v>
      </c>
      <c r="BA30" s="315" t="e">
        <f t="shared" si="228"/>
        <v>#DIV/0!</v>
      </c>
      <c r="BB30" s="316" t="e">
        <f t="shared" si="251"/>
        <v>#DIV/0!</v>
      </c>
      <c r="BC30" s="315" t="e">
        <f t="shared" si="228"/>
        <v>#DIV/0!</v>
      </c>
      <c r="BD30" s="316" t="e">
        <f t="shared" si="252"/>
        <v>#DIV/0!</v>
      </c>
      <c r="BE30" s="315" t="e">
        <f t="shared" si="228"/>
        <v>#DIV/0!</v>
      </c>
      <c r="BF30" s="316" t="e">
        <f t="shared" si="253"/>
        <v>#DIV/0!</v>
      </c>
      <c r="BG30" s="315" t="e">
        <f t="shared" si="228"/>
        <v>#DIV/0!</v>
      </c>
      <c r="BH30" s="316" t="e">
        <f t="shared" si="254"/>
        <v>#DIV/0!</v>
      </c>
      <c r="BI30" s="315" t="e">
        <f t="shared" si="228"/>
        <v>#DIV/0!</v>
      </c>
      <c r="BJ30" s="316" t="e">
        <f t="shared" si="255"/>
        <v>#DIV/0!</v>
      </c>
      <c r="BK30" s="315" t="e">
        <f t="shared" si="228"/>
        <v>#DIV/0!</v>
      </c>
      <c r="BL30" s="316" t="e">
        <f t="shared" si="256"/>
        <v>#DIV/0!</v>
      </c>
      <c r="BM30" s="315" t="e">
        <f t="shared" si="228"/>
        <v>#DIV/0!</v>
      </c>
      <c r="BN30" s="316" t="e">
        <f t="shared" si="257"/>
        <v>#DIV/0!</v>
      </c>
      <c r="BO30" s="315" t="e">
        <f t="shared" si="228"/>
        <v>#DIV/0!</v>
      </c>
      <c r="BP30" s="316" t="e">
        <f t="shared" si="258"/>
        <v>#DIV/0!</v>
      </c>
    </row>
    <row r="31" spans="2:68" x14ac:dyDescent="0.25">
      <c r="B31" s="344" t="str">
        <f t="shared" si="0"/>
        <v>134,568450,243317123492</v>
      </c>
      <c r="D31" s="308">
        <v>15</v>
      </c>
      <c r="E31" s="315">
        <f t="shared" si="259"/>
        <v>67.283999999999992</v>
      </c>
      <c r="F31" s="316">
        <f t="shared" si="260"/>
        <v>489.7075671221246</v>
      </c>
      <c r="G31" s="315">
        <f t="shared" si="259"/>
        <v>288.27600000000001</v>
      </c>
      <c r="H31" s="316">
        <f t="shared" si="260"/>
        <v>633.91691529442619</v>
      </c>
      <c r="I31" s="315">
        <f t="shared" si="259"/>
        <v>502.08500000000004</v>
      </c>
      <c r="J31" s="316">
        <f t="shared" ref="J31:AH31" si="276">10*I$4*COSH((I$7+$D31*I$9)/I$4)+(I$11-10*I$4*COSH(I$7/I$4))</f>
        <v>625.61024788650684</v>
      </c>
      <c r="K31" s="315">
        <f t="shared" si="263"/>
        <v>710.57</v>
      </c>
      <c r="L31" s="316">
        <f t="shared" si="276"/>
        <v>728.67169658391276</v>
      </c>
      <c r="M31" s="315">
        <f t="shared" si="263"/>
        <v>906.48699999999997</v>
      </c>
      <c r="N31" s="316">
        <f t="shared" si="276"/>
        <v>690.25998651347413</v>
      </c>
      <c r="O31" s="315">
        <f t="shared" si="263"/>
        <v>1110.4939999999999</v>
      </c>
      <c r="P31" s="316">
        <f t="shared" si="276"/>
        <v>654.63095247873412</v>
      </c>
      <c r="Q31" s="315">
        <f t="shared" si="263"/>
        <v>1319.83</v>
      </c>
      <c r="R31" s="316">
        <f t="shared" si="276"/>
        <v>652.05923217724444</v>
      </c>
      <c r="S31" s="315">
        <f t="shared" si="263"/>
        <v>1529.239</v>
      </c>
      <c r="T31" s="316">
        <f t="shared" si="276"/>
        <v>656.84955484782131</v>
      </c>
      <c r="U31" s="315" t="e">
        <f t="shared" si="263"/>
        <v>#DIV/0!</v>
      </c>
      <c r="V31" s="316" t="e">
        <f t="shared" si="276"/>
        <v>#DIV/0!</v>
      </c>
      <c r="W31" s="315" t="e">
        <f t="shared" si="263"/>
        <v>#DIV/0!</v>
      </c>
      <c r="X31" s="316" t="e">
        <f t="shared" si="276"/>
        <v>#DIV/0!</v>
      </c>
      <c r="Y31" s="315" t="e">
        <f t="shared" si="263"/>
        <v>#DIV/0!</v>
      </c>
      <c r="Z31" s="316" t="e">
        <f t="shared" si="276"/>
        <v>#DIV/0!</v>
      </c>
      <c r="AA31" s="315" t="e">
        <f t="shared" si="263"/>
        <v>#DIV/0!</v>
      </c>
      <c r="AB31" s="316" t="e">
        <f t="shared" si="276"/>
        <v>#DIV/0!</v>
      </c>
      <c r="AC31" s="315" t="e">
        <f t="shared" si="263"/>
        <v>#DIV/0!</v>
      </c>
      <c r="AD31" s="316" t="e">
        <f t="shared" si="276"/>
        <v>#DIV/0!</v>
      </c>
      <c r="AE31" s="315" t="e">
        <f t="shared" si="263"/>
        <v>#DIV/0!</v>
      </c>
      <c r="AF31" s="316" t="e">
        <f t="shared" si="276"/>
        <v>#DIV/0!</v>
      </c>
      <c r="AG31" s="315" t="e">
        <f t="shared" si="263"/>
        <v>#DIV/0!</v>
      </c>
      <c r="AH31" s="316" t="e">
        <f t="shared" si="276"/>
        <v>#DIV/0!</v>
      </c>
      <c r="AI31" s="315" t="e">
        <f t="shared" si="263"/>
        <v>#DIV/0!</v>
      </c>
      <c r="AJ31" s="316" t="e">
        <f t="shared" si="242"/>
        <v>#DIV/0!</v>
      </c>
      <c r="AK31" s="315" t="e">
        <f t="shared" si="263"/>
        <v>#DIV/0!</v>
      </c>
      <c r="AL31" s="316" t="e">
        <f t="shared" si="243"/>
        <v>#DIV/0!</v>
      </c>
      <c r="AM31" s="315" t="e">
        <f t="shared" si="263"/>
        <v>#DIV/0!</v>
      </c>
      <c r="AN31" s="316" t="e">
        <f t="shared" si="244"/>
        <v>#DIV/0!</v>
      </c>
      <c r="AO31" s="315" t="e">
        <f t="shared" si="263"/>
        <v>#DIV/0!</v>
      </c>
      <c r="AP31" s="316" t="e">
        <f t="shared" si="245"/>
        <v>#DIV/0!</v>
      </c>
      <c r="AQ31" s="315" t="e">
        <f t="shared" si="228"/>
        <v>#DIV/0!</v>
      </c>
      <c r="AR31" s="316" t="e">
        <f t="shared" si="246"/>
        <v>#DIV/0!</v>
      </c>
      <c r="AS31" s="315" t="e">
        <f t="shared" si="228"/>
        <v>#DIV/0!</v>
      </c>
      <c r="AT31" s="316" t="e">
        <f t="shared" si="247"/>
        <v>#DIV/0!</v>
      </c>
      <c r="AU31" s="315" t="e">
        <f t="shared" si="228"/>
        <v>#DIV/0!</v>
      </c>
      <c r="AV31" s="316" t="e">
        <f t="shared" si="248"/>
        <v>#DIV/0!</v>
      </c>
      <c r="AW31" s="315" t="e">
        <f t="shared" si="228"/>
        <v>#DIV/0!</v>
      </c>
      <c r="AX31" s="316" t="e">
        <f t="shared" si="249"/>
        <v>#DIV/0!</v>
      </c>
      <c r="AY31" s="315" t="e">
        <f t="shared" si="228"/>
        <v>#DIV/0!</v>
      </c>
      <c r="AZ31" s="316" t="e">
        <f t="shared" si="250"/>
        <v>#DIV/0!</v>
      </c>
      <c r="BA31" s="315" t="e">
        <f t="shared" si="228"/>
        <v>#DIV/0!</v>
      </c>
      <c r="BB31" s="316" t="e">
        <f t="shared" si="251"/>
        <v>#DIV/0!</v>
      </c>
      <c r="BC31" s="315" t="e">
        <f t="shared" si="228"/>
        <v>#DIV/0!</v>
      </c>
      <c r="BD31" s="316" t="e">
        <f t="shared" si="252"/>
        <v>#DIV/0!</v>
      </c>
      <c r="BE31" s="315" t="e">
        <f t="shared" si="228"/>
        <v>#DIV/0!</v>
      </c>
      <c r="BF31" s="316" t="e">
        <f t="shared" si="253"/>
        <v>#DIV/0!</v>
      </c>
      <c r="BG31" s="315" t="e">
        <f t="shared" si="228"/>
        <v>#DIV/0!</v>
      </c>
      <c r="BH31" s="316" t="e">
        <f t="shared" si="254"/>
        <v>#DIV/0!</v>
      </c>
      <c r="BI31" s="315" t="e">
        <f t="shared" si="228"/>
        <v>#DIV/0!</v>
      </c>
      <c r="BJ31" s="316" t="e">
        <f t="shared" si="255"/>
        <v>#DIV/0!</v>
      </c>
      <c r="BK31" s="315" t="e">
        <f t="shared" si="228"/>
        <v>#DIV/0!</v>
      </c>
      <c r="BL31" s="316" t="e">
        <f t="shared" si="256"/>
        <v>#DIV/0!</v>
      </c>
      <c r="BM31" s="315" t="e">
        <f t="shared" si="228"/>
        <v>#DIV/0!</v>
      </c>
      <c r="BN31" s="316" t="e">
        <f t="shared" si="257"/>
        <v>#DIV/0!</v>
      </c>
      <c r="BO31" s="315" t="e">
        <f t="shared" si="228"/>
        <v>#DIV/0!</v>
      </c>
      <c r="BP31" s="316" t="e">
        <f t="shared" si="258"/>
        <v>#DIV/0!</v>
      </c>
    </row>
    <row r="32" spans="2:68" x14ac:dyDescent="0.25">
      <c r="B32" s="344" t="str">
        <f t="shared" si="0"/>
        <v>139,0536462,947010713842</v>
      </c>
      <c r="D32" s="308">
        <v>16</v>
      </c>
      <c r="E32" s="315">
        <f t="shared" si="259"/>
        <v>71.769599999999997</v>
      </c>
      <c r="F32" s="316">
        <f t="shared" si="260"/>
        <v>473.55572539659693</v>
      </c>
      <c r="G32" s="315">
        <f t="shared" si="259"/>
        <v>292.54239999999999</v>
      </c>
      <c r="H32" s="316">
        <f t="shared" si="260"/>
        <v>617.27171181169797</v>
      </c>
      <c r="I32" s="315">
        <f t="shared" si="259"/>
        <v>506.38400000000001</v>
      </c>
      <c r="J32" s="316">
        <f t="shared" ref="J32:AH32" si="277">10*I$4*COSH((I$7+$D32*I$9)/I$4)+(I$11-10*I$4*COSH(I$7/I$4))</f>
        <v>608.70347139371734</v>
      </c>
      <c r="K32" s="315">
        <f t="shared" si="263"/>
        <v>714.43799999999999</v>
      </c>
      <c r="L32" s="316">
        <f t="shared" si="277"/>
        <v>715.04844477586562</v>
      </c>
      <c r="M32" s="315">
        <f t="shared" si="263"/>
        <v>910.52279999999996</v>
      </c>
      <c r="N32" s="316">
        <f t="shared" si="277"/>
        <v>675.40309582508098</v>
      </c>
      <c r="O32" s="315">
        <f t="shared" si="263"/>
        <v>1114.6776</v>
      </c>
      <c r="P32" s="316">
        <f t="shared" si="277"/>
        <v>638.64032947944497</v>
      </c>
      <c r="Q32" s="315">
        <f t="shared" si="263"/>
        <v>1324.0239999999999</v>
      </c>
      <c r="R32" s="316">
        <f t="shared" si="277"/>
        <v>635.98716059603635</v>
      </c>
      <c r="S32" s="315">
        <f t="shared" si="263"/>
        <v>1533.4136000000001</v>
      </c>
      <c r="T32" s="316">
        <f t="shared" si="277"/>
        <v>640.92923815128233</v>
      </c>
      <c r="U32" s="315" t="e">
        <f t="shared" si="263"/>
        <v>#DIV/0!</v>
      </c>
      <c r="V32" s="316" t="e">
        <f t="shared" si="277"/>
        <v>#DIV/0!</v>
      </c>
      <c r="W32" s="315" t="e">
        <f t="shared" si="263"/>
        <v>#DIV/0!</v>
      </c>
      <c r="X32" s="316" t="e">
        <f t="shared" si="277"/>
        <v>#DIV/0!</v>
      </c>
      <c r="Y32" s="315" t="e">
        <f t="shared" si="263"/>
        <v>#DIV/0!</v>
      </c>
      <c r="Z32" s="316" t="e">
        <f t="shared" si="277"/>
        <v>#DIV/0!</v>
      </c>
      <c r="AA32" s="315" t="e">
        <f t="shared" si="263"/>
        <v>#DIV/0!</v>
      </c>
      <c r="AB32" s="316" t="e">
        <f t="shared" si="277"/>
        <v>#DIV/0!</v>
      </c>
      <c r="AC32" s="315" t="e">
        <f t="shared" si="263"/>
        <v>#DIV/0!</v>
      </c>
      <c r="AD32" s="316" t="e">
        <f t="shared" si="277"/>
        <v>#DIV/0!</v>
      </c>
      <c r="AE32" s="315" t="e">
        <f t="shared" si="263"/>
        <v>#DIV/0!</v>
      </c>
      <c r="AF32" s="316" t="e">
        <f t="shared" si="277"/>
        <v>#DIV/0!</v>
      </c>
      <c r="AG32" s="315" t="e">
        <f t="shared" si="263"/>
        <v>#DIV/0!</v>
      </c>
      <c r="AH32" s="316" t="e">
        <f t="shared" si="277"/>
        <v>#DIV/0!</v>
      </c>
      <c r="AI32" s="315" t="e">
        <f t="shared" si="263"/>
        <v>#DIV/0!</v>
      </c>
      <c r="AJ32" s="316" t="e">
        <f t="shared" si="242"/>
        <v>#DIV/0!</v>
      </c>
      <c r="AK32" s="315" t="e">
        <f t="shared" si="263"/>
        <v>#DIV/0!</v>
      </c>
      <c r="AL32" s="316" t="e">
        <f t="shared" si="243"/>
        <v>#DIV/0!</v>
      </c>
      <c r="AM32" s="315" t="e">
        <f t="shared" si="263"/>
        <v>#DIV/0!</v>
      </c>
      <c r="AN32" s="316" t="e">
        <f t="shared" si="244"/>
        <v>#DIV/0!</v>
      </c>
      <c r="AO32" s="315" t="e">
        <f t="shared" si="263"/>
        <v>#DIV/0!</v>
      </c>
      <c r="AP32" s="316" t="e">
        <f t="shared" si="245"/>
        <v>#DIV/0!</v>
      </c>
      <c r="AQ32" s="315" t="e">
        <f t="shared" ref="AQ32:BO32" si="278">AQ$7+$D32*AQ$9+(AQ$10-AQ$7)</f>
        <v>#DIV/0!</v>
      </c>
      <c r="AR32" s="316" t="e">
        <f t="shared" si="246"/>
        <v>#DIV/0!</v>
      </c>
      <c r="AS32" s="315" t="e">
        <f t="shared" si="278"/>
        <v>#DIV/0!</v>
      </c>
      <c r="AT32" s="316" t="e">
        <f t="shared" si="247"/>
        <v>#DIV/0!</v>
      </c>
      <c r="AU32" s="315" t="e">
        <f t="shared" si="278"/>
        <v>#DIV/0!</v>
      </c>
      <c r="AV32" s="316" t="e">
        <f t="shared" si="248"/>
        <v>#DIV/0!</v>
      </c>
      <c r="AW32" s="315" t="e">
        <f t="shared" si="278"/>
        <v>#DIV/0!</v>
      </c>
      <c r="AX32" s="316" t="e">
        <f t="shared" si="249"/>
        <v>#DIV/0!</v>
      </c>
      <c r="AY32" s="315" t="e">
        <f t="shared" si="278"/>
        <v>#DIV/0!</v>
      </c>
      <c r="AZ32" s="316" t="e">
        <f t="shared" si="250"/>
        <v>#DIV/0!</v>
      </c>
      <c r="BA32" s="315" t="e">
        <f t="shared" si="278"/>
        <v>#DIV/0!</v>
      </c>
      <c r="BB32" s="316" t="e">
        <f t="shared" si="251"/>
        <v>#DIV/0!</v>
      </c>
      <c r="BC32" s="315" t="e">
        <f t="shared" si="278"/>
        <v>#DIV/0!</v>
      </c>
      <c r="BD32" s="316" t="e">
        <f t="shared" si="252"/>
        <v>#DIV/0!</v>
      </c>
      <c r="BE32" s="315" t="e">
        <f t="shared" si="278"/>
        <v>#DIV/0!</v>
      </c>
      <c r="BF32" s="316" t="e">
        <f t="shared" si="253"/>
        <v>#DIV/0!</v>
      </c>
      <c r="BG32" s="315" t="e">
        <f t="shared" si="278"/>
        <v>#DIV/0!</v>
      </c>
      <c r="BH32" s="316" t="e">
        <f t="shared" si="254"/>
        <v>#DIV/0!</v>
      </c>
      <c r="BI32" s="315" t="e">
        <f t="shared" si="278"/>
        <v>#DIV/0!</v>
      </c>
      <c r="BJ32" s="316" t="e">
        <f t="shared" si="255"/>
        <v>#DIV/0!</v>
      </c>
      <c r="BK32" s="315" t="e">
        <f t="shared" si="278"/>
        <v>#DIV/0!</v>
      </c>
      <c r="BL32" s="316" t="e">
        <f t="shared" si="256"/>
        <v>#DIV/0!</v>
      </c>
      <c r="BM32" s="315" t="e">
        <f t="shared" si="278"/>
        <v>#DIV/0!</v>
      </c>
      <c r="BN32" s="316" t="e">
        <f t="shared" si="257"/>
        <v>#DIV/0!</v>
      </c>
      <c r="BO32" s="315" t="e">
        <f t="shared" si="278"/>
        <v>#DIV/0!</v>
      </c>
      <c r="BP32" s="316" t="e">
        <f t="shared" si="258"/>
        <v>#DIV/0!</v>
      </c>
    </row>
    <row r="33" spans="2:68" x14ac:dyDescent="0.25">
      <c r="B33" s="344" t="str">
        <f t="shared" si="0"/>
        <v>143,5392477,627694081577</v>
      </c>
      <c r="D33" s="308">
        <v>17</v>
      </c>
      <c r="E33" s="315">
        <f t="shared" si="259"/>
        <v>76.255200000000002</v>
      </c>
      <c r="F33" s="316">
        <f t="shared" si="260"/>
        <v>459.39972286932675</v>
      </c>
      <c r="G33" s="315">
        <f t="shared" si="259"/>
        <v>296.80880000000002</v>
      </c>
      <c r="H33" s="316">
        <f t="shared" si="260"/>
        <v>602.44965341751868</v>
      </c>
      <c r="I33" s="315">
        <f t="shared" si="259"/>
        <v>510.68300000000005</v>
      </c>
      <c r="J33" s="316">
        <f t="shared" ref="J33:AH33" si="279">10*I$4*COSH((I$7+$D33*I$9)/I$4)+(I$11-10*I$4*COSH(I$7/I$4))</f>
        <v>593.64958432075764</v>
      </c>
      <c r="K33" s="315">
        <f t="shared" si="263"/>
        <v>718.30600000000004</v>
      </c>
      <c r="L33" s="316">
        <f t="shared" si="279"/>
        <v>702.90708898860817</v>
      </c>
      <c r="M33" s="315">
        <f t="shared" si="263"/>
        <v>914.55859999999996</v>
      </c>
      <c r="N33" s="316">
        <f t="shared" si="279"/>
        <v>662.16687494880284</v>
      </c>
      <c r="O33" s="315">
        <f t="shared" si="263"/>
        <v>1118.8611999999998</v>
      </c>
      <c r="P33" s="316">
        <f t="shared" si="279"/>
        <v>624.39856063907723</v>
      </c>
      <c r="Q33" s="315">
        <f t="shared" si="263"/>
        <v>1328.2180000000001</v>
      </c>
      <c r="R33" s="316">
        <f t="shared" si="279"/>
        <v>621.67317590058042</v>
      </c>
      <c r="S33" s="315">
        <f t="shared" si="263"/>
        <v>1537.5882000000001</v>
      </c>
      <c r="T33" s="316">
        <f t="shared" si="279"/>
        <v>626.74980849915073</v>
      </c>
      <c r="U33" s="315" t="e">
        <f t="shared" si="263"/>
        <v>#DIV/0!</v>
      </c>
      <c r="V33" s="316" t="e">
        <f t="shared" si="279"/>
        <v>#DIV/0!</v>
      </c>
      <c r="W33" s="315" t="e">
        <f t="shared" si="263"/>
        <v>#DIV/0!</v>
      </c>
      <c r="X33" s="316" t="e">
        <f t="shared" si="279"/>
        <v>#DIV/0!</v>
      </c>
      <c r="Y33" s="315" t="e">
        <f t="shared" si="263"/>
        <v>#DIV/0!</v>
      </c>
      <c r="Z33" s="316" t="e">
        <f t="shared" si="279"/>
        <v>#DIV/0!</v>
      </c>
      <c r="AA33" s="315" t="e">
        <f t="shared" si="263"/>
        <v>#DIV/0!</v>
      </c>
      <c r="AB33" s="316" t="e">
        <f t="shared" si="279"/>
        <v>#DIV/0!</v>
      </c>
      <c r="AC33" s="315" t="e">
        <f t="shared" si="263"/>
        <v>#DIV/0!</v>
      </c>
      <c r="AD33" s="316" t="e">
        <f t="shared" si="279"/>
        <v>#DIV/0!</v>
      </c>
      <c r="AE33" s="315" t="e">
        <f t="shared" si="263"/>
        <v>#DIV/0!</v>
      </c>
      <c r="AF33" s="316" t="e">
        <f t="shared" si="279"/>
        <v>#DIV/0!</v>
      </c>
      <c r="AG33" s="315" t="e">
        <f t="shared" si="263"/>
        <v>#DIV/0!</v>
      </c>
      <c r="AH33" s="316" t="e">
        <f t="shared" si="279"/>
        <v>#DIV/0!</v>
      </c>
      <c r="AI33" s="315" t="e">
        <f t="shared" si="263"/>
        <v>#DIV/0!</v>
      </c>
      <c r="AJ33" s="316" t="e">
        <f t="shared" si="242"/>
        <v>#DIV/0!</v>
      </c>
      <c r="AK33" s="315" t="e">
        <f t="shared" si="263"/>
        <v>#DIV/0!</v>
      </c>
      <c r="AL33" s="316" t="e">
        <f t="shared" si="243"/>
        <v>#DIV/0!</v>
      </c>
      <c r="AM33" s="315" t="e">
        <f t="shared" si="263"/>
        <v>#DIV/0!</v>
      </c>
      <c r="AN33" s="316" t="e">
        <f t="shared" si="244"/>
        <v>#DIV/0!</v>
      </c>
      <c r="AO33" s="315" t="e">
        <f t="shared" ref="AO33:BO48" si="280">AO$7+$D33*AO$9+(AO$10-AO$7)</f>
        <v>#DIV/0!</v>
      </c>
      <c r="AP33" s="316" t="e">
        <f t="shared" si="245"/>
        <v>#DIV/0!</v>
      </c>
      <c r="AQ33" s="315" t="e">
        <f t="shared" si="280"/>
        <v>#DIV/0!</v>
      </c>
      <c r="AR33" s="316" t="e">
        <f t="shared" si="246"/>
        <v>#DIV/0!</v>
      </c>
      <c r="AS33" s="315" t="e">
        <f t="shared" si="280"/>
        <v>#DIV/0!</v>
      </c>
      <c r="AT33" s="316" t="e">
        <f t="shared" si="247"/>
        <v>#DIV/0!</v>
      </c>
      <c r="AU33" s="315" t="e">
        <f t="shared" si="280"/>
        <v>#DIV/0!</v>
      </c>
      <c r="AV33" s="316" t="e">
        <f t="shared" si="248"/>
        <v>#DIV/0!</v>
      </c>
      <c r="AW33" s="315" t="e">
        <f t="shared" si="280"/>
        <v>#DIV/0!</v>
      </c>
      <c r="AX33" s="316" t="e">
        <f t="shared" si="249"/>
        <v>#DIV/0!</v>
      </c>
      <c r="AY33" s="315" t="e">
        <f t="shared" si="280"/>
        <v>#DIV/0!</v>
      </c>
      <c r="AZ33" s="316" t="e">
        <f t="shared" si="250"/>
        <v>#DIV/0!</v>
      </c>
      <c r="BA33" s="315" t="e">
        <f t="shared" si="280"/>
        <v>#DIV/0!</v>
      </c>
      <c r="BB33" s="316" t="e">
        <f t="shared" si="251"/>
        <v>#DIV/0!</v>
      </c>
      <c r="BC33" s="315" t="e">
        <f t="shared" si="280"/>
        <v>#DIV/0!</v>
      </c>
      <c r="BD33" s="316" t="e">
        <f t="shared" si="252"/>
        <v>#DIV/0!</v>
      </c>
      <c r="BE33" s="315" t="e">
        <f t="shared" si="280"/>
        <v>#DIV/0!</v>
      </c>
      <c r="BF33" s="316" t="e">
        <f t="shared" si="253"/>
        <v>#DIV/0!</v>
      </c>
      <c r="BG33" s="315" t="e">
        <f t="shared" si="280"/>
        <v>#DIV/0!</v>
      </c>
      <c r="BH33" s="316" t="e">
        <f t="shared" si="254"/>
        <v>#DIV/0!</v>
      </c>
      <c r="BI33" s="315" t="e">
        <f t="shared" si="280"/>
        <v>#DIV/0!</v>
      </c>
      <c r="BJ33" s="316" t="e">
        <f t="shared" si="255"/>
        <v>#DIV/0!</v>
      </c>
      <c r="BK33" s="315" t="e">
        <f t="shared" si="280"/>
        <v>#DIV/0!</v>
      </c>
      <c r="BL33" s="316" t="e">
        <f t="shared" si="256"/>
        <v>#DIV/0!</v>
      </c>
      <c r="BM33" s="315" t="e">
        <f t="shared" si="280"/>
        <v>#DIV/0!</v>
      </c>
      <c r="BN33" s="316" t="e">
        <f t="shared" si="257"/>
        <v>#DIV/0!</v>
      </c>
      <c r="BO33" s="315" t="e">
        <f t="shared" si="280"/>
        <v>#DIV/0!</v>
      </c>
      <c r="BP33" s="316" t="e">
        <f t="shared" si="258"/>
        <v>#DIV/0!</v>
      </c>
    </row>
    <row r="34" spans="2:68" x14ac:dyDescent="0.25">
      <c r="B34" s="344" t="str">
        <f t="shared" si="0"/>
        <v>148,0248494,311451666496</v>
      </c>
      <c r="D34" s="308">
        <v>18</v>
      </c>
      <c r="E34" s="315">
        <f t="shared" si="259"/>
        <v>80.740799999999993</v>
      </c>
      <c r="F34" s="316">
        <f t="shared" si="260"/>
        <v>447.21440734634302</v>
      </c>
      <c r="G34" s="315">
        <f t="shared" si="259"/>
        <v>301.0752</v>
      </c>
      <c r="H34" s="316">
        <f t="shared" si="260"/>
        <v>589.42691583723763</v>
      </c>
      <c r="I34" s="315">
        <f t="shared" si="259"/>
        <v>514.98200000000008</v>
      </c>
      <c r="J34" s="316">
        <f t="shared" ref="J34:AH34" si="281">10*I$4*COSH((I$7+$D34*I$9)/I$4)+(I$11-10*I$4*COSH(I$7/I$4))</f>
        <v>580.42401851722479</v>
      </c>
      <c r="K34" s="315">
        <f t="shared" ref="K34:AO49" si="282">K$7+$D34*K$9+(K$10-K$7)</f>
        <v>722.17399999999998</v>
      </c>
      <c r="L34" s="316">
        <f t="shared" si="281"/>
        <v>692.2315887263735</v>
      </c>
      <c r="M34" s="315">
        <f t="shared" si="282"/>
        <v>918.59439999999995</v>
      </c>
      <c r="N34" s="316">
        <f t="shared" si="281"/>
        <v>650.53228659199453</v>
      </c>
      <c r="O34" s="315">
        <f t="shared" si="282"/>
        <v>1123.0447999999999</v>
      </c>
      <c r="P34" s="316">
        <f t="shared" si="281"/>
        <v>611.88363443775711</v>
      </c>
      <c r="Q34" s="315">
        <f t="shared" si="282"/>
        <v>1332.412</v>
      </c>
      <c r="R34" s="316">
        <f t="shared" si="281"/>
        <v>609.09504481436238</v>
      </c>
      <c r="S34" s="315">
        <f t="shared" si="282"/>
        <v>1541.7628000000002</v>
      </c>
      <c r="T34" s="316">
        <f t="shared" si="281"/>
        <v>614.28944492155711</v>
      </c>
      <c r="U34" s="315" t="e">
        <f t="shared" si="282"/>
        <v>#DIV/0!</v>
      </c>
      <c r="V34" s="316" t="e">
        <f t="shared" si="281"/>
        <v>#DIV/0!</v>
      </c>
      <c r="W34" s="315" t="e">
        <f t="shared" si="282"/>
        <v>#DIV/0!</v>
      </c>
      <c r="X34" s="316" t="e">
        <f t="shared" si="281"/>
        <v>#DIV/0!</v>
      </c>
      <c r="Y34" s="315" t="e">
        <f t="shared" si="282"/>
        <v>#DIV/0!</v>
      </c>
      <c r="Z34" s="316" t="e">
        <f t="shared" si="281"/>
        <v>#DIV/0!</v>
      </c>
      <c r="AA34" s="315" t="e">
        <f t="shared" si="282"/>
        <v>#DIV/0!</v>
      </c>
      <c r="AB34" s="316" t="e">
        <f t="shared" si="281"/>
        <v>#DIV/0!</v>
      </c>
      <c r="AC34" s="315" t="e">
        <f t="shared" si="282"/>
        <v>#DIV/0!</v>
      </c>
      <c r="AD34" s="316" t="e">
        <f t="shared" si="281"/>
        <v>#DIV/0!</v>
      </c>
      <c r="AE34" s="315" t="e">
        <f t="shared" si="282"/>
        <v>#DIV/0!</v>
      </c>
      <c r="AF34" s="316" t="e">
        <f t="shared" si="281"/>
        <v>#DIV/0!</v>
      </c>
      <c r="AG34" s="315" t="e">
        <f t="shared" si="282"/>
        <v>#DIV/0!</v>
      </c>
      <c r="AH34" s="316" t="e">
        <f t="shared" si="281"/>
        <v>#DIV/0!</v>
      </c>
      <c r="AI34" s="315" t="e">
        <f t="shared" si="282"/>
        <v>#DIV/0!</v>
      </c>
      <c r="AJ34" s="316" t="e">
        <f t="shared" si="242"/>
        <v>#DIV/0!</v>
      </c>
      <c r="AK34" s="315" t="e">
        <f t="shared" si="282"/>
        <v>#DIV/0!</v>
      </c>
      <c r="AL34" s="316" t="e">
        <f t="shared" si="243"/>
        <v>#DIV/0!</v>
      </c>
      <c r="AM34" s="315" t="e">
        <f t="shared" si="282"/>
        <v>#DIV/0!</v>
      </c>
      <c r="AN34" s="316" t="e">
        <f t="shared" si="244"/>
        <v>#DIV/0!</v>
      </c>
      <c r="AO34" s="315" t="e">
        <f t="shared" si="282"/>
        <v>#DIV/0!</v>
      </c>
      <c r="AP34" s="316" t="e">
        <f t="shared" si="245"/>
        <v>#DIV/0!</v>
      </c>
      <c r="AQ34" s="315" t="e">
        <f t="shared" si="280"/>
        <v>#DIV/0!</v>
      </c>
      <c r="AR34" s="316" t="e">
        <f t="shared" si="246"/>
        <v>#DIV/0!</v>
      </c>
      <c r="AS34" s="315" t="e">
        <f t="shared" si="280"/>
        <v>#DIV/0!</v>
      </c>
      <c r="AT34" s="316" t="e">
        <f t="shared" si="247"/>
        <v>#DIV/0!</v>
      </c>
      <c r="AU34" s="315" t="e">
        <f t="shared" si="280"/>
        <v>#DIV/0!</v>
      </c>
      <c r="AV34" s="316" t="e">
        <f t="shared" si="248"/>
        <v>#DIV/0!</v>
      </c>
      <c r="AW34" s="315" t="e">
        <f t="shared" si="280"/>
        <v>#DIV/0!</v>
      </c>
      <c r="AX34" s="316" t="e">
        <f t="shared" si="249"/>
        <v>#DIV/0!</v>
      </c>
      <c r="AY34" s="315" t="e">
        <f t="shared" si="280"/>
        <v>#DIV/0!</v>
      </c>
      <c r="AZ34" s="316" t="e">
        <f t="shared" si="250"/>
        <v>#DIV/0!</v>
      </c>
      <c r="BA34" s="315" t="e">
        <f t="shared" si="280"/>
        <v>#DIV/0!</v>
      </c>
      <c r="BB34" s="316" t="e">
        <f t="shared" si="251"/>
        <v>#DIV/0!</v>
      </c>
      <c r="BC34" s="315" t="e">
        <f t="shared" si="280"/>
        <v>#DIV/0!</v>
      </c>
      <c r="BD34" s="316" t="e">
        <f t="shared" si="252"/>
        <v>#DIV/0!</v>
      </c>
      <c r="BE34" s="315" t="e">
        <f t="shared" si="280"/>
        <v>#DIV/0!</v>
      </c>
      <c r="BF34" s="316" t="e">
        <f t="shared" si="253"/>
        <v>#DIV/0!</v>
      </c>
      <c r="BG34" s="315" t="e">
        <f t="shared" si="280"/>
        <v>#DIV/0!</v>
      </c>
      <c r="BH34" s="316" t="e">
        <f t="shared" si="254"/>
        <v>#DIV/0!</v>
      </c>
      <c r="BI34" s="315" t="e">
        <f t="shared" si="280"/>
        <v>#DIV/0!</v>
      </c>
      <c r="BJ34" s="316" t="e">
        <f t="shared" si="255"/>
        <v>#DIV/0!</v>
      </c>
      <c r="BK34" s="315" t="e">
        <f t="shared" si="280"/>
        <v>#DIV/0!</v>
      </c>
      <c r="BL34" s="316" t="e">
        <f t="shared" si="256"/>
        <v>#DIV/0!</v>
      </c>
      <c r="BM34" s="315" t="e">
        <f t="shared" si="280"/>
        <v>#DIV/0!</v>
      </c>
      <c r="BN34" s="316" t="e">
        <f t="shared" si="257"/>
        <v>#DIV/0!</v>
      </c>
      <c r="BO34" s="315" t="e">
        <f t="shared" si="280"/>
        <v>#DIV/0!</v>
      </c>
      <c r="BP34" s="316" t="e">
        <f t="shared" si="258"/>
        <v>#DIV/0!</v>
      </c>
    </row>
    <row r="35" spans="2:68" x14ac:dyDescent="0.25">
      <c r="B35" s="344" t="str">
        <f t="shared" si="0"/>
        <v>152,5104513,027926943594</v>
      </c>
      <c r="D35" s="308">
        <v>19</v>
      </c>
      <c r="E35" s="315">
        <f t="shared" si="259"/>
        <v>85.226399999999998</v>
      </c>
      <c r="F35" s="316">
        <f t="shared" si="260"/>
        <v>436.97812812371058</v>
      </c>
      <c r="G35" s="315">
        <f t="shared" si="259"/>
        <v>305.34159999999997</v>
      </c>
      <c r="H35" s="316">
        <f t="shared" si="260"/>
        <v>578.18256693925946</v>
      </c>
      <c r="I35" s="315">
        <f t="shared" si="259"/>
        <v>519.28100000000006</v>
      </c>
      <c r="J35" s="316">
        <f t="shared" ref="J35:AH35" si="283">10*I$4*COSH((I$7+$D35*I$9)/I$4)+(I$11-10*I$4*COSH(I$7/I$4))</f>
        <v>569.00518967813173</v>
      </c>
      <c r="K35" s="315">
        <f t="shared" si="282"/>
        <v>726.04200000000003</v>
      </c>
      <c r="L35" s="316">
        <f t="shared" si="283"/>
        <v>683.00784010160919</v>
      </c>
      <c r="M35" s="315">
        <f t="shared" si="282"/>
        <v>922.63019999999995</v>
      </c>
      <c r="N35" s="316">
        <f t="shared" si="283"/>
        <v>640.48259704603674</v>
      </c>
      <c r="O35" s="315">
        <f t="shared" si="282"/>
        <v>1127.2284</v>
      </c>
      <c r="P35" s="316">
        <f t="shared" si="283"/>
        <v>601.07620829592975</v>
      </c>
      <c r="Q35" s="315">
        <f t="shared" si="282"/>
        <v>1336.606</v>
      </c>
      <c r="R35" s="316">
        <f t="shared" si="283"/>
        <v>598.23323028516188</v>
      </c>
      <c r="S35" s="315">
        <f t="shared" si="282"/>
        <v>1545.9374</v>
      </c>
      <c r="T35" s="316">
        <f t="shared" si="283"/>
        <v>603.52897194918773</v>
      </c>
      <c r="U35" s="315" t="e">
        <f t="shared" si="282"/>
        <v>#DIV/0!</v>
      </c>
      <c r="V35" s="316" t="e">
        <f t="shared" si="283"/>
        <v>#DIV/0!</v>
      </c>
      <c r="W35" s="315" t="e">
        <f t="shared" si="282"/>
        <v>#DIV/0!</v>
      </c>
      <c r="X35" s="316" t="e">
        <f t="shared" si="283"/>
        <v>#DIV/0!</v>
      </c>
      <c r="Y35" s="315" t="e">
        <f t="shared" si="282"/>
        <v>#DIV/0!</v>
      </c>
      <c r="Z35" s="316" t="e">
        <f t="shared" si="283"/>
        <v>#DIV/0!</v>
      </c>
      <c r="AA35" s="315" t="e">
        <f t="shared" si="282"/>
        <v>#DIV/0!</v>
      </c>
      <c r="AB35" s="316" t="e">
        <f t="shared" si="283"/>
        <v>#DIV/0!</v>
      </c>
      <c r="AC35" s="315" t="e">
        <f t="shared" si="282"/>
        <v>#DIV/0!</v>
      </c>
      <c r="AD35" s="316" t="e">
        <f t="shared" si="283"/>
        <v>#DIV/0!</v>
      </c>
      <c r="AE35" s="315" t="e">
        <f t="shared" si="282"/>
        <v>#DIV/0!</v>
      </c>
      <c r="AF35" s="316" t="e">
        <f t="shared" si="283"/>
        <v>#DIV/0!</v>
      </c>
      <c r="AG35" s="315" t="e">
        <f t="shared" si="282"/>
        <v>#DIV/0!</v>
      </c>
      <c r="AH35" s="316" t="e">
        <f t="shared" si="283"/>
        <v>#DIV/0!</v>
      </c>
      <c r="AI35" s="315" t="e">
        <f t="shared" si="282"/>
        <v>#DIV/0!</v>
      </c>
      <c r="AJ35" s="316" t="e">
        <f t="shared" si="242"/>
        <v>#DIV/0!</v>
      </c>
      <c r="AK35" s="315" t="e">
        <f t="shared" si="282"/>
        <v>#DIV/0!</v>
      </c>
      <c r="AL35" s="316" t="e">
        <f t="shared" si="243"/>
        <v>#DIV/0!</v>
      </c>
      <c r="AM35" s="315" t="e">
        <f t="shared" si="282"/>
        <v>#DIV/0!</v>
      </c>
      <c r="AN35" s="316" t="e">
        <f t="shared" si="244"/>
        <v>#DIV/0!</v>
      </c>
      <c r="AO35" s="315" t="e">
        <f t="shared" si="282"/>
        <v>#DIV/0!</v>
      </c>
      <c r="AP35" s="316" t="e">
        <f t="shared" si="245"/>
        <v>#DIV/0!</v>
      </c>
      <c r="AQ35" s="315" t="e">
        <f t="shared" si="280"/>
        <v>#DIV/0!</v>
      </c>
      <c r="AR35" s="316" t="e">
        <f t="shared" si="246"/>
        <v>#DIV/0!</v>
      </c>
      <c r="AS35" s="315" t="e">
        <f t="shared" si="280"/>
        <v>#DIV/0!</v>
      </c>
      <c r="AT35" s="316" t="e">
        <f t="shared" si="247"/>
        <v>#DIV/0!</v>
      </c>
      <c r="AU35" s="315" t="e">
        <f t="shared" si="280"/>
        <v>#DIV/0!</v>
      </c>
      <c r="AV35" s="316" t="e">
        <f t="shared" si="248"/>
        <v>#DIV/0!</v>
      </c>
      <c r="AW35" s="315" t="e">
        <f t="shared" si="280"/>
        <v>#DIV/0!</v>
      </c>
      <c r="AX35" s="316" t="e">
        <f t="shared" si="249"/>
        <v>#DIV/0!</v>
      </c>
      <c r="AY35" s="315" t="e">
        <f t="shared" si="280"/>
        <v>#DIV/0!</v>
      </c>
      <c r="AZ35" s="316" t="e">
        <f t="shared" si="250"/>
        <v>#DIV/0!</v>
      </c>
      <c r="BA35" s="315" t="e">
        <f t="shared" si="280"/>
        <v>#DIV/0!</v>
      </c>
      <c r="BB35" s="316" t="e">
        <f t="shared" si="251"/>
        <v>#DIV/0!</v>
      </c>
      <c r="BC35" s="315" t="e">
        <f t="shared" si="280"/>
        <v>#DIV/0!</v>
      </c>
      <c r="BD35" s="316" t="e">
        <f t="shared" si="252"/>
        <v>#DIV/0!</v>
      </c>
      <c r="BE35" s="315" t="e">
        <f t="shared" si="280"/>
        <v>#DIV/0!</v>
      </c>
      <c r="BF35" s="316" t="e">
        <f t="shared" si="253"/>
        <v>#DIV/0!</v>
      </c>
      <c r="BG35" s="315" t="e">
        <f t="shared" si="280"/>
        <v>#DIV/0!</v>
      </c>
      <c r="BH35" s="316" t="e">
        <f t="shared" si="254"/>
        <v>#DIV/0!</v>
      </c>
      <c r="BI35" s="315" t="e">
        <f t="shared" si="280"/>
        <v>#DIV/0!</v>
      </c>
      <c r="BJ35" s="316" t="e">
        <f t="shared" si="255"/>
        <v>#DIV/0!</v>
      </c>
      <c r="BK35" s="315" t="e">
        <f t="shared" si="280"/>
        <v>#DIV/0!</v>
      </c>
      <c r="BL35" s="316" t="e">
        <f t="shared" si="256"/>
        <v>#DIV/0!</v>
      </c>
      <c r="BM35" s="315" t="e">
        <f t="shared" si="280"/>
        <v>#DIV/0!</v>
      </c>
      <c r="BN35" s="316" t="e">
        <f t="shared" si="257"/>
        <v>#DIV/0!</v>
      </c>
      <c r="BO35" s="315" t="e">
        <f t="shared" si="280"/>
        <v>#DIV/0!</v>
      </c>
      <c r="BP35" s="316" t="e">
        <f t="shared" si="258"/>
        <v>#DIV/0!</v>
      </c>
    </row>
    <row r="36" spans="2:68" x14ac:dyDescent="0.25">
      <c r="B36" s="344" t="str">
        <f t="shared" si="0"/>
        <v>156,996533,810375093187</v>
      </c>
      <c r="D36" s="308">
        <v>20</v>
      </c>
      <c r="E36" s="315">
        <f t="shared" si="259"/>
        <v>89.711999999999989</v>
      </c>
      <c r="F36" s="316">
        <f t="shared" si="260"/>
        <v>428.67269751885033</v>
      </c>
      <c r="G36" s="315">
        <f t="shared" si="259"/>
        <v>309.608</v>
      </c>
      <c r="H36" s="316">
        <f t="shared" si="260"/>
        <v>568.69853308972733</v>
      </c>
      <c r="I36" s="315">
        <f t="shared" si="259"/>
        <v>523.58000000000004</v>
      </c>
      <c r="J36" s="316">
        <f t="shared" ref="J36:AH36" si="284">10*I$4*COSH((I$7+$D36*I$9)/I$4)+(I$11-10*I$4*COSH(I$7/I$4))</f>
        <v>559.37446211802558</v>
      </c>
      <c r="K36" s="315">
        <f t="shared" si="282"/>
        <v>729.91</v>
      </c>
      <c r="L36" s="316">
        <f t="shared" si="284"/>
        <v>675.22365720169046</v>
      </c>
      <c r="M36" s="315">
        <f t="shared" si="282"/>
        <v>926.66599999999994</v>
      </c>
      <c r="N36" s="316">
        <f t="shared" si="284"/>
        <v>632.00335211870492</v>
      </c>
      <c r="O36" s="315">
        <f t="shared" si="282"/>
        <v>1131.4119999999998</v>
      </c>
      <c r="P36" s="316">
        <f t="shared" si="284"/>
        <v>591.95957867922584</v>
      </c>
      <c r="Q36" s="315">
        <f t="shared" si="282"/>
        <v>1340.8</v>
      </c>
      <c r="R36" s="316">
        <f t="shared" si="284"/>
        <v>589.07086113901778</v>
      </c>
      <c r="S36" s="315">
        <f t="shared" si="282"/>
        <v>1550.1120000000001</v>
      </c>
      <c r="T36" s="316">
        <f t="shared" si="284"/>
        <v>594.45183010382175</v>
      </c>
      <c r="U36" s="315" t="e">
        <f t="shared" si="282"/>
        <v>#DIV/0!</v>
      </c>
      <c r="V36" s="316" t="e">
        <f t="shared" si="284"/>
        <v>#DIV/0!</v>
      </c>
      <c r="W36" s="315" t="e">
        <f t="shared" si="282"/>
        <v>#DIV/0!</v>
      </c>
      <c r="X36" s="316" t="e">
        <f t="shared" si="284"/>
        <v>#DIV/0!</v>
      </c>
      <c r="Y36" s="315" t="e">
        <f t="shared" si="282"/>
        <v>#DIV/0!</v>
      </c>
      <c r="Z36" s="316" t="e">
        <f t="shared" si="284"/>
        <v>#DIV/0!</v>
      </c>
      <c r="AA36" s="315" t="e">
        <f t="shared" si="282"/>
        <v>#DIV/0!</v>
      </c>
      <c r="AB36" s="316" t="e">
        <f t="shared" si="284"/>
        <v>#DIV/0!</v>
      </c>
      <c r="AC36" s="315" t="e">
        <f t="shared" si="282"/>
        <v>#DIV/0!</v>
      </c>
      <c r="AD36" s="316" t="e">
        <f t="shared" si="284"/>
        <v>#DIV/0!</v>
      </c>
      <c r="AE36" s="315" t="e">
        <f t="shared" si="282"/>
        <v>#DIV/0!</v>
      </c>
      <c r="AF36" s="316" t="e">
        <f t="shared" si="284"/>
        <v>#DIV/0!</v>
      </c>
      <c r="AG36" s="315" t="e">
        <f t="shared" si="282"/>
        <v>#DIV/0!</v>
      </c>
      <c r="AH36" s="316" t="e">
        <f t="shared" si="284"/>
        <v>#DIV/0!</v>
      </c>
      <c r="AI36" s="315" t="e">
        <f t="shared" si="282"/>
        <v>#DIV/0!</v>
      </c>
      <c r="AJ36" s="316" t="e">
        <f t="shared" si="242"/>
        <v>#DIV/0!</v>
      </c>
      <c r="AK36" s="315" t="e">
        <f t="shared" si="282"/>
        <v>#DIV/0!</v>
      </c>
      <c r="AL36" s="316" t="e">
        <f t="shared" si="243"/>
        <v>#DIV/0!</v>
      </c>
      <c r="AM36" s="315" t="e">
        <f t="shared" si="282"/>
        <v>#DIV/0!</v>
      </c>
      <c r="AN36" s="316" t="e">
        <f t="shared" si="244"/>
        <v>#DIV/0!</v>
      </c>
      <c r="AO36" s="315" t="e">
        <f t="shared" si="282"/>
        <v>#DIV/0!</v>
      </c>
      <c r="AP36" s="316" t="e">
        <f t="shared" si="245"/>
        <v>#DIV/0!</v>
      </c>
      <c r="AQ36" s="315" t="e">
        <f t="shared" si="280"/>
        <v>#DIV/0!</v>
      </c>
      <c r="AR36" s="316" t="e">
        <f t="shared" si="246"/>
        <v>#DIV/0!</v>
      </c>
      <c r="AS36" s="315" t="e">
        <f t="shared" si="280"/>
        <v>#DIV/0!</v>
      </c>
      <c r="AT36" s="316" t="e">
        <f t="shared" si="247"/>
        <v>#DIV/0!</v>
      </c>
      <c r="AU36" s="315" t="e">
        <f t="shared" si="280"/>
        <v>#DIV/0!</v>
      </c>
      <c r="AV36" s="316" t="e">
        <f t="shared" si="248"/>
        <v>#DIV/0!</v>
      </c>
      <c r="AW36" s="315" t="e">
        <f t="shared" si="280"/>
        <v>#DIV/0!</v>
      </c>
      <c r="AX36" s="316" t="e">
        <f t="shared" si="249"/>
        <v>#DIV/0!</v>
      </c>
      <c r="AY36" s="315" t="e">
        <f t="shared" si="280"/>
        <v>#DIV/0!</v>
      </c>
      <c r="AZ36" s="316" t="e">
        <f t="shared" si="250"/>
        <v>#DIV/0!</v>
      </c>
      <c r="BA36" s="315" t="e">
        <f t="shared" si="280"/>
        <v>#DIV/0!</v>
      </c>
      <c r="BB36" s="316" t="e">
        <f t="shared" si="251"/>
        <v>#DIV/0!</v>
      </c>
      <c r="BC36" s="315" t="e">
        <f t="shared" si="280"/>
        <v>#DIV/0!</v>
      </c>
      <c r="BD36" s="316" t="e">
        <f t="shared" si="252"/>
        <v>#DIV/0!</v>
      </c>
      <c r="BE36" s="315" t="e">
        <f t="shared" si="280"/>
        <v>#DIV/0!</v>
      </c>
      <c r="BF36" s="316" t="e">
        <f t="shared" si="253"/>
        <v>#DIV/0!</v>
      </c>
      <c r="BG36" s="315" t="e">
        <f t="shared" si="280"/>
        <v>#DIV/0!</v>
      </c>
      <c r="BH36" s="316" t="e">
        <f t="shared" si="254"/>
        <v>#DIV/0!</v>
      </c>
      <c r="BI36" s="315" t="e">
        <f t="shared" si="280"/>
        <v>#DIV/0!</v>
      </c>
      <c r="BJ36" s="316" t="e">
        <f t="shared" si="255"/>
        <v>#DIV/0!</v>
      </c>
      <c r="BK36" s="315" t="e">
        <f t="shared" si="280"/>
        <v>#DIV/0!</v>
      </c>
      <c r="BL36" s="316" t="e">
        <f t="shared" si="256"/>
        <v>#DIV/0!</v>
      </c>
      <c r="BM36" s="315" t="e">
        <f t="shared" si="280"/>
        <v>#DIV/0!</v>
      </c>
      <c r="BN36" s="316" t="e">
        <f t="shared" si="257"/>
        <v>#DIV/0!</v>
      </c>
      <c r="BO36" s="315" t="e">
        <f t="shared" si="280"/>
        <v>#DIV/0!</v>
      </c>
      <c r="BP36" s="316" t="e">
        <f t="shared" si="258"/>
        <v>#DIV/0!</v>
      </c>
    </row>
    <row r="37" spans="2:68" x14ac:dyDescent="0.25">
      <c r="B37" s="344" t="str">
        <f t="shared" si="0"/>
        <v>161,4816556,695722088271</v>
      </c>
      <c r="D37" s="308">
        <v>21</v>
      </c>
      <c r="E37" s="315">
        <f t="shared" si="259"/>
        <v>94.197599999999994</v>
      </c>
      <c r="F37" s="316">
        <f t="shared" si="260"/>
        <v>422.28335855491264</v>
      </c>
      <c r="G37" s="315">
        <f t="shared" si="259"/>
        <v>313.87439999999998</v>
      </c>
      <c r="H37" s="316">
        <f t="shared" si="260"/>
        <v>560.95957010182042</v>
      </c>
      <c r="I37" s="315">
        <f t="shared" si="259"/>
        <v>527.87900000000002</v>
      </c>
      <c r="J37" s="316">
        <f t="shared" ref="J37:AH37" si="285">10*I$4*COSH((I$7+$D37*I$9)/I$4)+(I$11-10*I$4*COSH(I$7/I$4))</f>
        <v>551.51611835729182</v>
      </c>
      <c r="K37" s="315">
        <f t="shared" si="282"/>
        <v>733.77800000000002</v>
      </c>
      <c r="L37" s="316">
        <f t="shared" si="285"/>
        <v>668.8687559895593</v>
      </c>
      <c r="M37" s="315">
        <f t="shared" si="282"/>
        <v>930.70179999999993</v>
      </c>
      <c r="N37" s="316">
        <f t="shared" si="285"/>
        <v>625.08235634509924</v>
      </c>
      <c r="O37" s="315">
        <f t="shared" si="282"/>
        <v>1135.5955999999999</v>
      </c>
      <c r="P37" s="316">
        <f t="shared" si="285"/>
        <v>584.51965528213327</v>
      </c>
      <c r="Q37" s="315">
        <f t="shared" si="282"/>
        <v>1344.9939999999999</v>
      </c>
      <c r="R37" s="316">
        <f t="shared" si="285"/>
        <v>581.59370587498302</v>
      </c>
      <c r="S37" s="315">
        <f t="shared" si="282"/>
        <v>1554.2866000000001</v>
      </c>
      <c r="T37" s="316">
        <f t="shared" si="285"/>
        <v>587.04405041466384</v>
      </c>
      <c r="U37" s="315" t="e">
        <f t="shared" si="282"/>
        <v>#DIV/0!</v>
      </c>
      <c r="V37" s="316" t="e">
        <f t="shared" si="285"/>
        <v>#DIV/0!</v>
      </c>
      <c r="W37" s="315" t="e">
        <f t="shared" si="282"/>
        <v>#DIV/0!</v>
      </c>
      <c r="X37" s="316" t="e">
        <f t="shared" si="285"/>
        <v>#DIV/0!</v>
      </c>
      <c r="Y37" s="315" t="e">
        <f t="shared" si="282"/>
        <v>#DIV/0!</v>
      </c>
      <c r="Z37" s="316" t="e">
        <f t="shared" si="285"/>
        <v>#DIV/0!</v>
      </c>
      <c r="AA37" s="315" t="e">
        <f t="shared" si="282"/>
        <v>#DIV/0!</v>
      </c>
      <c r="AB37" s="316" t="e">
        <f t="shared" si="285"/>
        <v>#DIV/0!</v>
      </c>
      <c r="AC37" s="315" t="e">
        <f t="shared" si="282"/>
        <v>#DIV/0!</v>
      </c>
      <c r="AD37" s="316" t="e">
        <f t="shared" si="285"/>
        <v>#DIV/0!</v>
      </c>
      <c r="AE37" s="315" t="e">
        <f t="shared" si="282"/>
        <v>#DIV/0!</v>
      </c>
      <c r="AF37" s="316" t="e">
        <f t="shared" si="285"/>
        <v>#DIV/0!</v>
      </c>
      <c r="AG37" s="315" t="e">
        <f t="shared" si="282"/>
        <v>#DIV/0!</v>
      </c>
      <c r="AH37" s="316" t="e">
        <f t="shared" si="285"/>
        <v>#DIV/0!</v>
      </c>
      <c r="AI37" s="315" t="e">
        <f t="shared" si="282"/>
        <v>#DIV/0!</v>
      </c>
      <c r="AJ37" s="316" t="e">
        <f t="shared" si="242"/>
        <v>#DIV/0!</v>
      </c>
      <c r="AK37" s="315" t="e">
        <f t="shared" si="282"/>
        <v>#DIV/0!</v>
      </c>
      <c r="AL37" s="316" t="e">
        <f t="shared" si="243"/>
        <v>#DIV/0!</v>
      </c>
      <c r="AM37" s="315" t="e">
        <f t="shared" si="282"/>
        <v>#DIV/0!</v>
      </c>
      <c r="AN37" s="316" t="e">
        <f t="shared" si="244"/>
        <v>#DIV/0!</v>
      </c>
      <c r="AO37" s="315" t="e">
        <f t="shared" si="282"/>
        <v>#DIV/0!</v>
      </c>
      <c r="AP37" s="316" t="e">
        <f t="shared" si="245"/>
        <v>#DIV/0!</v>
      </c>
      <c r="AQ37" s="315" t="e">
        <f t="shared" si="280"/>
        <v>#DIV/0!</v>
      </c>
      <c r="AR37" s="316" t="e">
        <f t="shared" si="246"/>
        <v>#DIV/0!</v>
      </c>
      <c r="AS37" s="315" t="e">
        <f t="shared" si="280"/>
        <v>#DIV/0!</v>
      </c>
      <c r="AT37" s="316" t="e">
        <f t="shared" si="247"/>
        <v>#DIV/0!</v>
      </c>
      <c r="AU37" s="315" t="e">
        <f t="shared" si="280"/>
        <v>#DIV/0!</v>
      </c>
      <c r="AV37" s="316" t="e">
        <f t="shared" si="248"/>
        <v>#DIV/0!</v>
      </c>
      <c r="AW37" s="315" t="e">
        <f t="shared" si="280"/>
        <v>#DIV/0!</v>
      </c>
      <c r="AX37" s="316" t="e">
        <f t="shared" si="249"/>
        <v>#DIV/0!</v>
      </c>
      <c r="AY37" s="315" t="e">
        <f t="shared" si="280"/>
        <v>#DIV/0!</v>
      </c>
      <c r="AZ37" s="316" t="e">
        <f t="shared" si="250"/>
        <v>#DIV/0!</v>
      </c>
      <c r="BA37" s="315" t="e">
        <f t="shared" si="280"/>
        <v>#DIV/0!</v>
      </c>
      <c r="BB37" s="316" t="e">
        <f t="shared" si="251"/>
        <v>#DIV/0!</v>
      </c>
      <c r="BC37" s="315" t="e">
        <f t="shared" si="280"/>
        <v>#DIV/0!</v>
      </c>
      <c r="BD37" s="316" t="e">
        <f t="shared" si="252"/>
        <v>#DIV/0!</v>
      </c>
      <c r="BE37" s="315" t="e">
        <f t="shared" si="280"/>
        <v>#DIV/0!</v>
      </c>
      <c r="BF37" s="316" t="e">
        <f t="shared" si="253"/>
        <v>#DIV/0!</v>
      </c>
      <c r="BG37" s="315" t="e">
        <f t="shared" si="280"/>
        <v>#DIV/0!</v>
      </c>
      <c r="BH37" s="316" t="e">
        <f t="shared" si="254"/>
        <v>#DIV/0!</v>
      </c>
      <c r="BI37" s="315" t="e">
        <f t="shared" si="280"/>
        <v>#DIV/0!</v>
      </c>
      <c r="BJ37" s="316" t="e">
        <f t="shared" si="255"/>
        <v>#DIV/0!</v>
      </c>
      <c r="BK37" s="315" t="e">
        <f t="shared" si="280"/>
        <v>#DIV/0!</v>
      </c>
      <c r="BL37" s="316" t="e">
        <f t="shared" si="256"/>
        <v>#DIV/0!</v>
      </c>
      <c r="BM37" s="315" t="e">
        <f t="shared" si="280"/>
        <v>#DIV/0!</v>
      </c>
      <c r="BN37" s="316" t="e">
        <f t="shared" si="257"/>
        <v>#DIV/0!</v>
      </c>
      <c r="BO37" s="315" t="e">
        <f t="shared" si="280"/>
        <v>#DIV/0!</v>
      </c>
      <c r="BP37" s="316" t="e">
        <f t="shared" si="258"/>
        <v>#DIV/0!</v>
      </c>
    </row>
    <row r="38" spans="2:68" x14ac:dyDescent="0.25">
      <c r="B38" s="344" t="str">
        <f t="shared" si="0"/>
        <v>165,9672581,72463030409</v>
      </c>
      <c r="D38" s="308">
        <v>22</v>
      </c>
      <c r="E38" s="315">
        <f t="shared" si="259"/>
        <v>98.683199999999999</v>
      </c>
      <c r="F38" s="316">
        <f t="shared" si="260"/>
        <v>417.79875874077857</v>
      </c>
      <c r="G38" s="315">
        <f t="shared" si="259"/>
        <v>318.14080000000001</v>
      </c>
      <c r="H38" s="316">
        <f t="shared" si="260"/>
        <v>554.95323873296979</v>
      </c>
      <c r="I38" s="315">
        <f t="shared" si="259"/>
        <v>532.178</v>
      </c>
      <c r="J38" s="316">
        <f t="shared" ref="J38:AH38" si="286">10*I$4*COSH((I$7+$D38*I$9)/I$4)+(I$11-10*I$4*COSH(I$7/I$4))</f>
        <v>545.41733347101308</v>
      </c>
      <c r="K38" s="315">
        <f t="shared" si="282"/>
        <v>737.64599999999996</v>
      </c>
      <c r="L38" s="316">
        <f t="shared" si="286"/>
        <v>663.93474071701598</v>
      </c>
      <c r="M38" s="315">
        <f t="shared" si="282"/>
        <v>934.73759999999993</v>
      </c>
      <c r="N38" s="316">
        <f t="shared" si="286"/>
        <v>619.70965544724504</v>
      </c>
      <c r="O38" s="315">
        <f t="shared" si="282"/>
        <v>1139.7791999999999</v>
      </c>
      <c r="P38" s="316">
        <f t="shared" si="286"/>
        <v>578.74493925057391</v>
      </c>
      <c r="Q38" s="315">
        <f t="shared" si="282"/>
        <v>1349.1880000000001</v>
      </c>
      <c r="R38" s="316">
        <f t="shared" si="286"/>
        <v>575.7901505599657</v>
      </c>
      <c r="S38" s="315">
        <f t="shared" si="282"/>
        <v>1558.4612000000002</v>
      </c>
      <c r="T38" s="316">
        <f t="shared" si="286"/>
        <v>581.29423292125307</v>
      </c>
      <c r="U38" s="315" t="e">
        <f t="shared" si="282"/>
        <v>#DIV/0!</v>
      </c>
      <c r="V38" s="316" t="e">
        <f t="shared" si="286"/>
        <v>#DIV/0!</v>
      </c>
      <c r="W38" s="315" t="e">
        <f t="shared" si="282"/>
        <v>#DIV/0!</v>
      </c>
      <c r="X38" s="316" t="e">
        <f t="shared" si="286"/>
        <v>#DIV/0!</v>
      </c>
      <c r="Y38" s="315" t="e">
        <f t="shared" si="282"/>
        <v>#DIV/0!</v>
      </c>
      <c r="Z38" s="316" t="e">
        <f t="shared" si="286"/>
        <v>#DIV/0!</v>
      </c>
      <c r="AA38" s="315" t="e">
        <f t="shared" si="282"/>
        <v>#DIV/0!</v>
      </c>
      <c r="AB38" s="316" t="e">
        <f t="shared" si="286"/>
        <v>#DIV/0!</v>
      </c>
      <c r="AC38" s="315" t="e">
        <f t="shared" si="282"/>
        <v>#DIV/0!</v>
      </c>
      <c r="AD38" s="316" t="e">
        <f t="shared" si="286"/>
        <v>#DIV/0!</v>
      </c>
      <c r="AE38" s="315" t="e">
        <f t="shared" si="282"/>
        <v>#DIV/0!</v>
      </c>
      <c r="AF38" s="316" t="e">
        <f t="shared" si="286"/>
        <v>#DIV/0!</v>
      </c>
      <c r="AG38" s="315" t="e">
        <f t="shared" si="282"/>
        <v>#DIV/0!</v>
      </c>
      <c r="AH38" s="316" t="e">
        <f t="shared" si="286"/>
        <v>#DIV/0!</v>
      </c>
      <c r="AI38" s="315" t="e">
        <f t="shared" si="282"/>
        <v>#DIV/0!</v>
      </c>
      <c r="AJ38" s="316" t="e">
        <f t="shared" si="242"/>
        <v>#DIV/0!</v>
      </c>
      <c r="AK38" s="315" t="e">
        <f t="shared" si="282"/>
        <v>#DIV/0!</v>
      </c>
      <c r="AL38" s="316" t="e">
        <f t="shared" si="243"/>
        <v>#DIV/0!</v>
      </c>
      <c r="AM38" s="315" t="e">
        <f t="shared" si="282"/>
        <v>#DIV/0!</v>
      </c>
      <c r="AN38" s="316" t="e">
        <f t="shared" si="244"/>
        <v>#DIV/0!</v>
      </c>
      <c r="AO38" s="315" t="e">
        <f t="shared" si="282"/>
        <v>#DIV/0!</v>
      </c>
      <c r="AP38" s="316" t="e">
        <f t="shared" si="245"/>
        <v>#DIV/0!</v>
      </c>
      <c r="AQ38" s="315" t="e">
        <f t="shared" si="280"/>
        <v>#DIV/0!</v>
      </c>
      <c r="AR38" s="316" t="e">
        <f t="shared" si="246"/>
        <v>#DIV/0!</v>
      </c>
      <c r="AS38" s="315" t="e">
        <f t="shared" si="280"/>
        <v>#DIV/0!</v>
      </c>
      <c r="AT38" s="316" t="e">
        <f t="shared" si="247"/>
        <v>#DIV/0!</v>
      </c>
      <c r="AU38" s="315" t="e">
        <f t="shared" si="280"/>
        <v>#DIV/0!</v>
      </c>
      <c r="AV38" s="316" t="e">
        <f t="shared" si="248"/>
        <v>#DIV/0!</v>
      </c>
      <c r="AW38" s="315" t="e">
        <f t="shared" si="280"/>
        <v>#DIV/0!</v>
      </c>
      <c r="AX38" s="316" t="e">
        <f t="shared" si="249"/>
        <v>#DIV/0!</v>
      </c>
      <c r="AY38" s="315" t="e">
        <f t="shared" si="280"/>
        <v>#DIV/0!</v>
      </c>
      <c r="AZ38" s="316" t="e">
        <f t="shared" si="250"/>
        <v>#DIV/0!</v>
      </c>
      <c r="BA38" s="315" t="e">
        <f t="shared" si="280"/>
        <v>#DIV/0!</v>
      </c>
      <c r="BB38" s="316" t="e">
        <f t="shared" si="251"/>
        <v>#DIV/0!</v>
      </c>
      <c r="BC38" s="315" t="e">
        <f t="shared" si="280"/>
        <v>#DIV/0!</v>
      </c>
      <c r="BD38" s="316" t="e">
        <f t="shared" si="252"/>
        <v>#DIV/0!</v>
      </c>
      <c r="BE38" s="315" t="e">
        <f t="shared" si="280"/>
        <v>#DIV/0!</v>
      </c>
      <c r="BF38" s="316" t="e">
        <f t="shared" si="253"/>
        <v>#DIV/0!</v>
      </c>
      <c r="BG38" s="315" t="e">
        <f t="shared" si="280"/>
        <v>#DIV/0!</v>
      </c>
      <c r="BH38" s="316" t="e">
        <f t="shared" si="254"/>
        <v>#DIV/0!</v>
      </c>
      <c r="BI38" s="315" t="e">
        <f t="shared" si="280"/>
        <v>#DIV/0!</v>
      </c>
      <c r="BJ38" s="316" t="e">
        <f t="shared" si="255"/>
        <v>#DIV/0!</v>
      </c>
      <c r="BK38" s="315" t="e">
        <f t="shared" si="280"/>
        <v>#DIV/0!</v>
      </c>
      <c r="BL38" s="316" t="e">
        <f t="shared" si="256"/>
        <v>#DIV/0!</v>
      </c>
      <c r="BM38" s="315" t="e">
        <f t="shared" si="280"/>
        <v>#DIV/0!</v>
      </c>
      <c r="BN38" s="316" t="e">
        <f t="shared" si="257"/>
        <v>#DIV/0!</v>
      </c>
      <c r="BO38" s="315" t="e">
        <f t="shared" si="280"/>
        <v>#DIV/0!</v>
      </c>
      <c r="BP38" s="316" t="e">
        <f t="shared" si="258"/>
        <v>#DIV/0!</v>
      </c>
    </row>
    <row r="39" spans="2:68" x14ac:dyDescent="0.25">
      <c r="B39" s="344" t="str">
        <f t="shared" si="0"/>
        <v>170,4528608,941570766493</v>
      </c>
      <c r="D39" s="308">
        <v>23</v>
      </c>
      <c r="E39" s="315">
        <f t="shared" si="259"/>
        <v>103.16879999999999</v>
      </c>
      <c r="F39" s="316">
        <f t="shared" si="260"/>
        <v>415.21092990010834</v>
      </c>
      <c r="G39" s="315">
        <f t="shared" si="259"/>
        <v>322.40719999999999</v>
      </c>
      <c r="H39" s="316">
        <f t="shared" si="260"/>
        <v>550.6698846906088</v>
      </c>
      <c r="I39" s="315">
        <f t="shared" si="259"/>
        <v>536.47700000000009</v>
      </c>
      <c r="J39" s="316">
        <f t="shared" ref="J39:AH39" si="287">10*I$4*COSH((I$7+$D39*I$9)/I$4)+(I$11-10*I$4*COSH(I$7/I$4))</f>
        <v>541.06815415851429</v>
      </c>
      <c r="K39" s="315">
        <f t="shared" si="282"/>
        <v>741.51400000000001</v>
      </c>
      <c r="L39" s="316">
        <f t="shared" si="287"/>
        <v>660.41509283271648</v>
      </c>
      <c r="M39" s="315">
        <f t="shared" si="282"/>
        <v>938.77339999999992</v>
      </c>
      <c r="N39" s="316">
        <f t="shared" si="287"/>
        <v>615.87752201712715</v>
      </c>
      <c r="O39" s="315">
        <f t="shared" si="282"/>
        <v>1143.9628</v>
      </c>
      <c r="P39" s="316">
        <f t="shared" si="287"/>
        <v>574.62650540972436</v>
      </c>
      <c r="Q39" s="315">
        <f t="shared" si="282"/>
        <v>1353.3820000000001</v>
      </c>
      <c r="R39" s="316">
        <f t="shared" si="287"/>
        <v>571.65118078932414</v>
      </c>
      <c r="S39" s="315">
        <f t="shared" si="282"/>
        <v>1562.6358</v>
      </c>
      <c r="T39" s="316">
        <f t="shared" si="287"/>
        <v>577.19352912986642</v>
      </c>
      <c r="U39" s="315" t="e">
        <f t="shared" si="282"/>
        <v>#DIV/0!</v>
      </c>
      <c r="V39" s="316" t="e">
        <f t="shared" si="287"/>
        <v>#DIV/0!</v>
      </c>
      <c r="W39" s="315" t="e">
        <f t="shared" si="282"/>
        <v>#DIV/0!</v>
      </c>
      <c r="X39" s="316" t="e">
        <f t="shared" si="287"/>
        <v>#DIV/0!</v>
      </c>
      <c r="Y39" s="315" t="e">
        <f t="shared" si="282"/>
        <v>#DIV/0!</v>
      </c>
      <c r="Z39" s="316" t="e">
        <f t="shared" si="287"/>
        <v>#DIV/0!</v>
      </c>
      <c r="AA39" s="315" t="e">
        <f t="shared" si="282"/>
        <v>#DIV/0!</v>
      </c>
      <c r="AB39" s="316" t="e">
        <f t="shared" si="287"/>
        <v>#DIV/0!</v>
      </c>
      <c r="AC39" s="315" t="e">
        <f t="shared" si="282"/>
        <v>#DIV/0!</v>
      </c>
      <c r="AD39" s="316" t="e">
        <f t="shared" si="287"/>
        <v>#DIV/0!</v>
      </c>
      <c r="AE39" s="315" t="e">
        <f t="shared" si="282"/>
        <v>#DIV/0!</v>
      </c>
      <c r="AF39" s="316" t="e">
        <f t="shared" si="287"/>
        <v>#DIV/0!</v>
      </c>
      <c r="AG39" s="315" t="e">
        <f t="shared" si="282"/>
        <v>#DIV/0!</v>
      </c>
      <c r="AH39" s="316" t="e">
        <f t="shared" si="287"/>
        <v>#DIV/0!</v>
      </c>
      <c r="AI39" s="315" t="e">
        <f t="shared" si="282"/>
        <v>#DIV/0!</v>
      </c>
      <c r="AJ39" s="316" t="e">
        <f t="shared" si="242"/>
        <v>#DIV/0!</v>
      </c>
      <c r="AK39" s="315" t="e">
        <f t="shared" si="282"/>
        <v>#DIV/0!</v>
      </c>
      <c r="AL39" s="316" t="e">
        <f t="shared" si="243"/>
        <v>#DIV/0!</v>
      </c>
      <c r="AM39" s="315" t="e">
        <f t="shared" si="282"/>
        <v>#DIV/0!</v>
      </c>
      <c r="AN39" s="316" t="e">
        <f t="shared" si="244"/>
        <v>#DIV/0!</v>
      </c>
      <c r="AO39" s="315" t="e">
        <f t="shared" si="282"/>
        <v>#DIV/0!</v>
      </c>
      <c r="AP39" s="316" t="e">
        <f t="shared" si="245"/>
        <v>#DIV/0!</v>
      </c>
      <c r="AQ39" s="315" t="e">
        <f t="shared" si="280"/>
        <v>#DIV/0!</v>
      </c>
      <c r="AR39" s="316" t="e">
        <f t="shared" si="246"/>
        <v>#DIV/0!</v>
      </c>
      <c r="AS39" s="315" t="e">
        <f t="shared" si="280"/>
        <v>#DIV/0!</v>
      </c>
      <c r="AT39" s="316" t="e">
        <f t="shared" si="247"/>
        <v>#DIV/0!</v>
      </c>
      <c r="AU39" s="315" t="e">
        <f t="shared" si="280"/>
        <v>#DIV/0!</v>
      </c>
      <c r="AV39" s="316" t="e">
        <f t="shared" si="248"/>
        <v>#DIV/0!</v>
      </c>
      <c r="AW39" s="315" t="e">
        <f t="shared" si="280"/>
        <v>#DIV/0!</v>
      </c>
      <c r="AX39" s="316" t="e">
        <f t="shared" si="249"/>
        <v>#DIV/0!</v>
      </c>
      <c r="AY39" s="315" t="e">
        <f t="shared" si="280"/>
        <v>#DIV/0!</v>
      </c>
      <c r="AZ39" s="316" t="e">
        <f t="shared" si="250"/>
        <v>#DIV/0!</v>
      </c>
      <c r="BA39" s="315" t="e">
        <f t="shared" si="280"/>
        <v>#DIV/0!</v>
      </c>
      <c r="BB39" s="316" t="e">
        <f t="shared" si="251"/>
        <v>#DIV/0!</v>
      </c>
      <c r="BC39" s="315" t="e">
        <f t="shared" si="280"/>
        <v>#DIV/0!</v>
      </c>
      <c r="BD39" s="316" t="e">
        <f t="shared" si="252"/>
        <v>#DIV/0!</v>
      </c>
      <c r="BE39" s="315" t="e">
        <f t="shared" si="280"/>
        <v>#DIV/0!</v>
      </c>
      <c r="BF39" s="316" t="e">
        <f t="shared" si="253"/>
        <v>#DIV/0!</v>
      </c>
      <c r="BG39" s="315" t="e">
        <f t="shared" si="280"/>
        <v>#DIV/0!</v>
      </c>
      <c r="BH39" s="316" t="e">
        <f t="shared" si="254"/>
        <v>#DIV/0!</v>
      </c>
      <c r="BI39" s="315" t="e">
        <f t="shared" si="280"/>
        <v>#DIV/0!</v>
      </c>
      <c r="BJ39" s="316" t="e">
        <f t="shared" si="255"/>
        <v>#DIV/0!</v>
      </c>
      <c r="BK39" s="315" t="e">
        <f t="shared" si="280"/>
        <v>#DIV/0!</v>
      </c>
      <c r="BL39" s="316" t="e">
        <f t="shared" si="256"/>
        <v>#DIV/0!</v>
      </c>
      <c r="BM39" s="315" t="e">
        <f t="shared" si="280"/>
        <v>#DIV/0!</v>
      </c>
      <c r="BN39" s="316" t="e">
        <f t="shared" si="257"/>
        <v>#DIV/0!</v>
      </c>
      <c r="BO39" s="315" t="e">
        <f t="shared" si="280"/>
        <v>#DIV/0!</v>
      </c>
      <c r="BP39" s="316" t="e">
        <f t="shared" si="258"/>
        <v>#DIV/0!</v>
      </c>
    </row>
    <row r="40" spans="2:68" x14ac:dyDescent="0.25">
      <c r="B40" s="344" t="str">
        <f t="shared" si="0"/>
        <v>174,9384638,394902167454</v>
      </c>
      <c r="D40" s="308">
        <v>24</v>
      </c>
      <c r="E40" s="315">
        <f t="shared" si="259"/>
        <v>107.6544</v>
      </c>
      <c r="F40" s="316">
        <f t="shared" si="260"/>
        <v>414.51527401359272</v>
      </c>
      <c r="G40" s="315">
        <f t="shared" si="259"/>
        <v>326.67359999999996</v>
      </c>
      <c r="H40" s="316">
        <f t="shared" si="260"/>
        <v>548.10262311432098</v>
      </c>
      <c r="I40" s="315">
        <f t="shared" si="259"/>
        <v>540.77600000000007</v>
      </c>
      <c r="J40" s="316">
        <f t="shared" ref="J40:AH40" si="288">10*I$4*COSH((I$7+$D40*I$9)/I$4)+(I$11-10*I$4*COSH(I$7/I$4))</f>
        <v>538.46148249944076</v>
      </c>
      <c r="K40" s="315">
        <f t="shared" si="282"/>
        <v>745.38200000000006</v>
      </c>
      <c r="L40" s="316">
        <f t="shared" si="288"/>
        <v>658.30516237021675</v>
      </c>
      <c r="M40" s="315">
        <f t="shared" si="282"/>
        <v>942.80919999999992</v>
      </c>
      <c r="N40" s="316">
        <f t="shared" si="288"/>
        <v>613.58044440257186</v>
      </c>
      <c r="O40" s="315">
        <f t="shared" si="282"/>
        <v>1148.1463999999999</v>
      </c>
      <c r="P40" s="316">
        <f t="shared" si="288"/>
        <v>572.15798846961547</v>
      </c>
      <c r="Q40" s="315">
        <f t="shared" si="282"/>
        <v>1357.576</v>
      </c>
      <c r="R40" s="316">
        <f t="shared" si="288"/>
        <v>569.1703676851912</v>
      </c>
      <c r="S40" s="315">
        <f t="shared" si="282"/>
        <v>1566.8104000000001</v>
      </c>
      <c r="T40" s="316">
        <f t="shared" si="288"/>
        <v>574.7356283964175</v>
      </c>
      <c r="U40" s="315" t="e">
        <f t="shared" si="282"/>
        <v>#DIV/0!</v>
      </c>
      <c r="V40" s="316" t="e">
        <f t="shared" si="288"/>
        <v>#DIV/0!</v>
      </c>
      <c r="W40" s="315" t="e">
        <f t="shared" si="282"/>
        <v>#DIV/0!</v>
      </c>
      <c r="X40" s="316" t="e">
        <f t="shared" si="288"/>
        <v>#DIV/0!</v>
      </c>
      <c r="Y40" s="315" t="e">
        <f t="shared" si="282"/>
        <v>#DIV/0!</v>
      </c>
      <c r="Z40" s="316" t="e">
        <f t="shared" si="288"/>
        <v>#DIV/0!</v>
      </c>
      <c r="AA40" s="315" t="e">
        <f t="shared" si="282"/>
        <v>#DIV/0!</v>
      </c>
      <c r="AB40" s="316" t="e">
        <f t="shared" si="288"/>
        <v>#DIV/0!</v>
      </c>
      <c r="AC40" s="315" t="e">
        <f t="shared" si="282"/>
        <v>#DIV/0!</v>
      </c>
      <c r="AD40" s="316" t="e">
        <f t="shared" si="288"/>
        <v>#DIV/0!</v>
      </c>
      <c r="AE40" s="315" t="e">
        <f t="shared" si="282"/>
        <v>#DIV/0!</v>
      </c>
      <c r="AF40" s="316" t="e">
        <f t="shared" si="288"/>
        <v>#DIV/0!</v>
      </c>
      <c r="AG40" s="315" t="e">
        <f t="shared" si="282"/>
        <v>#DIV/0!</v>
      </c>
      <c r="AH40" s="316" t="e">
        <f t="shared" si="288"/>
        <v>#DIV/0!</v>
      </c>
      <c r="AI40" s="315" t="e">
        <f t="shared" si="282"/>
        <v>#DIV/0!</v>
      </c>
      <c r="AJ40" s="316" t="e">
        <f t="shared" si="242"/>
        <v>#DIV/0!</v>
      </c>
      <c r="AK40" s="315" t="e">
        <f t="shared" si="282"/>
        <v>#DIV/0!</v>
      </c>
      <c r="AL40" s="316" t="e">
        <f t="shared" si="243"/>
        <v>#DIV/0!</v>
      </c>
      <c r="AM40" s="315" t="e">
        <f t="shared" si="282"/>
        <v>#DIV/0!</v>
      </c>
      <c r="AN40" s="316" t="e">
        <f t="shared" si="244"/>
        <v>#DIV/0!</v>
      </c>
      <c r="AO40" s="315" t="e">
        <f t="shared" si="282"/>
        <v>#DIV/0!</v>
      </c>
      <c r="AP40" s="316" t="e">
        <f t="shared" si="245"/>
        <v>#DIV/0!</v>
      </c>
      <c r="AQ40" s="315" t="e">
        <f t="shared" si="280"/>
        <v>#DIV/0!</v>
      </c>
      <c r="AR40" s="316" t="e">
        <f t="shared" si="246"/>
        <v>#DIV/0!</v>
      </c>
      <c r="AS40" s="315" t="e">
        <f t="shared" si="280"/>
        <v>#DIV/0!</v>
      </c>
      <c r="AT40" s="316" t="e">
        <f t="shared" si="247"/>
        <v>#DIV/0!</v>
      </c>
      <c r="AU40" s="315" t="e">
        <f t="shared" si="280"/>
        <v>#DIV/0!</v>
      </c>
      <c r="AV40" s="316" t="e">
        <f t="shared" si="248"/>
        <v>#DIV/0!</v>
      </c>
      <c r="AW40" s="315" t="e">
        <f t="shared" si="280"/>
        <v>#DIV/0!</v>
      </c>
      <c r="AX40" s="316" t="e">
        <f t="shared" si="249"/>
        <v>#DIV/0!</v>
      </c>
      <c r="AY40" s="315" t="e">
        <f t="shared" si="280"/>
        <v>#DIV/0!</v>
      </c>
      <c r="AZ40" s="316" t="e">
        <f t="shared" si="250"/>
        <v>#DIV/0!</v>
      </c>
      <c r="BA40" s="315" t="e">
        <f t="shared" si="280"/>
        <v>#DIV/0!</v>
      </c>
      <c r="BB40" s="316" t="e">
        <f t="shared" si="251"/>
        <v>#DIV/0!</v>
      </c>
      <c r="BC40" s="315" t="e">
        <f t="shared" si="280"/>
        <v>#DIV/0!</v>
      </c>
      <c r="BD40" s="316" t="e">
        <f t="shared" si="252"/>
        <v>#DIV/0!</v>
      </c>
      <c r="BE40" s="315" t="e">
        <f t="shared" si="280"/>
        <v>#DIV/0!</v>
      </c>
      <c r="BF40" s="316" t="e">
        <f t="shared" si="253"/>
        <v>#DIV/0!</v>
      </c>
      <c r="BG40" s="315" t="e">
        <f t="shared" si="280"/>
        <v>#DIV/0!</v>
      </c>
      <c r="BH40" s="316" t="e">
        <f t="shared" si="254"/>
        <v>#DIV/0!</v>
      </c>
      <c r="BI40" s="315" t="e">
        <f t="shared" si="280"/>
        <v>#DIV/0!</v>
      </c>
      <c r="BJ40" s="316" t="e">
        <f t="shared" si="255"/>
        <v>#DIV/0!</v>
      </c>
      <c r="BK40" s="315" t="e">
        <f t="shared" si="280"/>
        <v>#DIV/0!</v>
      </c>
      <c r="BL40" s="316" t="e">
        <f t="shared" si="256"/>
        <v>#DIV/0!</v>
      </c>
      <c r="BM40" s="315" t="e">
        <f t="shared" si="280"/>
        <v>#DIV/0!</v>
      </c>
      <c r="BN40" s="316" t="e">
        <f t="shared" si="257"/>
        <v>#DIV/0!</v>
      </c>
      <c r="BO40" s="315" t="e">
        <f t="shared" si="280"/>
        <v>#DIV/0!</v>
      </c>
      <c r="BP40" s="316" t="e">
        <f t="shared" si="258"/>
        <v>#DIV/0!</v>
      </c>
    </row>
    <row r="41" spans="2:68" x14ac:dyDescent="0.25">
      <c r="B41" s="344" t="str">
        <f t="shared" si="0"/>
        <v>179,424670,136956788142</v>
      </c>
      <c r="D41" s="308">
        <v>25</v>
      </c>
      <c r="E41" s="315">
        <f t="shared" si="259"/>
        <v>112.14</v>
      </c>
      <c r="F41" s="316">
        <f t="shared" si="260"/>
        <v>415.71055504925425</v>
      </c>
      <c r="G41" s="315">
        <f t="shared" si="259"/>
        <v>330.94</v>
      </c>
      <c r="H41" s="316">
        <f t="shared" si="260"/>
        <v>547.24732750944031</v>
      </c>
      <c r="I41" s="315">
        <f t="shared" si="259"/>
        <v>545.07500000000005</v>
      </c>
      <c r="J41" s="316">
        <f t="shared" ref="J41:AH41" si="289">10*I$4*COSH((I$7+$D41*I$9)/I$4)+(I$11-10*I$4*COSH(I$7/I$4))</f>
        <v>537.59306436985321</v>
      </c>
      <c r="K41" s="315">
        <f t="shared" si="282"/>
        <v>749.25</v>
      </c>
      <c r="L41" s="316">
        <f t="shared" si="289"/>
        <v>657.60216180469342</v>
      </c>
      <c r="M41" s="315">
        <f t="shared" si="282"/>
        <v>946.84499999999991</v>
      </c>
      <c r="N41" s="316">
        <f t="shared" si="289"/>
        <v>612.81511877998832</v>
      </c>
      <c r="O41" s="315">
        <f t="shared" si="282"/>
        <v>1152.33</v>
      </c>
      <c r="P41" s="316">
        <f t="shared" si="289"/>
        <v>571.33557318719113</v>
      </c>
      <c r="Q41" s="315">
        <f t="shared" si="282"/>
        <v>1361.77</v>
      </c>
      <c r="R41" s="316">
        <f t="shared" si="289"/>
        <v>568.34385791078489</v>
      </c>
      <c r="S41" s="315">
        <f t="shared" si="282"/>
        <v>1570.9850000000001</v>
      </c>
      <c r="T41" s="316">
        <f t="shared" si="289"/>
        <v>573.91674821489937</v>
      </c>
      <c r="U41" s="315" t="e">
        <f t="shared" si="282"/>
        <v>#DIV/0!</v>
      </c>
      <c r="V41" s="316" t="e">
        <f t="shared" si="289"/>
        <v>#DIV/0!</v>
      </c>
      <c r="W41" s="315" t="e">
        <f t="shared" si="282"/>
        <v>#DIV/0!</v>
      </c>
      <c r="X41" s="316" t="e">
        <f t="shared" si="289"/>
        <v>#DIV/0!</v>
      </c>
      <c r="Y41" s="315" t="e">
        <f t="shared" si="282"/>
        <v>#DIV/0!</v>
      </c>
      <c r="Z41" s="316" t="e">
        <f t="shared" si="289"/>
        <v>#DIV/0!</v>
      </c>
      <c r="AA41" s="315" t="e">
        <f t="shared" si="282"/>
        <v>#DIV/0!</v>
      </c>
      <c r="AB41" s="316" t="e">
        <f t="shared" si="289"/>
        <v>#DIV/0!</v>
      </c>
      <c r="AC41" s="315" t="e">
        <f t="shared" si="282"/>
        <v>#DIV/0!</v>
      </c>
      <c r="AD41" s="316" t="e">
        <f t="shared" si="289"/>
        <v>#DIV/0!</v>
      </c>
      <c r="AE41" s="315" t="e">
        <f t="shared" si="282"/>
        <v>#DIV/0!</v>
      </c>
      <c r="AF41" s="316" t="e">
        <f t="shared" si="289"/>
        <v>#DIV/0!</v>
      </c>
      <c r="AG41" s="315" t="e">
        <f t="shared" si="282"/>
        <v>#DIV/0!</v>
      </c>
      <c r="AH41" s="316" t="e">
        <f t="shared" si="289"/>
        <v>#DIV/0!</v>
      </c>
      <c r="AI41" s="315" t="e">
        <f t="shared" si="282"/>
        <v>#DIV/0!</v>
      </c>
      <c r="AJ41" s="316" t="e">
        <f t="shared" si="242"/>
        <v>#DIV/0!</v>
      </c>
      <c r="AK41" s="315" t="e">
        <f t="shared" si="282"/>
        <v>#DIV/0!</v>
      </c>
      <c r="AL41" s="316" t="e">
        <f t="shared" si="243"/>
        <v>#DIV/0!</v>
      </c>
      <c r="AM41" s="315" t="e">
        <f t="shared" si="282"/>
        <v>#DIV/0!</v>
      </c>
      <c r="AN41" s="316" t="e">
        <f t="shared" si="244"/>
        <v>#DIV/0!</v>
      </c>
      <c r="AO41" s="315" t="e">
        <f t="shared" si="282"/>
        <v>#DIV/0!</v>
      </c>
      <c r="AP41" s="316" t="e">
        <f t="shared" si="245"/>
        <v>#DIV/0!</v>
      </c>
      <c r="AQ41" s="315" t="e">
        <f t="shared" si="280"/>
        <v>#DIV/0!</v>
      </c>
      <c r="AR41" s="316" t="e">
        <f t="shared" si="246"/>
        <v>#DIV/0!</v>
      </c>
      <c r="AS41" s="315" t="e">
        <f t="shared" si="280"/>
        <v>#DIV/0!</v>
      </c>
      <c r="AT41" s="316" t="e">
        <f t="shared" si="247"/>
        <v>#DIV/0!</v>
      </c>
      <c r="AU41" s="315" t="e">
        <f t="shared" si="280"/>
        <v>#DIV/0!</v>
      </c>
      <c r="AV41" s="316" t="e">
        <f t="shared" si="248"/>
        <v>#DIV/0!</v>
      </c>
      <c r="AW41" s="315" t="e">
        <f t="shared" si="280"/>
        <v>#DIV/0!</v>
      </c>
      <c r="AX41" s="316" t="e">
        <f t="shared" si="249"/>
        <v>#DIV/0!</v>
      </c>
      <c r="AY41" s="315" t="e">
        <f t="shared" si="280"/>
        <v>#DIV/0!</v>
      </c>
      <c r="AZ41" s="316" t="e">
        <f t="shared" si="250"/>
        <v>#DIV/0!</v>
      </c>
      <c r="BA41" s="315" t="e">
        <f t="shared" si="280"/>
        <v>#DIV/0!</v>
      </c>
      <c r="BB41" s="316" t="e">
        <f t="shared" si="251"/>
        <v>#DIV/0!</v>
      </c>
      <c r="BC41" s="315" t="e">
        <f t="shared" si="280"/>
        <v>#DIV/0!</v>
      </c>
      <c r="BD41" s="316" t="e">
        <f t="shared" si="252"/>
        <v>#DIV/0!</v>
      </c>
      <c r="BE41" s="315" t="e">
        <f t="shared" si="280"/>
        <v>#DIV/0!</v>
      </c>
      <c r="BF41" s="316" t="e">
        <f t="shared" si="253"/>
        <v>#DIV/0!</v>
      </c>
      <c r="BG41" s="315" t="e">
        <f t="shared" si="280"/>
        <v>#DIV/0!</v>
      </c>
      <c r="BH41" s="316" t="e">
        <f t="shared" si="254"/>
        <v>#DIV/0!</v>
      </c>
      <c r="BI41" s="315" t="e">
        <f t="shared" si="280"/>
        <v>#DIV/0!</v>
      </c>
      <c r="BJ41" s="316" t="e">
        <f t="shared" si="255"/>
        <v>#DIV/0!</v>
      </c>
      <c r="BK41" s="315" t="e">
        <f t="shared" si="280"/>
        <v>#DIV/0!</v>
      </c>
      <c r="BL41" s="316" t="e">
        <f t="shared" si="256"/>
        <v>#DIV/0!</v>
      </c>
      <c r="BM41" s="315" t="e">
        <f t="shared" si="280"/>
        <v>#DIV/0!</v>
      </c>
      <c r="BN41" s="316" t="e">
        <f t="shared" si="257"/>
        <v>#DIV/0!</v>
      </c>
      <c r="BO41" s="315" t="e">
        <f t="shared" si="280"/>
        <v>#DIV/0!</v>
      </c>
      <c r="BP41" s="316" t="e">
        <f t="shared" si="258"/>
        <v>#DIV/0!</v>
      </c>
    </row>
    <row r="42" spans="2:68" x14ac:dyDescent="0.25">
      <c r="B42" s="344" t="str">
        <f t="shared" si="0"/>
        <v>183,9096704,224133482212</v>
      </c>
      <c r="D42" s="308">
        <v>26</v>
      </c>
      <c r="E42" s="315">
        <f t="shared" si="259"/>
        <v>116.62559999999999</v>
      </c>
      <c r="F42" s="316">
        <f t="shared" si="260"/>
        <v>418.7988967662825</v>
      </c>
      <c r="G42" s="315">
        <f t="shared" si="259"/>
        <v>335.20640000000003</v>
      </c>
      <c r="H42" s="316">
        <f t="shared" si="260"/>
        <v>548.10262311432098</v>
      </c>
      <c r="I42" s="315">
        <f t="shared" si="259"/>
        <v>549.37400000000002</v>
      </c>
      <c r="J42" s="316">
        <f t="shared" ref="J42:AH42" si="290">10*I$4*COSH((I$7+$D42*I$9)/I$4)+(I$11-10*I$4*COSH(I$7/I$4))</f>
        <v>538.46148249944076</v>
      </c>
      <c r="K42" s="315">
        <f t="shared" si="282"/>
        <v>753.11800000000005</v>
      </c>
      <c r="L42" s="316">
        <f t="shared" si="290"/>
        <v>658.30516237021675</v>
      </c>
      <c r="M42" s="315">
        <f t="shared" si="282"/>
        <v>950.88079999999991</v>
      </c>
      <c r="N42" s="316">
        <f t="shared" si="290"/>
        <v>613.58044440257186</v>
      </c>
      <c r="O42" s="315">
        <f t="shared" si="282"/>
        <v>1156.5136</v>
      </c>
      <c r="P42" s="316">
        <f t="shared" si="290"/>
        <v>572.15798846961547</v>
      </c>
      <c r="Q42" s="315">
        <f t="shared" si="282"/>
        <v>1365.9639999999999</v>
      </c>
      <c r="R42" s="316">
        <f t="shared" si="290"/>
        <v>569.1703676851912</v>
      </c>
      <c r="S42" s="315">
        <f t="shared" si="282"/>
        <v>1575.1596000000002</v>
      </c>
      <c r="T42" s="316">
        <f t="shared" si="290"/>
        <v>574.7356283964175</v>
      </c>
      <c r="U42" s="315" t="e">
        <f t="shared" si="282"/>
        <v>#DIV/0!</v>
      </c>
      <c r="V42" s="316" t="e">
        <f t="shared" si="290"/>
        <v>#DIV/0!</v>
      </c>
      <c r="W42" s="315" t="e">
        <f t="shared" si="282"/>
        <v>#DIV/0!</v>
      </c>
      <c r="X42" s="316" t="e">
        <f t="shared" si="290"/>
        <v>#DIV/0!</v>
      </c>
      <c r="Y42" s="315" t="e">
        <f t="shared" si="282"/>
        <v>#DIV/0!</v>
      </c>
      <c r="Z42" s="316" t="e">
        <f t="shared" si="290"/>
        <v>#DIV/0!</v>
      </c>
      <c r="AA42" s="315" t="e">
        <f t="shared" si="282"/>
        <v>#DIV/0!</v>
      </c>
      <c r="AB42" s="316" t="e">
        <f t="shared" si="290"/>
        <v>#DIV/0!</v>
      </c>
      <c r="AC42" s="315" t="e">
        <f t="shared" si="282"/>
        <v>#DIV/0!</v>
      </c>
      <c r="AD42" s="316" t="e">
        <f t="shared" si="290"/>
        <v>#DIV/0!</v>
      </c>
      <c r="AE42" s="315" t="e">
        <f t="shared" si="282"/>
        <v>#DIV/0!</v>
      </c>
      <c r="AF42" s="316" t="e">
        <f t="shared" si="290"/>
        <v>#DIV/0!</v>
      </c>
      <c r="AG42" s="315" t="e">
        <f t="shared" si="282"/>
        <v>#DIV/0!</v>
      </c>
      <c r="AH42" s="316" t="e">
        <f t="shared" si="290"/>
        <v>#DIV/0!</v>
      </c>
      <c r="AI42" s="315" t="e">
        <f t="shared" si="282"/>
        <v>#DIV/0!</v>
      </c>
      <c r="AJ42" s="316" t="e">
        <f t="shared" si="242"/>
        <v>#DIV/0!</v>
      </c>
      <c r="AK42" s="315" t="e">
        <f t="shared" si="282"/>
        <v>#DIV/0!</v>
      </c>
      <c r="AL42" s="316" t="e">
        <f t="shared" si="243"/>
        <v>#DIV/0!</v>
      </c>
      <c r="AM42" s="315" t="e">
        <f t="shared" si="282"/>
        <v>#DIV/0!</v>
      </c>
      <c r="AN42" s="316" t="e">
        <f t="shared" si="244"/>
        <v>#DIV/0!</v>
      </c>
      <c r="AO42" s="315" t="e">
        <f t="shared" si="282"/>
        <v>#DIV/0!</v>
      </c>
      <c r="AP42" s="316" t="e">
        <f t="shared" si="245"/>
        <v>#DIV/0!</v>
      </c>
      <c r="AQ42" s="315" t="e">
        <f t="shared" si="280"/>
        <v>#DIV/0!</v>
      </c>
      <c r="AR42" s="316" t="e">
        <f t="shared" si="246"/>
        <v>#DIV/0!</v>
      </c>
      <c r="AS42" s="315" t="e">
        <f t="shared" si="280"/>
        <v>#DIV/0!</v>
      </c>
      <c r="AT42" s="316" t="e">
        <f t="shared" si="247"/>
        <v>#DIV/0!</v>
      </c>
      <c r="AU42" s="315" t="e">
        <f t="shared" si="280"/>
        <v>#DIV/0!</v>
      </c>
      <c r="AV42" s="316" t="e">
        <f t="shared" si="248"/>
        <v>#DIV/0!</v>
      </c>
      <c r="AW42" s="315" t="e">
        <f t="shared" si="280"/>
        <v>#DIV/0!</v>
      </c>
      <c r="AX42" s="316" t="e">
        <f t="shared" si="249"/>
        <v>#DIV/0!</v>
      </c>
      <c r="AY42" s="315" t="e">
        <f t="shared" si="280"/>
        <v>#DIV/0!</v>
      </c>
      <c r="AZ42" s="316" t="e">
        <f t="shared" si="250"/>
        <v>#DIV/0!</v>
      </c>
      <c r="BA42" s="315" t="e">
        <f t="shared" si="280"/>
        <v>#DIV/0!</v>
      </c>
      <c r="BB42" s="316" t="e">
        <f t="shared" si="251"/>
        <v>#DIV/0!</v>
      </c>
      <c r="BC42" s="315" t="e">
        <f t="shared" si="280"/>
        <v>#DIV/0!</v>
      </c>
      <c r="BD42" s="316" t="e">
        <f t="shared" si="252"/>
        <v>#DIV/0!</v>
      </c>
      <c r="BE42" s="315" t="e">
        <f t="shared" si="280"/>
        <v>#DIV/0!</v>
      </c>
      <c r="BF42" s="316" t="e">
        <f t="shared" si="253"/>
        <v>#DIV/0!</v>
      </c>
      <c r="BG42" s="315" t="e">
        <f t="shared" si="280"/>
        <v>#DIV/0!</v>
      </c>
      <c r="BH42" s="316" t="e">
        <f t="shared" si="254"/>
        <v>#DIV/0!</v>
      </c>
      <c r="BI42" s="315" t="e">
        <f t="shared" si="280"/>
        <v>#DIV/0!</v>
      </c>
      <c r="BJ42" s="316" t="e">
        <f t="shared" si="255"/>
        <v>#DIV/0!</v>
      </c>
      <c r="BK42" s="315" t="e">
        <f t="shared" si="280"/>
        <v>#DIV/0!</v>
      </c>
      <c r="BL42" s="316" t="e">
        <f t="shared" si="256"/>
        <v>#DIV/0!</v>
      </c>
      <c r="BM42" s="315" t="e">
        <f t="shared" si="280"/>
        <v>#DIV/0!</v>
      </c>
      <c r="BN42" s="316" t="e">
        <f t="shared" si="257"/>
        <v>#DIV/0!</v>
      </c>
      <c r="BO42" s="315" t="e">
        <f t="shared" si="280"/>
        <v>#DIV/0!</v>
      </c>
      <c r="BP42" s="316" t="e">
        <f t="shared" si="258"/>
        <v>#DIV/0!</v>
      </c>
    </row>
    <row r="43" spans="2:68" x14ac:dyDescent="0.25">
      <c r="B43" s="344" t="str">
        <f t="shared" si="0"/>
        <v>188,3952740,71699788452</v>
      </c>
      <c r="D43" s="308">
        <v>27</v>
      </c>
      <c r="E43" s="315">
        <f t="shared" si="259"/>
        <v>121.1112</v>
      </c>
      <c r="F43" s="316">
        <f t="shared" si="260"/>
        <v>423.78578648850157</v>
      </c>
      <c r="G43" s="315">
        <f t="shared" si="259"/>
        <v>339.47280000000001</v>
      </c>
      <c r="H43" s="316">
        <f t="shared" si="260"/>
        <v>550.66988469060902</v>
      </c>
      <c r="I43" s="315">
        <f t="shared" si="259"/>
        <v>553.673</v>
      </c>
      <c r="J43" s="316">
        <f t="shared" ref="J43:AH43" si="291">10*I$4*COSH((I$7+$D43*I$9)/I$4)+(I$11-10*I$4*COSH(I$7/I$4))</f>
        <v>541.06815415851406</v>
      </c>
      <c r="K43" s="315">
        <f t="shared" si="282"/>
        <v>756.98599999999999</v>
      </c>
      <c r="L43" s="316">
        <f t="shared" si="291"/>
        <v>660.41509283271625</v>
      </c>
      <c r="M43" s="315">
        <f t="shared" si="282"/>
        <v>954.9165999999999</v>
      </c>
      <c r="N43" s="316">
        <f t="shared" si="291"/>
        <v>615.87752201712715</v>
      </c>
      <c r="O43" s="315">
        <f t="shared" si="282"/>
        <v>1160.6971999999998</v>
      </c>
      <c r="P43" s="316">
        <f t="shared" si="291"/>
        <v>574.62650540972436</v>
      </c>
      <c r="Q43" s="315">
        <f t="shared" si="282"/>
        <v>1370.1579999999999</v>
      </c>
      <c r="R43" s="316">
        <f t="shared" si="291"/>
        <v>571.65118078932414</v>
      </c>
      <c r="S43" s="315">
        <f t="shared" si="282"/>
        <v>1579.3342000000002</v>
      </c>
      <c r="T43" s="316">
        <f t="shared" si="291"/>
        <v>577.19352912986642</v>
      </c>
      <c r="U43" s="315" t="e">
        <f t="shared" si="282"/>
        <v>#DIV/0!</v>
      </c>
      <c r="V43" s="316" t="e">
        <f t="shared" si="291"/>
        <v>#DIV/0!</v>
      </c>
      <c r="W43" s="315" t="e">
        <f t="shared" si="282"/>
        <v>#DIV/0!</v>
      </c>
      <c r="X43" s="316" t="e">
        <f t="shared" si="291"/>
        <v>#DIV/0!</v>
      </c>
      <c r="Y43" s="315" t="e">
        <f t="shared" si="282"/>
        <v>#DIV/0!</v>
      </c>
      <c r="Z43" s="316" t="e">
        <f t="shared" si="291"/>
        <v>#DIV/0!</v>
      </c>
      <c r="AA43" s="315" t="e">
        <f t="shared" si="282"/>
        <v>#DIV/0!</v>
      </c>
      <c r="AB43" s="316" t="e">
        <f t="shared" si="291"/>
        <v>#DIV/0!</v>
      </c>
      <c r="AC43" s="315" t="e">
        <f t="shared" si="282"/>
        <v>#DIV/0!</v>
      </c>
      <c r="AD43" s="316" t="e">
        <f t="shared" si="291"/>
        <v>#DIV/0!</v>
      </c>
      <c r="AE43" s="315" t="e">
        <f t="shared" si="282"/>
        <v>#DIV/0!</v>
      </c>
      <c r="AF43" s="316" t="e">
        <f t="shared" si="291"/>
        <v>#DIV/0!</v>
      </c>
      <c r="AG43" s="315" t="e">
        <f t="shared" si="282"/>
        <v>#DIV/0!</v>
      </c>
      <c r="AH43" s="316" t="e">
        <f t="shared" si="291"/>
        <v>#DIV/0!</v>
      </c>
      <c r="AI43" s="315" t="e">
        <f t="shared" si="282"/>
        <v>#DIV/0!</v>
      </c>
      <c r="AJ43" s="316" t="e">
        <f t="shared" si="242"/>
        <v>#DIV/0!</v>
      </c>
      <c r="AK43" s="315" t="e">
        <f t="shared" si="282"/>
        <v>#DIV/0!</v>
      </c>
      <c r="AL43" s="316" t="e">
        <f t="shared" si="243"/>
        <v>#DIV/0!</v>
      </c>
      <c r="AM43" s="315" t="e">
        <f t="shared" si="282"/>
        <v>#DIV/0!</v>
      </c>
      <c r="AN43" s="316" t="e">
        <f t="shared" si="244"/>
        <v>#DIV/0!</v>
      </c>
      <c r="AO43" s="315" t="e">
        <f t="shared" si="282"/>
        <v>#DIV/0!</v>
      </c>
      <c r="AP43" s="316" t="e">
        <f t="shared" si="245"/>
        <v>#DIV/0!</v>
      </c>
      <c r="AQ43" s="315" t="e">
        <f t="shared" si="280"/>
        <v>#DIV/0!</v>
      </c>
      <c r="AR43" s="316" t="e">
        <f t="shared" si="246"/>
        <v>#DIV/0!</v>
      </c>
      <c r="AS43" s="315" t="e">
        <f t="shared" si="280"/>
        <v>#DIV/0!</v>
      </c>
      <c r="AT43" s="316" t="e">
        <f t="shared" si="247"/>
        <v>#DIV/0!</v>
      </c>
      <c r="AU43" s="315" t="e">
        <f t="shared" si="280"/>
        <v>#DIV/0!</v>
      </c>
      <c r="AV43" s="316" t="e">
        <f t="shared" si="248"/>
        <v>#DIV/0!</v>
      </c>
      <c r="AW43" s="315" t="e">
        <f t="shared" si="280"/>
        <v>#DIV/0!</v>
      </c>
      <c r="AX43" s="316" t="e">
        <f t="shared" si="249"/>
        <v>#DIV/0!</v>
      </c>
      <c r="AY43" s="315" t="e">
        <f t="shared" si="280"/>
        <v>#DIV/0!</v>
      </c>
      <c r="AZ43" s="316" t="e">
        <f t="shared" si="250"/>
        <v>#DIV/0!</v>
      </c>
      <c r="BA43" s="315" t="e">
        <f t="shared" si="280"/>
        <v>#DIV/0!</v>
      </c>
      <c r="BB43" s="316" t="e">
        <f t="shared" si="251"/>
        <v>#DIV/0!</v>
      </c>
      <c r="BC43" s="315" t="e">
        <f t="shared" si="280"/>
        <v>#DIV/0!</v>
      </c>
      <c r="BD43" s="316" t="e">
        <f t="shared" si="252"/>
        <v>#DIV/0!</v>
      </c>
      <c r="BE43" s="315" t="e">
        <f t="shared" si="280"/>
        <v>#DIV/0!</v>
      </c>
      <c r="BF43" s="316" t="e">
        <f t="shared" si="253"/>
        <v>#DIV/0!</v>
      </c>
      <c r="BG43" s="315" t="e">
        <f t="shared" si="280"/>
        <v>#DIV/0!</v>
      </c>
      <c r="BH43" s="316" t="e">
        <f t="shared" si="254"/>
        <v>#DIV/0!</v>
      </c>
      <c r="BI43" s="315" t="e">
        <f t="shared" si="280"/>
        <v>#DIV/0!</v>
      </c>
      <c r="BJ43" s="316" t="e">
        <f t="shared" si="255"/>
        <v>#DIV/0!</v>
      </c>
      <c r="BK43" s="315" t="e">
        <f t="shared" si="280"/>
        <v>#DIV/0!</v>
      </c>
      <c r="BL43" s="316" t="e">
        <f t="shared" si="256"/>
        <v>#DIV/0!</v>
      </c>
      <c r="BM43" s="315" t="e">
        <f t="shared" si="280"/>
        <v>#DIV/0!</v>
      </c>
      <c r="BN43" s="316" t="e">
        <f t="shared" si="257"/>
        <v>#DIV/0!</v>
      </c>
      <c r="BO43" s="315" t="e">
        <f t="shared" si="280"/>
        <v>#DIV/0!</v>
      </c>
      <c r="BP43" s="316" t="e">
        <f t="shared" si="258"/>
        <v>#DIV/0!</v>
      </c>
    </row>
    <row r="44" spans="2:68" x14ac:dyDescent="0.25">
      <c r="B44" s="344" t="str">
        <f t="shared" si="0"/>
        <v>192,8808779,680390023333</v>
      </c>
      <c r="D44" s="308">
        <v>28</v>
      </c>
      <c r="E44" s="315">
        <f t="shared" si="259"/>
        <v>125.5968</v>
      </c>
      <c r="F44" s="316">
        <f t="shared" si="260"/>
        <v>430.68008485417135</v>
      </c>
      <c r="G44" s="315">
        <f t="shared" si="259"/>
        <v>343.73919999999998</v>
      </c>
      <c r="H44" s="316">
        <f t="shared" si="260"/>
        <v>554.95323873296979</v>
      </c>
      <c r="I44" s="315">
        <f t="shared" si="259"/>
        <v>557.97199999999998</v>
      </c>
      <c r="J44" s="316">
        <f t="shared" ref="J44:AH44" si="292">10*I$4*COSH((I$7+$D44*I$9)/I$4)+(I$11-10*I$4*COSH(I$7/I$4))</f>
        <v>545.41733347101285</v>
      </c>
      <c r="K44" s="315">
        <f t="shared" si="282"/>
        <v>760.85400000000004</v>
      </c>
      <c r="L44" s="316">
        <f t="shared" si="292"/>
        <v>663.93474071701598</v>
      </c>
      <c r="M44" s="315">
        <f t="shared" si="282"/>
        <v>958.9523999999999</v>
      </c>
      <c r="N44" s="316">
        <f t="shared" si="292"/>
        <v>619.70965544724504</v>
      </c>
      <c r="O44" s="315">
        <f t="shared" si="282"/>
        <v>1164.8807999999999</v>
      </c>
      <c r="P44" s="316">
        <f t="shared" si="292"/>
        <v>578.74493925057391</v>
      </c>
      <c r="Q44" s="315">
        <f t="shared" si="282"/>
        <v>1374.3520000000001</v>
      </c>
      <c r="R44" s="316">
        <f t="shared" si="292"/>
        <v>575.7901505599657</v>
      </c>
      <c r="S44" s="315">
        <f t="shared" si="282"/>
        <v>1583.5088000000001</v>
      </c>
      <c r="T44" s="316">
        <f t="shared" si="292"/>
        <v>581.29423292125307</v>
      </c>
      <c r="U44" s="315" t="e">
        <f t="shared" si="282"/>
        <v>#DIV/0!</v>
      </c>
      <c r="V44" s="316" t="e">
        <f t="shared" si="292"/>
        <v>#DIV/0!</v>
      </c>
      <c r="W44" s="315" t="e">
        <f t="shared" si="282"/>
        <v>#DIV/0!</v>
      </c>
      <c r="X44" s="316" t="e">
        <f t="shared" si="292"/>
        <v>#DIV/0!</v>
      </c>
      <c r="Y44" s="315" t="e">
        <f t="shared" si="282"/>
        <v>#DIV/0!</v>
      </c>
      <c r="Z44" s="316" t="e">
        <f t="shared" si="292"/>
        <v>#DIV/0!</v>
      </c>
      <c r="AA44" s="315" t="e">
        <f t="shared" si="282"/>
        <v>#DIV/0!</v>
      </c>
      <c r="AB44" s="316" t="e">
        <f t="shared" si="292"/>
        <v>#DIV/0!</v>
      </c>
      <c r="AC44" s="315" t="e">
        <f t="shared" si="282"/>
        <v>#DIV/0!</v>
      </c>
      <c r="AD44" s="316" t="e">
        <f t="shared" si="292"/>
        <v>#DIV/0!</v>
      </c>
      <c r="AE44" s="315" t="e">
        <f t="shared" si="282"/>
        <v>#DIV/0!</v>
      </c>
      <c r="AF44" s="316" t="e">
        <f t="shared" si="292"/>
        <v>#DIV/0!</v>
      </c>
      <c r="AG44" s="315" t="e">
        <f t="shared" si="282"/>
        <v>#DIV/0!</v>
      </c>
      <c r="AH44" s="316" t="e">
        <f t="shared" si="292"/>
        <v>#DIV/0!</v>
      </c>
      <c r="AI44" s="315" t="e">
        <f t="shared" si="282"/>
        <v>#DIV/0!</v>
      </c>
      <c r="AJ44" s="316" t="e">
        <f t="shared" si="242"/>
        <v>#DIV/0!</v>
      </c>
      <c r="AK44" s="315" t="e">
        <f t="shared" si="282"/>
        <v>#DIV/0!</v>
      </c>
      <c r="AL44" s="316" t="e">
        <f t="shared" si="243"/>
        <v>#DIV/0!</v>
      </c>
      <c r="AM44" s="315" t="e">
        <f t="shared" si="282"/>
        <v>#DIV/0!</v>
      </c>
      <c r="AN44" s="316" t="e">
        <f t="shared" si="244"/>
        <v>#DIV/0!</v>
      </c>
      <c r="AO44" s="315" t="e">
        <f t="shared" si="282"/>
        <v>#DIV/0!</v>
      </c>
      <c r="AP44" s="316" t="e">
        <f t="shared" si="245"/>
        <v>#DIV/0!</v>
      </c>
      <c r="AQ44" s="315" t="e">
        <f t="shared" si="280"/>
        <v>#DIV/0!</v>
      </c>
      <c r="AR44" s="316" t="e">
        <f t="shared" si="246"/>
        <v>#DIV/0!</v>
      </c>
      <c r="AS44" s="315" t="e">
        <f t="shared" si="280"/>
        <v>#DIV/0!</v>
      </c>
      <c r="AT44" s="316" t="e">
        <f t="shared" si="247"/>
        <v>#DIV/0!</v>
      </c>
      <c r="AU44" s="315" t="e">
        <f t="shared" si="280"/>
        <v>#DIV/0!</v>
      </c>
      <c r="AV44" s="316" t="e">
        <f t="shared" si="248"/>
        <v>#DIV/0!</v>
      </c>
      <c r="AW44" s="315" t="e">
        <f t="shared" si="280"/>
        <v>#DIV/0!</v>
      </c>
      <c r="AX44" s="316" t="e">
        <f t="shared" si="249"/>
        <v>#DIV/0!</v>
      </c>
      <c r="AY44" s="315" t="e">
        <f t="shared" si="280"/>
        <v>#DIV/0!</v>
      </c>
      <c r="AZ44" s="316" t="e">
        <f t="shared" si="250"/>
        <v>#DIV/0!</v>
      </c>
      <c r="BA44" s="315" t="e">
        <f t="shared" si="280"/>
        <v>#DIV/0!</v>
      </c>
      <c r="BB44" s="316" t="e">
        <f t="shared" si="251"/>
        <v>#DIV/0!</v>
      </c>
      <c r="BC44" s="315" t="e">
        <f t="shared" si="280"/>
        <v>#DIV/0!</v>
      </c>
      <c r="BD44" s="316" t="e">
        <f t="shared" si="252"/>
        <v>#DIV/0!</v>
      </c>
      <c r="BE44" s="315" t="e">
        <f t="shared" si="280"/>
        <v>#DIV/0!</v>
      </c>
      <c r="BF44" s="316" t="e">
        <f t="shared" si="253"/>
        <v>#DIV/0!</v>
      </c>
      <c r="BG44" s="315" t="e">
        <f t="shared" si="280"/>
        <v>#DIV/0!</v>
      </c>
      <c r="BH44" s="316" t="e">
        <f t="shared" si="254"/>
        <v>#DIV/0!</v>
      </c>
      <c r="BI44" s="315" t="e">
        <f t="shared" si="280"/>
        <v>#DIV/0!</v>
      </c>
      <c r="BJ44" s="316" t="e">
        <f t="shared" si="255"/>
        <v>#DIV/0!</v>
      </c>
      <c r="BK44" s="315" t="e">
        <f t="shared" si="280"/>
        <v>#DIV/0!</v>
      </c>
      <c r="BL44" s="316" t="e">
        <f t="shared" si="256"/>
        <v>#DIV/0!</v>
      </c>
      <c r="BM44" s="315" t="e">
        <f t="shared" si="280"/>
        <v>#DIV/0!</v>
      </c>
      <c r="BN44" s="316" t="e">
        <f t="shared" si="257"/>
        <v>#DIV/0!</v>
      </c>
      <c r="BO44" s="315" t="e">
        <f t="shared" si="280"/>
        <v>#DIV/0!</v>
      </c>
      <c r="BP44" s="316" t="e">
        <f t="shared" si="258"/>
        <v>#DIV/0!</v>
      </c>
    </row>
    <row r="45" spans="2:68" x14ac:dyDescent="0.25">
      <c r="B45" s="344" t="str">
        <f t="shared" si="0"/>
        <v>197,3664821,183539527209</v>
      </c>
      <c r="D45" s="308">
        <v>29</v>
      </c>
      <c r="E45" s="315">
        <f t="shared" si="259"/>
        <v>130.08240000000001</v>
      </c>
      <c r="F45" s="316">
        <f t="shared" si="260"/>
        <v>439.49404155945081</v>
      </c>
      <c r="G45" s="315">
        <f t="shared" si="259"/>
        <v>348.00560000000002</v>
      </c>
      <c r="H45" s="316">
        <f t="shared" si="260"/>
        <v>560.95957010182042</v>
      </c>
      <c r="I45" s="315">
        <f t="shared" si="259"/>
        <v>562.27100000000007</v>
      </c>
      <c r="J45" s="316">
        <f t="shared" ref="J45:AH45" si="293">10*I$4*COSH((I$7+$D45*I$9)/I$4)+(I$11-10*I$4*COSH(I$7/I$4))</f>
        <v>551.51611835729182</v>
      </c>
      <c r="K45" s="315">
        <f t="shared" si="282"/>
        <v>764.72199999999998</v>
      </c>
      <c r="L45" s="316">
        <f t="shared" si="293"/>
        <v>668.86875598955908</v>
      </c>
      <c r="M45" s="315">
        <f t="shared" si="282"/>
        <v>962.98819999999989</v>
      </c>
      <c r="N45" s="316">
        <f t="shared" si="293"/>
        <v>625.08235634509947</v>
      </c>
      <c r="O45" s="315">
        <f t="shared" si="282"/>
        <v>1169.0644</v>
      </c>
      <c r="P45" s="316">
        <f t="shared" si="293"/>
        <v>584.5196552821335</v>
      </c>
      <c r="Q45" s="315">
        <f t="shared" si="282"/>
        <v>1378.546</v>
      </c>
      <c r="R45" s="316">
        <f t="shared" si="293"/>
        <v>581.59370587498302</v>
      </c>
      <c r="S45" s="315">
        <f t="shared" si="282"/>
        <v>1587.6834000000001</v>
      </c>
      <c r="T45" s="316">
        <f t="shared" si="293"/>
        <v>587.04405041466384</v>
      </c>
      <c r="U45" s="315" t="e">
        <f t="shared" si="282"/>
        <v>#DIV/0!</v>
      </c>
      <c r="V45" s="316" t="e">
        <f t="shared" si="293"/>
        <v>#DIV/0!</v>
      </c>
      <c r="W45" s="315" t="e">
        <f t="shared" si="282"/>
        <v>#DIV/0!</v>
      </c>
      <c r="X45" s="316" t="e">
        <f t="shared" si="293"/>
        <v>#DIV/0!</v>
      </c>
      <c r="Y45" s="315" t="e">
        <f t="shared" si="282"/>
        <v>#DIV/0!</v>
      </c>
      <c r="Z45" s="316" t="e">
        <f t="shared" si="293"/>
        <v>#DIV/0!</v>
      </c>
      <c r="AA45" s="315" t="e">
        <f t="shared" si="282"/>
        <v>#DIV/0!</v>
      </c>
      <c r="AB45" s="316" t="e">
        <f t="shared" si="293"/>
        <v>#DIV/0!</v>
      </c>
      <c r="AC45" s="315" t="e">
        <f t="shared" si="282"/>
        <v>#DIV/0!</v>
      </c>
      <c r="AD45" s="316" t="e">
        <f t="shared" si="293"/>
        <v>#DIV/0!</v>
      </c>
      <c r="AE45" s="315" t="e">
        <f t="shared" si="282"/>
        <v>#DIV/0!</v>
      </c>
      <c r="AF45" s="316" t="e">
        <f t="shared" si="293"/>
        <v>#DIV/0!</v>
      </c>
      <c r="AG45" s="315" t="e">
        <f t="shared" si="282"/>
        <v>#DIV/0!</v>
      </c>
      <c r="AH45" s="316" t="e">
        <f t="shared" si="293"/>
        <v>#DIV/0!</v>
      </c>
      <c r="AI45" s="315" t="e">
        <f t="shared" si="282"/>
        <v>#DIV/0!</v>
      </c>
      <c r="AJ45" s="316" t="e">
        <f t="shared" si="242"/>
        <v>#DIV/0!</v>
      </c>
      <c r="AK45" s="315" t="e">
        <f t="shared" si="282"/>
        <v>#DIV/0!</v>
      </c>
      <c r="AL45" s="316" t="e">
        <f t="shared" si="243"/>
        <v>#DIV/0!</v>
      </c>
      <c r="AM45" s="315" t="e">
        <f t="shared" si="282"/>
        <v>#DIV/0!</v>
      </c>
      <c r="AN45" s="316" t="e">
        <f t="shared" si="244"/>
        <v>#DIV/0!</v>
      </c>
      <c r="AO45" s="315" t="e">
        <f t="shared" si="282"/>
        <v>#DIV/0!</v>
      </c>
      <c r="AP45" s="316" t="e">
        <f t="shared" si="245"/>
        <v>#DIV/0!</v>
      </c>
      <c r="AQ45" s="315" t="e">
        <f t="shared" si="280"/>
        <v>#DIV/0!</v>
      </c>
      <c r="AR45" s="316" t="e">
        <f t="shared" si="246"/>
        <v>#DIV/0!</v>
      </c>
      <c r="AS45" s="315" t="e">
        <f t="shared" si="280"/>
        <v>#DIV/0!</v>
      </c>
      <c r="AT45" s="316" t="e">
        <f t="shared" si="247"/>
        <v>#DIV/0!</v>
      </c>
      <c r="AU45" s="315" t="e">
        <f t="shared" si="280"/>
        <v>#DIV/0!</v>
      </c>
      <c r="AV45" s="316" t="e">
        <f t="shared" si="248"/>
        <v>#DIV/0!</v>
      </c>
      <c r="AW45" s="315" t="e">
        <f t="shared" si="280"/>
        <v>#DIV/0!</v>
      </c>
      <c r="AX45" s="316" t="e">
        <f t="shared" si="249"/>
        <v>#DIV/0!</v>
      </c>
      <c r="AY45" s="315" t="e">
        <f t="shared" si="280"/>
        <v>#DIV/0!</v>
      </c>
      <c r="AZ45" s="316" t="e">
        <f t="shared" si="250"/>
        <v>#DIV/0!</v>
      </c>
      <c r="BA45" s="315" t="e">
        <f t="shared" si="280"/>
        <v>#DIV/0!</v>
      </c>
      <c r="BB45" s="316" t="e">
        <f t="shared" si="251"/>
        <v>#DIV/0!</v>
      </c>
      <c r="BC45" s="315" t="e">
        <f t="shared" si="280"/>
        <v>#DIV/0!</v>
      </c>
      <c r="BD45" s="316" t="e">
        <f t="shared" si="252"/>
        <v>#DIV/0!</v>
      </c>
      <c r="BE45" s="315" t="e">
        <f t="shared" si="280"/>
        <v>#DIV/0!</v>
      </c>
      <c r="BF45" s="316" t="e">
        <f t="shared" si="253"/>
        <v>#DIV/0!</v>
      </c>
      <c r="BG45" s="315" t="e">
        <f t="shared" si="280"/>
        <v>#DIV/0!</v>
      </c>
      <c r="BH45" s="316" t="e">
        <f t="shared" si="254"/>
        <v>#DIV/0!</v>
      </c>
      <c r="BI45" s="315" t="e">
        <f t="shared" si="280"/>
        <v>#DIV/0!</v>
      </c>
      <c r="BJ45" s="316" t="e">
        <f t="shared" si="255"/>
        <v>#DIV/0!</v>
      </c>
      <c r="BK45" s="315" t="e">
        <f t="shared" si="280"/>
        <v>#DIV/0!</v>
      </c>
      <c r="BL45" s="316" t="e">
        <f t="shared" si="256"/>
        <v>#DIV/0!</v>
      </c>
      <c r="BM45" s="315" t="e">
        <f t="shared" si="280"/>
        <v>#DIV/0!</v>
      </c>
      <c r="BN45" s="316" t="e">
        <f t="shared" si="257"/>
        <v>#DIV/0!</v>
      </c>
      <c r="BO45" s="315" t="e">
        <f t="shared" si="280"/>
        <v>#DIV/0!</v>
      </c>
      <c r="BP45" s="316" t="e">
        <f t="shared" si="258"/>
        <v>#DIV/0!</v>
      </c>
    </row>
    <row r="46" spans="2:68" x14ac:dyDescent="0.25">
      <c r="B46" s="344" t="str">
        <f t="shared" si="0"/>
        <v>201,852865,300188631267</v>
      </c>
      <c r="D46" s="308">
        <v>30</v>
      </c>
      <c r="E46" s="315">
        <f t="shared" si="259"/>
        <v>134.56799999999998</v>
      </c>
      <c r="F46" s="316">
        <f t="shared" si="260"/>
        <v>450.24331712349249</v>
      </c>
      <c r="G46" s="315">
        <f t="shared" si="259"/>
        <v>352.27199999999999</v>
      </c>
      <c r="H46" s="316">
        <f t="shared" si="260"/>
        <v>568.69853308972733</v>
      </c>
      <c r="I46" s="315">
        <f t="shared" si="259"/>
        <v>566.57000000000005</v>
      </c>
      <c r="J46" s="316">
        <f t="shared" ref="J46:AH46" si="294">10*I$4*COSH((I$7+$D46*I$9)/I$4)+(I$11-10*I$4*COSH(I$7/I$4))</f>
        <v>559.37446211802558</v>
      </c>
      <c r="K46" s="315">
        <f t="shared" si="282"/>
        <v>768.59</v>
      </c>
      <c r="L46" s="316">
        <f t="shared" si="294"/>
        <v>675.22365720169046</v>
      </c>
      <c r="M46" s="315">
        <f t="shared" si="282"/>
        <v>967.02399999999989</v>
      </c>
      <c r="N46" s="316">
        <f t="shared" si="294"/>
        <v>632.00335211870492</v>
      </c>
      <c r="O46" s="315">
        <f t="shared" si="282"/>
        <v>1173.248</v>
      </c>
      <c r="P46" s="316">
        <f t="shared" si="294"/>
        <v>591.95957867922584</v>
      </c>
      <c r="Q46" s="315">
        <f t="shared" si="282"/>
        <v>1382.74</v>
      </c>
      <c r="R46" s="316">
        <f t="shared" si="294"/>
        <v>589.07086113901778</v>
      </c>
      <c r="S46" s="315">
        <f t="shared" si="282"/>
        <v>1591.8580000000002</v>
      </c>
      <c r="T46" s="316">
        <f t="shared" si="294"/>
        <v>594.45183010382175</v>
      </c>
      <c r="U46" s="315" t="e">
        <f t="shared" si="282"/>
        <v>#DIV/0!</v>
      </c>
      <c r="V46" s="316" t="e">
        <f t="shared" si="294"/>
        <v>#DIV/0!</v>
      </c>
      <c r="W46" s="315" t="e">
        <f t="shared" si="282"/>
        <v>#DIV/0!</v>
      </c>
      <c r="X46" s="316" t="e">
        <f t="shared" si="294"/>
        <v>#DIV/0!</v>
      </c>
      <c r="Y46" s="315" t="e">
        <f t="shared" si="282"/>
        <v>#DIV/0!</v>
      </c>
      <c r="Z46" s="316" t="e">
        <f t="shared" si="294"/>
        <v>#DIV/0!</v>
      </c>
      <c r="AA46" s="315" t="e">
        <f t="shared" si="282"/>
        <v>#DIV/0!</v>
      </c>
      <c r="AB46" s="316" t="e">
        <f t="shared" si="294"/>
        <v>#DIV/0!</v>
      </c>
      <c r="AC46" s="315" t="e">
        <f t="shared" si="282"/>
        <v>#DIV/0!</v>
      </c>
      <c r="AD46" s="316" t="e">
        <f t="shared" si="294"/>
        <v>#DIV/0!</v>
      </c>
      <c r="AE46" s="315" t="e">
        <f t="shared" si="282"/>
        <v>#DIV/0!</v>
      </c>
      <c r="AF46" s="316" t="e">
        <f t="shared" si="294"/>
        <v>#DIV/0!</v>
      </c>
      <c r="AG46" s="315" t="e">
        <f t="shared" si="282"/>
        <v>#DIV/0!</v>
      </c>
      <c r="AH46" s="316" t="e">
        <f t="shared" si="294"/>
        <v>#DIV/0!</v>
      </c>
      <c r="AI46" s="315" t="e">
        <f t="shared" si="282"/>
        <v>#DIV/0!</v>
      </c>
      <c r="AJ46" s="316" t="e">
        <f t="shared" si="242"/>
        <v>#DIV/0!</v>
      </c>
      <c r="AK46" s="315" t="e">
        <f t="shared" si="282"/>
        <v>#DIV/0!</v>
      </c>
      <c r="AL46" s="316" t="e">
        <f t="shared" si="243"/>
        <v>#DIV/0!</v>
      </c>
      <c r="AM46" s="315" t="e">
        <f t="shared" si="282"/>
        <v>#DIV/0!</v>
      </c>
      <c r="AN46" s="316" t="e">
        <f t="shared" si="244"/>
        <v>#DIV/0!</v>
      </c>
      <c r="AO46" s="315" t="e">
        <f t="shared" si="282"/>
        <v>#DIV/0!</v>
      </c>
      <c r="AP46" s="316" t="e">
        <f t="shared" si="245"/>
        <v>#DIV/0!</v>
      </c>
      <c r="AQ46" s="315" t="e">
        <f t="shared" si="280"/>
        <v>#DIV/0!</v>
      </c>
      <c r="AR46" s="316" t="e">
        <f t="shared" si="246"/>
        <v>#DIV/0!</v>
      </c>
      <c r="AS46" s="315" t="e">
        <f t="shared" si="280"/>
        <v>#DIV/0!</v>
      </c>
      <c r="AT46" s="316" t="e">
        <f t="shared" si="247"/>
        <v>#DIV/0!</v>
      </c>
      <c r="AU46" s="315" t="e">
        <f t="shared" si="280"/>
        <v>#DIV/0!</v>
      </c>
      <c r="AV46" s="316" t="e">
        <f t="shared" si="248"/>
        <v>#DIV/0!</v>
      </c>
      <c r="AW46" s="315" t="e">
        <f t="shared" si="280"/>
        <v>#DIV/0!</v>
      </c>
      <c r="AX46" s="316" t="e">
        <f t="shared" si="249"/>
        <v>#DIV/0!</v>
      </c>
      <c r="AY46" s="315" t="e">
        <f t="shared" si="280"/>
        <v>#DIV/0!</v>
      </c>
      <c r="AZ46" s="316" t="e">
        <f t="shared" si="250"/>
        <v>#DIV/0!</v>
      </c>
      <c r="BA46" s="315" t="e">
        <f t="shared" si="280"/>
        <v>#DIV/0!</v>
      </c>
      <c r="BB46" s="316" t="e">
        <f t="shared" si="251"/>
        <v>#DIV/0!</v>
      </c>
      <c r="BC46" s="315" t="e">
        <f t="shared" si="280"/>
        <v>#DIV/0!</v>
      </c>
      <c r="BD46" s="316" t="e">
        <f t="shared" si="252"/>
        <v>#DIV/0!</v>
      </c>
      <c r="BE46" s="315" t="e">
        <f t="shared" si="280"/>
        <v>#DIV/0!</v>
      </c>
      <c r="BF46" s="316" t="e">
        <f t="shared" si="253"/>
        <v>#DIV/0!</v>
      </c>
      <c r="BG46" s="315" t="e">
        <f t="shared" si="280"/>
        <v>#DIV/0!</v>
      </c>
      <c r="BH46" s="316" t="e">
        <f t="shared" si="254"/>
        <v>#DIV/0!</v>
      </c>
      <c r="BI46" s="315" t="e">
        <f t="shared" si="280"/>
        <v>#DIV/0!</v>
      </c>
      <c r="BJ46" s="316" t="e">
        <f t="shared" si="255"/>
        <v>#DIV/0!</v>
      </c>
      <c r="BK46" s="315" t="e">
        <f t="shared" si="280"/>
        <v>#DIV/0!</v>
      </c>
      <c r="BL46" s="316" t="e">
        <f t="shared" si="256"/>
        <v>#DIV/0!</v>
      </c>
      <c r="BM46" s="315" t="e">
        <f t="shared" si="280"/>
        <v>#DIV/0!</v>
      </c>
      <c r="BN46" s="316" t="e">
        <f t="shared" si="257"/>
        <v>#DIV/0!</v>
      </c>
      <c r="BO46" s="315" t="e">
        <f t="shared" si="280"/>
        <v>#DIV/0!</v>
      </c>
      <c r="BP46" s="316" t="e">
        <f t="shared" si="258"/>
        <v>#DIV/0!</v>
      </c>
    </row>
    <row r="47" spans="2:68" x14ac:dyDescent="0.25">
      <c r="B47" s="344" t="str">
        <f t="shared" si="0"/>
        <v>206,3376912,108723201396</v>
      </c>
      <c r="D47" s="308">
        <v>31</v>
      </c>
      <c r="E47" s="315">
        <f t="shared" si="259"/>
        <v>139.05359999999999</v>
      </c>
      <c r="F47" s="316">
        <f t="shared" si="260"/>
        <v>462.94701071384156</v>
      </c>
      <c r="G47" s="315">
        <f t="shared" si="259"/>
        <v>356.53840000000002</v>
      </c>
      <c r="H47" s="316">
        <f t="shared" si="260"/>
        <v>578.18256693925946</v>
      </c>
      <c r="I47" s="315">
        <f t="shared" si="259"/>
        <v>570.86900000000003</v>
      </c>
      <c r="J47" s="316">
        <f t="shared" ref="J47:AH47" si="295">10*I$4*COSH((I$7+$D47*I$9)/I$4)+(I$11-10*I$4*COSH(I$7/I$4))</f>
        <v>569.00518967813173</v>
      </c>
      <c r="K47" s="315">
        <f t="shared" si="282"/>
        <v>772.45799999999997</v>
      </c>
      <c r="L47" s="316">
        <f t="shared" si="295"/>
        <v>683.00784010160942</v>
      </c>
      <c r="M47" s="315">
        <f t="shared" si="282"/>
        <v>971.05979999999988</v>
      </c>
      <c r="N47" s="316">
        <f t="shared" si="295"/>
        <v>640.48259704603674</v>
      </c>
      <c r="O47" s="315">
        <f t="shared" si="282"/>
        <v>1177.4315999999999</v>
      </c>
      <c r="P47" s="316">
        <f t="shared" si="295"/>
        <v>601.07620829592975</v>
      </c>
      <c r="Q47" s="315">
        <f t="shared" si="282"/>
        <v>1386.934</v>
      </c>
      <c r="R47" s="316">
        <f t="shared" si="295"/>
        <v>598.23323028516188</v>
      </c>
      <c r="S47" s="315">
        <f t="shared" si="282"/>
        <v>1596.0326000000002</v>
      </c>
      <c r="T47" s="316">
        <f t="shared" si="295"/>
        <v>603.52897194918773</v>
      </c>
      <c r="U47" s="315" t="e">
        <f t="shared" si="282"/>
        <v>#DIV/0!</v>
      </c>
      <c r="V47" s="316" t="e">
        <f t="shared" si="295"/>
        <v>#DIV/0!</v>
      </c>
      <c r="W47" s="315" t="e">
        <f t="shared" si="282"/>
        <v>#DIV/0!</v>
      </c>
      <c r="X47" s="316" t="e">
        <f t="shared" si="295"/>
        <v>#DIV/0!</v>
      </c>
      <c r="Y47" s="315" t="e">
        <f t="shared" si="282"/>
        <v>#DIV/0!</v>
      </c>
      <c r="Z47" s="316" t="e">
        <f t="shared" si="295"/>
        <v>#DIV/0!</v>
      </c>
      <c r="AA47" s="315" t="e">
        <f t="shared" si="282"/>
        <v>#DIV/0!</v>
      </c>
      <c r="AB47" s="316" t="e">
        <f t="shared" si="295"/>
        <v>#DIV/0!</v>
      </c>
      <c r="AC47" s="315" t="e">
        <f t="shared" si="282"/>
        <v>#DIV/0!</v>
      </c>
      <c r="AD47" s="316" t="e">
        <f t="shared" si="295"/>
        <v>#DIV/0!</v>
      </c>
      <c r="AE47" s="315" t="e">
        <f t="shared" si="282"/>
        <v>#DIV/0!</v>
      </c>
      <c r="AF47" s="316" t="e">
        <f t="shared" si="295"/>
        <v>#DIV/0!</v>
      </c>
      <c r="AG47" s="315" t="e">
        <f t="shared" si="282"/>
        <v>#DIV/0!</v>
      </c>
      <c r="AH47" s="316" t="e">
        <f t="shared" si="295"/>
        <v>#DIV/0!</v>
      </c>
      <c r="AI47" s="315" t="e">
        <f t="shared" si="282"/>
        <v>#DIV/0!</v>
      </c>
      <c r="AJ47" s="316" t="e">
        <f t="shared" si="242"/>
        <v>#DIV/0!</v>
      </c>
      <c r="AK47" s="315" t="e">
        <f t="shared" si="282"/>
        <v>#DIV/0!</v>
      </c>
      <c r="AL47" s="316" t="e">
        <f t="shared" si="243"/>
        <v>#DIV/0!</v>
      </c>
      <c r="AM47" s="315" t="e">
        <f t="shared" si="282"/>
        <v>#DIV/0!</v>
      </c>
      <c r="AN47" s="316" t="e">
        <f t="shared" si="244"/>
        <v>#DIV/0!</v>
      </c>
      <c r="AO47" s="315" t="e">
        <f t="shared" si="282"/>
        <v>#DIV/0!</v>
      </c>
      <c r="AP47" s="316" t="e">
        <f t="shared" si="245"/>
        <v>#DIV/0!</v>
      </c>
      <c r="AQ47" s="315" t="e">
        <f t="shared" si="280"/>
        <v>#DIV/0!</v>
      </c>
      <c r="AR47" s="316" t="e">
        <f t="shared" si="246"/>
        <v>#DIV/0!</v>
      </c>
      <c r="AS47" s="315" t="e">
        <f t="shared" si="280"/>
        <v>#DIV/0!</v>
      </c>
      <c r="AT47" s="316" t="e">
        <f t="shared" si="247"/>
        <v>#DIV/0!</v>
      </c>
      <c r="AU47" s="315" t="e">
        <f t="shared" si="280"/>
        <v>#DIV/0!</v>
      </c>
      <c r="AV47" s="316" t="e">
        <f t="shared" si="248"/>
        <v>#DIV/0!</v>
      </c>
      <c r="AW47" s="315" t="e">
        <f t="shared" si="280"/>
        <v>#DIV/0!</v>
      </c>
      <c r="AX47" s="316" t="e">
        <f t="shared" si="249"/>
        <v>#DIV/0!</v>
      </c>
      <c r="AY47" s="315" t="e">
        <f t="shared" si="280"/>
        <v>#DIV/0!</v>
      </c>
      <c r="AZ47" s="316" t="e">
        <f t="shared" si="250"/>
        <v>#DIV/0!</v>
      </c>
      <c r="BA47" s="315" t="e">
        <f t="shared" si="280"/>
        <v>#DIV/0!</v>
      </c>
      <c r="BB47" s="316" t="e">
        <f t="shared" si="251"/>
        <v>#DIV/0!</v>
      </c>
      <c r="BC47" s="315" t="e">
        <f t="shared" si="280"/>
        <v>#DIV/0!</v>
      </c>
      <c r="BD47" s="316" t="e">
        <f t="shared" si="252"/>
        <v>#DIV/0!</v>
      </c>
      <c r="BE47" s="315" t="e">
        <f t="shared" si="280"/>
        <v>#DIV/0!</v>
      </c>
      <c r="BF47" s="316" t="e">
        <f t="shared" si="253"/>
        <v>#DIV/0!</v>
      </c>
      <c r="BG47" s="315" t="e">
        <f t="shared" si="280"/>
        <v>#DIV/0!</v>
      </c>
      <c r="BH47" s="316" t="e">
        <f t="shared" si="254"/>
        <v>#DIV/0!</v>
      </c>
      <c r="BI47" s="315" t="e">
        <f t="shared" si="280"/>
        <v>#DIV/0!</v>
      </c>
      <c r="BJ47" s="316" t="e">
        <f t="shared" si="255"/>
        <v>#DIV/0!</v>
      </c>
      <c r="BK47" s="315" t="e">
        <f t="shared" si="280"/>
        <v>#DIV/0!</v>
      </c>
      <c r="BL47" s="316" t="e">
        <f t="shared" si="256"/>
        <v>#DIV/0!</v>
      </c>
      <c r="BM47" s="315" t="e">
        <f t="shared" si="280"/>
        <v>#DIV/0!</v>
      </c>
      <c r="BN47" s="316" t="e">
        <f t="shared" si="257"/>
        <v>#DIV/0!</v>
      </c>
      <c r="BO47" s="315" t="e">
        <f t="shared" si="280"/>
        <v>#DIV/0!</v>
      </c>
      <c r="BP47" s="316" t="e">
        <f t="shared" si="258"/>
        <v>#DIV/0!</v>
      </c>
    </row>
    <row r="48" spans="2:68" x14ac:dyDescent="0.25">
      <c r="B48" s="344" t="str">
        <f t="shared" si="0"/>
        <v>210,8232961,692312009198</v>
      </c>
      <c r="D48" s="308">
        <v>32</v>
      </c>
      <c r="E48" s="315">
        <f t="shared" si="259"/>
        <v>143.53919999999999</v>
      </c>
      <c r="F48" s="316">
        <f t="shared" si="260"/>
        <v>477.62769408157715</v>
      </c>
      <c r="G48" s="315">
        <f t="shared" si="259"/>
        <v>360.8048</v>
      </c>
      <c r="H48" s="316">
        <f t="shared" si="260"/>
        <v>589.42691583723763</v>
      </c>
      <c r="I48" s="315">
        <f t="shared" si="259"/>
        <v>575.16800000000001</v>
      </c>
      <c r="J48" s="316">
        <f t="shared" ref="J48:AH48" si="296">10*I$4*COSH((I$7+$D48*I$9)/I$4)+(I$11-10*I$4*COSH(I$7/I$4))</f>
        <v>580.42401851722479</v>
      </c>
      <c r="K48" s="315">
        <f t="shared" si="282"/>
        <v>776.32600000000002</v>
      </c>
      <c r="L48" s="316">
        <f t="shared" si="296"/>
        <v>692.2315887263735</v>
      </c>
      <c r="M48" s="315">
        <f t="shared" si="282"/>
        <v>975.09559999999988</v>
      </c>
      <c r="N48" s="316">
        <f t="shared" si="296"/>
        <v>650.53228659199453</v>
      </c>
      <c r="O48" s="315">
        <f t="shared" si="282"/>
        <v>1181.6152</v>
      </c>
      <c r="P48" s="316">
        <f t="shared" si="296"/>
        <v>611.88363443775711</v>
      </c>
      <c r="Q48" s="315">
        <f t="shared" si="282"/>
        <v>1391.1279999999999</v>
      </c>
      <c r="R48" s="316">
        <f t="shared" si="296"/>
        <v>609.09504481436238</v>
      </c>
      <c r="S48" s="315">
        <f t="shared" si="282"/>
        <v>1600.2072000000001</v>
      </c>
      <c r="T48" s="316">
        <f t="shared" si="296"/>
        <v>614.28944492155711</v>
      </c>
      <c r="U48" s="315" t="e">
        <f t="shared" si="282"/>
        <v>#DIV/0!</v>
      </c>
      <c r="V48" s="316" t="e">
        <f t="shared" si="296"/>
        <v>#DIV/0!</v>
      </c>
      <c r="W48" s="315" t="e">
        <f t="shared" si="282"/>
        <v>#DIV/0!</v>
      </c>
      <c r="X48" s="316" t="e">
        <f t="shared" si="296"/>
        <v>#DIV/0!</v>
      </c>
      <c r="Y48" s="315" t="e">
        <f t="shared" si="282"/>
        <v>#DIV/0!</v>
      </c>
      <c r="Z48" s="316" t="e">
        <f t="shared" si="296"/>
        <v>#DIV/0!</v>
      </c>
      <c r="AA48" s="315" t="e">
        <f t="shared" si="282"/>
        <v>#DIV/0!</v>
      </c>
      <c r="AB48" s="316" t="e">
        <f t="shared" si="296"/>
        <v>#DIV/0!</v>
      </c>
      <c r="AC48" s="315" t="e">
        <f t="shared" si="282"/>
        <v>#DIV/0!</v>
      </c>
      <c r="AD48" s="316" t="e">
        <f t="shared" si="296"/>
        <v>#DIV/0!</v>
      </c>
      <c r="AE48" s="315" t="e">
        <f t="shared" si="282"/>
        <v>#DIV/0!</v>
      </c>
      <c r="AF48" s="316" t="e">
        <f t="shared" si="296"/>
        <v>#DIV/0!</v>
      </c>
      <c r="AG48" s="315" t="e">
        <f t="shared" si="282"/>
        <v>#DIV/0!</v>
      </c>
      <c r="AH48" s="316" t="e">
        <f t="shared" si="296"/>
        <v>#DIV/0!</v>
      </c>
      <c r="AI48" s="315" t="e">
        <f t="shared" si="282"/>
        <v>#DIV/0!</v>
      </c>
      <c r="AJ48" s="316" t="e">
        <f t="shared" si="242"/>
        <v>#DIV/0!</v>
      </c>
      <c r="AK48" s="315" t="e">
        <f t="shared" si="282"/>
        <v>#DIV/0!</v>
      </c>
      <c r="AL48" s="316" t="e">
        <f t="shared" si="243"/>
        <v>#DIV/0!</v>
      </c>
      <c r="AM48" s="315" t="e">
        <f t="shared" si="282"/>
        <v>#DIV/0!</v>
      </c>
      <c r="AN48" s="316" t="e">
        <f t="shared" si="244"/>
        <v>#DIV/0!</v>
      </c>
      <c r="AO48" s="315" t="e">
        <f t="shared" si="282"/>
        <v>#DIV/0!</v>
      </c>
      <c r="AP48" s="316" t="e">
        <f t="shared" si="245"/>
        <v>#DIV/0!</v>
      </c>
      <c r="AQ48" s="315" t="e">
        <f t="shared" si="280"/>
        <v>#DIV/0!</v>
      </c>
      <c r="AR48" s="316" t="e">
        <f t="shared" si="246"/>
        <v>#DIV/0!</v>
      </c>
      <c r="AS48" s="315" t="e">
        <f t="shared" si="280"/>
        <v>#DIV/0!</v>
      </c>
      <c r="AT48" s="316" t="e">
        <f t="shared" si="247"/>
        <v>#DIV/0!</v>
      </c>
      <c r="AU48" s="315" t="e">
        <f t="shared" si="280"/>
        <v>#DIV/0!</v>
      </c>
      <c r="AV48" s="316" t="e">
        <f t="shared" si="248"/>
        <v>#DIV/0!</v>
      </c>
      <c r="AW48" s="315" t="e">
        <f t="shared" si="280"/>
        <v>#DIV/0!</v>
      </c>
      <c r="AX48" s="316" t="e">
        <f t="shared" si="249"/>
        <v>#DIV/0!</v>
      </c>
      <c r="AY48" s="315" t="e">
        <f t="shared" si="280"/>
        <v>#DIV/0!</v>
      </c>
      <c r="AZ48" s="316" t="e">
        <f t="shared" si="250"/>
        <v>#DIV/0!</v>
      </c>
      <c r="BA48" s="315" t="e">
        <f t="shared" si="280"/>
        <v>#DIV/0!</v>
      </c>
      <c r="BB48" s="316" t="e">
        <f t="shared" si="251"/>
        <v>#DIV/0!</v>
      </c>
      <c r="BC48" s="315" t="e">
        <f t="shared" si="280"/>
        <v>#DIV/0!</v>
      </c>
      <c r="BD48" s="316" t="e">
        <f t="shared" si="252"/>
        <v>#DIV/0!</v>
      </c>
      <c r="BE48" s="315" t="e">
        <f t="shared" si="280"/>
        <v>#DIV/0!</v>
      </c>
      <c r="BF48" s="316" t="e">
        <f t="shared" si="253"/>
        <v>#DIV/0!</v>
      </c>
      <c r="BG48" s="315" t="e">
        <f t="shared" si="280"/>
        <v>#DIV/0!</v>
      </c>
      <c r="BH48" s="316" t="e">
        <f t="shared" si="254"/>
        <v>#DIV/0!</v>
      </c>
      <c r="BI48" s="315" t="e">
        <f t="shared" si="280"/>
        <v>#DIV/0!</v>
      </c>
      <c r="BJ48" s="316" t="e">
        <f t="shared" si="255"/>
        <v>#DIV/0!</v>
      </c>
      <c r="BK48" s="315" t="e">
        <f t="shared" si="280"/>
        <v>#DIV/0!</v>
      </c>
      <c r="BL48" s="316" t="e">
        <f t="shared" si="256"/>
        <v>#DIV/0!</v>
      </c>
      <c r="BM48" s="315" t="e">
        <f t="shared" si="280"/>
        <v>#DIV/0!</v>
      </c>
      <c r="BN48" s="316" t="e">
        <f t="shared" si="257"/>
        <v>#DIV/0!</v>
      </c>
      <c r="BO48" s="315" t="e">
        <f t="shared" si="280"/>
        <v>#DIV/0!</v>
      </c>
      <c r="BP48" s="316" t="e">
        <f t="shared" si="258"/>
        <v>#DIV/0!</v>
      </c>
    </row>
    <row r="49" spans="2:68" x14ac:dyDescent="0.25">
      <c r="B49" s="344" t="str">
        <f t="shared" si="0"/>
        <v>215,30881014,13905450514</v>
      </c>
      <c r="D49" s="308">
        <v>33</v>
      </c>
      <c r="E49" s="315">
        <f t="shared" si="259"/>
        <v>148.0248</v>
      </c>
      <c r="F49" s="316">
        <f t="shared" si="260"/>
        <v>494.3114516664964</v>
      </c>
      <c r="G49" s="315">
        <f t="shared" si="259"/>
        <v>365.07119999999998</v>
      </c>
      <c r="H49" s="316">
        <f t="shared" si="260"/>
        <v>602.44965341751868</v>
      </c>
      <c r="I49" s="315">
        <f t="shared" si="259"/>
        <v>579.4670000000001</v>
      </c>
      <c r="J49" s="316">
        <f t="shared" ref="J49:AH49" si="297">10*I$4*COSH((I$7+$D49*I$9)/I$4)+(I$11-10*I$4*COSH(I$7/I$4))</f>
        <v>593.64958432075764</v>
      </c>
      <c r="K49" s="315">
        <f t="shared" si="282"/>
        <v>780.19399999999996</v>
      </c>
      <c r="L49" s="316">
        <f t="shared" si="297"/>
        <v>702.90708898860817</v>
      </c>
      <c r="M49" s="315">
        <f t="shared" si="282"/>
        <v>979.13139999999987</v>
      </c>
      <c r="N49" s="316">
        <f t="shared" si="297"/>
        <v>662.16687494880284</v>
      </c>
      <c r="O49" s="315">
        <f t="shared" si="282"/>
        <v>1185.7988</v>
      </c>
      <c r="P49" s="316">
        <f t="shared" si="297"/>
        <v>624.39856063907723</v>
      </c>
      <c r="Q49" s="315">
        <f t="shared" si="282"/>
        <v>1395.3219999999999</v>
      </c>
      <c r="R49" s="316">
        <f t="shared" si="297"/>
        <v>621.67317590058042</v>
      </c>
      <c r="S49" s="315">
        <f t="shared" si="282"/>
        <v>1604.3818000000001</v>
      </c>
      <c r="T49" s="316">
        <f t="shared" si="297"/>
        <v>626.74980849915073</v>
      </c>
      <c r="U49" s="315" t="e">
        <f t="shared" si="282"/>
        <v>#DIV/0!</v>
      </c>
      <c r="V49" s="316" t="e">
        <f t="shared" si="297"/>
        <v>#DIV/0!</v>
      </c>
      <c r="W49" s="315" t="e">
        <f t="shared" si="282"/>
        <v>#DIV/0!</v>
      </c>
      <c r="X49" s="316" t="e">
        <f t="shared" si="297"/>
        <v>#DIV/0!</v>
      </c>
      <c r="Y49" s="315" t="e">
        <f t="shared" si="282"/>
        <v>#DIV/0!</v>
      </c>
      <c r="Z49" s="316" t="e">
        <f t="shared" si="297"/>
        <v>#DIV/0!</v>
      </c>
      <c r="AA49" s="315" t="e">
        <f t="shared" si="282"/>
        <v>#DIV/0!</v>
      </c>
      <c r="AB49" s="316" t="e">
        <f t="shared" si="297"/>
        <v>#DIV/0!</v>
      </c>
      <c r="AC49" s="315" t="e">
        <f t="shared" si="282"/>
        <v>#DIV/0!</v>
      </c>
      <c r="AD49" s="316" t="e">
        <f t="shared" si="297"/>
        <v>#DIV/0!</v>
      </c>
      <c r="AE49" s="315" t="e">
        <f t="shared" si="282"/>
        <v>#DIV/0!</v>
      </c>
      <c r="AF49" s="316" t="e">
        <f t="shared" si="297"/>
        <v>#DIV/0!</v>
      </c>
      <c r="AG49" s="315" t="e">
        <f t="shared" si="282"/>
        <v>#DIV/0!</v>
      </c>
      <c r="AH49" s="316" t="e">
        <f t="shared" si="297"/>
        <v>#DIV/0!</v>
      </c>
      <c r="AI49" s="315" t="e">
        <f t="shared" si="282"/>
        <v>#DIV/0!</v>
      </c>
      <c r="AJ49" s="316" t="e">
        <f t="shared" si="242"/>
        <v>#DIV/0!</v>
      </c>
      <c r="AK49" s="315" t="e">
        <f t="shared" si="282"/>
        <v>#DIV/0!</v>
      </c>
      <c r="AL49" s="316" t="e">
        <f t="shared" si="243"/>
        <v>#DIV/0!</v>
      </c>
      <c r="AM49" s="315" t="e">
        <f t="shared" si="282"/>
        <v>#DIV/0!</v>
      </c>
      <c r="AN49" s="316" t="e">
        <f t="shared" si="244"/>
        <v>#DIV/0!</v>
      </c>
      <c r="AO49" s="315" t="e">
        <f t="shared" ref="AO49:BO64" si="298">AO$7+$D49*AO$9+(AO$10-AO$7)</f>
        <v>#DIV/0!</v>
      </c>
      <c r="AP49" s="316" t="e">
        <f t="shared" si="245"/>
        <v>#DIV/0!</v>
      </c>
      <c r="AQ49" s="315" t="e">
        <f t="shared" si="298"/>
        <v>#DIV/0!</v>
      </c>
      <c r="AR49" s="316" t="e">
        <f t="shared" si="246"/>
        <v>#DIV/0!</v>
      </c>
      <c r="AS49" s="315" t="e">
        <f t="shared" si="298"/>
        <v>#DIV/0!</v>
      </c>
      <c r="AT49" s="316" t="e">
        <f t="shared" si="247"/>
        <v>#DIV/0!</v>
      </c>
      <c r="AU49" s="315" t="e">
        <f t="shared" si="298"/>
        <v>#DIV/0!</v>
      </c>
      <c r="AV49" s="316" t="e">
        <f t="shared" si="248"/>
        <v>#DIV/0!</v>
      </c>
      <c r="AW49" s="315" t="e">
        <f t="shared" si="298"/>
        <v>#DIV/0!</v>
      </c>
      <c r="AX49" s="316" t="e">
        <f t="shared" si="249"/>
        <v>#DIV/0!</v>
      </c>
      <c r="AY49" s="315" t="e">
        <f t="shared" si="298"/>
        <v>#DIV/0!</v>
      </c>
      <c r="AZ49" s="316" t="e">
        <f t="shared" si="250"/>
        <v>#DIV/0!</v>
      </c>
      <c r="BA49" s="315" t="e">
        <f t="shared" si="298"/>
        <v>#DIV/0!</v>
      </c>
      <c r="BB49" s="316" t="e">
        <f t="shared" si="251"/>
        <v>#DIV/0!</v>
      </c>
      <c r="BC49" s="315" t="e">
        <f t="shared" si="298"/>
        <v>#DIV/0!</v>
      </c>
      <c r="BD49" s="316" t="e">
        <f t="shared" si="252"/>
        <v>#DIV/0!</v>
      </c>
      <c r="BE49" s="315" t="e">
        <f t="shared" si="298"/>
        <v>#DIV/0!</v>
      </c>
      <c r="BF49" s="316" t="e">
        <f t="shared" si="253"/>
        <v>#DIV/0!</v>
      </c>
      <c r="BG49" s="315" t="e">
        <f t="shared" si="298"/>
        <v>#DIV/0!</v>
      </c>
      <c r="BH49" s="316" t="e">
        <f t="shared" si="254"/>
        <v>#DIV/0!</v>
      </c>
      <c r="BI49" s="315" t="e">
        <f t="shared" si="298"/>
        <v>#DIV/0!</v>
      </c>
      <c r="BJ49" s="316" t="e">
        <f t="shared" si="255"/>
        <v>#DIV/0!</v>
      </c>
      <c r="BK49" s="315" t="e">
        <f t="shared" si="298"/>
        <v>#DIV/0!</v>
      </c>
      <c r="BL49" s="316" t="e">
        <f t="shared" si="256"/>
        <v>#DIV/0!</v>
      </c>
      <c r="BM49" s="315" t="e">
        <f t="shared" si="298"/>
        <v>#DIV/0!</v>
      </c>
      <c r="BN49" s="316" t="e">
        <f t="shared" si="257"/>
        <v>#DIV/0!</v>
      </c>
      <c r="BO49" s="315" t="e">
        <f t="shared" si="298"/>
        <v>#DIV/0!</v>
      </c>
      <c r="BP49" s="316" t="e">
        <f t="shared" si="258"/>
        <v>#DIV/0!</v>
      </c>
    </row>
    <row r="50" spans="2:68" x14ac:dyDescent="0.25">
      <c r="B50" s="344" t="str">
        <f t="shared" si="0"/>
        <v>219,79441069,54213735247</v>
      </c>
      <c r="D50" s="308">
        <v>34</v>
      </c>
      <c r="E50" s="315">
        <f t="shared" si="259"/>
        <v>152.5104</v>
      </c>
      <c r="F50" s="316">
        <f t="shared" si="260"/>
        <v>513.02792694359391</v>
      </c>
      <c r="G50" s="315">
        <f t="shared" si="259"/>
        <v>369.33760000000001</v>
      </c>
      <c r="H50" s="316">
        <f t="shared" si="260"/>
        <v>617.27171181169797</v>
      </c>
      <c r="I50" s="315">
        <f t="shared" si="259"/>
        <v>583.76600000000008</v>
      </c>
      <c r="J50" s="316">
        <f t="shared" ref="J50:AH50" si="299">10*I$4*COSH((I$7+$D50*I$9)/I$4)+(I$11-10*I$4*COSH(I$7/I$4))</f>
        <v>608.70347139371734</v>
      </c>
      <c r="K50" s="315">
        <f t="shared" ref="K50:AO65" si="300">K$7+$D50*K$9+(K$10-K$7)</f>
        <v>784.06200000000001</v>
      </c>
      <c r="L50" s="316">
        <f t="shared" si="299"/>
        <v>715.04844477586562</v>
      </c>
      <c r="M50" s="315">
        <f t="shared" si="300"/>
        <v>983.16719999999987</v>
      </c>
      <c r="N50" s="316">
        <f t="shared" si="299"/>
        <v>675.40309582508098</v>
      </c>
      <c r="O50" s="315">
        <f t="shared" si="300"/>
        <v>1189.9823999999999</v>
      </c>
      <c r="P50" s="316">
        <f t="shared" si="299"/>
        <v>638.64032947944497</v>
      </c>
      <c r="Q50" s="315">
        <f t="shared" si="300"/>
        <v>1399.5160000000001</v>
      </c>
      <c r="R50" s="316">
        <f t="shared" si="299"/>
        <v>635.98716059603635</v>
      </c>
      <c r="S50" s="315">
        <f t="shared" si="300"/>
        <v>1608.5564000000002</v>
      </c>
      <c r="T50" s="316">
        <f t="shared" si="299"/>
        <v>640.92923815128233</v>
      </c>
      <c r="U50" s="315" t="e">
        <f t="shared" si="300"/>
        <v>#DIV/0!</v>
      </c>
      <c r="V50" s="316" t="e">
        <f t="shared" si="299"/>
        <v>#DIV/0!</v>
      </c>
      <c r="W50" s="315" t="e">
        <f t="shared" si="300"/>
        <v>#DIV/0!</v>
      </c>
      <c r="X50" s="316" t="e">
        <f t="shared" si="299"/>
        <v>#DIV/0!</v>
      </c>
      <c r="Y50" s="315" t="e">
        <f t="shared" si="300"/>
        <v>#DIV/0!</v>
      </c>
      <c r="Z50" s="316" t="e">
        <f t="shared" si="299"/>
        <v>#DIV/0!</v>
      </c>
      <c r="AA50" s="315" t="e">
        <f t="shared" si="300"/>
        <v>#DIV/0!</v>
      </c>
      <c r="AB50" s="316" t="e">
        <f t="shared" si="299"/>
        <v>#DIV/0!</v>
      </c>
      <c r="AC50" s="315" t="e">
        <f t="shared" si="300"/>
        <v>#DIV/0!</v>
      </c>
      <c r="AD50" s="316" t="e">
        <f t="shared" si="299"/>
        <v>#DIV/0!</v>
      </c>
      <c r="AE50" s="315" t="e">
        <f t="shared" si="300"/>
        <v>#DIV/0!</v>
      </c>
      <c r="AF50" s="316" t="e">
        <f t="shared" si="299"/>
        <v>#DIV/0!</v>
      </c>
      <c r="AG50" s="315" t="e">
        <f t="shared" si="300"/>
        <v>#DIV/0!</v>
      </c>
      <c r="AH50" s="316" t="e">
        <f t="shared" si="299"/>
        <v>#DIV/0!</v>
      </c>
      <c r="AI50" s="315" t="e">
        <f t="shared" si="300"/>
        <v>#DIV/0!</v>
      </c>
      <c r="AJ50" s="316" t="e">
        <f t="shared" si="242"/>
        <v>#DIV/0!</v>
      </c>
      <c r="AK50" s="315" t="e">
        <f t="shared" si="300"/>
        <v>#DIV/0!</v>
      </c>
      <c r="AL50" s="316" t="e">
        <f t="shared" si="243"/>
        <v>#DIV/0!</v>
      </c>
      <c r="AM50" s="315" t="e">
        <f t="shared" si="300"/>
        <v>#DIV/0!</v>
      </c>
      <c r="AN50" s="316" t="e">
        <f t="shared" si="244"/>
        <v>#DIV/0!</v>
      </c>
      <c r="AO50" s="315" t="e">
        <f t="shared" si="300"/>
        <v>#DIV/0!</v>
      </c>
      <c r="AP50" s="316" t="e">
        <f t="shared" si="245"/>
        <v>#DIV/0!</v>
      </c>
      <c r="AQ50" s="315" t="e">
        <f t="shared" si="298"/>
        <v>#DIV/0!</v>
      </c>
      <c r="AR50" s="316" t="e">
        <f t="shared" si="246"/>
        <v>#DIV/0!</v>
      </c>
      <c r="AS50" s="315" t="e">
        <f t="shared" si="298"/>
        <v>#DIV/0!</v>
      </c>
      <c r="AT50" s="316" t="e">
        <f t="shared" si="247"/>
        <v>#DIV/0!</v>
      </c>
      <c r="AU50" s="315" t="e">
        <f t="shared" si="298"/>
        <v>#DIV/0!</v>
      </c>
      <c r="AV50" s="316" t="e">
        <f t="shared" si="248"/>
        <v>#DIV/0!</v>
      </c>
      <c r="AW50" s="315" t="e">
        <f t="shared" si="298"/>
        <v>#DIV/0!</v>
      </c>
      <c r="AX50" s="316" t="e">
        <f t="shared" si="249"/>
        <v>#DIV/0!</v>
      </c>
      <c r="AY50" s="315" t="e">
        <f t="shared" si="298"/>
        <v>#DIV/0!</v>
      </c>
      <c r="AZ50" s="316" t="e">
        <f t="shared" si="250"/>
        <v>#DIV/0!</v>
      </c>
      <c r="BA50" s="315" t="e">
        <f t="shared" si="298"/>
        <v>#DIV/0!</v>
      </c>
      <c r="BB50" s="316" t="e">
        <f t="shared" si="251"/>
        <v>#DIV/0!</v>
      </c>
      <c r="BC50" s="315" t="e">
        <f t="shared" si="298"/>
        <v>#DIV/0!</v>
      </c>
      <c r="BD50" s="316" t="e">
        <f t="shared" si="252"/>
        <v>#DIV/0!</v>
      </c>
      <c r="BE50" s="315" t="e">
        <f t="shared" si="298"/>
        <v>#DIV/0!</v>
      </c>
      <c r="BF50" s="316" t="e">
        <f t="shared" si="253"/>
        <v>#DIV/0!</v>
      </c>
      <c r="BG50" s="315" t="e">
        <f t="shared" si="298"/>
        <v>#DIV/0!</v>
      </c>
      <c r="BH50" s="316" t="e">
        <f t="shared" si="254"/>
        <v>#DIV/0!</v>
      </c>
      <c r="BI50" s="315" t="e">
        <f t="shared" si="298"/>
        <v>#DIV/0!</v>
      </c>
      <c r="BJ50" s="316" t="e">
        <f t="shared" si="255"/>
        <v>#DIV/0!</v>
      </c>
      <c r="BK50" s="315" t="e">
        <f t="shared" si="298"/>
        <v>#DIV/0!</v>
      </c>
      <c r="BL50" s="316" t="e">
        <f t="shared" si="256"/>
        <v>#DIV/0!</v>
      </c>
      <c r="BM50" s="315" t="e">
        <f t="shared" si="298"/>
        <v>#DIV/0!</v>
      </c>
      <c r="BN50" s="316" t="e">
        <f t="shared" si="257"/>
        <v>#DIV/0!</v>
      </c>
      <c r="BO50" s="315" t="e">
        <f t="shared" si="298"/>
        <v>#DIV/0!</v>
      </c>
      <c r="BP50" s="316" t="e">
        <f t="shared" si="258"/>
        <v>#DIV/0!</v>
      </c>
    </row>
    <row r="51" spans="2:68" ht="14.4" thickBot="1" x14ac:dyDescent="0.3">
      <c r="B51" s="345" t="str">
        <f t="shared" si="0"/>
        <v>224,281128</v>
      </c>
      <c r="C51" s="341">
        <f>Adatok!F20</f>
        <v>16</v>
      </c>
      <c r="D51" s="308">
        <v>35</v>
      </c>
      <c r="E51" s="315">
        <f t="shared" si="259"/>
        <v>156.99599999999998</v>
      </c>
      <c r="F51" s="316">
        <f t="shared" si="260"/>
        <v>533.81037509318685</v>
      </c>
      <c r="G51" s="315">
        <f t="shared" si="259"/>
        <v>373.60400000000004</v>
      </c>
      <c r="H51" s="316">
        <f t="shared" si="260"/>
        <v>633.91691529442619</v>
      </c>
      <c r="I51" s="315">
        <f t="shared" si="259"/>
        <v>588.06500000000005</v>
      </c>
      <c r="J51" s="316">
        <f t="shared" ref="J51:AH51" si="301">10*I$4*COSH((I$7+$D51*I$9)/I$4)+(I$11-10*I$4*COSH(I$7/I$4))</f>
        <v>625.61024788650661</v>
      </c>
      <c r="K51" s="315">
        <f t="shared" si="300"/>
        <v>787.93000000000006</v>
      </c>
      <c r="L51" s="316">
        <f t="shared" si="301"/>
        <v>728.67169658391276</v>
      </c>
      <c r="M51" s="315">
        <f t="shared" si="300"/>
        <v>987.20299999999997</v>
      </c>
      <c r="N51" s="316">
        <f t="shared" si="301"/>
        <v>690.25998651347436</v>
      </c>
      <c r="O51" s="315">
        <f t="shared" si="300"/>
        <v>1194.1659999999999</v>
      </c>
      <c r="P51" s="316">
        <f t="shared" si="301"/>
        <v>654.63095247873412</v>
      </c>
      <c r="Q51" s="315">
        <f t="shared" si="300"/>
        <v>1403.71</v>
      </c>
      <c r="R51" s="316">
        <f t="shared" si="301"/>
        <v>652.05923217724444</v>
      </c>
      <c r="S51" s="315">
        <f t="shared" si="300"/>
        <v>1612.7310000000002</v>
      </c>
      <c r="T51" s="316">
        <f t="shared" si="301"/>
        <v>656.84955484782131</v>
      </c>
      <c r="U51" s="315" t="e">
        <f t="shared" si="300"/>
        <v>#DIV/0!</v>
      </c>
      <c r="V51" s="316" t="e">
        <f t="shared" si="301"/>
        <v>#DIV/0!</v>
      </c>
      <c r="W51" s="315" t="e">
        <f t="shared" si="300"/>
        <v>#DIV/0!</v>
      </c>
      <c r="X51" s="316" t="e">
        <f t="shared" si="301"/>
        <v>#DIV/0!</v>
      </c>
      <c r="Y51" s="315" t="e">
        <f t="shared" si="300"/>
        <v>#DIV/0!</v>
      </c>
      <c r="Z51" s="316" t="e">
        <f t="shared" si="301"/>
        <v>#DIV/0!</v>
      </c>
      <c r="AA51" s="315" t="e">
        <f t="shared" si="300"/>
        <v>#DIV/0!</v>
      </c>
      <c r="AB51" s="316" t="e">
        <f t="shared" si="301"/>
        <v>#DIV/0!</v>
      </c>
      <c r="AC51" s="315" t="e">
        <f t="shared" si="300"/>
        <v>#DIV/0!</v>
      </c>
      <c r="AD51" s="316" t="e">
        <f t="shared" si="301"/>
        <v>#DIV/0!</v>
      </c>
      <c r="AE51" s="315" t="e">
        <f t="shared" si="300"/>
        <v>#DIV/0!</v>
      </c>
      <c r="AF51" s="316" t="e">
        <f t="shared" si="301"/>
        <v>#DIV/0!</v>
      </c>
      <c r="AG51" s="315" t="e">
        <f t="shared" si="300"/>
        <v>#DIV/0!</v>
      </c>
      <c r="AH51" s="316" t="e">
        <f t="shared" si="301"/>
        <v>#DIV/0!</v>
      </c>
      <c r="AI51" s="315" t="e">
        <f t="shared" si="300"/>
        <v>#DIV/0!</v>
      </c>
      <c r="AJ51" s="316" t="e">
        <f t="shared" si="242"/>
        <v>#DIV/0!</v>
      </c>
      <c r="AK51" s="315" t="e">
        <f t="shared" si="300"/>
        <v>#DIV/0!</v>
      </c>
      <c r="AL51" s="316" t="e">
        <f t="shared" si="243"/>
        <v>#DIV/0!</v>
      </c>
      <c r="AM51" s="315" t="e">
        <f t="shared" si="300"/>
        <v>#DIV/0!</v>
      </c>
      <c r="AN51" s="316" t="e">
        <f t="shared" si="244"/>
        <v>#DIV/0!</v>
      </c>
      <c r="AO51" s="315" t="e">
        <f t="shared" si="300"/>
        <v>#DIV/0!</v>
      </c>
      <c r="AP51" s="316" t="e">
        <f t="shared" si="245"/>
        <v>#DIV/0!</v>
      </c>
      <c r="AQ51" s="315" t="e">
        <f t="shared" si="298"/>
        <v>#DIV/0!</v>
      </c>
      <c r="AR51" s="316" t="e">
        <f t="shared" si="246"/>
        <v>#DIV/0!</v>
      </c>
      <c r="AS51" s="315" t="e">
        <f t="shared" si="298"/>
        <v>#DIV/0!</v>
      </c>
      <c r="AT51" s="316" t="e">
        <f t="shared" si="247"/>
        <v>#DIV/0!</v>
      </c>
      <c r="AU51" s="315" t="e">
        <f t="shared" si="298"/>
        <v>#DIV/0!</v>
      </c>
      <c r="AV51" s="316" t="e">
        <f t="shared" si="248"/>
        <v>#DIV/0!</v>
      </c>
      <c r="AW51" s="315" t="e">
        <f t="shared" si="298"/>
        <v>#DIV/0!</v>
      </c>
      <c r="AX51" s="316" t="e">
        <f t="shared" si="249"/>
        <v>#DIV/0!</v>
      </c>
      <c r="AY51" s="315" t="e">
        <f t="shared" si="298"/>
        <v>#DIV/0!</v>
      </c>
      <c r="AZ51" s="316" t="e">
        <f t="shared" si="250"/>
        <v>#DIV/0!</v>
      </c>
      <c r="BA51" s="315" t="e">
        <f t="shared" si="298"/>
        <v>#DIV/0!</v>
      </c>
      <c r="BB51" s="316" t="e">
        <f t="shared" si="251"/>
        <v>#DIV/0!</v>
      </c>
      <c r="BC51" s="315" t="e">
        <f t="shared" si="298"/>
        <v>#DIV/0!</v>
      </c>
      <c r="BD51" s="316" t="e">
        <f t="shared" si="252"/>
        <v>#DIV/0!</v>
      </c>
      <c r="BE51" s="315" t="e">
        <f t="shared" si="298"/>
        <v>#DIV/0!</v>
      </c>
      <c r="BF51" s="316" t="e">
        <f t="shared" si="253"/>
        <v>#DIV/0!</v>
      </c>
      <c r="BG51" s="315" t="e">
        <f t="shared" si="298"/>
        <v>#DIV/0!</v>
      </c>
      <c r="BH51" s="316" t="e">
        <f t="shared" si="254"/>
        <v>#DIV/0!</v>
      </c>
      <c r="BI51" s="315" t="e">
        <f t="shared" si="298"/>
        <v>#DIV/0!</v>
      </c>
      <c r="BJ51" s="316" t="e">
        <f t="shared" si="255"/>
        <v>#DIV/0!</v>
      </c>
      <c r="BK51" s="315" t="e">
        <f t="shared" si="298"/>
        <v>#DIV/0!</v>
      </c>
      <c r="BL51" s="316" t="e">
        <f t="shared" si="256"/>
        <v>#DIV/0!</v>
      </c>
      <c r="BM51" s="315" t="e">
        <f t="shared" si="298"/>
        <v>#DIV/0!</v>
      </c>
      <c r="BN51" s="316" t="e">
        <f t="shared" si="257"/>
        <v>#DIV/0!</v>
      </c>
      <c r="BO51" s="315" t="e">
        <f t="shared" si="298"/>
        <v>#DIV/0!</v>
      </c>
      <c r="BP51" s="316" t="e">
        <f t="shared" si="258"/>
        <v>#DIV/0!</v>
      </c>
    </row>
    <row r="52" spans="2:68" x14ac:dyDescent="0.25">
      <c r="B52" s="344" t="str">
        <f>IF($G$2&gt;0,CONCATENATE($A$3,G17,$A$4,H17),0)</f>
        <v>228,54641079,02297919688</v>
      </c>
      <c r="D52" s="308">
        <v>36</v>
      </c>
      <c r="E52" s="315">
        <f t="shared" si="259"/>
        <v>161.48159999999999</v>
      </c>
      <c r="F52" s="316">
        <f t="shared" si="260"/>
        <v>556.69572208827117</v>
      </c>
      <c r="G52" s="315">
        <f t="shared" si="259"/>
        <v>377.87040000000002</v>
      </c>
      <c r="H52" s="316">
        <f t="shared" si="260"/>
        <v>652.41201857742112</v>
      </c>
      <c r="I52" s="315">
        <f t="shared" si="259"/>
        <v>592.36400000000003</v>
      </c>
      <c r="J52" s="316">
        <f t="shared" ref="J52:AH52" si="302">10*I$4*COSH((I$7+$D52*I$9)/I$4)+(I$11-10*I$4*COSH(I$7/I$4))</f>
        <v>644.39750589050277</v>
      </c>
      <c r="K52" s="315">
        <f t="shared" si="300"/>
        <v>791.798</v>
      </c>
      <c r="L52" s="316">
        <f t="shared" si="302"/>
        <v>743.79484270855596</v>
      </c>
      <c r="M52" s="315">
        <f t="shared" si="300"/>
        <v>991.23879999999997</v>
      </c>
      <c r="N52" s="316">
        <f t="shared" si="302"/>
        <v>706.7589152714695</v>
      </c>
      <c r="O52" s="315">
        <f t="shared" si="300"/>
        <v>1198.3496</v>
      </c>
      <c r="P52" s="316">
        <f t="shared" si="302"/>
        <v>672.39514411727964</v>
      </c>
      <c r="Q52" s="315">
        <f t="shared" si="300"/>
        <v>1407.904</v>
      </c>
      <c r="R52" s="316">
        <f t="shared" si="302"/>
        <v>669.91435467897418</v>
      </c>
      <c r="S52" s="315">
        <f t="shared" si="300"/>
        <v>1616.9056</v>
      </c>
      <c r="T52" s="316">
        <f t="shared" si="302"/>
        <v>674.53525863986033</v>
      </c>
      <c r="U52" s="315" t="e">
        <f t="shared" si="300"/>
        <v>#DIV/0!</v>
      </c>
      <c r="V52" s="316" t="e">
        <f t="shared" si="302"/>
        <v>#DIV/0!</v>
      </c>
      <c r="W52" s="315" t="e">
        <f t="shared" si="300"/>
        <v>#DIV/0!</v>
      </c>
      <c r="X52" s="316" t="e">
        <f t="shared" si="302"/>
        <v>#DIV/0!</v>
      </c>
      <c r="Y52" s="315" t="e">
        <f t="shared" si="300"/>
        <v>#DIV/0!</v>
      </c>
      <c r="Z52" s="316" t="e">
        <f t="shared" si="302"/>
        <v>#DIV/0!</v>
      </c>
      <c r="AA52" s="315" t="e">
        <f t="shared" si="300"/>
        <v>#DIV/0!</v>
      </c>
      <c r="AB52" s="316" t="e">
        <f t="shared" si="302"/>
        <v>#DIV/0!</v>
      </c>
      <c r="AC52" s="315" t="e">
        <f t="shared" si="300"/>
        <v>#DIV/0!</v>
      </c>
      <c r="AD52" s="316" t="e">
        <f t="shared" si="302"/>
        <v>#DIV/0!</v>
      </c>
      <c r="AE52" s="315" t="e">
        <f t="shared" si="300"/>
        <v>#DIV/0!</v>
      </c>
      <c r="AF52" s="316" t="e">
        <f t="shared" si="302"/>
        <v>#DIV/0!</v>
      </c>
      <c r="AG52" s="315" t="e">
        <f t="shared" si="300"/>
        <v>#DIV/0!</v>
      </c>
      <c r="AH52" s="316" t="e">
        <f t="shared" si="302"/>
        <v>#DIV/0!</v>
      </c>
      <c r="AI52" s="315" t="e">
        <f t="shared" si="300"/>
        <v>#DIV/0!</v>
      </c>
      <c r="AJ52" s="316" t="e">
        <f t="shared" si="242"/>
        <v>#DIV/0!</v>
      </c>
      <c r="AK52" s="315" t="e">
        <f t="shared" si="300"/>
        <v>#DIV/0!</v>
      </c>
      <c r="AL52" s="316" t="e">
        <f t="shared" si="243"/>
        <v>#DIV/0!</v>
      </c>
      <c r="AM52" s="315" t="e">
        <f t="shared" si="300"/>
        <v>#DIV/0!</v>
      </c>
      <c r="AN52" s="316" t="e">
        <f t="shared" si="244"/>
        <v>#DIV/0!</v>
      </c>
      <c r="AO52" s="315" t="e">
        <f t="shared" si="300"/>
        <v>#DIV/0!</v>
      </c>
      <c r="AP52" s="316" t="e">
        <f t="shared" si="245"/>
        <v>#DIV/0!</v>
      </c>
      <c r="AQ52" s="315" t="e">
        <f t="shared" si="298"/>
        <v>#DIV/0!</v>
      </c>
      <c r="AR52" s="316" t="e">
        <f t="shared" si="246"/>
        <v>#DIV/0!</v>
      </c>
      <c r="AS52" s="315" t="e">
        <f t="shared" si="298"/>
        <v>#DIV/0!</v>
      </c>
      <c r="AT52" s="316" t="e">
        <f t="shared" si="247"/>
        <v>#DIV/0!</v>
      </c>
      <c r="AU52" s="315" t="e">
        <f t="shared" si="298"/>
        <v>#DIV/0!</v>
      </c>
      <c r="AV52" s="316" t="e">
        <f t="shared" si="248"/>
        <v>#DIV/0!</v>
      </c>
      <c r="AW52" s="315" t="e">
        <f t="shared" si="298"/>
        <v>#DIV/0!</v>
      </c>
      <c r="AX52" s="316" t="e">
        <f t="shared" si="249"/>
        <v>#DIV/0!</v>
      </c>
      <c r="AY52" s="315" t="e">
        <f t="shared" si="298"/>
        <v>#DIV/0!</v>
      </c>
      <c r="AZ52" s="316" t="e">
        <f t="shared" si="250"/>
        <v>#DIV/0!</v>
      </c>
      <c r="BA52" s="315" t="e">
        <f t="shared" si="298"/>
        <v>#DIV/0!</v>
      </c>
      <c r="BB52" s="316" t="e">
        <f t="shared" si="251"/>
        <v>#DIV/0!</v>
      </c>
      <c r="BC52" s="315" t="e">
        <f t="shared" si="298"/>
        <v>#DIV/0!</v>
      </c>
      <c r="BD52" s="316" t="e">
        <f t="shared" si="252"/>
        <v>#DIV/0!</v>
      </c>
      <c r="BE52" s="315" t="e">
        <f t="shared" si="298"/>
        <v>#DIV/0!</v>
      </c>
      <c r="BF52" s="316" t="e">
        <f t="shared" si="253"/>
        <v>#DIV/0!</v>
      </c>
      <c r="BG52" s="315" t="e">
        <f t="shared" si="298"/>
        <v>#DIV/0!</v>
      </c>
      <c r="BH52" s="316" t="e">
        <f t="shared" si="254"/>
        <v>#DIV/0!</v>
      </c>
      <c r="BI52" s="315" t="e">
        <f t="shared" si="298"/>
        <v>#DIV/0!</v>
      </c>
      <c r="BJ52" s="316" t="e">
        <f t="shared" si="255"/>
        <v>#DIV/0!</v>
      </c>
      <c r="BK52" s="315" t="e">
        <f t="shared" si="298"/>
        <v>#DIV/0!</v>
      </c>
      <c r="BL52" s="316" t="e">
        <f t="shared" si="256"/>
        <v>#DIV/0!</v>
      </c>
      <c r="BM52" s="315" t="e">
        <f t="shared" si="298"/>
        <v>#DIV/0!</v>
      </c>
      <c r="BN52" s="316" t="e">
        <f t="shared" si="257"/>
        <v>#DIV/0!</v>
      </c>
      <c r="BO52" s="315" t="e">
        <f t="shared" si="298"/>
        <v>#DIV/0!</v>
      </c>
      <c r="BP52" s="316" t="e">
        <f t="shared" si="258"/>
        <v>#DIV/0!</v>
      </c>
    </row>
    <row r="53" spans="2:68" x14ac:dyDescent="0.25">
      <c r="B53" s="344" t="str">
        <f t="shared" ref="B53:B101" si="303">IF($G$2&gt;0,CONCATENATE($A$3,G18,$A$4,H18),0)</f>
        <v>232,81281032,61130059975</v>
      </c>
      <c r="D53" s="308">
        <v>37</v>
      </c>
      <c r="E53" s="315">
        <f t="shared" si="259"/>
        <v>165.96719999999999</v>
      </c>
      <c r="F53" s="316">
        <f t="shared" si="260"/>
        <v>581.72463030408994</v>
      </c>
      <c r="G53" s="315">
        <f t="shared" si="259"/>
        <v>382.13679999999999</v>
      </c>
      <c r="H53" s="316">
        <f t="shared" si="260"/>
        <v>672.78674981372274</v>
      </c>
      <c r="I53" s="315">
        <f t="shared" si="259"/>
        <v>596.66300000000001</v>
      </c>
      <c r="J53" s="316">
        <f t="shared" ref="J53:AH53" si="304">10*I$4*COSH((I$7+$D53*I$9)/I$4)+(I$11-10*I$4*COSH(I$7/I$4))</f>
        <v>665.09590646872903</v>
      </c>
      <c r="K53" s="315">
        <f t="shared" si="300"/>
        <v>795.66600000000005</v>
      </c>
      <c r="L53" s="316">
        <f t="shared" si="304"/>
        <v>760.43786302400736</v>
      </c>
      <c r="M53" s="315">
        <f t="shared" si="300"/>
        <v>995.27459999999996</v>
      </c>
      <c r="N53" s="316">
        <f t="shared" si="304"/>
        <v>724.92361205477255</v>
      </c>
      <c r="O53" s="315">
        <f t="shared" si="300"/>
        <v>1202.5331999999999</v>
      </c>
      <c r="P53" s="316">
        <f t="shared" si="304"/>
        <v>691.96036003361041</v>
      </c>
      <c r="Q53" s="315">
        <f t="shared" si="300"/>
        <v>1412.098</v>
      </c>
      <c r="R53" s="316">
        <f t="shared" si="304"/>
        <v>689.58026166977538</v>
      </c>
      <c r="S53" s="315">
        <f t="shared" si="300"/>
        <v>1621.0802000000001</v>
      </c>
      <c r="T53" s="316">
        <f t="shared" si="304"/>
        <v>694.01356636326796</v>
      </c>
      <c r="U53" s="315" t="e">
        <f t="shared" si="300"/>
        <v>#DIV/0!</v>
      </c>
      <c r="V53" s="316" t="e">
        <f t="shared" si="304"/>
        <v>#DIV/0!</v>
      </c>
      <c r="W53" s="315" t="e">
        <f t="shared" si="300"/>
        <v>#DIV/0!</v>
      </c>
      <c r="X53" s="316" t="e">
        <f t="shared" si="304"/>
        <v>#DIV/0!</v>
      </c>
      <c r="Y53" s="315" t="e">
        <f t="shared" si="300"/>
        <v>#DIV/0!</v>
      </c>
      <c r="Z53" s="316" t="e">
        <f t="shared" si="304"/>
        <v>#DIV/0!</v>
      </c>
      <c r="AA53" s="315" t="e">
        <f t="shared" si="300"/>
        <v>#DIV/0!</v>
      </c>
      <c r="AB53" s="316" t="e">
        <f t="shared" si="304"/>
        <v>#DIV/0!</v>
      </c>
      <c r="AC53" s="315" t="e">
        <f t="shared" si="300"/>
        <v>#DIV/0!</v>
      </c>
      <c r="AD53" s="316" t="e">
        <f t="shared" si="304"/>
        <v>#DIV/0!</v>
      </c>
      <c r="AE53" s="315" t="e">
        <f t="shared" si="300"/>
        <v>#DIV/0!</v>
      </c>
      <c r="AF53" s="316" t="e">
        <f t="shared" si="304"/>
        <v>#DIV/0!</v>
      </c>
      <c r="AG53" s="315" t="e">
        <f t="shared" si="300"/>
        <v>#DIV/0!</v>
      </c>
      <c r="AH53" s="316" t="e">
        <f t="shared" si="304"/>
        <v>#DIV/0!</v>
      </c>
      <c r="AI53" s="315" t="e">
        <f t="shared" si="300"/>
        <v>#DIV/0!</v>
      </c>
      <c r="AJ53" s="316" t="e">
        <f t="shared" si="242"/>
        <v>#DIV/0!</v>
      </c>
      <c r="AK53" s="315" t="e">
        <f t="shared" si="300"/>
        <v>#DIV/0!</v>
      </c>
      <c r="AL53" s="316" t="e">
        <f t="shared" si="243"/>
        <v>#DIV/0!</v>
      </c>
      <c r="AM53" s="315" t="e">
        <f t="shared" si="300"/>
        <v>#DIV/0!</v>
      </c>
      <c r="AN53" s="316" t="e">
        <f t="shared" si="244"/>
        <v>#DIV/0!</v>
      </c>
      <c r="AO53" s="315" t="e">
        <f t="shared" si="300"/>
        <v>#DIV/0!</v>
      </c>
      <c r="AP53" s="316" t="e">
        <f t="shared" si="245"/>
        <v>#DIV/0!</v>
      </c>
      <c r="AQ53" s="315" t="e">
        <f t="shared" si="298"/>
        <v>#DIV/0!</v>
      </c>
      <c r="AR53" s="316" t="e">
        <f t="shared" si="246"/>
        <v>#DIV/0!</v>
      </c>
      <c r="AS53" s="315" t="e">
        <f t="shared" si="298"/>
        <v>#DIV/0!</v>
      </c>
      <c r="AT53" s="316" t="e">
        <f t="shared" si="247"/>
        <v>#DIV/0!</v>
      </c>
      <c r="AU53" s="315" t="e">
        <f t="shared" si="298"/>
        <v>#DIV/0!</v>
      </c>
      <c r="AV53" s="316" t="e">
        <f t="shared" si="248"/>
        <v>#DIV/0!</v>
      </c>
      <c r="AW53" s="315" t="e">
        <f t="shared" si="298"/>
        <v>#DIV/0!</v>
      </c>
      <c r="AX53" s="316" t="e">
        <f t="shared" si="249"/>
        <v>#DIV/0!</v>
      </c>
      <c r="AY53" s="315" t="e">
        <f t="shared" si="298"/>
        <v>#DIV/0!</v>
      </c>
      <c r="AZ53" s="316" t="e">
        <f t="shared" si="250"/>
        <v>#DIV/0!</v>
      </c>
      <c r="BA53" s="315" t="e">
        <f t="shared" si="298"/>
        <v>#DIV/0!</v>
      </c>
      <c r="BB53" s="316" t="e">
        <f t="shared" si="251"/>
        <v>#DIV/0!</v>
      </c>
      <c r="BC53" s="315" t="e">
        <f t="shared" si="298"/>
        <v>#DIV/0!</v>
      </c>
      <c r="BD53" s="316" t="e">
        <f t="shared" si="252"/>
        <v>#DIV/0!</v>
      </c>
      <c r="BE53" s="315" t="e">
        <f t="shared" si="298"/>
        <v>#DIV/0!</v>
      </c>
      <c r="BF53" s="316" t="e">
        <f t="shared" si="253"/>
        <v>#DIV/0!</v>
      </c>
      <c r="BG53" s="315" t="e">
        <f t="shared" si="298"/>
        <v>#DIV/0!</v>
      </c>
      <c r="BH53" s="316" t="e">
        <f t="shared" si="254"/>
        <v>#DIV/0!</v>
      </c>
      <c r="BI53" s="315" t="e">
        <f t="shared" si="298"/>
        <v>#DIV/0!</v>
      </c>
      <c r="BJ53" s="316" t="e">
        <f t="shared" si="255"/>
        <v>#DIV/0!</v>
      </c>
      <c r="BK53" s="315" t="e">
        <f t="shared" si="298"/>
        <v>#DIV/0!</v>
      </c>
      <c r="BL53" s="316" t="e">
        <f t="shared" si="256"/>
        <v>#DIV/0!</v>
      </c>
      <c r="BM53" s="315" t="e">
        <f t="shared" si="298"/>
        <v>#DIV/0!</v>
      </c>
      <c r="BN53" s="316" t="e">
        <f t="shared" si="257"/>
        <v>#DIV/0!</v>
      </c>
      <c r="BO53" s="315" t="e">
        <f t="shared" si="298"/>
        <v>#DIV/0!</v>
      </c>
      <c r="BP53" s="316" t="e">
        <f t="shared" si="258"/>
        <v>#DIV/0!</v>
      </c>
    </row>
    <row r="54" spans="2:68" x14ac:dyDescent="0.25">
      <c r="B54" s="344" t="str">
        <f t="shared" si="303"/>
        <v>237,0792988,690364274602</v>
      </c>
      <c r="D54" s="308">
        <v>38</v>
      </c>
      <c r="E54" s="315">
        <f t="shared" si="259"/>
        <v>170.4528</v>
      </c>
      <c r="F54" s="316">
        <f t="shared" si="260"/>
        <v>608.94157076649299</v>
      </c>
      <c r="G54" s="315">
        <f t="shared" si="259"/>
        <v>386.40319999999997</v>
      </c>
      <c r="H54" s="316">
        <f t="shared" si="260"/>
        <v>695.0738583813195</v>
      </c>
      <c r="I54" s="315">
        <f t="shared" si="259"/>
        <v>600.96199999999999</v>
      </c>
      <c r="J54" s="316">
        <f t="shared" ref="J54:AH54" si="305">10*I$4*COSH((I$7+$D54*I$9)/I$4)+(I$11-10*I$4*COSH(I$7/I$4))</f>
        <v>687.73922969513205</v>
      </c>
      <c r="K54" s="315">
        <f t="shared" si="300"/>
        <v>799.53399999999999</v>
      </c>
      <c r="L54" s="316">
        <f t="shared" si="305"/>
        <v>778.62274537920143</v>
      </c>
      <c r="M54" s="315">
        <f t="shared" si="300"/>
        <v>999.31039999999996</v>
      </c>
      <c r="N54" s="316">
        <f t="shared" si="305"/>
        <v>744.78020264745055</v>
      </c>
      <c r="O54" s="315">
        <f t="shared" si="300"/>
        <v>1206.7167999999999</v>
      </c>
      <c r="P54" s="316">
        <f t="shared" si="305"/>
        <v>713.35683945880828</v>
      </c>
      <c r="Q54" s="315">
        <f t="shared" si="300"/>
        <v>1416.2919999999999</v>
      </c>
      <c r="R54" s="316">
        <f t="shared" si="305"/>
        <v>711.08749932929959</v>
      </c>
      <c r="S54" s="315">
        <f t="shared" si="300"/>
        <v>1625.2548000000002</v>
      </c>
      <c r="T54" s="316">
        <f t="shared" si="305"/>
        <v>715.31445352315041</v>
      </c>
      <c r="U54" s="315" t="e">
        <f t="shared" si="300"/>
        <v>#DIV/0!</v>
      </c>
      <c r="V54" s="316" t="e">
        <f t="shared" si="305"/>
        <v>#DIV/0!</v>
      </c>
      <c r="W54" s="315" t="e">
        <f t="shared" si="300"/>
        <v>#DIV/0!</v>
      </c>
      <c r="X54" s="316" t="e">
        <f t="shared" si="305"/>
        <v>#DIV/0!</v>
      </c>
      <c r="Y54" s="315" t="e">
        <f t="shared" si="300"/>
        <v>#DIV/0!</v>
      </c>
      <c r="Z54" s="316" t="e">
        <f t="shared" si="305"/>
        <v>#DIV/0!</v>
      </c>
      <c r="AA54" s="315" t="e">
        <f t="shared" si="300"/>
        <v>#DIV/0!</v>
      </c>
      <c r="AB54" s="316" t="e">
        <f t="shared" si="305"/>
        <v>#DIV/0!</v>
      </c>
      <c r="AC54" s="315" t="e">
        <f t="shared" si="300"/>
        <v>#DIV/0!</v>
      </c>
      <c r="AD54" s="316" t="e">
        <f t="shared" si="305"/>
        <v>#DIV/0!</v>
      </c>
      <c r="AE54" s="315" t="e">
        <f t="shared" si="300"/>
        <v>#DIV/0!</v>
      </c>
      <c r="AF54" s="316" t="e">
        <f t="shared" si="305"/>
        <v>#DIV/0!</v>
      </c>
      <c r="AG54" s="315" t="e">
        <f t="shared" si="300"/>
        <v>#DIV/0!</v>
      </c>
      <c r="AH54" s="316" t="e">
        <f t="shared" si="305"/>
        <v>#DIV/0!</v>
      </c>
      <c r="AI54" s="315" t="e">
        <f t="shared" si="300"/>
        <v>#DIV/0!</v>
      </c>
      <c r="AJ54" s="316" t="e">
        <f t="shared" si="242"/>
        <v>#DIV/0!</v>
      </c>
      <c r="AK54" s="315" t="e">
        <f t="shared" si="300"/>
        <v>#DIV/0!</v>
      </c>
      <c r="AL54" s="316" t="e">
        <f t="shared" si="243"/>
        <v>#DIV/0!</v>
      </c>
      <c r="AM54" s="315" t="e">
        <f t="shared" si="300"/>
        <v>#DIV/0!</v>
      </c>
      <c r="AN54" s="316" t="e">
        <f t="shared" si="244"/>
        <v>#DIV/0!</v>
      </c>
      <c r="AO54" s="315" t="e">
        <f t="shared" si="300"/>
        <v>#DIV/0!</v>
      </c>
      <c r="AP54" s="316" t="e">
        <f t="shared" si="245"/>
        <v>#DIV/0!</v>
      </c>
      <c r="AQ54" s="315" t="e">
        <f t="shared" si="298"/>
        <v>#DIV/0!</v>
      </c>
      <c r="AR54" s="316" t="e">
        <f t="shared" si="246"/>
        <v>#DIV/0!</v>
      </c>
      <c r="AS54" s="315" t="e">
        <f t="shared" si="298"/>
        <v>#DIV/0!</v>
      </c>
      <c r="AT54" s="316" t="e">
        <f t="shared" si="247"/>
        <v>#DIV/0!</v>
      </c>
      <c r="AU54" s="315" t="e">
        <f t="shared" si="298"/>
        <v>#DIV/0!</v>
      </c>
      <c r="AV54" s="316" t="e">
        <f t="shared" si="248"/>
        <v>#DIV/0!</v>
      </c>
      <c r="AW54" s="315" t="e">
        <f t="shared" si="298"/>
        <v>#DIV/0!</v>
      </c>
      <c r="AX54" s="316" t="e">
        <f t="shared" si="249"/>
        <v>#DIV/0!</v>
      </c>
      <c r="AY54" s="315" t="e">
        <f t="shared" si="298"/>
        <v>#DIV/0!</v>
      </c>
      <c r="AZ54" s="316" t="e">
        <f t="shared" si="250"/>
        <v>#DIV/0!</v>
      </c>
      <c r="BA54" s="315" t="e">
        <f t="shared" si="298"/>
        <v>#DIV/0!</v>
      </c>
      <c r="BB54" s="316" t="e">
        <f t="shared" si="251"/>
        <v>#DIV/0!</v>
      </c>
      <c r="BC54" s="315" t="e">
        <f t="shared" si="298"/>
        <v>#DIV/0!</v>
      </c>
      <c r="BD54" s="316" t="e">
        <f t="shared" si="252"/>
        <v>#DIV/0!</v>
      </c>
      <c r="BE54" s="315" t="e">
        <f t="shared" si="298"/>
        <v>#DIV/0!</v>
      </c>
      <c r="BF54" s="316" t="e">
        <f t="shared" si="253"/>
        <v>#DIV/0!</v>
      </c>
      <c r="BG54" s="315" t="e">
        <f t="shared" si="298"/>
        <v>#DIV/0!</v>
      </c>
      <c r="BH54" s="316" t="e">
        <f t="shared" si="254"/>
        <v>#DIV/0!</v>
      </c>
      <c r="BI54" s="315" t="e">
        <f t="shared" si="298"/>
        <v>#DIV/0!</v>
      </c>
      <c r="BJ54" s="316" t="e">
        <f t="shared" si="255"/>
        <v>#DIV/0!</v>
      </c>
      <c r="BK54" s="315" t="e">
        <f t="shared" si="298"/>
        <v>#DIV/0!</v>
      </c>
      <c r="BL54" s="316" t="e">
        <f t="shared" si="256"/>
        <v>#DIV/0!</v>
      </c>
      <c r="BM54" s="315" t="e">
        <f t="shared" si="298"/>
        <v>#DIV/0!</v>
      </c>
      <c r="BN54" s="316" t="e">
        <f t="shared" si="257"/>
        <v>#DIV/0!</v>
      </c>
      <c r="BO54" s="315" t="e">
        <f t="shared" si="298"/>
        <v>#DIV/0!</v>
      </c>
      <c r="BP54" s="316" t="e">
        <f t="shared" si="258"/>
        <v>#DIV/0!</v>
      </c>
    </row>
    <row r="55" spans="2:68" x14ac:dyDescent="0.25">
      <c r="B55" s="344" t="str">
        <f t="shared" si="303"/>
        <v>241,3456947,189573788608</v>
      </c>
      <c r="D55" s="308">
        <v>39</v>
      </c>
      <c r="E55" s="315">
        <f t="shared" si="259"/>
        <v>174.9384</v>
      </c>
      <c r="F55" s="316">
        <f t="shared" si="260"/>
        <v>638.39490216745435</v>
      </c>
      <c r="G55" s="315">
        <f t="shared" si="259"/>
        <v>390.6696</v>
      </c>
      <c r="H55" s="316">
        <f t="shared" si="260"/>
        <v>719.30916752294684</v>
      </c>
      <c r="I55" s="315">
        <f t="shared" si="259"/>
        <v>605.26099999999997</v>
      </c>
      <c r="J55" s="316">
        <f t="shared" ref="J55:AH55" si="306">10*I$4*COSH((I$7+$D55*I$9)/I$4)+(I$11-10*I$4*COSH(I$7/I$4))</f>
        <v>712.3644297841247</v>
      </c>
      <c r="K55" s="315">
        <f t="shared" si="300"/>
        <v>803.40200000000004</v>
      </c>
      <c r="L55" s="316">
        <f t="shared" si="306"/>
        <v>798.37351464694029</v>
      </c>
      <c r="M55" s="315">
        <f t="shared" si="300"/>
        <v>1003.3462</v>
      </c>
      <c r="N55" s="316">
        <f t="shared" si="306"/>
        <v>766.3572462379293</v>
      </c>
      <c r="O55" s="315">
        <f t="shared" si="300"/>
        <v>1210.9004</v>
      </c>
      <c r="P55" s="316">
        <f t="shared" si="306"/>
        <v>736.61765195307839</v>
      </c>
      <c r="Q55" s="315">
        <f t="shared" si="300"/>
        <v>1420.4859999999999</v>
      </c>
      <c r="R55" s="316">
        <f t="shared" si="306"/>
        <v>734.46947389432285</v>
      </c>
      <c r="S55" s="315">
        <f t="shared" si="300"/>
        <v>1629.4294000000002</v>
      </c>
      <c r="T55" s="316">
        <f t="shared" si="306"/>
        <v>738.47070042367341</v>
      </c>
      <c r="U55" s="315" t="e">
        <f t="shared" si="300"/>
        <v>#DIV/0!</v>
      </c>
      <c r="V55" s="316" t="e">
        <f t="shared" si="306"/>
        <v>#DIV/0!</v>
      </c>
      <c r="W55" s="315" t="e">
        <f t="shared" si="300"/>
        <v>#DIV/0!</v>
      </c>
      <c r="X55" s="316" t="e">
        <f t="shared" si="306"/>
        <v>#DIV/0!</v>
      </c>
      <c r="Y55" s="315" t="e">
        <f t="shared" si="300"/>
        <v>#DIV/0!</v>
      </c>
      <c r="Z55" s="316" t="e">
        <f t="shared" si="306"/>
        <v>#DIV/0!</v>
      </c>
      <c r="AA55" s="315" t="e">
        <f t="shared" si="300"/>
        <v>#DIV/0!</v>
      </c>
      <c r="AB55" s="316" t="e">
        <f t="shared" si="306"/>
        <v>#DIV/0!</v>
      </c>
      <c r="AC55" s="315" t="e">
        <f t="shared" si="300"/>
        <v>#DIV/0!</v>
      </c>
      <c r="AD55" s="316" t="e">
        <f t="shared" si="306"/>
        <v>#DIV/0!</v>
      </c>
      <c r="AE55" s="315" t="e">
        <f t="shared" si="300"/>
        <v>#DIV/0!</v>
      </c>
      <c r="AF55" s="316" t="e">
        <f t="shared" si="306"/>
        <v>#DIV/0!</v>
      </c>
      <c r="AG55" s="315" t="e">
        <f t="shared" si="300"/>
        <v>#DIV/0!</v>
      </c>
      <c r="AH55" s="316" t="e">
        <f t="shared" si="306"/>
        <v>#DIV/0!</v>
      </c>
      <c r="AI55" s="315" t="e">
        <f t="shared" si="300"/>
        <v>#DIV/0!</v>
      </c>
      <c r="AJ55" s="316" t="e">
        <f t="shared" si="242"/>
        <v>#DIV/0!</v>
      </c>
      <c r="AK55" s="315" t="e">
        <f t="shared" si="300"/>
        <v>#DIV/0!</v>
      </c>
      <c r="AL55" s="316" t="e">
        <f t="shared" si="243"/>
        <v>#DIV/0!</v>
      </c>
      <c r="AM55" s="315" t="e">
        <f t="shared" si="300"/>
        <v>#DIV/0!</v>
      </c>
      <c r="AN55" s="316" t="e">
        <f t="shared" si="244"/>
        <v>#DIV/0!</v>
      </c>
      <c r="AO55" s="315" t="e">
        <f t="shared" si="300"/>
        <v>#DIV/0!</v>
      </c>
      <c r="AP55" s="316" t="e">
        <f t="shared" si="245"/>
        <v>#DIV/0!</v>
      </c>
      <c r="AQ55" s="315" t="e">
        <f t="shared" si="298"/>
        <v>#DIV/0!</v>
      </c>
      <c r="AR55" s="316" t="e">
        <f t="shared" si="246"/>
        <v>#DIV/0!</v>
      </c>
      <c r="AS55" s="315" t="e">
        <f t="shared" si="298"/>
        <v>#DIV/0!</v>
      </c>
      <c r="AT55" s="316" t="e">
        <f t="shared" si="247"/>
        <v>#DIV/0!</v>
      </c>
      <c r="AU55" s="315" t="e">
        <f t="shared" si="298"/>
        <v>#DIV/0!</v>
      </c>
      <c r="AV55" s="316" t="e">
        <f t="shared" si="248"/>
        <v>#DIV/0!</v>
      </c>
      <c r="AW55" s="315" t="e">
        <f t="shared" si="298"/>
        <v>#DIV/0!</v>
      </c>
      <c r="AX55" s="316" t="e">
        <f t="shared" si="249"/>
        <v>#DIV/0!</v>
      </c>
      <c r="AY55" s="315" t="e">
        <f t="shared" si="298"/>
        <v>#DIV/0!</v>
      </c>
      <c r="AZ55" s="316" t="e">
        <f t="shared" si="250"/>
        <v>#DIV/0!</v>
      </c>
      <c r="BA55" s="315" t="e">
        <f t="shared" si="298"/>
        <v>#DIV/0!</v>
      </c>
      <c r="BB55" s="316" t="e">
        <f t="shared" si="251"/>
        <v>#DIV/0!</v>
      </c>
      <c r="BC55" s="315" t="e">
        <f t="shared" si="298"/>
        <v>#DIV/0!</v>
      </c>
      <c r="BD55" s="316" t="e">
        <f t="shared" si="252"/>
        <v>#DIV/0!</v>
      </c>
      <c r="BE55" s="315" t="e">
        <f t="shared" si="298"/>
        <v>#DIV/0!</v>
      </c>
      <c r="BF55" s="316" t="e">
        <f t="shared" si="253"/>
        <v>#DIV/0!</v>
      </c>
      <c r="BG55" s="315" t="e">
        <f t="shared" si="298"/>
        <v>#DIV/0!</v>
      </c>
      <c r="BH55" s="316" t="e">
        <f t="shared" si="254"/>
        <v>#DIV/0!</v>
      </c>
      <c r="BI55" s="315" t="e">
        <f t="shared" si="298"/>
        <v>#DIV/0!</v>
      </c>
      <c r="BJ55" s="316" t="e">
        <f t="shared" si="255"/>
        <v>#DIV/0!</v>
      </c>
      <c r="BK55" s="315" t="e">
        <f t="shared" si="298"/>
        <v>#DIV/0!</v>
      </c>
      <c r="BL55" s="316" t="e">
        <f t="shared" si="256"/>
        <v>#DIV/0!</v>
      </c>
      <c r="BM55" s="315" t="e">
        <f t="shared" si="298"/>
        <v>#DIV/0!</v>
      </c>
      <c r="BN55" s="316" t="e">
        <f t="shared" si="257"/>
        <v>#DIV/0!</v>
      </c>
      <c r="BO55" s="315" t="e">
        <f t="shared" si="298"/>
        <v>#DIV/0!</v>
      </c>
      <c r="BP55" s="316" t="e">
        <f t="shared" si="258"/>
        <v>#DIV/0!</v>
      </c>
    </row>
    <row r="56" spans="2:68" x14ac:dyDescent="0.25">
      <c r="B56" s="344" t="str">
        <f t="shared" si="303"/>
        <v>245,612908,042222736725</v>
      </c>
      <c r="D56" s="308">
        <v>40</v>
      </c>
      <c r="E56" s="315">
        <f t="shared" si="259"/>
        <v>179.42399999999998</v>
      </c>
      <c r="F56" s="316">
        <f t="shared" si="260"/>
        <v>670.13695678814247</v>
      </c>
      <c r="G56" s="315">
        <f t="shared" si="259"/>
        <v>394.93600000000004</v>
      </c>
      <c r="H56" s="316">
        <f t="shared" si="260"/>
        <v>745.53163192667012</v>
      </c>
      <c r="I56" s="315">
        <f t="shared" si="259"/>
        <v>609.56000000000006</v>
      </c>
      <c r="J56" s="316">
        <f t="shared" ref="J56:AH56" si="307">10*I$4*COSH((I$7+$D56*I$9)/I$4)+(I$11-10*I$4*COSH(I$7/I$4))</f>
        <v>739.01169540037154</v>
      </c>
      <c r="K56" s="315">
        <f t="shared" si="300"/>
        <v>807.27</v>
      </c>
      <c r="L56" s="316">
        <f t="shared" si="307"/>
        <v>819.71626446424284</v>
      </c>
      <c r="M56" s="315">
        <f t="shared" si="300"/>
        <v>1007.3819999999999</v>
      </c>
      <c r="N56" s="316">
        <f t="shared" si="307"/>
        <v>789.68577649488998</v>
      </c>
      <c r="O56" s="315">
        <f t="shared" si="300"/>
        <v>1215.0839999999998</v>
      </c>
      <c r="P56" s="316">
        <f t="shared" si="307"/>
        <v>761.77874851676597</v>
      </c>
      <c r="Q56" s="315">
        <f t="shared" si="300"/>
        <v>1424.68</v>
      </c>
      <c r="R56" s="316">
        <f t="shared" si="307"/>
        <v>759.76250354716899</v>
      </c>
      <c r="S56" s="315">
        <f t="shared" si="300"/>
        <v>1633.604</v>
      </c>
      <c r="T56" s="316">
        <f t="shared" si="307"/>
        <v>763.51794261424175</v>
      </c>
      <c r="U56" s="315" t="e">
        <f t="shared" si="300"/>
        <v>#DIV/0!</v>
      </c>
      <c r="V56" s="316" t="e">
        <f t="shared" si="307"/>
        <v>#DIV/0!</v>
      </c>
      <c r="W56" s="315" t="e">
        <f t="shared" si="300"/>
        <v>#DIV/0!</v>
      </c>
      <c r="X56" s="316" t="e">
        <f t="shared" si="307"/>
        <v>#DIV/0!</v>
      </c>
      <c r="Y56" s="315" t="e">
        <f t="shared" si="300"/>
        <v>#DIV/0!</v>
      </c>
      <c r="Z56" s="316" t="e">
        <f t="shared" si="307"/>
        <v>#DIV/0!</v>
      </c>
      <c r="AA56" s="315" t="e">
        <f t="shared" si="300"/>
        <v>#DIV/0!</v>
      </c>
      <c r="AB56" s="316" t="e">
        <f t="shared" si="307"/>
        <v>#DIV/0!</v>
      </c>
      <c r="AC56" s="315" t="e">
        <f t="shared" si="300"/>
        <v>#DIV/0!</v>
      </c>
      <c r="AD56" s="316" t="e">
        <f t="shared" si="307"/>
        <v>#DIV/0!</v>
      </c>
      <c r="AE56" s="315" t="e">
        <f t="shared" si="300"/>
        <v>#DIV/0!</v>
      </c>
      <c r="AF56" s="316" t="e">
        <f t="shared" si="307"/>
        <v>#DIV/0!</v>
      </c>
      <c r="AG56" s="315" t="e">
        <f t="shared" si="300"/>
        <v>#DIV/0!</v>
      </c>
      <c r="AH56" s="316" t="e">
        <f t="shared" si="307"/>
        <v>#DIV/0!</v>
      </c>
      <c r="AI56" s="315" t="e">
        <f t="shared" si="300"/>
        <v>#DIV/0!</v>
      </c>
      <c r="AJ56" s="316" t="e">
        <f t="shared" si="242"/>
        <v>#DIV/0!</v>
      </c>
      <c r="AK56" s="315" t="e">
        <f t="shared" si="300"/>
        <v>#DIV/0!</v>
      </c>
      <c r="AL56" s="316" t="e">
        <f t="shared" si="243"/>
        <v>#DIV/0!</v>
      </c>
      <c r="AM56" s="315" t="e">
        <f t="shared" si="300"/>
        <v>#DIV/0!</v>
      </c>
      <c r="AN56" s="316" t="e">
        <f t="shared" si="244"/>
        <v>#DIV/0!</v>
      </c>
      <c r="AO56" s="315" t="e">
        <f t="shared" si="300"/>
        <v>#DIV/0!</v>
      </c>
      <c r="AP56" s="316" t="e">
        <f t="shared" si="245"/>
        <v>#DIV/0!</v>
      </c>
      <c r="AQ56" s="315" t="e">
        <f t="shared" si="298"/>
        <v>#DIV/0!</v>
      </c>
      <c r="AR56" s="316" t="e">
        <f t="shared" si="246"/>
        <v>#DIV/0!</v>
      </c>
      <c r="AS56" s="315" t="e">
        <f t="shared" si="298"/>
        <v>#DIV/0!</v>
      </c>
      <c r="AT56" s="316" t="e">
        <f t="shared" si="247"/>
        <v>#DIV/0!</v>
      </c>
      <c r="AU56" s="315" t="e">
        <f t="shared" si="298"/>
        <v>#DIV/0!</v>
      </c>
      <c r="AV56" s="316" t="e">
        <f t="shared" si="248"/>
        <v>#DIV/0!</v>
      </c>
      <c r="AW56" s="315" t="e">
        <f t="shared" si="298"/>
        <v>#DIV/0!</v>
      </c>
      <c r="AX56" s="316" t="e">
        <f t="shared" si="249"/>
        <v>#DIV/0!</v>
      </c>
      <c r="AY56" s="315" t="e">
        <f t="shared" si="298"/>
        <v>#DIV/0!</v>
      </c>
      <c r="AZ56" s="316" t="e">
        <f t="shared" si="250"/>
        <v>#DIV/0!</v>
      </c>
      <c r="BA56" s="315" t="e">
        <f t="shared" si="298"/>
        <v>#DIV/0!</v>
      </c>
      <c r="BB56" s="316" t="e">
        <f t="shared" si="251"/>
        <v>#DIV/0!</v>
      </c>
      <c r="BC56" s="315" t="e">
        <f t="shared" si="298"/>
        <v>#DIV/0!</v>
      </c>
      <c r="BD56" s="316" t="e">
        <f t="shared" si="252"/>
        <v>#DIV/0!</v>
      </c>
      <c r="BE56" s="315" t="e">
        <f t="shared" si="298"/>
        <v>#DIV/0!</v>
      </c>
      <c r="BF56" s="316" t="e">
        <f t="shared" si="253"/>
        <v>#DIV/0!</v>
      </c>
      <c r="BG56" s="315" t="e">
        <f t="shared" si="298"/>
        <v>#DIV/0!</v>
      </c>
      <c r="BH56" s="316" t="e">
        <f t="shared" si="254"/>
        <v>#DIV/0!</v>
      </c>
      <c r="BI56" s="315" t="e">
        <f t="shared" si="298"/>
        <v>#DIV/0!</v>
      </c>
      <c r="BJ56" s="316" t="e">
        <f t="shared" si="255"/>
        <v>#DIV/0!</v>
      </c>
      <c r="BK56" s="315" t="e">
        <f t="shared" si="298"/>
        <v>#DIV/0!</v>
      </c>
      <c r="BL56" s="316" t="e">
        <f t="shared" si="256"/>
        <v>#DIV/0!</v>
      </c>
      <c r="BM56" s="315" t="e">
        <f t="shared" si="298"/>
        <v>#DIV/0!</v>
      </c>
      <c r="BN56" s="316" t="e">
        <f t="shared" si="257"/>
        <v>#DIV/0!</v>
      </c>
      <c r="BO56" s="315" t="e">
        <f t="shared" si="298"/>
        <v>#DIV/0!</v>
      </c>
      <c r="BP56" s="316" t="e">
        <f t="shared" si="258"/>
        <v>#DIV/0!</v>
      </c>
    </row>
    <row r="57" spans="2:68" x14ac:dyDescent="0.25">
      <c r="B57" s="344" t="str">
        <f t="shared" si="303"/>
        <v>249,8784871,185387520994</v>
      </c>
      <c r="D57" s="308">
        <v>41</v>
      </c>
      <c r="E57" s="315">
        <f t="shared" si="259"/>
        <v>183.90959999999998</v>
      </c>
      <c r="F57" s="316">
        <f t="shared" si="260"/>
        <v>704.22413348221153</v>
      </c>
      <c r="G57" s="315">
        <f t="shared" si="259"/>
        <v>399.20240000000001</v>
      </c>
      <c r="H57" s="316">
        <f t="shared" si="260"/>
        <v>773.78340033980726</v>
      </c>
      <c r="I57" s="315">
        <f t="shared" si="259"/>
        <v>613.85900000000004</v>
      </c>
      <c r="J57" s="316">
        <f t="shared" ref="J57:AH57" si="308">10*I$4*COSH((I$7+$D57*I$9)/I$4)+(I$11-10*I$4*COSH(I$7/I$4))</f>
        <v>767.72451524724329</v>
      </c>
      <c r="K57" s="315">
        <f t="shared" si="300"/>
        <v>811.13800000000003</v>
      </c>
      <c r="L57" s="316">
        <f t="shared" si="308"/>
        <v>842.67919170583036</v>
      </c>
      <c r="M57" s="315">
        <f t="shared" si="300"/>
        <v>1011.4177999999999</v>
      </c>
      <c r="N57" s="316">
        <f t="shared" si="308"/>
        <v>814.79934620213953</v>
      </c>
      <c r="O57" s="315">
        <f t="shared" si="300"/>
        <v>1219.2675999999999</v>
      </c>
      <c r="P57" s="316">
        <f t="shared" si="308"/>
        <v>788.87901715481371</v>
      </c>
      <c r="Q57" s="315">
        <f t="shared" si="300"/>
        <v>1428.874</v>
      </c>
      <c r="R57" s="316">
        <f t="shared" si="308"/>
        <v>787.00587482713013</v>
      </c>
      <c r="S57" s="315">
        <f t="shared" si="300"/>
        <v>1637.7786000000001</v>
      </c>
      <c r="T57" s="316">
        <f t="shared" si="308"/>
        <v>790.4947257296626</v>
      </c>
      <c r="U57" s="315" t="e">
        <f t="shared" si="300"/>
        <v>#DIV/0!</v>
      </c>
      <c r="V57" s="316" t="e">
        <f t="shared" si="308"/>
        <v>#DIV/0!</v>
      </c>
      <c r="W57" s="315" t="e">
        <f t="shared" si="300"/>
        <v>#DIV/0!</v>
      </c>
      <c r="X57" s="316" t="e">
        <f t="shared" si="308"/>
        <v>#DIV/0!</v>
      </c>
      <c r="Y57" s="315" t="e">
        <f t="shared" si="300"/>
        <v>#DIV/0!</v>
      </c>
      <c r="Z57" s="316" t="e">
        <f t="shared" si="308"/>
        <v>#DIV/0!</v>
      </c>
      <c r="AA57" s="315" t="e">
        <f t="shared" si="300"/>
        <v>#DIV/0!</v>
      </c>
      <c r="AB57" s="316" t="e">
        <f t="shared" si="308"/>
        <v>#DIV/0!</v>
      </c>
      <c r="AC57" s="315" t="e">
        <f t="shared" si="300"/>
        <v>#DIV/0!</v>
      </c>
      <c r="AD57" s="316" t="e">
        <f t="shared" si="308"/>
        <v>#DIV/0!</v>
      </c>
      <c r="AE57" s="315" t="e">
        <f t="shared" si="300"/>
        <v>#DIV/0!</v>
      </c>
      <c r="AF57" s="316" t="e">
        <f t="shared" si="308"/>
        <v>#DIV/0!</v>
      </c>
      <c r="AG57" s="315" t="e">
        <f t="shared" si="300"/>
        <v>#DIV/0!</v>
      </c>
      <c r="AH57" s="316" t="e">
        <f t="shared" si="308"/>
        <v>#DIV/0!</v>
      </c>
      <c r="AI57" s="315" t="e">
        <f t="shared" si="300"/>
        <v>#DIV/0!</v>
      </c>
      <c r="AJ57" s="316" t="e">
        <f t="shared" si="242"/>
        <v>#DIV/0!</v>
      </c>
      <c r="AK57" s="315" t="e">
        <f t="shared" si="300"/>
        <v>#DIV/0!</v>
      </c>
      <c r="AL57" s="316" t="e">
        <f t="shared" si="243"/>
        <v>#DIV/0!</v>
      </c>
      <c r="AM57" s="315" t="e">
        <f t="shared" si="300"/>
        <v>#DIV/0!</v>
      </c>
      <c r="AN57" s="316" t="e">
        <f t="shared" si="244"/>
        <v>#DIV/0!</v>
      </c>
      <c r="AO57" s="315" t="e">
        <f t="shared" si="300"/>
        <v>#DIV/0!</v>
      </c>
      <c r="AP57" s="316" t="e">
        <f t="shared" si="245"/>
        <v>#DIV/0!</v>
      </c>
      <c r="AQ57" s="315" t="e">
        <f t="shared" si="298"/>
        <v>#DIV/0!</v>
      </c>
      <c r="AR57" s="316" t="e">
        <f t="shared" si="246"/>
        <v>#DIV/0!</v>
      </c>
      <c r="AS57" s="315" t="e">
        <f t="shared" si="298"/>
        <v>#DIV/0!</v>
      </c>
      <c r="AT57" s="316" t="e">
        <f t="shared" si="247"/>
        <v>#DIV/0!</v>
      </c>
      <c r="AU57" s="315" t="e">
        <f t="shared" si="298"/>
        <v>#DIV/0!</v>
      </c>
      <c r="AV57" s="316" t="e">
        <f t="shared" si="248"/>
        <v>#DIV/0!</v>
      </c>
      <c r="AW57" s="315" t="e">
        <f t="shared" si="298"/>
        <v>#DIV/0!</v>
      </c>
      <c r="AX57" s="316" t="e">
        <f t="shared" si="249"/>
        <v>#DIV/0!</v>
      </c>
      <c r="AY57" s="315" t="e">
        <f t="shared" si="298"/>
        <v>#DIV/0!</v>
      </c>
      <c r="AZ57" s="316" t="e">
        <f t="shared" si="250"/>
        <v>#DIV/0!</v>
      </c>
      <c r="BA57" s="315" t="e">
        <f t="shared" si="298"/>
        <v>#DIV/0!</v>
      </c>
      <c r="BB57" s="316" t="e">
        <f t="shared" si="251"/>
        <v>#DIV/0!</v>
      </c>
      <c r="BC57" s="315" t="e">
        <f t="shared" si="298"/>
        <v>#DIV/0!</v>
      </c>
      <c r="BD57" s="316" t="e">
        <f t="shared" si="252"/>
        <v>#DIV/0!</v>
      </c>
      <c r="BE57" s="315" t="e">
        <f t="shared" si="298"/>
        <v>#DIV/0!</v>
      </c>
      <c r="BF57" s="316" t="e">
        <f t="shared" si="253"/>
        <v>#DIV/0!</v>
      </c>
      <c r="BG57" s="315" t="e">
        <f t="shared" si="298"/>
        <v>#DIV/0!</v>
      </c>
      <c r="BH57" s="316" t="e">
        <f t="shared" si="254"/>
        <v>#DIV/0!</v>
      </c>
      <c r="BI57" s="315" t="e">
        <f t="shared" si="298"/>
        <v>#DIV/0!</v>
      </c>
      <c r="BJ57" s="316" t="e">
        <f t="shared" si="255"/>
        <v>#DIV/0!</v>
      </c>
      <c r="BK57" s="315" t="e">
        <f t="shared" si="298"/>
        <v>#DIV/0!</v>
      </c>
      <c r="BL57" s="316" t="e">
        <f t="shared" si="256"/>
        <v>#DIV/0!</v>
      </c>
      <c r="BM57" s="315" t="e">
        <f t="shared" si="298"/>
        <v>#DIV/0!</v>
      </c>
      <c r="BN57" s="316" t="e">
        <f t="shared" si="257"/>
        <v>#DIV/0!</v>
      </c>
      <c r="BO57" s="315" t="e">
        <f t="shared" si="298"/>
        <v>#DIV/0!</v>
      </c>
      <c r="BP57" s="316" t="e">
        <f t="shared" si="258"/>
        <v>#DIV/0!</v>
      </c>
    </row>
    <row r="58" spans="2:68" x14ac:dyDescent="0.25">
      <c r="B58" s="344" t="str">
        <f t="shared" si="303"/>
        <v>254,1448836,559826210126</v>
      </c>
      <c r="D58" s="308">
        <v>42</v>
      </c>
      <c r="E58" s="315">
        <f t="shared" si="259"/>
        <v>188.39519999999999</v>
      </c>
      <c r="F58" s="316">
        <f t="shared" si="260"/>
        <v>740.71699788451974</v>
      </c>
      <c r="G58" s="315">
        <f t="shared" si="259"/>
        <v>403.46879999999999</v>
      </c>
      <c r="H58" s="316">
        <f t="shared" si="260"/>
        <v>804.10988331682756</v>
      </c>
      <c r="I58" s="315">
        <f t="shared" si="259"/>
        <v>618.15800000000002</v>
      </c>
      <c r="J58" s="316">
        <f t="shared" ref="J58:AH58" si="309">10*I$4*COSH((I$7+$D58*I$9)/I$4)+(I$11-10*I$4*COSH(I$7/I$4))</f>
        <v>798.5497490409748</v>
      </c>
      <c r="K58" s="315">
        <f t="shared" si="300"/>
        <v>815.00599999999997</v>
      </c>
      <c r="L58" s="316">
        <f t="shared" si="309"/>
        <v>867.29263373629965</v>
      </c>
      <c r="M58" s="315">
        <f t="shared" si="300"/>
        <v>1015.4535999999999</v>
      </c>
      <c r="N58" s="316">
        <f t="shared" si="309"/>
        <v>841.73407551665946</v>
      </c>
      <c r="O58" s="315">
        <f t="shared" si="300"/>
        <v>1223.4512</v>
      </c>
      <c r="P58" s="316">
        <f t="shared" si="309"/>
        <v>817.96034298053883</v>
      </c>
      <c r="Q58" s="315">
        <f t="shared" si="300"/>
        <v>1433.068</v>
      </c>
      <c r="R58" s="316">
        <f t="shared" si="309"/>
        <v>816.2419036525007</v>
      </c>
      <c r="S58" s="315">
        <f t="shared" si="300"/>
        <v>1641.9532000000002</v>
      </c>
      <c r="T58" s="316">
        <f t="shared" si="309"/>
        <v>819.44256480869012</v>
      </c>
      <c r="U58" s="315" t="e">
        <f t="shared" si="300"/>
        <v>#DIV/0!</v>
      </c>
      <c r="V58" s="316" t="e">
        <f t="shared" si="309"/>
        <v>#DIV/0!</v>
      </c>
      <c r="W58" s="315" t="e">
        <f t="shared" si="300"/>
        <v>#DIV/0!</v>
      </c>
      <c r="X58" s="316" t="e">
        <f t="shared" si="309"/>
        <v>#DIV/0!</v>
      </c>
      <c r="Y58" s="315" t="e">
        <f t="shared" si="300"/>
        <v>#DIV/0!</v>
      </c>
      <c r="Z58" s="316" t="e">
        <f t="shared" si="309"/>
        <v>#DIV/0!</v>
      </c>
      <c r="AA58" s="315" t="e">
        <f t="shared" si="300"/>
        <v>#DIV/0!</v>
      </c>
      <c r="AB58" s="316" t="e">
        <f t="shared" si="309"/>
        <v>#DIV/0!</v>
      </c>
      <c r="AC58" s="315" t="e">
        <f t="shared" si="300"/>
        <v>#DIV/0!</v>
      </c>
      <c r="AD58" s="316" t="e">
        <f t="shared" si="309"/>
        <v>#DIV/0!</v>
      </c>
      <c r="AE58" s="315" t="e">
        <f t="shared" si="300"/>
        <v>#DIV/0!</v>
      </c>
      <c r="AF58" s="316" t="e">
        <f t="shared" si="309"/>
        <v>#DIV/0!</v>
      </c>
      <c r="AG58" s="315" t="e">
        <f t="shared" si="300"/>
        <v>#DIV/0!</v>
      </c>
      <c r="AH58" s="316" t="e">
        <f t="shared" si="309"/>
        <v>#DIV/0!</v>
      </c>
      <c r="AI58" s="315" t="e">
        <f t="shared" si="300"/>
        <v>#DIV/0!</v>
      </c>
      <c r="AJ58" s="316" t="e">
        <f t="shared" si="242"/>
        <v>#DIV/0!</v>
      </c>
      <c r="AK58" s="315" t="e">
        <f t="shared" si="300"/>
        <v>#DIV/0!</v>
      </c>
      <c r="AL58" s="316" t="e">
        <f t="shared" si="243"/>
        <v>#DIV/0!</v>
      </c>
      <c r="AM58" s="315" t="e">
        <f t="shared" si="300"/>
        <v>#DIV/0!</v>
      </c>
      <c r="AN58" s="316" t="e">
        <f t="shared" si="244"/>
        <v>#DIV/0!</v>
      </c>
      <c r="AO58" s="315" t="e">
        <f t="shared" si="300"/>
        <v>#DIV/0!</v>
      </c>
      <c r="AP58" s="316" t="e">
        <f t="shared" si="245"/>
        <v>#DIV/0!</v>
      </c>
      <c r="AQ58" s="315" t="e">
        <f t="shared" si="298"/>
        <v>#DIV/0!</v>
      </c>
      <c r="AR58" s="316" t="e">
        <f t="shared" si="246"/>
        <v>#DIV/0!</v>
      </c>
      <c r="AS58" s="315" t="e">
        <f t="shared" si="298"/>
        <v>#DIV/0!</v>
      </c>
      <c r="AT58" s="316" t="e">
        <f t="shared" si="247"/>
        <v>#DIV/0!</v>
      </c>
      <c r="AU58" s="315" t="e">
        <f t="shared" si="298"/>
        <v>#DIV/0!</v>
      </c>
      <c r="AV58" s="316" t="e">
        <f t="shared" si="248"/>
        <v>#DIV/0!</v>
      </c>
      <c r="AW58" s="315" t="e">
        <f t="shared" si="298"/>
        <v>#DIV/0!</v>
      </c>
      <c r="AX58" s="316" t="e">
        <f t="shared" si="249"/>
        <v>#DIV/0!</v>
      </c>
      <c r="AY58" s="315" t="e">
        <f t="shared" si="298"/>
        <v>#DIV/0!</v>
      </c>
      <c r="AZ58" s="316" t="e">
        <f t="shared" si="250"/>
        <v>#DIV/0!</v>
      </c>
      <c r="BA58" s="315" t="e">
        <f t="shared" si="298"/>
        <v>#DIV/0!</v>
      </c>
      <c r="BB58" s="316" t="e">
        <f t="shared" si="251"/>
        <v>#DIV/0!</v>
      </c>
      <c r="BC58" s="315" t="e">
        <f t="shared" si="298"/>
        <v>#DIV/0!</v>
      </c>
      <c r="BD58" s="316" t="e">
        <f t="shared" si="252"/>
        <v>#DIV/0!</v>
      </c>
      <c r="BE58" s="315" t="e">
        <f t="shared" si="298"/>
        <v>#DIV/0!</v>
      </c>
      <c r="BF58" s="316" t="e">
        <f t="shared" si="253"/>
        <v>#DIV/0!</v>
      </c>
      <c r="BG58" s="315" t="e">
        <f t="shared" si="298"/>
        <v>#DIV/0!</v>
      </c>
      <c r="BH58" s="316" t="e">
        <f t="shared" si="254"/>
        <v>#DIV/0!</v>
      </c>
      <c r="BI58" s="315" t="e">
        <f t="shared" si="298"/>
        <v>#DIV/0!</v>
      </c>
      <c r="BJ58" s="316" t="e">
        <f t="shared" si="255"/>
        <v>#DIV/0!</v>
      </c>
      <c r="BK58" s="315" t="e">
        <f t="shared" si="298"/>
        <v>#DIV/0!</v>
      </c>
      <c r="BL58" s="316" t="e">
        <f t="shared" si="256"/>
        <v>#DIV/0!</v>
      </c>
      <c r="BM58" s="315" t="e">
        <f t="shared" si="298"/>
        <v>#DIV/0!</v>
      </c>
      <c r="BN58" s="316" t="e">
        <f t="shared" si="257"/>
        <v>#DIV/0!</v>
      </c>
      <c r="BO58" s="315" t="e">
        <f t="shared" si="298"/>
        <v>#DIV/0!</v>
      </c>
      <c r="BP58" s="316" t="e">
        <f t="shared" si="258"/>
        <v>#DIV/0!</v>
      </c>
    </row>
    <row r="59" spans="2:68" x14ac:dyDescent="0.25">
      <c r="B59" s="344" t="str">
        <f t="shared" si="303"/>
        <v>258,4112804,109883316828</v>
      </c>
      <c r="D59" s="308">
        <v>43</v>
      </c>
      <c r="E59" s="315">
        <f t="shared" si="259"/>
        <v>192.88079999999999</v>
      </c>
      <c r="F59" s="316">
        <f t="shared" si="260"/>
        <v>779.68039002333285</v>
      </c>
      <c r="G59" s="315">
        <f t="shared" si="259"/>
        <v>407.73519999999996</v>
      </c>
      <c r="H59" s="316">
        <f t="shared" si="260"/>
        <v>836.55982621012572</v>
      </c>
      <c r="I59" s="315">
        <f t="shared" si="259"/>
        <v>622.45699999999999</v>
      </c>
      <c r="J59" s="316">
        <f t="shared" ref="J59:AH59" si="310">10*I$4*COSH((I$7+$D59*I$9)/I$4)+(I$11-10*I$4*COSH(I$7/I$4))</f>
        <v>831.53770398636811</v>
      </c>
      <c r="K59" s="315">
        <f t="shared" si="300"/>
        <v>818.87400000000002</v>
      </c>
      <c r="L59" s="316">
        <f t="shared" si="310"/>
        <v>893.58910849018775</v>
      </c>
      <c r="M59" s="315">
        <f t="shared" si="300"/>
        <v>1019.4893999999999</v>
      </c>
      <c r="N59" s="316">
        <f t="shared" si="310"/>
        <v>870.52870391923352</v>
      </c>
      <c r="O59" s="315">
        <f t="shared" si="300"/>
        <v>1227.6347999999998</v>
      </c>
      <c r="P59" s="316">
        <f t="shared" si="310"/>
        <v>849.06767295162149</v>
      </c>
      <c r="Q59" s="315">
        <f t="shared" si="300"/>
        <v>1437.2619999999999</v>
      </c>
      <c r="R59" s="316">
        <f t="shared" si="310"/>
        <v>847.51600104801605</v>
      </c>
      <c r="S59" s="315">
        <f t="shared" si="300"/>
        <v>1646.1278000000002</v>
      </c>
      <c r="T59" s="316">
        <f t="shared" si="310"/>
        <v>850.40600818223857</v>
      </c>
      <c r="U59" s="315" t="e">
        <f t="shared" si="300"/>
        <v>#DIV/0!</v>
      </c>
      <c r="V59" s="316" t="e">
        <f t="shared" si="310"/>
        <v>#DIV/0!</v>
      </c>
      <c r="W59" s="315" t="e">
        <f t="shared" si="300"/>
        <v>#DIV/0!</v>
      </c>
      <c r="X59" s="316" t="e">
        <f t="shared" si="310"/>
        <v>#DIV/0!</v>
      </c>
      <c r="Y59" s="315" t="e">
        <f t="shared" si="300"/>
        <v>#DIV/0!</v>
      </c>
      <c r="Z59" s="316" t="e">
        <f t="shared" si="310"/>
        <v>#DIV/0!</v>
      </c>
      <c r="AA59" s="315" t="e">
        <f t="shared" si="300"/>
        <v>#DIV/0!</v>
      </c>
      <c r="AB59" s="316" t="e">
        <f t="shared" si="310"/>
        <v>#DIV/0!</v>
      </c>
      <c r="AC59" s="315" t="e">
        <f t="shared" si="300"/>
        <v>#DIV/0!</v>
      </c>
      <c r="AD59" s="316" t="e">
        <f t="shared" si="310"/>
        <v>#DIV/0!</v>
      </c>
      <c r="AE59" s="315" t="e">
        <f t="shared" si="300"/>
        <v>#DIV/0!</v>
      </c>
      <c r="AF59" s="316" t="e">
        <f t="shared" si="310"/>
        <v>#DIV/0!</v>
      </c>
      <c r="AG59" s="315" t="e">
        <f t="shared" si="300"/>
        <v>#DIV/0!</v>
      </c>
      <c r="AH59" s="316" t="e">
        <f t="shared" si="310"/>
        <v>#DIV/0!</v>
      </c>
      <c r="AI59" s="315" t="e">
        <f t="shared" si="300"/>
        <v>#DIV/0!</v>
      </c>
      <c r="AJ59" s="316" t="e">
        <f t="shared" si="242"/>
        <v>#DIV/0!</v>
      </c>
      <c r="AK59" s="315" t="e">
        <f t="shared" si="300"/>
        <v>#DIV/0!</v>
      </c>
      <c r="AL59" s="316" t="e">
        <f t="shared" si="243"/>
        <v>#DIV/0!</v>
      </c>
      <c r="AM59" s="315" t="e">
        <f t="shared" si="300"/>
        <v>#DIV/0!</v>
      </c>
      <c r="AN59" s="316" t="e">
        <f t="shared" si="244"/>
        <v>#DIV/0!</v>
      </c>
      <c r="AO59" s="315" t="e">
        <f t="shared" si="300"/>
        <v>#DIV/0!</v>
      </c>
      <c r="AP59" s="316" t="e">
        <f t="shared" si="245"/>
        <v>#DIV/0!</v>
      </c>
      <c r="AQ59" s="315" t="e">
        <f t="shared" si="298"/>
        <v>#DIV/0!</v>
      </c>
      <c r="AR59" s="316" t="e">
        <f t="shared" si="246"/>
        <v>#DIV/0!</v>
      </c>
      <c r="AS59" s="315" t="e">
        <f t="shared" si="298"/>
        <v>#DIV/0!</v>
      </c>
      <c r="AT59" s="316" t="e">
        <f t="shared" si="247"/>
        <v>#DIV/0!</v>
      </c>
      <c r="AU59" s="315" t="e">
        <f t="shared" si="298"/>
        <v>#DIV/0!</v>
      </c>
      <c r="AV59" s="316" t="e">
        <f t="shared" si="248"/>
        <v>#DIV/0!</v>
      </c>
      <c r="AW59" s="315" t="e">
        <f t="shared" si="298"/>
        <v>#DIV/0!</v>
      </c>
      <c r="AX59" s="316" t="e">
        <f t="shared" si="249"/>
        <v>#DIV/0!</v>
      </c>
      <c r="AY59" s="315" t="e">
        <f t="shared" si="298"/>
        <v>#DIV/0!</v>
      </c>
      <c r="AZ59" s="316" t="e">
        <f t="shared" si="250"/>
        <v>#DIV/0!</v>
      </c>
      <c r="BA59" s="315" t="e">
        <f t="shared" si="298"/>
        <v>#DIV/0!</v>
      </c>
      <c r="BB59" s="316" t="e">
        <f t="shared" si="251"/>
        <v>#DIV/0!</v>
      </c>
      <c r="BC59" s="315" t="e">
        <f t="shared" si="298"/>
        <v>#DIV/0!</v>
      </c>
      <c r="BD59" s="316" t="e">
        <f t="shared" si="252"/>
        <v>#DIV/0!</v>
      </c>
      <c r="BE59" s="315" t="e">
        <f t="shared" si="298"/>
        <v>#DIV/0!</v>
      </c>
      <c r="BF59" s="316" t="e">
        <f t="shared" si="253"/>
        <v>#DIV/0!</v>
      </c>
      <c r="BG59" s="315" t="e">
        <f t="shared" si="298"/>
        <v>#DIV/0!</v>
      </c>
      <c r="BH59" s="316" t="e">
        <f t="shared" si="254"/>
        <v>#DIV/0!</v>
      </c>
      <c r="BI59" s="315" t="e">
        <f t="shared" si="298"/>
        <v>#DIV/0!</v>
      </c>
      <c r="BJ59" s="316" t="e">
        <f t="shared" si="255"/>
        <v>#DIV/0!</v>
      </c>
      <c r="BK59" s="315" t="e">
        <f t="shared" si="298"/>
        <v>#DIV/0!</v>
      </c>
      <c r="BL59" s="316" t="e">
        <f t="shared" si="256"/>
        <v>#DIV/0!</v>
      </c>
      <c r="BM59" s="315" t="e">
        <f t="shared" si="298"/>
        <v>#DIV/0!</v>
      </c>
      <c r="BN59" s="316" t="e">
        <f t="shared" si="257"/>
        <v>#DIV/0!</v>
      </c>
      <c r="BO59" s="315" t="e">
        <f t="shared" si="298"/>
        <v>#DIV/0!</v>
      </c>
      <c r="BP59" s="316" t="e">
        <f t="shared" si="258"/>
        <v>#DIV/0!</v>
      </c>
    </row>
    <row r="60" spans="2:68" x14ac:dyDescent="0.25">
      <c r="B60" s="344" t="str">
        <f t="shared" si="303"/>
        <v>262,6776773,783400339807</v>
      </c>
      <c r="D60" s="308">
        <v>44</v>
      </c>
      <c r="E60" s="315">
        <f t="shared" si="259"/>
        <v>197.3664</v>
      </c>
      <c r="F60" s="316">
        <f t="shared" si="260"/>
        <v>821.18353952720872</v>
      </c>
      <c r="G60" s="315">
        <f t="shared" si="259"/>
        <v>412.0016</v>
      </c>
      <c r="H60" s="316">
        <f t="shared" si="260"/>
        <v>871.1853875209938</v>
      </c>
      <c r="I60" s="315">
        <f t="shared" si="259"/>
        <v>626.75600000000009</v>
      </c>
      <c r="J60" s="316">
        <f t="shared" ref="J60:AH60" si="311">10*I$4*COSH((I$7+$D60*I$9)/I$4)+(I$11-10*I$4*COSH(I$7/I$4))</f>
        <v>866.74221687884028</v>
      </c>
      <c r="K60" s="315">
        <f t="shared" si="300"/>
        <v>822.74199999999996</v>
      </c>
      <c r="L60" s="316">
        <f t="shared" si="311"/>
        <v>921.60335743289306</v>
      </c>
      <c r="M60" s="315">
        <f t="shared" si="300"/>
        <v>1023.5251999999999</v>
      </c>
      <c r="N60" s="316">
        <f t="shared" si="311"/>
        <v>901.22464593237828</v>
      </c>
      <c r="O60" s="315">
        <f t="shared" si="300"/>
        <v>1231.8183999999999</v>
      </c>
      <c r="P60" s="316">
        <f t="shared" si="311"/>
        <v>882.24908533836287</v>
      </c>
      <c r="Q60" s="315">
        <f t="shared" si="300"/>
        <v>1441.4559999999999</v>
      </c>
      <c r="R60" s="316">
        <f t="shared" si="311"/>
        <v>880.87674367977775</v>
      </c>
      <c r="S60" s="315">
        <f t="shared" si="300"/>
        <v>1650.3024</v>
      </c>
      <c r="T60" s="316">
        <f t="shared" si="311"/>
        <v>883.43270602958023</v>
      </c>
      <c r="U60" s="315" t="e">
        <f t="shared" si="300"/>
        <v>#DIV/0!</v>
      </c>
      <c r="V60" s="316" t="e">
        <f t="shared" si="311"/>
        <v>#DIV/0!</v>
      </c>
      <c r="W60" s="315" t="e">
        <f t="shared" si="300"/>
        <v>#DIV/0!</v>
      </c>
      <c r="X60" s="316" t="e">
        <f t="shared" si="311"/>
        <v>#DIV/0!</v>
      </c>
      <c r="Y60" s="315" t="e">
        <f t="shared" si="300"/>
        <v>#DIV/0!</v>
      </c>
      <c r="Z60" s="316" t="e">
        <f t="shared" si="311"/>
        <v>#DIV/0!</v>
      </c>
      <c r="AA60" s="315" t="e">
        <f t="shared" si="300"/>
        <v>#DIV/0!</v>
      </c>
      <c r="AB60" s="316" t="e">
        <f t="shared" si="311"/>
        <v>#DIV/0!</v>
      </c>
      <c r="AC60" s="315" t="e">
        <f t="shared" si="300"/>
        <v>#DIV/0!</v>
      </c>
      <c r="AD60" s="316" t="e">
        <f t="shared" si="311"/>
        <v>#DIV/0!</v>
      </c>
      <c r="AE60" s="315" t="e">
        <f t="shared" si="300"/>
        <v>#DIV/0!</v>
      </c>
      <c r="AF60" s="316" t="e">
        <f t="shared" si="311"/>
        <v>#DIV/0!</v>
      </c>
      <c r="AG60" s="315" t="e">
        <f t="shared" si="300"/>
        <v>#DIV/0!</v>
      </c>
      <c r="AH60" s="316" t="e">
        <f t="shared" si="311"/>
        <v>#DIV/0!</v>
      </c>
      <c r="AI60" s="315" t="e">
        <f t="shared" si="300"/>
        <v>#DIV/0!</v>
      </c>
      <c r="AJ60" s="316" t="e">
        <f t="shared" si="242"/>
        <v>#DIV/0!</v>
      </c>
      <c r="AK60" s="315" t="e">
        <f t="shared" si="300"/>
        <v>#DIV/0!</v>
      </c>
      <c r="AL60" s="316" t="e">
        <f t="shared" si="243"/>
        <v>#DIV/0!</v>
      </c>
      <c r="AM60" s="315" t="e">
        <f t="shared" si="300"/>
        <v>#DIV/0!</v>
      </c>
      <c r="AN60" s="316" t="e">
        <f t="shared" si="244"/>
        <v>#DIV/0!</v>
      </c>
      <c r="AO60" s="315" t="e">
        <f t="shared" si="300"/>
        <v>#DIV/0!</v>
      </c>
      <c r="AP60" s="316" t="e">
        <f t="shared" si="245"/>
        <v>#DIV/0!</v>
      </c>
      <c r="AQ60" s="315" t="e">
        <f t="shared" si="298"/>
        <v>#DIV/0!</v>
      </c>
      <c r="AR60" s="316" t="e">
        <f t="shared" si="246"/>
        <v>#DIV/0!</v>
      </c>
      <c r="AS60" s="315" t="e">
        <f t="shared" si="298"/>
        <v>#DIV/0!</v>
      </c>
      <c r="AT60" s="316" t="e">
        <f t="shared" si="247"/>
        <v>#DIV/0!</v>
      </c>
      <c r="AU60" s="315" t="e">
        <f t="shared" si="298"/>
        <v>#DIV/0!</v>
      </c>
      <c r="AV60" s="316" t="e">
        <f t="shared" si="248"/>
        <v>#DIV/0!</v>
      </c>
      <c r="AW60" s="315" t="e">
        <f t="shared" si="298"/>
        <v>#DIV/0!</v>
      </c>
      <c r="AX60" s="316" t="e">
        <f t="shared" si="249"/>
        <v>#DIV/0!</v>
      </c>
      <c r="AY60" s="315" t="e">
        <f t="shared" si="298"/>
        <v>#DIV/0!</v>
      </c>
      <c r="AZ60" s="316" t="e">
        <f t="shared" si="250"/>
        <v>#DIV/0!</v>
      </c>
      <c r="BA60" s="315" t="e">
        <f t="shared" si="298"/>
        <v>#DIV/0!</v>
      </c>
      <c r="BB60" s="316" t="e">
        <f t="shared" si="251"/>
        <v>#DIV/0!</v>
      </c>
      <c r="BC60" s="315" t="e">
        <f t="shared" si="298"/>
        <v>#DIV/0!</v>
      </c>
      <c r="BD60" s="316" t="e">
        <f t="shared" si="252"/>
        <v>#DIV/0!</v>
      </c>
      <c r="BE60" s="315" t="e">
        <f t="shared" si="298"/>
        <v>#DIV/0!</v>
      </c>
      <c r="BF60" s="316" t="e">
        <f t="shared" si="253"/>
        <v>#DIV/0!</v>
      </c>
      <c r="BG60" s="315" t="e">
        <f t="shared" si="298"/>
        <v>#DIV/0!</v>
      </c>
      <c r="BH60" s="316" t="e">
        <f t="shared" si="254"/>
        <v>#DIV/0!</v>
      </c>
      <c r="BI60" s="315" t="e">
        <f t="shared" si="298"/>
        <v>#DIV/0!</v>
      </c>
      <c r="BJ60" s="316" t="e">
        <f t="shared" si="255"/>
        <v>#DIV/0!</v>
      </c>
      <c r="BK60" s="315" t="e">
        <f t="shared" si="298"/>
        <v>#DIV/0!</v>
      </c>
      <c r="BL60" s="316" t="e">
        <f t="shared" si="256"/>
        <v>#DIV/0!</v>
      </c>
      <c r="BM60" s="315" t="e">
        <f t="shared" si="298"/>
        <v>#DIV/0!</v>
      </c>
      <c r="BN60" s="316" t="e">
        <f t="shared" si="257"/>
        <v>#DIV/0!</v>
      </c>
      <c r="BO60" s="315" t="e">
        <f t="shared" si="298"/>
        <v>#DIV/0!</v>
      </c>
      <c r="BP60" s="316" t="e">
        <f t="shared" si="258"/>
        <v>#DIV/0!</v>
      </c>
    </row>
    <row r="61" spans="2:68" x14ac:dyDescent="0.25">
      <c r="B61" s="344" t="str">
        <f t="shared" si="303"/>
        <v>266,944745,53163192667</v>
      </c>
      <c r="D61" s="308">
        <v>45</v>
      </c>
      <c r="E61" s="315">
        <f t="shared" si="259"/>
        <v>201.852</v>
      </c>
      <c r="F61" s="316">
        <f t="shared" si="260"/>
        <v>865.30018863126725</v>
      </c>
      <c r="G61" s="315">
        <f t="shared" si="259"/>
        <v>416.26800000000003</v>
      </c>
      <c r="H61" s="316">
        <f t="shared" si="260"/>
        <v>908.04222273672508</v>
      </c>
      <c r="I61" s="315">
        <f t="shared" si="259"/>
        <v>631.05500000000006</v>
      </c>
      <c r="J61" s="316">
        <f t="shared" ref="J61:AH61" si="312">10*I$4*COSH((I$7+$D61*I$9)/I$4)+(I$11-10*I$4*COSH(I$7/I$4))</f>
        <v>904.22074196681206</v>
      </c>
      <c r="K61" s="315">
        <f t="shared" si="300"/>
        <v>826.61</v>
      </c>
      <c r="L61" s="316">
        <f t="shared" si="312"/>
        <v>951.37239145919875</v>
      </c>
      <c r="M61" s="315">
        <f t="shared" si="300"/>
        <v>1027.5609999999999</v>
      </c>
      <c r="N61" s="316">
        <f t="shared" si="312"/>
        <v>933.86605068571384</v>
      </c>
      <c r="O61" s="315">
        <f t="shared" si="300"/>
        <v>1236.002</v>
      </c>
      <c r="P61" s="316">
        <f t="shared" si="312"/>
        <v>917.55586403157622</v>
      </c>
      <c r="Q61" s="315">
        <f t="shared" si="300"/>
        <v>1445.65</v>
      </c>
      <c r="R61" s="316">
        <f t="shared" si="312"/>
        <v>916.37594930723003</v>
      </c>
      <c r="S61" s="315">
        <f t="shared" si="300"/>
        <v>1654.4770000000001</v>
      </c>
      <c r="T61" s="316">
        <f t="shared" si="312"/>
        <v>918.57348370803015</v>
      </c>
      <c r="U61" s="315" t="e">
        <f t="shared" si="300"/>
        <v>#DIV/0!</v>
      </c>
      <c r="V61" s="316" t="e">
        <f t="shared" si="312"/>
        <v>#DIV/0!</v>
      </c>
      <c r="W61" s="315" t="e">
        <f t="shared" si="300"/>
        <v>#DIV/0!</v>
      </c>
      <c r="X61" s="316" t="e">
        <f t="shared" si="312"/>
        <v>#DIV/0!</v>
      </c>
      <c r="Y61" s="315" t="e">
        <f t="shared" si="300"/>
        <v>#DIV/0!</v>
      </c>
      <c r="Z61" s="316" t="e">
        <f t="shared" si="312"/>
        <v>#DIV/0!</v>
      </c>
      <c r="AA61" s="315" t="e">
        <f t="shared" si="300"/>
        <v>#DIV/0!</v>
      </c>
      <c r="AB61" s="316" t="e">
        <f t="shared" si="312"/>
        <v>#DIV/0!</v>
      </c>
      <c r="AC61" s="315" t="e">
        <f t="shared" si="300"/>
        <v>#DIV/0!</v>
      </c>
      <c r="AD61" s="316" t="e">
        <f t="shared" si="312"/>
        <v>#DIV/0!</v>
      </c>
      <c r="AE61" s="315" t="e">
        <f t="shared" si="300"/>
        <v>#DIV/0!</v>
      </c>
      <c r="AF61" s="316" t="e">
        <f t="shared" si="312"/>
        <v>#DIV/0!</v>
      </c>
      <c r="AG61" s="315" t="e">
        <f t="shared" si="300"/>
        <v>#DIV/0!</v>
      </c>
      <c r="AH61" s="316" t="e">
        <f t="shared" si="312"/>
        <v>#DIV/0!</v>
      </c>
      <c r="AI61" s="315" t="e">
        <f t="shared" si="300"/>
        <v>#DIV/0!</v>
      </c>
      <c r="AJ61" s="316" t="e">
        <f t="shared" si="242"/>
        <v>#DIV/0!</v>
      </c>
      <c r="AK61" s="315" t="e">
        <f t="shared" si="300"/>
        <v>#DIV/0!</v>
      </c>
      <c r="AL61" s="316" t="e">
        <f t="shared" si="243"/>
        <v>#DIV/0!</v>
      </c>
      <c r="AM61" s="315" t="e">
        <f t="shared" si="300"/>
        <v>#DIV/0!</v>
      </c>
      <c r="AN61" s="316" t="e">
        <f t="shared" si="244"/>
        <v>#DIV/0!</v>
      </c>
      <c r="AO61" s="315" t="e">
        <f t="shared" si="300"/>
        <v>#DIV/0!</v>
      </c>
      <c r="AP61" s="316" t="e">
        <f t="shared" si="245"/>
        <v>#DIV/0!</v>
      </c>
      <c r="AQ61" s="315" t="e">
        <f t="shared" si="298"/>
        <v>#DIV/0!</v>
      </c>
      <c r="AR61" s="316" t="e">
        <f t="shared" si="246"/>
        <v>#DIV/0!</v>
      </c>
      <c r="AS61" s="315" t="e">
        <f t="shared" si="298"/>
        <v>#DIV/0!</v>
      </c>
      <c r="AT61" s="316" t="e">
        <f t="shared" si="247"/>
        <v>#DIV/0!</v>
      </c>
      <c r="AU61" s="315" t="e">
        <f t="shared" si="298"/>
        <v>#DIV/0!</v>
      </c>
      <c r="AV61" s="316" t="e">
        <f t="shared" si="248"/>
        <v>#DIV/0!</v>
      </c>
      <c r="AW61" s="315" t="e">
        <f t="shared" si="298"/>
        <v>#DIV/0!</v>
      </c>
      <c r="AX61" s="316" t="e">
        <f t="shared" si="249"/>
        <v>#DIV/0!</v>
      </c>
      <c r="AY61" s="315" t="e">
        <f t="shared" si="298"/>
        <v>#DIV/0!</v>
      </c>
      <c r="AZ61" s="316" t="e">
        <f t="shared" si="250"/>
        <v>#DIV/0!</v>
      </c>
      <c r="BA61" s="315" t="e">
        <f t="shared" si="298"/>
        <v>#DIV/0!</v>
      </c>
      <c r="BB61" s="316" t="e">
        <f t="shared" si="251"/>
        <v>#DIV/0!</v>
      </c>
      <c r="BC61" s="315" t="e">
        <f t="shared" si="298"/>
        <v>#DIV/0!</v>
      </c>
      <c r="BD61" s="316" t="e">
        <f t="shared" si="252"/>
        <v>#DIV/0!</v>
      </c>
      <c r="BE61" s="315" t="e">
        <f t="shared" si="298"/>
        <v>#DIV/0!</v>
      </c>
      <c r="BF61" s="316" t="e">
        <f t="shared" si="253"/>
        <v>#DIV/0!</v>
      </c>
      <c r="BG61" s="315" t="e">
        <f t="shared" si="298"/>
        <v>#DIV/0!</v>
      </c>
      <c r="BH61" s="316" t="e">
        <f t="shared" si="254"/>
        <v>#DIV/0!</v>
      </c>
      <c r="BI61" s="315" t="e">
        <f t="shared" si="298"/>
        <v>#DIV/0!</v>
      </c>
      <c r="BJ61" s="316" t="e">
        <f t="shared" si="255"/>
        <v>#DIV/0!</v>
      </c>
      <c r="BK61" s="315" t="e">
        <f t="shared" si="298"/>
        <v>#DIV/0!</v>
      </c>
      <c r="BL61" s="316" t="e">
        <f t="shared" si="256"/>
        <v>#DIV/0!</v>
      </c>
      <c r="BM61" s="315" t="e">
        <f t="shared" si="298"/>
        <v>#DIV/0!</v>
      </c>
      <c r="BN61" s="316" t="e">
        <f t="shared" si="257"/>
        <v>#DIV/0!</v>
      </c>
      <c r="BO61" s="315" t="e">
        <f t="shared" si="298"/>
        <v>#DIV/0!</v>
      </c>
      <c r="BP61" s="316" t="e">
        <f t="shared" si="258"/>
        <v>#DIV/0!</v>
      </c>
    </row>
    <row r="62" spans="2:68" x14ac:dyDescent="0.25">
      <c r="B62" s="344" t="str">
        <f t="shared" si="303"/>
        <v>271,2104719,309167522947</v>
      </c>
      <c r="D62" s="308">
        <v>46</v>
      </c>
      <c r="E62" s="315">
        <f t="shared" si="259"/>
        <v>206.33759999999998</v>
      </c>
      <c r="F62" s="316">
        <f t="shared" si="260"/>
        <v>912.10872320139629</v>
      </c>
      <c r="G62" s="315">
        <f t="shared" si="259"/>
        <v>420.53440000000001</v>
      </c>
      <c r="H62" s="316">
        <f t="shared" si="260"/>
        <v>947.18957378860796</v>
      </c>
      <c r="I62" s="315">
        <f t="shared" si="259"/>
        <v>635.35400000000004</v>
      </c>
      <c r="J62" s="316">
        <f t="shared" ref="J62:AH62" si="313">10*I$4*COSH((I$7+$D62*I$9)/I$4)+(I$11-10*I$4*COSH(I$7/I$4))</f>
        <v>944.03444471783178</v>
      </c>
      <c r="K62" s="315">
        <f t="shared" si="300"/>
        <v>830.47800000000007</v>
      </c>
      <c r="L62" s="316">
        <f t="shared" si="313"/>
        <v>982.93553979004514</v>
      </c>
      <c r="M62" s="315">
        <f t="shared" si="300"/>
        <v>1031.5968</v>
      </c>
      <c r="N62" s="316">
        <f t="shared" si="313"/>
        <v>968.49986541444036</v>
      </c>
      <c r="O62" s="315">
        <f t="shared" si="300"/>
        <v>1240.1856</v>
      </c>
      <c r="P62" s="316">
        <f t="shared" si="313"/>
        <v>955.04257780495755</v>
      </c>
      <c r="Q62" s="315">
        <f t="shared" si="300"/>
        <v>1449.8440000000001</v>
      </c>
      <c r="R62" s="316">
        <f t="shared" si="313"/>
        <v>954.06875726938802</v>
      </c>
      <c r="S62" s="315">
        <f t="shared" si="300"/>
        <v>1658.6516000000001</v>
      </c>
      <c r="T62" s="316">
        <f t="shared" si="313"/>
        <v>955.88241996897068</v>
      </c>
      <c r="U62" s="315" t="e">
        <f t="shared" si="300"/>
        <v>#DIV/0!</v>
      </c>
      <c r="V62" s="316" t="e">
        <f t="shared" si="313"/>
        <v>#DIV/0!</v>
      </c>
      <c r="W62" s="315" t="e">
        <f t="shared" si="300"/>
        <v>#DIV/0!</v>
      </c>
      <c r="X62" s="316" t="e">
        <f t="shared" si="313"/>
        <v>#DIV/0!</v>
      </c>
      <c r="Y62" s="315" t="e">
        <f t="shared" si="300"/>
        <v>#DIV/0!</v>
      </c>
      <c r="Z62" s="316" t="e">
        <f t="shared" si="313"/>
        <v>#DIV/0!</v>
      </c>
      <c r="AA62" s="315" t="e">
        <f t="shared" si="300"/>
        <v>#DIV/0!</v>
      </c>
      <c r="AB62" s="316" t="e">
        <f t="shared" si="313"/>
        <v>#DIV/0!</v>
      </c>
      <c r="AC62" s="315" t="e">
        <f t="shared" si="300"/>
        <v>#DIV/0!</v>
      </c>
      <c r="AD62" s="316" t="e">
        <f t="shared" si="313"/>
        <v>#DIV/0!</v>
      </c>
      <c r="AE62" s="315" t="e">
        <f t="shared" si="300"/>
        <v>#DIV/0!</v>
      </c>
      <c r="AF62" s="316" t="e">
        <f t="shared" si="313"/>
        <v>#DIV/0!</v>
      </c>
      <c r="AG62" s="315" t="e">
        <f t="shared" si="300"/>
        <v>#DIV/0!</v>
      </c>
      <c r="AH62" s="316" t="e">
        <f t="shared" si="313"/>
        <v>#DIV/0!</v>
      </c>
      <c r="AI62" s="315" t="e">
        <f t="shared" si="300"/>
        <v>#DIV/0!</v>
      </c>
      <c r="AJ62" s="316" t="e">
        <f t="shared" si="242"/>
        <v>#DIV/0!</v>
      </c>
      <c r="AK62" s="315" t="e">
        <f t="shared" si="300"/>
        <v>#DIV/0!</v>
      </c>
      <c r="AL62" s="316" t="e">
        <f t="shared" si="243"/>
        <v>#DIV/0!</v>
      </c>
      <c r="AM62" s="315" t="e">
        <f t="shared" si="300"/>
        <v>#DIV/0!</v>
      </c>
      <c r="AN62" s="316" t="e">
        <f t="shared" si="244"/>
        <v>#DIV/0!</v>
      </c>
      <c r="AO62" s="315" t="e">
        <f t="shared" si="300"/>
        <v>#DIV/0!</v>
      </c>
      <c r="AP62" s="316" t="e">
        <f t="shared" si="245"/>
        <v>#DIV/0!</v>
      </c>
      <c r="AQ62" s="315" t="e">
        <f t="shared" si="298"/>
        <v>#DIV/0!</v>
      </c>
      <c r="AR62" s="316" t="e">
        <f t="shared" si="246"/>
        <v>#DIV/0!</v>
      </c>
      <c r="AS62" s="315" t="e">
        <f t="shared" si="298"/>
        <v>#DIV/0!</v>
      </c>
      <c r="AT62" s="316" t="e">
        <f t="shared" si="247"/>
        <v>#DIV/0!</v>
      </c>
      <c r="AU62" s="315" t="e">
        <f t="shared" si="298"/>
        <v>#DIV/0!</v>
      </c>
      <c r="AV62" s="316" t="e">
        <f t="shared" si="248"/>
        <v>#DIV/0!</v>
      </c>
      <c r="AW62" s="315" t="e">
        <f t="shared" si="298"/>
        <v>#DIV/0!</v>
      </c>
      <c r="AX62" s="316" t="e">
        <f t="shared" si="249"/>
        <v>#DIV/0!</v>
      </c>
      <c r="AY62" s="315" t="e">
        <f t="shared" si="298"/>
        <v>#DIV/0!</v>
      </c>
      <c r="AZ62" s="316" t="e">
        <f t="shared" si="250"/>
        <v>#DIV/0!</v>
      </c>
      <c r="BA62" s="315" t="e">
        <f t="shared" si="298"/>
        <v>#DIV/0!</v>
      </c>
      <c r="BB62" s="316" t="e">
        <f t="shared" si="251"/>
        <v>#DIV/0!</v>
      </c>
      <c r="BC62" s="315" t="e">
        <f t="shared" si="298"/>
        <v>#DIV/0!</v>
      </c>
      <c r="BD62" s="316" t="e">
        <f t="shared" si="252"/>
        <v>#DIV/0!</v>
      </c>
      <c r="BE62" s="315" t="e">
        <f t="shared" si="298"/>
        <v>#DIV/0!</v>
      </c>
      <c r="BF62" s="316" t="e">
        <f t="shared" si="253"/>
        <v>#DIV/0!</v>
      </c>
      <c r="BG62" s="315" t="e">
        <f t="shared" si="298"/>
        <v>#DIV/0!</v>
      </c>
      <c r="BH62" s="316" t="e">
        <f t="shared" si="254"/>
        <v>#DIV/0!</v>
      </c>
      <c r="BI62" s="315" t="e">
        <f t="shared" si="298"/>
        <v>#DIV/0!</v>
      </c>
      <c r="BJ62" s="316" t="e">
        <f t="shared" si="255"/>
        <v>#DIV/0!</v>
      </c>
      <c r="BK62" s="315" t="e">
        <f t="shared" si="298"/>
        <v>#DIV/0!</v>
      </c>
      <c r="BL62" s="316" t="e">
        <f t="shared" si="256"/>
        <v>#DIV/0!</v>
      </c>
      <c r="BM62" s="315" t="e">
        <f t="shared" si="298"/>
        <v>#DIV/0!</v>
      </c>
      <c r="BN62" s="316" t="e">
        <f t="shared" si="257"/>
        <v>#DIV/0!</v>
      </c>
      <c r="BO62" s="315" t="e">
        <f t="shared" si="298"/>
        <v>#DIV/0!</v>
      </c>
      <c r="BP62" s="316" t="e">
        <f t="shared" si="258"/>
        <v>#DIV/0!</v>
      </c>
    </row>
    <row r="63" spans="2:68" x14ac:dyDescent="0.25">
      <c r="B63" s="344" t="str">
        <f t="shared" si="303"/>
        <v>275,4768695,073858381319</v>
      </c>
      <c r="D63" s="308">
        <v>47</v>
      </c>
      <c r="E63" s="315">
        <f t="shared" si="259"/>
        <v>210.82319999999999</v>
      </c>
      <c r="F63" s="316">
        <f t="shared" si="260"/>
        <v>961.69231200919808</v>
      </c>
      <c r="G63" s="315">
        <f t="shared" si="259"/>
        <v>424.80079999999998</v>
      </c>
      <c r="H63" s="316">
        <f t="shared" si="260"/>
        <v>988.69036427460151</v>
      </c>
      <c r="I63" s="315">
        <f t="shared" si="259"/>
        <v>639.65300000000002</v>
      </c>
      <c r="J63" s="316">
        <f t="shared" ref="J63:AH63" si="314">10*I$4*COSH((I$7+$D63*I$9)/I$4)+(I$11-10*I$4*COSH(I$7/I$4))</f>
        <v>986.24830164145669</v>
      </c>
      <c r="K63" s="315">
        <f t="shared" si="300"/>
        <v>834.346</v>
      </c>
      <c r="L63" s="316">
        <f t="shared" si="314"/>
        <v>1016.3345019321473</v>
      </c>
      <c r="M63" s="315">
        <f t="shared" si="300"/>
        <v>1035.6325999999999</v>
      </c>
      <c r="N63" s="316">
        <f t="shared" si="314"/>
        <v>1005.1759029822581</v>
      </c>
      <c r="O63" s="315">
        <f t="shared" si="300"/>
        <v>1244.3691999999999</v>
      </c>
      <c r="P63" s="316">
        <f t="shared" si="314"/>
        <v>994.76716465444474</v>
      </c>
      <c r="Q63" s="315">
        <f t="shared" si="300"/>
        <v>1454.038</v>
      </c>
      <c r="R63" s="316">
        <f t="shared" si="314"/>
        <v>994.01371413031734</v>
      </c>
      <c r="S63" s="315">
        <f t="shared" si="300"/>
        <v>1662.8262000000002</v>
      </c>
      <c r="T63" s="316">
        <f t="shared" si="314"/>
        <v>995.41693018057776</v>
      </c>
      <c r="U63" s="315" t="e">
        <f t="shared" si="300"/>
        <v>#DIV/0!</v>
      </c>
      <c r="V63" s="316" t="e">
        <f t="shared" si="314"/>
        <v>#DIV/0!</v>
      </c>
      <c r="W63" s="315" t="e">
        <f t="shared" si="300"/>
        <v>#DIV/0!</v>
      </c>
      <c r="X63" s="316" t="e">
        <f t="shared" si="314"/>
        <v>#DIV/0!</v>
      </c>
      <c r="Y63" s="315" t="e">
        <f t="shared" si="300"/>
        <v>#DIV/0!</v>
      </c>
      <c r="Z63" s="316" t="e">
        <f t="shared" si="314"/>
        <v>#DIV/0!</v>
      </c>
      <c r="AA63" s="315" t="e">
        <f t="shared" si="300"/>
        <v>#DIV/0!</v>
      </c>
      <c r="AB63" s="316" t="e">
        <f t="shared" si="314"/>
        <v>#DIV/0!</v>
      </c>
      <c r="AC63" s="315" t="e">
        <f t="shared" si="300"/>
        <v>#DIV/0!</v>
      </c>
      <c r="AD63" s="316" t="e">
        <f t="shared" si="314"/>
        <v>#DIV/0!</v>
      </c>
      <c r="AE63" s="315" t="e">
        <f t="shared" si="300"/>
        <v>#DIV/0!</v>
      </c>
      <c r="AF63" s="316" t="e">
        <f t="shared" si="314"/>
        <v>#DIV/0!</v>
      </c>
      <c r="AG63" s="315" t="e">
        <f t="shared" si="300"/>
        <v>#DIV/0!</v>
      </c>
      <c r="AH63" s="316" t="e">
        <f t="shared" si="314"/>
        <v>#DIV/0!</v>
      </c>
      <c r="AI63" s="315" t="e">
        <f t="shared" si="300"/>
        <v>#DIV/0!</v>
      </c>
      <c r="AJ63" s="316" t="e">
        <f t="shared" si="242"/>
        <v>#DIV/0!</v>
      </c>
      <c r="AK63" s="315" t="e">
        <f t="shared" si="300"/>
        <v>#DIV/0!</v>
      </c>
      <c r="AL63" s="316" t="e">
        <f t="shared" si="243"/>
        <v>#DIV/0!</v>
      </c>
      <c r="AM63" s="315" t="e">
        <f t="shared" si="300"/>
        <v>#DIV/0!</v>
      </c>
      <c r="AN63" s="316" t="e">
        <f t="shared" si="244"/>
        <v>#DIV/0!</v>
      </c>
      <c r="AO63" s="315" t="e">
        <f t="shared" si="300"/>
        <v>#DIV/0!</v>
      </c>
      <c r="AP63" s="316" t="e">
        <f t="shared" si="245"/>
        <v>#DIV/0!</v>
      </c>
      <c r="AQ63" s="315" t="e">
        <f t="shared" si="298"/>
        <v>#DIV/0!</v>
      </c>
      <c r="AR63" s="316" t="e">
        <f t="shared" si="246"/>
        <v>#DIV/0!</v>
      </c>
      <c r="AS63" s="315" t="e">
        <f t="shared" si="298"/>
        <v>#DIV/0!</v>
      </c>
      <c r="AT63" s="316" t="e">
        <f t="shared" si="247"/>
        <v>#DIV/0!</v>
      </c>
      <c r="AU63" s="315" t="e">
        <f t="shared" si="298"/>
        <v>#DIV/0!</v>
      </c>
      <c r="AV63" s="316" t="e">
        <f t="shared" si="248"/>
        <v>#DIV/0!</v>
      </c>
      <c r="AW63" s="315" t="e">
        <f t="shared" si="298"/>
        <v>#DIV/0!</v>
      </c>
      <c r="AX63" s="316" t="e">
        <f t="shared" si="249"/>
        <v>#DIV/0!</v>
      </c>
      <c r="AY63" s="315" t="e">
        <f t="shared" si="298"/>
        <v>#DIV/0!</v>
      </c>
      <c r="AZ63" s="316" t="e">
        <f t="shared" si="250"/>
        <v>#DIV/0!</v>
      </c>
      <c r="BA63" s="315" t="e">
        <f t="shared" si="298"/>
        <v>#DIV/0!</v>
      </c>
      <c r="BB63" s="316" t="e">
        <f t="shared" si="251"/>
        <v>#DIV/0!</v>
      </c>
      <c r="BC63" s="315" t="e">
        <f t="shared" si="298"/>
        <v>#DIV/0!</v>
      </c>
      <c r="BD63" s="316" t="e">
        <f t="shared" si="252"/>
        <v>#DIV/0!</v>
      </c>
      <c r="BE63" s="315" t="e">
        <f t="shared" si="298"/>
        <v>#DIV/0!</v>
      </c>
      <c r="BF63" s="316" t="e">
        <f t="shared" si="253"/>
        <v>#DIV/0!</v>
      </c>
      <c r="BG63" s="315" t="e">
        <f t="shared" si="298"/>
        <v>#DIV/0!</v>
      </c>
      <c r="BH63" s="316" t="e">
        <f t="shared" si="254"/>
        <v>#DIV/0!</v>
      </c>
      <c r="BI63" s="315" t="e">
        <f t="shared" si="298"/>
        <v>#DIV/0!</v>
      </c>
      <c r="BJ63" s="316" t="e">
        <f t="shared" si="255"/>
        <v>#DIV/0!</v>
      </c>
      <c r="BK63" s="315" t="e">
        <f t="shared" si="298"/>
        <v>#DIV/0!</v>
      </c>
      <c r="BL63" s="316" t="e">
        <f t="shared" si="256"/>
        <v>#DIV/0!</v>
      </c>
      <c r="BM63" s="315" t="e">
        <f t="shared" si="298"/>
        <v>#DIV/0!</v>
      </c>
      <c r="BN63" s="316" t="e">
        <f t="shared" si="257"/>
        <v>#DIV/0!</v>
      </c>
      <c r="BO63" s="315" t="e">
        <f t="shared" si="298"/>
        <v>#DIV/0!</v>
      </c>
      <c r="BP63" s="316" t="e">
        <f t="shared" si="258"/>
        <v>#DIV/0!</v>
      </c>
    </row>
    <row r="64" spans="2:68" x14ac:dyDescent="0.25">
      <c r="B64" s="344" t="str">
        <f t="shared" si="303"/>
        <v>279,7432672,786749813723</v>
      </c>
      <c r="D64" s="308">
        <v>48</v>
      </c>
      <c r="E64" s="315">
        <f t="shared" si="259"/>
        <v>215.30879999999999</v>
      </c>
      <c r="F64" s="316">
        <f t="shared" si="260"/>
        <v>1014.1390545051395</v>
      </c>
      <c r="G64" s="315">
        <f t="shared" si="259"/>
        <v>429.06719999999996</v>
      </c>
      <c r="H64" s="316">
        <f t="shared" si="260"/>
        <v>1032.6113005997463</v>
      </c>
      <c r="I64" s="315">
        <f t="shared" si="259"/>
        <v>643.952</v>
      </c>
      <c r="J64" s="316">
        <f t="shared" ref="J64:AH64" si="315">10*I$4*COSH((I$7+$D64*I$9)/I$4)+(I$11-10*I$4*COSH(I$7/I$4))</f>
        <v>1030.93120633181</v>
      </c>
      <c r="K64" s="315">
        <f t="shared" si="300"/>
        <v>838.21400000000006</v>
      </c>
      <c r="L64" s="316">
        <f t="shared" si="315"/>
        <v>1051.6134027691041</v>
      </c>
      <c r="M64" s="315">
        <f t="shared" si="300"/>
        <v>1039.6684</v>
      </c>
      <c r="N64" s="316">
        <f t="shared" si="315"/>
        <v>1043.9469135258403</v>
      </c>
      <c r="O64" s="315">
        <f t="shared" si="300"/>
        <v>1248.5527999999999</v>
      </c>
      <c r="P64" s="316">
        <f t="shared" si="315"/>
        <v>1036.7910213449145</v>
      </c>
      <c r="Q64" s="315">
        <f t="shared" si="300"/>
        <v>1458.232</v>
      </c>
      <c r="R64" s="316">
        <f t="shared" si="315"/>
        <v>1036.272864616916</v>
      </c>
      <c r="S64" s="315">
        <f t="shared" si="300"/>
        <v>1667.0008</v>
      </c>
      <c r="T64" s="316">
        <f t="shared" si="315"/>
        <v>1037.2378546853245</v>
      </c>
      <c r="U64" s="315" t="e">
        <f t="shared" si="300"/>
        <v>#DIV/0!</v>
      </c>
      <c r="V64" s="316" t="e">
        <f t="shared" si="315"/>
        <v>#DIV/0!</v>
      </c>
      <c r="W64" s="315" t="e">
        <f t="shared" si="300"/>
        <v>#DIV/0!</v>
      </c>
      <c r="X64" s="316" t="e">
        <f t="shared" si="315"/>
        <v>#DIV/0!</v>
      </c>
      <c r="Y64" s="315" t="e">
        <f t="shared" si="300"/>
        <v>#DIV/0!</v>
      </c>
      <c r="Z64" s="316" t="e">
        <f t="shared" si="315"/>
        <v>#DIV/0!</v>
      </c>
      <c r="AA64" s="315" t="e">
        <f t="shared" si="300"/>
        <v>#DIV/0!</v>
      </c>
      <c r="AB64" s="316" t="e">
        <f t="shared" si="315"/>
        <v>#DIV/0!</v>
      </c>
      <c r="AC64" s="315" t="e">
        <f t="shared" si="300"/>
        <v>#DIV/0!</v>
      </c>
      <c r="AD64" s="316" t="e">
        <f t="shared" si="315"/>
        <v>#DIV/0!</v>
      </c>
      <c r="AE64" s="315" t="e">
        <f t="shared" si="300"/>
        <v>#DIV/0!</v>
      </c>
      <c r="AF64" s="316" t="e">
        <f t="shared" si="315"/>
        <v>#DIV/0!</v>
      </c>
      <c r="AG64" s="315" t="e">
        <f t="shared" si="300"/>
        <v>#DIV/0!</v>
      </c>
      <c r="AH64" s="316" t="e">
        <f t="shared" si="315"/>
        <v>#DIV/0!</v>
      </c>
      <c r="AI64" s="315" t="e">
        <f t="shared" si="300"/>
        <v>#DIV/0!</v>
      </c>
      <c r="AJ64" s="316" t="e">
        <f t="shared" si="242"/>
        <v>#DIV/0!</v>
      </c>
      <c r="AK64" s="315" t="e">
        <f t="shared" si="300"/>
        <v>#DIV/0!</v>
      </c>
      <c r="AL64" s="316" t="e">
        <f t="shared" si="243"/>
        <v>#DIV/0!</v>
      </c>
      <c r="AM64" s="315" t="e">
        <f t="shared" si="300"/>
        <v>#DIV/0!</v>
      </c>
      <c r="AN64" s="316" t="e">
        <f t="shared" si="244"/>
        <v>#DIV/0!</v>
      </c>
      <c r="AO64" s="315" t="e">
        <f t="shared" si="300"/>
        <v>#DIV/0!</v>
      </c>
      <c r="AP64" s="316" t="e">
        <f t="shared" si="245"/>
        <v>#DIV/0!</v>
      </c>
      <c r="AQ64" s="315" t="e">
        <f t="shared" si="298"/>
        <v>#DIV/0!</v>
      </c>
      <c r="AR64" s="316" t="e">
        <f t="shared" si="246"/>
        <v>#DIV/0!</v>
      </c>
      <c r="AS64" s="315" t="e">
        <f t="shared" si="298"/>
        <v>#DIV/0!</v>
      </c>
      <c r="AT64" s="316" t="e">
        <f t="shared" si="247"/>
        <v>#DIV/0!</v>
      </c>
      <c r="AU64" s="315" t="e">
        <f t="shared" si="298"/>
        <v>#DIV/0!</v>
      </c>
      <c r="AV64" s="316" t="e">
        <f t="shared" si="248"/>
        <v>#DIV/0!</v>
      </c>
      <c r="AW64" s="315" t="e">
        <f t="shared" si="298"/>
        <v>#DIV/0!</v>
      </c>
      <c r="AX64" s="316" t="e">
        <f t="shared" si="249"/>
        <v>#DIV/0!</v>
      </c>
      <c r="AY64" s="315" t="e">
        <f t="shared" si="298"/>
        <v>#DIV/0!</v>
      </c>
      <c r="AZ64" s="316" t="e">
        <f t="shared" si="250"/>
        <v>#DIV/0!</v>
      </c>
      <c r="BA64" s="315" t="e">
        <f t="shared" si="298"/>
        <v>#DIV/0!</v>
      </c>
      <c r="BB64" s="316" t="e">
        <f t="shared" si="251"/>
        <v>#DIV/0!</v>
      </c>
      <c r="BC64" s="315" t="e">
        <f t="shared" si="298"/>
        <v>#DIV/0!</v>
      </c>
      <c r="BD64" s="316" t="e">
        <f t="shared" si="252"/>
        <v>#DIV/0!</v>
      </c>
      <c r="BE64" s="315" t="e">
        <f t="shared" si="298"/>
        <v>#DIV/0!</v>
      </c>
      <c r="BF64" s="316" t="e">
        <f t="shared" si="253"/>
        <v>#DIV/0!</v>
      </c>
      <c r="BG64" s="315" t="e">
        <f t="shared" si="298"/>
        <v>#DIV/0!</v>
      </c>
      <c r="BH64" s="316" t="e">
        <f t="shared" si="254"/>
        <v>#DIV/0!</v>
      </c>
      <c r="BI64" s="315" t="e">
        <f t="shared" si="298"/>
        <v>#DIV/0!</v>
      </c>
      <c r="BJ64" s="316" t="e">
        <f t="shared" si="255"/>
        <v>#DIV/0!</v>
      </c>
      <c r="BK64" s="315" t="e">
        <f t="shared" si="298"/>
        <v>#DIV/0!</v>
      </c>
      <c r="BL64" s="316" t="e">
        <f t="shared" si="256"/>
        <v>#DIV/0!</v>
      </c>
      <c r="BM64" s="315" t="e">
        <f t="shared" si="298"/>
        <v>#DIV/0!</v>
      </c>
      <c r="BN64" s="316" t="e">
        <f t="shared" si="257"/>
        <v>#DIV/0!</v>
      </c>
      <c r="BO64" s="315" t="e">
        <f t="shared" si="298"/>
        <v>#DIV/0!</v>
      </c>
      <c r="BP64" s="316" t="e">
        <f t="shared" si="258"/>
        <v>#DIV/0!</v>
      </c>
    </row>
    <row r="65" spans="2:68" x14ac:dyDescent="0.25">
      <c r="B65" s="344" t="str">
        <f t="shared" si="303"/>
        <v>284,0096652,412018577421</v>
      </c>
      <c r="D65" s="308">
        <v>49</v>
      </c>
      <c r="E65" s="315">
        <f t="shared" si="259"/>
        <v>219.7944</v>
      </c>
      <c r="F65" s="316">
        <f t="shared" si="260"/>
        <v>1069.5421373524653</v>
      </c>
      <c r="G65" s="315">
        <f t="shared" si="259"/>
        <v>433.33359999999999</v>
      </c>
      <c r="H65" s="316">
        <f t="shared" si="260"/>
        <v>1079.0229791968798</v>
      </c>
      <c r="I65" s="315">
        <f t="shared" si="259"/>
        <v>648.25099999999998</v>
      </c>
      <c r="J65" s="316">
        <f t="shared" ref="J65:AH65" si="316">10*I$4*COSH((I$7+$D65*I$9)/I$4)+(I$11-10*I$4*COSH(I$7/I$4))</f>
        <v>1078.1560819028709</v>
      </c>
      <c r="K65" s="315">
        <f t="shared" si="300"/>
        <v>842.08199999999999</v>
      </c>
      <c r="L65" s="316">
        <f t="shared" si="316"/>
        <v>1088.8188508567837</v>
      </c>
      <c r="M65" s="315">
        <f t="shared" si="300"/>
        <v>1043.7041999999999</v>
      </c>
      <c r="N65" s="316">
        <f t="shared" si="316"/>
        <v>1084.8686603239037</v>
      </c>
      <c r="O65" s="315">
        <f t="shared" si="300"/>
        <v>1252.7364</v>
      </c>
      <c r="P65" s="316">
        <f t="shared" si="316"/>
        <v>1081.1790983026149</v>
      </c>
      <c r="Q65" s="315">
        <f t="shared" si="300"/>
        <v>1462.4259999999999</v>
      </c>
      <c r="R65" s="316">
        <f t="shared" si="316"/>
        <v>1080.9118479902295</v>
      </c>
      <c r="S65" s="315">
        <f t="shared" si="300"/>
        <v>1671.1754000000001</v>
      </c>
      <c r="T65" s="316">
        <f t="shared" si="316"/>
        <v>1081.4095524282391</v>
      </c>
      <c r="U65" s="315" t="e">
        <f t="shared" si="300"/>
        <v>#DIV/0!</v>
      </c>
      <c r="V65" s="316" t="e">
        <f t="shared" si="316"/>
        <v>#DIV/0!</v>
      </c>
      <c r="W65" s="315" t="e">
        <f t="shared" si="300"/>
        <v>#DIV/0!</v>
      </c>
      <c r="X65" s="316" t="e">
        <f t="shared" si="316"/>
        <v>#DIV/0!</v>
      </c>
      <c r="Y65" s="315" t="e">
        <f t="shared" si="300"/>
        <v>#DIV/0!</v>
      </c>
      <c r="Z65" s="316" t="e">
        <f t="shared" si="316"/>
        <v>#DIV/0!</v>
      </c>
      <c r="AA65" s="315" t="e">
        <f t="shared" si="300"/>
        <v>#DIV/0!</v>
      </c>
      <c r="AB65" s="316" t="e">
        <f t="shared" si="316"/>
        <v>#DIV/0!</v>
      </c>
      <c r="AC65" s="315" t="e">
        <f t="shared" si="300"/>
        <v>#DIV/0!</v>
      </c>
      <c r="AD65" s="316" t="e">
        <f t="shared" si="316"/>
        <v>#DIV/0!</v>
      </c>
      <c r="AE65" s="315" t="e">
        <f t="shared" si="300"/>
        <v>#DIV/0!</v>
      </c>
      <c r="AF65" s="316" t="e">
        <f t="shared" si="316"/>
        <v>#DIV/0!</v>
      </c>
      <c r="AG65" s="315" t="e">
        <f t="shared" si="300"/>
        <v>#DIV/0!</v>
      </c>
      <c r="AH65" s="316" t="e">
        <f t="shared" si="316"/>
        <v>#DIV/0!</v>
      </c>
      <c r="AI65" s="315" t="e">
        <f t="shared" si="300"/>
        <v>#DIV/0!</v>
      </c>
      <c r="AJ65" s="316" t="e">
        <f t="shared" si="242"/>
        <v>#DIV/0!</v>
      </c>
      <c r="AK65" s="315" t="e">
        <f t="shared" si="300"/>
        <v>#DIV/0!</v>
      </c>
      <c r="AL65" s="316" t="e">
        <f t="shared" si="243"/>
        <v>#DIV/0!</v>
      </c>
      <c r="AM65" s="315" t="e">
        <f t="shared" si="300"/>
        <v>#DIV/0!</v>
      </c>
      <c r="AN65" s="316" t="e">
        <f t="shared" si="244"/>
        <v>#DIV/0!</v>
      </c>
      <c r="AO65" s="315" t="e">
        <f t="shared" ref="AO65:BO65" si="317">AO$7+$D65*AO$9+(AO$10-AO$7)</f>
        <v>#DIV/0!</v>
      </c>
      <c r="AP65" s="316" t="e">
        <f t="shared" si="245"/>
        <v>#DIV/0!</v>
      </c>
      <c r="AQ65" s="315" t="e">
        <f t="shared" si="317"/>
        <v>#DIV/0!</v>
      </c>
      <c r="AR65" s="316" t="e">
        <f t="shared" si="246"/>
        <v>#DIV/0!</v>
      </c>
      <c r="AS65" s="315" t="e">
        <f t="shared" si="317"/>
        <v>#DIV/0!</v>
      </c>
      <c r="AT65" s="316" t="e">
        <f t="shared" si="247"/>
        <v>#DIV/0!</v>
      </c>
      <c r="AU65" s="315" t="e">
        <f t="shared" si="317"/>
        <v>#DIV/0!</v>
      </c>
      <c r="AV65" s="316" t="e">
        <f t="shared" si="248"/>
        <v>#DIV/0!</v>
      </c>
      <c r="AW65" s="315" t="e">
        <f t="shared" si="317"/>
        <v>#DIV/0!</v>
      </c>
      <c r="AX65" s="316" t="e">
        <f t="shared" si="249"/>
        <v>#DIV/0!</v>
      </c>
      <c r="AY65" s="315" t="e">
        <f t="shared" si="317"/>
        <v>#DIV/0!</v>
      </c>
      <c r="AZ65" s="316" t="e">
        <f t="shared" si="250"/>
        <v>#DIV/0!</v>
      </c>
      <c r="BA65" s="315" t="e">
        <f t="shared" si="317"/>
        <v>#DIV/0!</v>
      </c>
      <c r="BB65" s="316" t="e">
        <f t="shared" si="251"/>
        <v>#DIV/0!</v>
      </c>
      <c r="BC65" s="315" t="e">
        <f t="shared" si="317"/>
        <v>#DIV/0!</v>
      </c>
      <c r="BD65" s="316" t="e">
        <f t="shared" si="252"/>
        <v>#DIV/0!</v>
      </c>
      <c r="BE65" s="315" t="e">
        <f t="shared" si="317"/>
        <v>#DIV/0!</v>
      </c>
      <c r="BF65" s="316" t="e">
        <f t="shared" si="253"/>
        <v>#DIV/0!</v>
      </c>
      <c r="BG65" s="315" t="e">
        <f t="shared" si="317"/>
        <v>#DIV/0!</v>
      </c>
      <c r="BH65" s="316" t="e">
        <f t="shared" si="254"/>
        <v>#DIV/0!</v>
      </c>
      <c r="BI65" s="315" t="e">
        <f t="shared" si="317"/>
        <v>#DIV/0!</v>
      </c>
      <c r="BJ65" s="316" t="e">
        <f t="shared" si="255"/>
        <v>#DIV/0!</v>
      </c>
      <c r="BK65" s="315" t="e">
        <f t="shared" si="317"/>
        <v>#DIV/0!</v>
      </c>
      <c r="BL65" s="316" t="e">
        <f t="shared" si="256"/>
        <v>#DIV/0!</v>
      </c>
      <c r="BM65" s="315" t="e">
        <f t="shared" si="317"/>
        <v>#DIV/0!</v>
      </c>
      <c r="BN65" s="316" t="e">
        <f t="shared" si="257"/>
        <v>#DIV/0!</v>
      </c>
      <c r="BO65" s="315" t="e">
        <f t="shared" si="317"/>
        <v>#DIV/0!</v>
      </c>
      <c r="BP65" s="316" t="e">
        <f t="shared" si="258"/>
        <v>#DIV/0!</v>
      </c>
    </row>
    <row r="66" spans="2:68" ht="14.4" thickBot="1" x14ac:dyDescent="0.3">
      <c r="B66" s="344" t="str">
        <f t="shared" si="303"/>
        <v>288,276633,916915294426</v>
      </c>
      <c r="C66" s="340"/>
      <c r="D66" s="308">
        <v>50</v>
      </c>
      <c r="E66" s="317">
        <f t="shared" si="259"/>
        <v>224.28</v>
      </c>
      <c r="F66" s="318">
        <f t="shared" si="260"/>
        <v>1128.0000000000002</v>
      </c>
      <c r="G66" s="317">
        <f t="shared" si="259"/>
        <v>437.6</v>
      </c>
      <c r="H66" s="318">
        <f t="shared" si="260"/>
        <v>1128</v>
      </c>
      <c r="I66" s="317">
        <f t="shared" si="259"/>
        <v>652.55000000000007</v>
      </c>
      <c r="J66" s="318">
        <f t="shared" ref="J66:AH66" si="318">10*I$4*COSH((I$7+$D66*I$9)/I$4)+(I$11-10*I$4*COSH(I$7/I$4))</f>
        <v>1128</v>
      </c>
      <c r="K66" s="317">
        <f t="shared" ref="K66:BO66" si="319">K$7+$D66*K$9+(K$10-K$7)</f>
        <v>845.95</v>
      </c>
      <c r="L66" s="318">
        <f t="shared" si="318"/>
        <v>1128</v>
      </c>
      <c r="M66" s="317">
        <f t="shared" si="319"/>
        <v>1047.74</v>
      </c>
      <c r="N66" s="318">
        <f t="shared" si="318"/>
        <v>1128</v>
      </c>
      <c r="O66" s="317">
        <f t="shared" si="319"/>
        <v>1256.9199999999998</v>
      </c>
      <c r="P66" s="318">
        <f t="shared" si="318"/>
        <v>1128</v>
      </c>
      <c r="Q66" s="317">
        <f t="shared" si="319"/>
        <v>1466.62</v>
      </c>
      <c r="R66" s="318">
        <f t="shared" si="318"/>
        <v>1128</v>
      </c>
      <c r="S66" s="317">
        <f t="shared" si="319"/>
        <v>1675.3500000000001</v>
      </c>
      <c r="T66" s="318">
        <f t="shared" si="318"/>
        <v>1128</v>
      </c>
      <c r="U66" s="317" t="e">
        <f t="shared" si="319"/>
        <v>#DIV/0!</v>
      </c>
      <c r="V66" s="318" t="e">
        <f t="shared" si="318"/>
        <v>#DIV/0!</v>
      </c>
      <c r="W66" s="317" t="e">
        <f t="shared" si="319"/>
        <v>#DIV/0!</v>
      </c>
      <c r="X66" s="318" t="e">
        <f t="shared" si="318"/>
        <v>#DIV/0!</v>
      </c>
      <c r="Y66" s="317" t="e">
        <f t="shared" si="319"/>
        <v>#DIV/0!</v>
      </c>
      <c r="Z66" s="318" t="e">
        <f t="shared" si="318"/>
        <v>#DIV/0!</v>
      </c>
      <c r="AA66" s="317" t="e">
        <f t="shared" si="319"/>
        <v>#DIV/0!</v>
      </c>
      <c r="AB66" s="318" t="e">
        <f t="shared" si="318"/>
        <v>#DIV/0!</v>
      </c>
      <c r="AC66" s="317" t="e">
        <f t="shared" si="319"/>
        <v>#DIV/0!</v>
      </c>
      <c r="AD66" s="318" t="e">
        <f t="shared" si="318"/>
        <v>#DIV/0!</v>
      </c>
      <c r="AE66" s="317" t="e">
        <f t="shared" si="319"/>
        <v>#DIV/0!</v>
      </c>
      <c r="AF66" s="318" t="e">
        <f t="shared" si="318"/>
        <v>#DIV/0!</v>
      </c>
      <c r="AG66" s="317" t="e">
        <f t="shared" si="319"/>
        <v>#DIV/0!</v>
      </c>
      <c r="AH66" s="318" t="e">
        <f t="shared" si="318"/>
        <v>#DIV/0!</v>
      </c>
      <c r="AI66" s="317" t="e">
        <f t="shared" si="319"/>
        <v>#DIV/0!</v>
      </c>
      <c r="AJ66" s="318" t="e">
        <f t="shared" si="242"/>
        <v>#DIV/0!</v>
      </c>
      <c r="AK66" s="317" t="e">
        <f t="shared" si="319"/>
        <v>#DIV/0!</v>
      </c>
      <c r="AL66" s="318" t="e">
        <f t="shared" si="243"/>
        <v>#DIV/0!</v>
      </c>
      <c r="AM66" s="317" t="e">
        <f t="shared" si="319"/>
        <v>#DIV/0!</v>
      </c>
      <c r="AN66" s="318" t="e">
        <f t="shared" si="244"/>
        <v>#DIV/0!</v>
      </c>
      <c r="AO66" s="317" t="e">
        <f t="shared" si="319"/>
        <v>#DIV/0!</v>
      </c>
      <c r="AP66" s="318" t="e">
        <f t="shared" si="245"/>
        <v>#DIV/0!</v>
      </c>
      <c r="AQ66" s="317" t="e">
        <f t="shared" si="319"/>
        <v>#DIV/0!</v>
      </c>
      <c r="AR66" s="318" t="e">
        <f t="shared" si="246"/>
        <v>#DIV/0!</v>
      </c>
      <c r="AS66" s="317" t="e">
        <f t="shared" si="319"/>
        <v>#DIV/0!</v>
      </c>
      <c r="AT66" s="318" t="e">
        <f t="shared" si="247"/>
        <v>#DIV/0!</v>
      </c>
      <c r="AU66" s="317" t="e">
        <f t="shared" si="319"/>
        <v>#DIV/0!</v>
      </c>
      <c r="AV66" s="318" t="e">
        <f t="shared" si="248"/>
        <v>#DIV/0!</v>
      </c>
      <c r="AW66" s="317" t="e">
        <f t="shared" si="319"/>
        <v>#DIV/0!</v>
      </c>
      <c r="AX66" s="318" t="e">
        <f t="shared" si="249"/>
        <v>#DIV/0!</v>
      </c>
      <c r="AY66" s="317" t="e">
        <f t="shared" si="319"/>
        <v>#DIV/0!</v>
      </c>
      <c r="AZ66" s="318" t="e">
        <f t="shared" si="250"/>
        <v>#DIV/0!</v>
      </c>
      <c r="BA66" s="317" t="e">
        <f t="shared" si="319"/>
        <v>#DIV/0!</v>
      </c>
      <c r="BB66" s="318" t="e">
        <f t="shared" si="251"/>
        <v>#DIV/0!</v>
      </c>
      <c r="BC66" s="317" t="e">
        <f t="shared" si="319"/>
        <v>#DIV/0!</v>
      </c>
      <c r="BD66" s="318" t="e">
        <f t="shared" si="252"/>
        <v>#DIV/0!</v>
      </c>
      <c r="BE66" s="317" t="e">
        <f t="shared" si="319"/>
        <v>#DIV/0!</v>
      </c>
      <c r="BF66" s="318" t="e">
        <f t="shared" si="253"/>
        <v>#DIV/0!</v>
      </c>
      <c r="BG66" s="317" t="e">
        <f t="shared" si="319"/>
        <v>#DIV/0!</v>
      </c>
      <c r="BH66" s="318" t="e">
        <f t="shared" si="254"/>
        <v>#DIV/0!</v>
      </c>
      <c r="BI66" s="317" t="e">
        <f t="shared" si="319"/>
        <v>#DIV/0!</v>
      </c>
      <c r="BJ66" s="318" t="e">
        <f t="shared" si="255"/>
        <v>#DIV/0!</v>
      </c>
      <c r="BK66" s="317" t="e">
        <f t="shared" si="319"/>
        <v>#DIV/0!</v>
      </c>
      <c r="BL66" s="318" t="e">
        <f t="shared" si="256"/>
        <v>#DIV/0!</v>
      </c>
      <c r="BM66" s="317" t="e">
        <f t="shared" si="319"/>
        <v>#DIV/0!</v>
      </c>
      <c r="BN66" s="318" t="e">
        <f t="shared" si="257"/>
        <v>#DIV/0!</v>
      </c>
      <c r="BO66" s="317" t="e">
        <f t="shared" si="319"/>
        <v>#DIV/0!</v>
      </c>
      <c r="BP66" s="318" t="e">
        <f t="shared" si="258"/>
        <v>#DIV/0!</v>
      </c>
    </row>
    <row r="67" spans="2:68" x14ac:dyDescent="0.25">
      <c r="B67" s="344" t="str">
        <f t="shared" si="303"/>
        <v>292,5424617,271711811698</v>
      </c>
    </row>
    <row r="68" spans="2:68" x14ac:dyDescent="0.25">
      <c r="B68" s="344" t="str">
        <f t="shared" si="303"/>
        <v>296,8088602,449653417519</v>
      </c>
    </row>
    <row r="69" spans="2:68" x14ac:dyDescent="0.25">
      <c r="B69" s="344" t="str">
        <f t="shared" si="303"/>
        <v>301,0752589,426915837238</v>
      </c>
    </row>
    <row r="70" spans="2:68" x14ac:dyDescent="0.25">
      <c r="B70" s="344" t="str">
        <f t="shared" si="303"/>
        <v>305,3416578,182566939259</v>
      </c>
    </row>
    <row r="71" spans="2:68" x14ac:dyDescent="0.25">
      <c r="B71" s="344" t="str">
        <f t="shared" si="303"/>
        <v>309,608568,698533089727</v>
      </c>
    </row>
    <row r="72" spans="2:68" x14ac:dyDescent="0.25">
      <c r="B72" s="344" t="str">
        <f t="shared" si="303"/>
        <v>313,8744560,95957010182</v>
      </c>
    </row>
    <row r="73" spans="2:68" x14ac:dyDescent="0.25">
      <c r="B73" s="344" t="str">
        <f t="shared" si="303"/>
        <v>318,1408554,95323873297</v>
      </c>
    </row>
    <row r="74" spans="2:68" x14ac:dyDescent="0.25">
      <c r="B74" s="344" t="str">
        <f t="shared" si="303"/>
        <v>322,4072550,669884690609</v>
      </c>
    </row>
    <row r="75" spans="2:68" x14ac:dyDescent="0.25">
      <c r="B75" s="344" t="str">
        <f t="shared" si="303"/>
        <v>326,6736548,102623114321</v>
      </c>
    </row>
    <row r="76" spans="2:68" x14ac:dyDescent="0.25">
      <c r="B76" s="344" t="str">
        <f t="shared" si="303"/>
        <v>330,94547,24732750944</v>
      </c>
    </row>
    <row r="77" spans="2:68" x14ac:dyDescent="0.25">
      <c r="B77" s="344" t="str">
        <f t="shared" si="303"/>
        <v>335,2064548,102623114321</v>
      </c>
    </row>
    <row r="78" spans="2:68" x14ac:dyDescent="0.25">
      <c r="B78" s="344" t="str">
        <f t="shared" si="303"/>
        <v>339,4728550,669884690609</v>
      </c>
    </row>
    <row r="79" spans="2:68" x14ac:dyDescent="0.25">
      <c r="B79" s="344" t="str">
        <f t="shared" si="303"/>
        <v>343,7392554,95323873297</v>
      </c>
    </row>
    <row r="80" spans="2:68" x14ac:dyDescent="0.25">
      <c r="B80" s="344" t="str">
        <f t="shared" si="303"/>
        <v>348,0056560,95957010182</v>
      </c>
    </row>
    <row r="81" spans="2:2" x14ac:dyDescent="0.25">
      <c r="B81" s="344" t="str">
        <f t="shared" si="303"/>
        <v>352,272568,698533089727</v>
      </c>
    </row>
    <row r="82" spans="2:2" x14ac:dyDescent="0.25">
      <c r="B82" s="344" t="str">
        <f t="shared" si="303"/>
        <v>356,5384578,182566939259</v>
      </c>
    </row>
    <row r="83" spans="2:2" x14ac:dyDescent="0.25">
      <c r="B83" s="344" t="str">
        <f t="shared" si="303"/>
        <v>360,8048589,426915837238</v>
      </c>
    </row>
    <row r="84" spans="2:2" x14ac:dyDescent="0.25">
      <c r="B84" s="344" t="str">
        <f t="shared" si="303"/>
        <v>365,0712602,449653417519</v>
      </c>
    </row>
    <row r="85" spans="2:2" x14ac:dyDescent="0.25">
      <c r="B85" s="344" t="str">
        <f t="shared" si="303"/>
        <v>369,3376617,271711811698</v>
      </c>
    </row>
    <row r="86" spans="2:2" x14ac:dyDescent="0.25">
      <c r="B86" s="344" t="str">
        <f t="shared" si="303"/>
        <v>373,604633,916915294426</v>
      </c>
    </row>
    <row r="87" spans="2:2" x14ac:dyDescent="0.25">
      <c r="B87" s="344" t="str">
        <f t="shared" si="303"/>
        <v>377,8704652,412018577421</v>
      </c>
    </row>
    <row r="88" spans="2:2" x14ac:dyDescent="0.25">
      <c r="B88" s="344" t="str">
        <f t="shared" si="303"/>
        <v>382,1368672,786749813723</v>
      </c>
    </row>
    <row r="89" spans="2:2" x14ac:dyDescent="0.25">
      <c r="B89" s="344" t="str">
        <f t="shared" si="303"/>
        <v>386,4032695,073858381319</v>
      </c>
    </row>
    <row r="90" spans="2:2" x14ac:dyDescent="0.25">
      <c r="B90" s="344" t="str">
        <f t="shared" si="303"/>
        <v>390,6696719,309167522947</v>
      </c>
    </row>
    <row r="91" spans="2:2" x14ac:dyDescent="0.25">
      <c r="B91" s="344" t="str">
        <f t="shared" si="303"/>
        <v>394,936745,53163192667</v>
      </c>
    </row>
    <row r="92" spans="2:2" x14ac:dyDescent="0.25">
      <c r="B92" s="344" t="str">
        <f t="shared" si="303"/>
        <v>399,2024773,783400339807</v>
      </c>
    </row>
    <row r="93" spans="2:2" x14ac:dyDescent="0.25">
      <c r="B93" s="344" t="str">
        <f t="shared" si="303"/>
        <v>403,4688804,109883316828</v>
      </c>
    </row>
    <row r="94" spans="2:2" x14ac:dyDescent="0.25">
      <c r="B94" s="344" t="str">
        <f t="shared" si="303"/>
        <v>407,7352836,559826210126</v>
      </c>
    </row>
    <row r="95" spans="2:2" x14ac:dyDescent="0.25">
      <c r="B95" s="344" t="str">
        <f t="shared" si="303"/>
        <v>412,0016871,185387520994</v>
      </c>
    </row>
    <row r="96" spans="2:2" x14ac:dyDescent="0.25">
      <c r="B96" s="344" t="str">
        <f t="shared" si="303"/>
        <v>416,268908,042222736725</v>
      </c>
    </row>
    <row r="97" spans="2:3" x14ac:dyDescent="0.25">
      <c r="B97" s="344" t="str">
        <f t="shared" si="303"/>
        <v>420,5344947,189573788608</v>
      </c>
    </row>
    <row r="98" spans="2:3" x14ac:dyDescent="0.25">
      <c r="B98" s="344" t="str">
        <f t="shared" si="303"/>
        <v>424,8008988,690364274602</v>
      </c>
    </row>
    <row r="99" spans="2:3" x14ac:dyDescent="0.25">
      <c r="B99" s="344" t="str">
        <f t="shared" si="303"/>
        <v>429,06721032,61130059975</v>
      </c>
    </row>
    <row r="100" spans="2:3" x14ac:dyDescent="0.25">
      <c r="B100" s="344" t="str">
        <f t="shared" si="303"/>
        <v>433,33361079,02297919688</v>
      </c>
    </row>
    <row r="101" spans="2:3" ht="14.4" thickBot="1" x14ac:dyDescent="0.3">
      <c r="B101" s="345" t="str">
        <f t="shared" si="303"/>
        <v>437,61128</v>
      </c>
      <c r="C101" s="341">
        <f>Adatok!F21</f>
        <v>17</v>
      </c>
    </row>
    <row r="102" spans="2:3" x14ac:dyDescent="0.25">
      <c r="B102" s="344" t="str">
        <f>IF($I$2&gt;0,CONCATENATE($A$3,I17,$A$4,J17),0)</f>
        <v>441,8991078,15608190287</v>
      </c>
    </row>
    <row r="103" spans="2:3" x14ac:dyDescent="0.25">
      <c r="B103" s="344" t="str">
        <f t="shared" ref="B103:B150" si="320">IF($I$2&gt;0,CONCATENATE($A$3,I18,$A$4,J18),0)</f>
        <v>446,1981030,93120633181</v>
      </c>
    </row>
    <row r="104" spans="2:3" x14ac:dyDescent="0.25">
      <c r="B104" s="344" t="str">
        <f t="shared" si="320"/>
        <v>450,497986,248301641457</v>
      </c>
    </row>
    <row r="105" spans="2:3" x14ac:dyDescent="0.25">
      <c r="B105" s="344" t="str">
        <f t="shared" si="320"/>
        <v>454,796944,034444717832</v>
      </c>
    </row>
    <row r="106" spans="2:3" x14ac:dyDescent="0.25">
      <c r="B106" s="344" t="str">
        <f t="shared" si="320"/>
        <v>459,095904,220741966812</v>
      </c>
    </row>
    <row r="107" spans="2:3" x14ac:dyDescent="0.25">
      <c r="B107" s="344" t="str">
        <f t="shared" si="320"/>
        <v>463,394866,742216878841</v>
      </c>
    </row>
    <row r="108" spans="2:3" x14ac:dyDescent="0.25">
      <c r="B108" s="344" t="str">
        <f t="shared" si="320"/>
        <v>467,693831,537703986368</v>
      </c>
    </row>
    <row r="109" spans="2:3" x14ac:dyDescent="0.25">
      <c r="B109" s="344" t="str">
        <f t="shared" si="320"/>
        <v>471,992798,549749040975</v>
      </c>
    </row>
    <row r="110" spans="2:3" x14ac:dyDescent="0.25">
      <c r="B110" s="344" t="str">
        <f t="shared" si="320"/>
        <v>476,291767,724515247243</v>
      </c>
    </row>
    <row r="111" spans="2:3" x14ac:dyDescent="0.25">
      <c r="B111" s="344" t="str">
        <f t="shared" si="320"/>
        <v>480,59739,011695400372</v>
      </c>
    </row>
    <row r="112" spans="2:3" x14ac:dyDescent="0.25">
      <c r="B112" s="344" t="str">
        <f t="shared" si="320"/>
        <v>484,889712,364429784125</v>
      </c>
    </row>
    <row r="113" spans="2:2" x14ac:dyDescent="0.25">
      <c r="B113" s="344" t="str">
        <f t="shared" si="320"/>
        <v>489,188687,739229695132</v>
      </c>
    </row>
    <row r="114" spans="2:2" x14ac:dyDescent="0.25">
      <c r="B114" s="344" t="str">
        <f t="shared" si="320"/>
        <v>493,487665,095906468729</v>
      </c>
    </row>
    <row r="115" spans="2:2" x14ac:dyDescent="0.25">
      <c r="B115" s="344" t="str">
        <f t="shared" si="320"/>
        <v>497,786644,397505890503</v>
      </c>
    </row>
    <row r="116" spans="2:2" x14ac:dyDescent="0.25">
      <c r="B116" s="344" t="str">
        <f t="shared" si="320"/>
        <v>502,085625,610247886506</v>
      </c>
    </row>
    <row r="117" spans="2:2" x14ac:dyDescent="0.25">
      <c r="B117" s="344" t="str">
        <f t="shared" si="320"/>
        <v>506,384608,703471393717</v>
      </c>
    </row>
    <row r="118" spans="2:2" x14ac:dyDescent="0.25">
      <c r="B118" s="344" t="str">
        <f t="shared" si="320"/>
        <v>510,683593,649584320758</v>
      </c>
    </row>
    <row r="119" spans="2:2" x14ac:dyDescent="0.25">
      <c r="B119" s="344" t="str">
        <f t="shared" si="320"/>
        <v>514,982580,424018517225</v>
      </c>
    </row>
    <row r="120" spans="2:2" x14ac:dyDescent="0.25">
      <c r="B120" s="344" t="str">
        <f t="shared" si="320"/>
        <v>519,281569,005189678132</v>
      </c>
    </row>
    <row r="121" spans="2:2" x14ac:dyDescent="0.25">
      <c r="B121" s="344" t="str">
        <f t="shared" si="320"/>
        <v>523,58559,374462118026</v>
      </c>
    </row>
    <row r="122" spans="2:2" x14ac:dyDescent="0.25">
      <c r="B122" s="344" t="str">
        <f t="shared" si="320"/>
        <v>527,879551,516118357292</v>
      </c>
    </row>
    <row r="123" spans="2:2" x14ac:dyDescent="0.25">
      <c r="B123" s="344" t="str">
        <f t="shared" si="320"/>
        <v>532,178545,417333471013</v>
      </c>
    </row>
    <row r="124" spans="2:2" x14ac:dyDescent="0.25">
      <c r="B124" s="344" t="str">
        <f t="shared" si="320"/>
        <v>536,477541,068154158514</v>
      </c>
    </row>
    <row r="125" spans="2:2" x14ac:dyDescent="0.25">
      <c r="B125" s="344" t="str">
        <f t="shared" si="320"/>
        <v>540,776538,461482499441</v>
      </c>
    </row>
    <row r="126" spans="2:2" x14ac:dyDescent="0.25">
      <c r="B126" s="344" t="str">
        <f t="shared" si="320"/>
        <v>545,075537,593064369853</v>
      </c>
    </row>
    <row r="127" spans="2:2" x14ac:dyDescent="0.25">
      <c r="B127" s="344" t="str">
        <f t="shared" si="320"/>
        <v>549,374538,461482499441</v>
      </c>
    </row>
    <row r="128" spans="2:2" x14ac:dyDescent="0.25">
      <c r="B128" s="344" t="str">
        <f t="shared" si="320"/>
        <v>553,673541,068154158514</v>
      </c>
    </row>
    <row r="129" spans="2:2" x14ac:dyDescent="0.25">
      <c r="B129" s="344" t="str">
        <f t="shared" si="320"/>
        <v>557,972545,417333471013</v>
      </c>
    </row>
    <row r="130" spans="2:2" x14ac:dyDescent="0.25">
      <c r="B130" s="344" t="str">
        <f t="shared" si="320"/>
        <v>562,271551,516118357292</v>
      </c>
    </row>
    <row r="131" spans="2:2" x14ac:dyDescent="0.25">
      <c r="B131" s="344" t="str">
        <f t="shared" si="320"/>
        <v>566,57559,374462118026</v>
      </c>
    </row>
    <row r="132" spans="2:2" x14ac:dyDescent="0.25">
      <c r="B132" s="344" t="str">
        <f t="shared" si="320"/>
        <v>570,869569,005189678132</v>
      </c>
    </row>
    <row r="133" spans="2:2" x14ac:dyDescent="0.25">
      <c r="B133" s="344" t="str">
        <f t="shared" si="320"/>
        <v>575,168580,424018517225</v>
      </c>
    </row>
    <row r="134" spans="2:2" x14ac:dyDescent="0.25">
      <c r="B134" s="344" t="str">
        <f t="shared" si="320"/>
        <v>579,467593,649584320758</v>
      </c>
    </row>
    <row r="135" spans="2:2" x14ac:dyDescent="0.25">
      <c r="B135" s="344" t="str">
        <f t="shared" si="320"/>
        <v>583,766608,703471393717</v>
      </c>
    </row>
    <row r="136" spans="2:2" x14ac:dyDescent="0.25">
      <c r="B136" s="344" t="str">
        <f t="shared" si="320"/>
        <v>588,065625,610247886507</v>
      </c>
    </row>
    <row r="137" spans="2:2" x14ac:dyDescent="0.25">
      <c r="B137" s="344" t="str">
        <f t="shared" si="320"/>
        <v>592,364644,397505890503</v>
      </c>
    </row>
    <row r="138" spans="2:2" x14ac:dyDescent="0.25">
      <c r="B138" s="344" t="str">
        <f t="shared" si="320"/>
        <v>596,663665,095906468729</v>
      </c>
    </row>
    <row r="139" spans="2:2" x14ac:dyDescent="0.25">
      <c r="B139" s="344" t="str">
        <f t="shared" si="320"/>
        <v>600,962687,739229695132</v>
      </c>
    </row>
    <row r="140" spans="2:2" x14ac:dyDescent="0.25">
      <c r="B140" s="344" t="str">
        <f t="shared" si="320"/>
        <v>605,261712,364429784125</v>
      </c>
    </row>
    <row r="141" spans="2:2" x14ac:dyDescent="0.25">
      <c r="B141" s="344" t="str">
        <f t="shared" si="320"/>
        <v>609,56739,011695400372</v>
      </c>
    </row>
    <row r="142" spans="2:2" x14ac:dyDescent="0.25">
      <c r="B142" s="344" t="str">
        <f t="shared" si="320"/>
        <v>613,859767,724515247243</v>
      </c>
    </row>
    <row r="143" spans="2:2" x14ac:dyDescent="0.25">
      <c r="B143" s="344" t="str">
        <f t="shared" si="320"/>
        <v>618,158798,549749040975</v>
      </c>
    </row>
    <row r="144" spans="2:2" x14ac:dyDescent="0.25">
      <c r="B144" s="344" t="str">
        <f t="shared" si="320"/>
        <v>622,457831,537703986368</v>
      </c>
    </row>
    <row r="145" spans="2:3" x14ac:dyDescent="0.25">
      <c r="B145" s="344" t="str">
        <f t="shared" si="320"/>
        <v>626,756866,74221687884</v>
      </c>
    </row>
    <row r="146" spans="2:3" x14ac:dyDescent="0.25">
      <c r="B146" s="344" t="str">
        <f t="shared" si="320"/>
        <v>631,055904,220741966812</v>
      </c>
    </row>
    <row r="147" spans="2:3" x14ac:dyDescent="0.25">
      <c r="B147" s="344" t="str">
        <f t="shared" si="320"/>
        <v>635,354944,034444717832</v>
      </c>
    </row>
    <row r="148" spans="2:3" x14ac:dyDescent="0.25">
      <c r="B148" s="344" t="str">
        <f t="shared" si="320"/>
        <v>639,653986,248301641457</v>
      </c>
    </row>
    <row r="149" spans="2:3" x14ac:dyDescent="0.25">
      <c r="B149" s="344" t="str">
        <f t="shared" si="320"/>
        <v>643,9521030,93120633181</v>
      </c>
    </row>
    <row r="150" spans="2:3" x14ac:dyDescent="0.25">
      <c r="B150" s="344" t="str">
        <f t="shared" si="320"/>
        <v>648,2511078,15608190287</v>
      </c>
    </row>
    <row r="151" spans="2:3" ht="14.4" thickBot="1" x14ac:dyDescent="0.3">
      <c r="B151" s="345" t="str">
        <f>IF($I$2&gt;0,CONCATENATE($A$3,I66,$A$4,J66),0)</f>
        <v>652,551128</v>
      </c>
      <c r="C151" s="341">
        <f>Adatok!F22</f>
        <v>18</v>
      </c>
    </row>
    <row r="152" spans="2:3" x14ac:dyDescent="0.25">
      <c r="B152" s="343" t="str">
        <f>IF($K$2&gt;0,CONCATENATE($A$3,K17,$A$4,L17),0)</f>
        <v>656,4181088,81885085678</v>
      </c>
    </row>
    <row r="153" spans="2:3" x14ac:dyDescent="0.25">
      <c r="B153" s="344" t="str">
        <f t="shared" ref="B153:B201" si="321">IF($K$2&gt;0,CONCATENATE($A$3,K18,$A$4,L18),0)</f>
        <v>660,2861051,6134027691</v>
      </c>
    </row>
    <row r="154" spans="2:3" x14ac:dyDescent="0.25">
      <c r="B154" s="344" t="str">
        <f t="shared" si="321"/>
        <v>664,1541016,33450193215</v>
      </c>
    </row>
    <row r="155" spans="2:3" x14ac:dyDescent="0.25">
      <c r="B155" s="344" t="str">
        <f t="shared" si="321"/>
        <v>668,022982,935539790045</v>
      </c>
    </row>
    <row r="156" spans="2:3" x14ac:dyDescent="0.25">
      <c r="B156" s="344" t="str">
        <f t="shared" si="321"/>
        <v>671,89951,372391459199</v>
      </c>
    </row>
    <row r="157" spans="2:3" x14ac:dyDescent="0.25">
      <c r="B157" s="344" t="str">
        <f t="shared" si="321"/>
        <v>675,758921,603357432893</v>
      </c>
    </row>
    <row r="158" spans="2:3" x14ac:dyDescent="0.25">
      <c r="B158" s="344" t="str">
        <f t="shared" si="321"/>
        <v>679,626893,589108490188</v>
      </c>
    </row>
    <row r="159" spans="2:3" x14ac:dyDescent="0.25">
      <c r="B159" s="344" t="str">
        <f t="shared" si="321"/>
        <v>683,494867,292633736299</v>
      </c>
    </row>
    <row r="160" spans="2:3" x14ac:dyDescent="0.25">
      <c r="B160" s="344" t="str">
        <f t="shared" si="321"/>
        <v>687,362842,67919170583</v>
      </c>
    </row>
    <row r="161" spans="2:2" x14ac:dyDescent="0.25">
      <c r="B161" s="344" t="str">
        <f t="shared" si="321"/>
        <v>691,23819,716264464243</v>
      </c>
    </row>
    <row r="162" spans="2:2" x14ac:dyDescent="0.25">
      <c r="B162" s="344" t="str">
        <f t="shared" si="321"/>
        <v>695,098798,37351464694</v>
      </c>
    </row>
    <row r="163" spans="2:2" x14ac:dyDescent="0.25">
      <c r="B163" s="344" t="str">
        <f t="shared" si="321"/>
        <v>698,966778,622745379201</v>
      </c>
    </row>
    <row r="164" spans="2:2" x14ac:dyDescent="0.25">
      <c r="B164" s="344" t="str">
        <f t="shared" si="321"/>
        <v>702,834760,437863024007</v>
      </c>
    </row>
    <row r="165" spans="2:2" x14ac:dyDescent="0.25">
      <c r="B165" s="344" t="str">
        <f t="shared" si="321"/>
        <v>706,702743,794842708556</v>
      </c>
    </row>
    <row r="166" spans="2:2" x14ac:dyDescent="0.25">
      <c r="B166" s="344" t="str">
        <f t="shared" si="321"/>
        <v>710,57728,671696583913</v>
      </c>
    </row>
    <row r="167" spans="2:2" x14ac:dyDescent="0.25">
      <c r="B167" s="344" t="str">
        <f t="shared" si="321"/>
        <v>714,438715,048444775866</v>
      </c>
    </row>
    <row r="168" spans="2:2" x14ac:dyDescent="0.25">
      <c r="B168" s="344" t="str">
        <f t="shared" si="321"/>
        <v>718,306702,907088988608</v>
      </c>
    </row>
    <row r="169" spans="2:2" x14ac:dyDescent="0.25">
      <c r="B169" s="344" t="str">
        <f t="shared" si="321"/>
        <v>722,174692,231588726374</v>
      </c>
    </row>
    <row r="170" spans="2:2" x14ac:dyDescent="0.25">
      <c r="B170" s="344" t="str">
        <f t="shared" si="321"/>
        <v>726,042683,007840101609</v>
      </c>
    </row>
    <row r="171" spans="2:2" x14ac:dyDescent="0.25">
      <c r="B171" s="344" t="str">
        <f t="shared" si="321"/>
        <v>729,91675,22365720169</v>
      </c>
    </row>
    <row r="172" spans="2:2" x14ac:dyDescent="0.25">
      <c r="B172" s="344" t="str">
        <f t="shared" si="321"/>
        <v>733,778668,868755989559</v>
      </c>
    </row>
    <row r="173" spans="2:2" x14ac:dyDescent="0.25">
      <c r="B173" s="344" t="str">
        <f t="shared" si="321"/>
        <v>737,646663,934740717016</v>
      </c>
    </row>
    <row r="174" spans="2:2" x14ac:dyDescent="0.25">
      <c r="B174" s="344" t="str">
        <f t="shared" si="321"/>
        <v>741,514660,415092832716</v>
      </c>
    </row>
    <row r="175" spans="2:2" x14ac:dyDescent="0.25">
      <c r="B175" s="344" t="str">
        <f t="shared" si="321"/>
        <v>745,382658,305162370217</v>
      </c>
    </row>
    <row r="176" spans="2:2" x14ac:dyDescent="0.25">
      <c r="B176" s="344" t="str">
        <f t="shared" si="321"/>
        <v>749,25657,602161804693</v>
      </c>
    </row>
    <row r="177" spans="2:2" x14ac:dyDescent="0.25">
      <c r="B177" s="344" t="str">
        <f t="shared" si="321"/>
        <v>753,118658,305162370217</v>
      </c>
    </row>
    <row r="178" spans="2:2" x14ac:dyDescent="0.25">
      <c r="B178" s="344" t="str">
        <f t="shared" si="321"/>
        <v>756,986660,415092832716</v>
      </c>
    </row>
    <row r="179" spans="2:2" x14ac:dyDescent="0.25">
      <c r="B179" s="344" t="str">
        <f t="shared" si="321"/>
        <v>760,854663,934740717016</v>
      </c>
    </row>
    <row r="180" spans="2:2" x14ac:dyDescent="0.25">
      <c r="B180" s="344" t="str">
        <f t="shared" si="321"/>
        <v>764,722668,868755989559</v>
      </c>
    </row>
    <row r="181" spans="2:2" x14ac:dyDescent="0.25">
      <c r="B181" s="344" t="str">
        <f t="shared" si="321"/>
        <v>768,59675,22365720169</v>
      </c>
    </row>
    <row r="182" spans="2:2" x14ac:dyDescent="0.25">
      <c r="B182" s="344" t="str">
        <f t="shared" si="321"/>
        <v>772,458683,007840101609</v>
      </c>
    </row>
    <row r="183" spans="2:2" x14ac:dyDescent="0.25">
      <c r="B183" s="344" t="str">
        <f t="shared" si="321"/>
        <v>776,326692,231588726374</v>
      </c>
    </row>
    <row r="184" spans="2:2" x14ac:dyDescent="0.25">
      <c r="B184" s="344" t="str">
        <f t="shared" si="321"/>
        <v>780,194702,907088988608</v>
      </c>
    </row>
    <row r="185" spans="2:2" x14ac:dyDescent="0.25">
      <c r="B185" s="344" t="str">
        <f t="shared" si="321"/>
        <v>784,062715,048444775866</v>
      </c>
    </row>
    <row r="186" spans="2:2" x14ac:dyDescent="0.25">
      <c r="B186" s="344" t="str">
        <f t="shared" si="321"/>
        <v>787,93728,671696583913</v>
      </c>
    </row>
    <row r="187" spans="2:2" x14ac:dyDescent="0.25">
      <c r="B187" s="344" t="str">
        <f t="shared" si="321"/>
        <v>791,798743,794842708556</v>
      </c>
    </row>
    <row r="188" spans="2:2" x14ac:dyDescent="0.25">
      <c r="B188" s="344" t="str">
        <f t="shared" si="321"/>
        <v>795,666760,437863024007</v>
      </c>
    </row>
    <row r="189" spans="2:2" x14ac:dyDescent="0.25">
      <c r="B189" s="344" t="str">
        <f t="shared" si="321"/>
        <v>799,534778,622745379201</v>
      </c>
    </row>
    <row r="190" spans="2:2" x14ac:dyDescent="0.25">
      <c r="B190" s="344" t="str">
        <f t="shared" si="321"/>
        <v>803,402798,37351464694</v>
      </c>
    </row>
    <row r="191" spans="2:2" x14ac:dyDescent="0.25">
      <c r="B191" s="344" t="str">
        <f t="shared" si="321"/>
        <v>807,27819,716264464243</v>
      </c>
    </row>
    <row r="192" spans="2:2" x14ac:dyDescent="0.25">
      <c r="B192" s="344" t="str">
        <f t="shared" si="321"/>
        <v>811,138842,67919170583</v>
      </c>
    </row>
    <row r="193" spans="2:3" x14ac:dyDescent="0.25">
      <c r="B193" s="344" t="str">
        <f t="shared" si="321"/>
        <v>815,006867,2926337363</v>
      </c>
    </row>
    <row r="194" spans="2:3" x14ac:dyDescent="0.25">
      <c r="B194" s="344" t="str">
        <f t="shared" si="321"/>
        <v>818,874893,589108490188</v>
      </c>
    </row>
    <row r="195" spans="2:3" x14ac:dyDescent="0.25">
      <c r="B195" s="344" t="str">
        <f t="shared" si="321"/>
        <v>822,742921,603357432893</v>
      </c>
    </row>
    <row r="196" spans="2:3" x14ac:dyDescent="0.25">
      <c r="B196" s="344" t="str">
        <f t="shared" si="321"/>
        <v>826,61951,372391459199</v>
      </c>
    </row>
    <row r="197" spans="2:3" x14ac:dyDescent="0.25">
      <c r="B197" s="344" t="str">
        <f t="shared" si="321"/>
        <v>830,478982,935539790045</v>
      </c>
    </row>
    <row r="198" spans="2:3" x14ac:dyDescent="0.25">
      <c r="B198" s="344" t="str">
        <f t="shared" si="321"/>
        <v>834,3461016,33450193215</v>
      </c>
    </row>
    <row r="199" spans="2:3" x14ac:dyDescent="0.25">
      <c r="B199" s="344" t="str">
        <f t="shared" si="321"/>
        <v>838,2141051,6134027691</v>
      </c>
    </row>
    <row r="200" spans="2:3" x14ac:dyDescent="0.25">
      <c r="B200" s="344" t="str">
        <f t="shared" si="321"/>
        <v>842,0821088,81885085678</v>
      </c>
    </row>
    <row r="201" spans="2:3" ht="14.4" thickBot="1" x14ac:dyDescent="0.3">
      <c r="B201" s="345" t="str">
        <f t="shared" si="321"/>
        <v>845,951128</v>
      </c>
      <c r="C201" s="341">
        <f>Adatok!F23</f>
        <v>19</v>
      </c>
    </row>
    <row r="202" spans="2:3" x14ac:dyDescent="0.25">
      <c r="B202" s="343" t="str">
        <f>IF($M$2&gt;0,CONCATENATE($A$3,M17,$A$4,N17),0)</f>
        <v>849,98581084,8686603239</v>
      </c>
    </row>
    <row r="203" spans="2:3" x14ac:dyDescent="0.25">
      <c r="B203" s="344" t="str">
        <f t="shared" ref="B203:B251" si="322">IF($M$2&gt;0,CONCATENATE($A$3,M18,$A$4,N18),0)</f>
        <v>854,02161043,94691352584</v>
      </c>
    </row>
    <row r="204" spans="2:3" x14ac:dyDescent="0.25">
      <c r="B204" s="344" t="str">
        <f t="shared" si="322"/>
        <v>858,05741005,17590298226</v>
      </c>
    </row>
    <row r="205" spans="2:3" x14ac:dyDescent="0.25">
      <c r="B205" s="344" t="str">
        <f t="shared" si="322"/>
        <v>862,0932968,49986541444</v>
      </c>
    </row>
    <row r="206" spans="2:3" x14ac:dyDescent="0.25">
      <c r="B206" s="344" t="str">
        <f t="shared" si="322"/>
        <v>866,129933,866050685714</v>
      </c>
    </row>
    <row r="207" spans="2:3" x14ac:dyDescent="0.25">
      <c r="B207" s="344" t="str">
        <f t="shared" si="322"/>
        <v>870,1648901,224645932378</v>
      </c>
    </row>
    <row r="208" spans="2:3" x14ac:dyDescent="0.25">
      <c r="B208" s="344" t="str">
        <f t="shared" si="322"/>
        <v>874,2006870,528703919233</v>
      </c>
    </row>
    <row r="209" spans="2:2" x14ac:dyDescent="0.25">
      <c r="B209" s="344" t="str">
        <f t="shared" si="322"/>
        <v>878,2364841,734075516659</v>
      </c>
    </row>
    <row r="210" spans="2:2" x14ac:dyDescent="0.25">
      <c r="B210" s="344" t="str">
        <f t="shared" si="322"/>
        <v>882,2722814,79934620214</v>
      </c>
    </row>
    <row r="211" spans="2:2" x14ac:dyDescent="0.25">
      <c r="B211" s="344" t="str">
        <f t="shared" si="322"/>
        <v>886,308789,68577649489</v>
      </c>
    </row>
    <row r="212" spans="2:2" x14ac:dyDescent="0.25">
      <c r="B212" s="344" t="str">
        <f t="shared" si="322"/>
        <v>890,3438766,357246237929</v>
      </c>
    </row>
    <row r="213" spans="2:2" x14ac:dyDescent="0.25">
      <c r="B213" s="344" t="str">
        <f t="shared" si="322"/>
        <v>894,3796744,780202647451</v>
      </c>
    </row>
    <row r="214" spans="2:2" x14ac:dyDescent="0.25">
      <c r="B214" s="344" t="str">
        <f t="shared" si="322"/>
        <v>898,4154724,923612054773</v>
      </c>
    </row>
    <row r="215" spans="2:2" x14ac:dyDescent="0.25">
      <c r="B215" s="344" t="str">
        <f t="shared" si="322"/>
        <v>902,4512706,75891527147</v>
      </c>
    </row>
    <row r="216" spans="2:2" x14ac:dyDescent="0.25">
      <c r="B216" s="344" t="str">
        <f t="shared" si="322"/>
        <v>906,487690,259986513474</v>
      </c>
    </row>
    <row r="217" spans="2:2" x14ac:dyDescent="0.25">
      <c r="B217" s="344" t="str">
        <f t="shared" si="322"/>
        <v>910,5228675,403095825081</v>
      </c>
    </row>
    <row r="218" spans="2:2" x14ac:dyDescent="0.25">
      <c r="B218" s="344" t="str">
        <f t="shared" si="322"/>
        <v>914,5586662,166874948803</v>
      </c>
    </row>
    <row r="219" spans="2:2" x14ac:dyDescent="0.25">
      <c r="B219" s="344" t="str">
        <f t="shared" si="322"/>
        <v>918,5944650,532286591995</v>
      </c>
    </row>
    <row r="220" spans="2:2" x14ac:dyDescent="0.25">
      <c r="B220" s="344" t="str">
        <f t="shared" si="322"/>
        <v>922,6302640,482597046037</v>
      </c>
    </row>
    <row r="221" spans="2:2" x14ac:dyDescent="0.25">
      <c r="B221" s="344" t="str">
        <f t="shared" si="322"/>
        <v>926,666632,003352118705</v>
      </c>
    </row>
    <row r="222" spans="2:2" x14ac:dyDescent="0.25">
      <c r="B222" s="344" t="str">
        <f t="shared" si="322"/>
        <v>930,7018625,082356345099</v>
      </c>
    </row>
    <row r="223" spans="2:2" x14ac:dyDescent="0.25">
      <c r="B223" s="344" t="str">
        <f t="shared" si="322"/>
        <v>934,7376619,709655447245</v>
      </c>
    </row>
    <row r="224" spans="2:2" x14ac:dyDescent="0.25">
      <c r="B224" s="344" t="str">
        <f t="shared" si="322"/>
        <v>938,7734615,877522017127</v>
      </c>
    </row>
    <row r="225" spans="2:2" x14ac:dyDescent="0.25">
      <c r="B225" s="344" t="str">
        <f t="shared" si="322"/>
        <v>942,8092613,580444402572</v>
      </c>
    </row>
    <row r="226" spans="2:2" x14ac:dyDescent="0.25">
      <c r="B226" s="344" t="str">
        <f t="shared" si="322"/>
        <v>946,845612,815118779988</v>
      </c>
    </row>
    <row r="227" spans="2:2" x14ac:dyDescent="0.25">
      <c r="B227" s="344" t="str">
        <f t="shared" si="322"/>
        <v>950,8808613,580444402572</v>
      </c>
    </row>
    <row r="228" spans="2:2" x14ac:dyDescent="0.25">
      <c r="B228" s="344" t="str">
        <f t="shared" si="322"/>
        <v>954,9166615,877522017127</v>
      </c>
    </row>
    <row r="229" spans="2:2" x14ac:dyDescent="0.25">
      <c r="B229" s="344" t="str">
        <f t="shared" si="322"/>
        <v>958,9524619,709655447245</v>
      </c>
    </row>
    <row r="230" spans="2:2" x14ac:dyDescent="0.25">
      <c r="B230" s="344" t="str">
        <f t="shared" si="322"/>
        <v>962,9882625,082356345099</v>
      </c>
    </row>
    <row r="231" spans="2:2" x14ac:dyDescent="0.25">
      <c r="B231" s="344" t="str">
        <f t="shared" si="322"/>
        <v>967,024632,003352118705</v>
      </c>
    </row>
    <row r="232" spans="2:2" x14ac:dyDescent="0.25">
      <c r="B232" s="344" t="str">
        <f t="shared" si="322"/>
        <v>971,0598640,482597046037</v>
      </c>
    </row>
    <row r="233" spans="2:2" x14ac:dyDescent="0.25">
      <c r="B233" s="344" t="str">
        <f t="shared" si="322"/>
        <v>975,0956650,532286591995</v>
      </c>
    </row>
    <row r="234" spans="2:2" x14ac:dyDescent="0.25">
      <c r="B234" s="344" t="str">
        <f t="shared" si="322"/>
        <v>979,1314662,166874948803</v>
      </c>
    </row>
    <row r="235" spans="2:2" x14ac:dyDescent="0.25">
      <c r="B235" s="344" t="str">
        <f t="shared" si="322"/>
        <v>983,1672675,403095825081</v>
      </c>
    </row>
    <row r="236" spans="2:2" x14ac:dyDescent="0.25">
      <c r="B236" s="344" t="str">
        <f t="shared" si="322"/>
        <v>987,203690,259986513474</v>
      </c>
    </row>
    <row r="237" spans="2:2" x14ac:dyDescent="0.25">
      <c r="B237" s="344" t="str">
        <f t="shared" si="322"/>
        <v>991,2388706,75891527147</v>
      </c>
    </row>
    <row r="238" spans="2:2" x14ac:dyDescent="0.25">
      <c r="B238" s="344" t="str">
        <f t="shared" si="322"/>
        <v>995,2746724,923612054773</v>
      </c>
    </row>
    <row r="239" spans="2:2" x14ac:dyDescent="0.25">
      <c r="B239" s="344" t="str">
        <f t="shared" si="322"/>
        <v>999,3104744,780202647451</v>
      </c>
    </row>
    <row r="240" spans="2:2" x14ac:dyDescent="0.25">
      <c r="B240" s="344" t="str">
        <f t="shared" si="322"/>
        <v>1003,3462766,357246237929</v>
      </c>
    </row>
    <row r="241" spans="2:3" x14ac:dyDescent="0.25">
      <c r="B241" s="344" t="str">
        <f t="shared" si="322"/>
        <v>1007,382789,68577649489</v>
      </c>
    </row>
    <row r="242" spans="2:3" x14ac:dyDescent="0.25">
      <c r="B242" s="344" t="str">
        <f t="shared" si="322"/>
        <v>1011,4178814,79934620214</v>
      </c>
    </row>
    <row r="243" spans="2:3" x14ac:dyDescent="0.25">
      <c r="B243" s="344" t="str">
        <f t="shared" si="322"/>
        <v>1015,4536841,734075516659</v>
      </c>
    </row>
    <row r="244" spans="2:3" x14ac:dyDescent="0.25">
      <c r="B244" s="344" t="str">
        <f t="shared" si="322"/>
        <v>1019,4894870,528703919234</v>
      </c>
    </row>
    <row r="245" spans="2:3" x14ac:dyDescent="0.25">
      <c r="B245" s="344" t="str">
        <f t="shared" si="322"/>
        <v>1023,5252901,224645932378</v>
      </c>
    </row>
    <row r="246" spans="2:3" x14ac:dyDescent="0.25">
      <c r="B246" s="344" t="str">
        <f t="shared" si="322"/>
        <v>1027,561933,866050685714</v>
      </c>
    </row>
    <row r="247" spans="2:3" x14ac:dyDescent="0.25">
      <c r="B247" s="344" t="str">
        <f t="shared" si="322"/>
        <v>1031,5968968,49986541444</v>
      </c>
    </row>
    <row r="248" spans="2:3" x14ac:dyDescent="0.25">
      <c r="B248" s="344" t="str">
        <f t="shared" si="322"/>
        <v>1035,63261005,17590298226</v>
      </c>
    </row>
    <row r="249" spans="2:3" x14ac:dyDescent="0.25">
      <c r="B249" s="344" t="str">
        <f t="shared" si="322"/>
        <v>1039,66841043,94691352584</v>
      </c>
    </row>
    <row r="250" spans="2:3" x14ac:dyDescent="0.25">
      <c r="B250" s="344" t="str">
        <f t="shared" si="322"/>
        <v>1043,70421084,8686603239</v>
      </c>
    </row>
    <row r="251" spans="2:3" ht="14.4" thickBot="1" x14ac:dyDescent="0.3">
      <c r="B251" s="345" t="str">
        <f t="shared" si="322"/>
        <v>1047,741128</v>
      </c>
      <c r="C251" s="341">
        <f>Adatok!F24</f>
        <v>20</v>
      </c>
    </row>
    <row r="252" spans="2:3" x14ac:dyDescent="0.25">
      <c r="B252" s="343" t="str">
        <f>IF($O$2&gt;0,CONCATENATE($A$3,O17,$A$4,P17),0)</f>
        <v>1051,92361081,17909830262</v>
      </c>
    </row>
    <row r="253" spans="2:3" x14ac:dyDescent="0.25">
      <c r="B253" s="344" t="str">
        <f t="shared" ref="B253:B301" si="323">IF($O$2&gt;0,CONCATENATE($A$3,O18,$A$4,P18),0)</f>
        <v>1056,10721036,79102134491</v>
      </c>
    </row>
    <row r="254" spans="2:3" x14ac:dyDescent="0.25">
      <c r="B254" s="344" t="str">
        <f t="shared" si="323"/>
        <v>1060,2908994,767164654445</v>
      </c>
    </row>
    <row r="255" spans="2:3" x14ac:dyDescent="0.25">
      <c r="B255" s="344" t="str">
        <f t="shared" si="323"/>
        <v>1064,4744955,042577804958</v>
      </c>
    </row>
    <row r="256" spans="2:3" x14ac:dyDescent="0.25">
      <c r="B256" s="344" t="str">
        <f t="shared" si="323"/>
        <v>1068,658917,555864031576</v>
      </c>
    </row>
    <row r="257" spans="2:2" x14ac:dyDescent="0.25">
      <c r="B257" s="344" t="str">
        <f t="shared" si="323"/>
        <v>1072,8416882,249085338363</v>
      </c>
    </row>
    <row r="258" spans="2:2" x14ac:dyDescent="0.25">
      <c r="B258" s="344" t="str">
        <f t="shared" si="323"/>
        <v>1077,0252849,067672951621</v>
      </c>
    </row>
    <row r="259" spans="2:2" x14ac:dyDescent="0.25">
      <c r="B259" s="344" t="str">
        <f t="shared" si="323"/>
        <v>1081,2088817,960342980539</v>
      </c>
    </row>
    <row r="260" spans="2:2" x14ac:dyDescent="0.25">
      <c r="B260" s="344" t="str">
        <f t="shared" si="323"/>
        <v>1085,3924788,879017154814</v>
      </c>
    </row>
    <row r="261" spans="2:2" x14ac:dyDescent="0.25">
      <c r="B261" s="344" t="str">
        <f t="shared" si="323"/>
        <v>1089,576761,778748516766</v>
      </c>
    </row>
    <row r="262" spans="2:2" x14ac:dyDescent="0.25">
      <c r="B262" s="344" t="str">
        <f t="shared" si="323"/>
        <v>1093,7596736,617651953078</v>
      </c>
    </row>
    <row r="263" spans="2:2" x14ac:dyDescent="0.25">
      <c r="B263" s="344" t="str">
        <f t="shared" si="323"/>
        <v>1097,9432713,356839458809</v>
      </c>
    </row>
    <row r="264" spans="2:2" x14ac:dyDescent="0.25">
      <c r="B264" s="344" t="str">
        <f t="shared" si="323"/>
        <v>1102,1268691,96036003361</v>
      </c>
    </row>
    <row r="265" spans="2:2" x14ac:dyDescent="0.25">
      <c r="B265" s="344" t="str">
        <f t="shared" si="323"/>
        <v>1106,3104672,39514411728</v>
      </c>
    </row>
    <row r="266" spans="2:2" x14ac:dyDescent="0.25">
      <c r="B266" s="344" t="str">
        <f t="shared" si="323"/>
        <v>1110,494654,630952478734</v>
      </c>
    </row>
    <row r="267" spans="2:2" x14ac:dyDescent="0.25">
      <c r="B267" s="344" t="str">
        <f t="shared" si="323"/>
        <v>1114,6776638,640329479445</v>
      </c>
    </row>
    <row r="268" spans="2:2" x14ac:dyDescent="0.25">
      <c r="B268" s="344" t="str">
        <f t="shared" si="323"/>
        <v>1118,8612624,398560639077</v>
      </c>
    </row>
    <row r="269" spans="2:2" x14ac:dyDescent="0.25">
      <c r="B269" s="344" t="str">
        <f t="shared" si="323"/>
        <v>1123,0448611,883634437757</v>
      </c>
    </row>
    <row r="270" spans="2:2" x14ac:dyDescent="0.25">
      <c r="B270" s="344" t="str">
        <f t="shared" si="323"/>
        <v>1127,2284601,07620829593</v>
      </c>
    </row>
    <row r="271" spans="2:2" x14ac:dyDescent="0.25">
      <c r="B271" s="344" t="str">
        <f t="shared" si="323"/>
        <v>1131,412591,959578679226</v>
      </c>
    </row>
    <row r="272" spans="2:2" x14ac:dyDescent="0.25">
      <c r="B272" s="344" t="str">
        <f t="shared" si="323"/>
        <v>1135,5956584,519655282133</v>
      </c>
    </row>
    <row r="273" spans="2:2" x14ac:dyDescent="0.25">
      <c r="B273" s="344" t="str">
        <f t="shared" si="323"/>
        <v>1139,7792578,744939250574</v>
      </c>
    </row>
    <row r="274" spans="2:2" x14ac:dyDescent="0.25">
      <c r="B274" s="344" t="str">
        <f t="shared" si="323"/>
        <v>1143,9628574,626505409724</v>
      </c>
    </row>
    <row r="275" spans="2:2" x14ac:dyDescent="0.25">
      <c r="B275" s="344" t="str">
        <f t="shared" si="323"/>
        <v>1148,1464572,157988469615</v>
      </c>
    </row>
    <row r="276" spans="2:2" x14ac:dyDescent="0.25">
      <c r="B276" s="344" t="str">
        <f t="shared" si="323"/>
        <v>1152,33571,335573187191</v>
      </c>
    </row>
    <row r="277" spans="2:2" x14ac:dyDescent="0.25">
      <c r="B277" s="344" t="str">
        <f t="shared" si="323"/>
        <v>1156,5136572,157988469615</v>
      </c>
    </row>
    <row r="278" spans="2:2" x14ac:dyDescent="0.25">
      <c r="B278" s="344" t="str">
        <f t="shared" si="323"/>
        <v>1160,6972574,626505409724</v>
      </c>
    </row>
    <row r="279" spans="2:2" x14ac:dyDescent="0.25">
      <c r="B279" s="344" t="str">
        <f t="shared" si="323"/>
        <v>1164,8808578,744939250574</v>
      </c>
    </row>
    <row r="280" spans="2:2" x14ac:dyDescent="0.25">
      <c r="B280" s="344" t="str">
        <f t="shared" si="323"/>
        <v>1169,0644584,519655282133</v>
      </c>
    </row>
    <row r="281" spans="2:2" x14ac:dyDescent="0.25">
      <c r="B281" s="344" t="str">
        <f t="shared" si="323"/>
        <v>1173,248591,959578679226</v>
      </c>
    </row>
    <row r="282" spans="2:2" x14ac:dyDescent="0.25">
      <c r="B282" s="344" t="str">
        <f t="shared" si="323"/>
        <v>1177,4316601,07620829593</v>
      </c>
    </row>
    <row r="283" spans="2:2" x14ac:dyDescent="0.25">
      <c r="B283" s="344" t="str">
        <f t="shared" si="323"/>
        <v>1181,6152611,883634437757</v>
      </c>
    </row>
    <row r="284" spans="2:2" x14ac:dyDescent="0.25">
      <c r="B284" s="344" t="str">
        <f t="shared" si="323"/>
        <v>1185,7988624,398560639077</v>
      </c>
    </row>
    <row r="285" spans="2:2" x14ac:dyDescent="0.25">
      <c r="B285" s="344" t="str">
        <f t="shared" si="323"/>
        <v>1189,9824638,640329479445</v>
      </c>
    </row>
    <row r="286" spans="2:2" x14ac:dyDescent="0.25">
      <c r="B286" s="344" t="str">
        <f t="shared" si="323"/>
        <v>1194,166654,630952478734</v>
      </c>
    </row>
    <row r="287" spans="2:2" x14ac:dyDescent="0.25">
      <c r="B287" s="344" t="str">
        <f t="shared" si="323"/>
        <v>1198,3496672,39514411728</v>
      </c>
    </row>
    <row r="288" spans="2:2" x14ac:dyDescent="0.25">
      <c r="B288" s="344" t="str">
        <f t="shared" si="323"/>
        <v>1202,5332691,96036003361</v>
      </c>
    </row>
    <row r="289" spans="2:3" x14ac:dyDescent="0.25">
      <c r="B289" s="344" t="str">
        <f t="shared" si="323"/>
        <v>1206,7168713,356839458808</v>
      </c>
    </row>
    <row r="290" spans="2:3" x14ac:dyDescent="0.25">
      <c r="B290" s="344" t="str">
        <f t="shared" si="323"/>
        <v>1210,9004736,617651953078</v>
      </c>
    </row>
    <row r="291" spans="2:3" x14ac:dyDescent="0.25">
      <c r="B291" s="344" t="str">
        <f t="shared" si="323"/>
        <v>1215,084761,778748516766</v>
      </c>
    </row>
    <row r="292" spans="2:3" x14ac:dyDescent="0.25">
      <c r="B292" s="344" t="str">
        <f t="shared" si="323"/>
        <v>1219,2676788,879017154814</v>
      </c>
    </row>
    <row r="293" spans="2:3" x14ac:dyDescent="0.25">
      <c r="B293" s="344" t="str">
        <f t="shared" si="323"/>
        <v>1223,4512817,960342980539</v>
      </c>
    </row>
    <row r="294" spans="2:3" x14ac:dyDescent="0.25">
      <c r="B294" s="344" t="str">
        <f t="shared" si="323"/>
        <v>1227,6348849,067672951621</v>
      </c>
    </row>
    <row r="295" spans="2:3" x14ac:dyDescent="0.25">
      <c r="B295" s="344" t="str">
        <f t="shared" si="323"/>
        <v>1231,8184882,249085338363</v>
      </c>
    </row>
    <row r="296" spans="2:3" x14ac:dyDescent="0.25">
      <c r="B296" s="344" t="str">
        <f t="shared" si="323"/>
        <v>1236,002917,555864031576</v>
      </c>
    </row>
    <row r="297" spans="2:3" x14ac:dyDescent="0.25">
      <c r="B297" s="344" t="str">
        <f t="shared" si="323"/>
        <v>1240,1856955,042577804958</v>
      </c>
    </row>
    <row r="298" spans="2:3" x14ac:dyDescent="0.25">
      <c r="B298" s="344" t="str">
        <f t="shared" si="323"/>
        <v>1244,3692994,767164654445</v>
      </c>
    </row>
    <row r="299" spans="2:3" x14ac:dyDescent="0.25">
      <c r="B299" s="344" t="str">
        <f t="shared" si="323"/>
        <v>1248,55281036,79102134491</v>
      </c>
    </row>
    <row r="300" spans="2:3" x14ac:dyDescent="0.25">
      <c r="B300" s="344" t="str">
        <f t="shared" si="323"/>
        <v>1252,73641081,17909830261</v>
      </c>
    </row>
    <row r="301" spans="2:3" ht="14.4" thickBot="1" x14ac:dyDescent="0.3">
      <c r="B301" s="345" t="str">
        <f t="shared" si="323"/>
        <v>1256,921128</v>
      </c>
      <c r="C301" s="341">
        <f>Adatok!F25</f>
        <v>21</v>
      </c>
    </row>
    <row r="302" spans="2:3" x14ac:dyDescent="0.25">
      <c r="B302" s="343" t="str">
        <f>IF($Q$2&gt;0,CONCATENATE($A$3,Q17,$A$4,R17),0)</f>
        <v>1261,1141080,91184799023</v>
      </c>
    </row>
    <row r="303" spans="2:3" x14ac:dyDescent="0.25">
      <c r="B303" s="344" t="str">
        <f t="shared" ref="B303:B351" si="324">IF($Q$2&gt;0,CONCATENATE($A$3,Q18,$A$4,R18),0)</f>
        <v>1265,3081036,27286461692</v>
      </c>
    </row>
    <row r="304" spans="2:3" x14ac:dyDescent="0.25">
      <c r="B304" s="344" t="str">
        <f t="shared" si="324"/>
        <v>1269,502994,013714130317</v>
      </c>
    </row>
    <row r="305" spans="2:2" x14ac:dyDescent="0.25">
      <c r="B305" s="344" t="str">
        <f t="shared" si="324"/>
        <v>1273,696954,068757269388</v>
      </c>
    </row>
    <row r="306" spans="2:2" x14ac:dyDescent="0.25">
      <c r="B306" s="344" t="str">
        <f t="shared" si="324"/>
        <v>1277,89916,37594930723</v>
      </c>
    </row>
    <row r="307" spans="2:2" x14ac:dyDescent="0.25">
      <c r="B307" s="344" t="str">
        <f t="shared" si="324"/>
        <v>1282,084880,876743679777</v>
      </c>
    </row>
    <row r="308" spans="2:2" x14ac:dyDescent="0.25">
      <c r="B308" s="344" t="str">
        <f t="shared" si="324"/>
        <v>1286,278847,516001048016</v>
      </c>
    </row>
    <row r="309" spans="2:2" x14ac:dyDescent="0.25">
      <c r="B309" s="344" t="str">
        <f t="shared" si="324"/>
        <v>1290,472816,241903652501</v>
      </c>
    </row>
    <row r="310" spans="2:2" x14ac:dyDescent="0.25">
      <c r="B310" s="344" t="str">
        <f t="shared" si="324"/>
        <v>1294,666787,00587482713</v>
      </c>
    </row>
    <row r="311" spans="2:2" x14ac:dyDescent="0.25">
      <c r="B311" s="344" t="str">
        <f t="shared" si="324"/>
        <v>1298,86759,762503547169</v>
      </c>
    </row>
    <row r="312" spans="2:2" x14ac:dyDescent="0.25">
      <c r="B312" s="344" t="str">
        <f t="shared" si="324"/>
        <v>1303,054734,469473894323</v>
      </c>
    </row>
    <row r="313" spans="2:2" x14ac:dyDescent="0.25">
      <c r="B313" s="344" t="str">
        <f t="shared" si="324"/>
        <v>1307,248711,0874993293</v>
      </c>
    </row>
    <row r="314" spans="2:2" x14ac:dyDescent="0.25">
      <c r="B314" s="344" t="str">
        <f t="shared" si="324"/>
        <v>1311,442689,580261669775</v>
      </c>
    </row>
    <row r="315" spans="2:2" x14ac:dyDescent="0.25">
      <c r="B315" s="344" t="str">
        <f t="shared" si="324"/>
        <v>1315,636669,914354678974</v>
      </c>
    </row>
    <row r="316" spans="2:2" x14ac:dyDescent="0.25">
      <c r="B316" s="344" t="str">
        <f t="shared" si="324"/>
        <v>1319,83652,059232177244</v>
      </c>
    </row>
    <row r="317" spans="2:2" x14ac:dyDescent="0.25">
      <c r="B317" s="344" t="str">
        <f t="shared" si="324"/>
        <v>1324,024635,987160596036</v>
      </c>
    </row>
    <row r="318" spans="2:2" x14ac:dyDescent="0.25">
      <c r="B318" s="344" t="str">
        <f t="shared" si="324"/>
        <v>1328,218621,67317590058</v>
      </c>
    </row>
    <row r="319" spans="2:2" x14ac:dyDescent="0.25">
      <c r="B319" s="344" t="str">
        <f t="shared" si="324"/>
        <v>1332,412609,095044814362</v>
      </c>
    </row>
    <row r="320" spans="2:2" x14ac:dyDescent="0.25">
      <c r="B320" s="344" t="str">
        <f t="shared" si="324"/>
        <v>1336,606598,233230285162</v>
      </c>
    </row>
    <row r="321" spans="2:2" x14ac:dyDescent="0.25">
      <c r="B321" s="344" t="str">
        <f t="shared" si="324"/>
        <v>1340,8589,070861139018</v>
      </c>
    </row>
    <row r="322" spans="2:2" x14ac:dyDescent="0.25">
      <c r="B322" s="344" t="str">
        <f t="shared" si="324"/>
        <v>1344,994581,593705874983</v>
      </c>
    </row>
    <row r="323" spans="2:2" x14ac:dyDescent="0.25">
      <c r="B323" s="344" t="str">
        <f t="shared" si="324"/>
        <v>1349,188575,790150559966</v>
      </c>
    </row>
    <row r="324" spans="2:2" x14ac:dyDescent="0.25">
      <c r="B324" s="344" t="str">
        <f t="shared" si="324"/>
        <v>1353,382571,651180789324</v>
      </c>
    </row>
    <row r="325" spans="2:2" x14ac:dyDescent="0.25">
      <c r="B325" s="344" t="str">
        <f t="shared" si="324"/>
        <v>1357,576569,170367685191</v>
      </c>
    </row>
    <row r="326" spans="2:2" x14ac:dyDescent="0.25">
      <c r="B326" s="344" t="str">
        <f t="shared" si="324"/>
        <v>1361,77568,343857910785</v>
      </c>
    </row>
    <row r="327" spans="2:2" x14ac:dyDescent="0.25">
      <c r="B327" s="344" t="str">
        <f t="shared" si="324"/>
        <v>1365,964569,170367685191</v>
      </c>
    </row>
    <row r="328" spans="2:2" x14ac:dyDescent="0.25">
      <c r="B328" s="344" t="str">
        <f t="shared" si="324"/>
        <v>1370,158571,651180789324</v>
      </c>
    </row>
    <row r="329" spans="2:2" x14ac:dyDescent="0.25">
      <c r="B329" s="344" t="str">
        <f t="shared" si="324"/>
        <v>1374,352575,790150559966</v>
      </c>
    </row>
    <row r="330" spans="2:2" x14ac:dyDescent="0.25">
      <c r="B330" s="344" t="str">
        <f t="shared" si="324"/>
        <v>1378,546581,593705874983</v>
      </c>
    </row>
    <row r="331" spans="2:2" x14ac:dyDescent="0.25">
      <c r="B331" s="344" t="str">
        <f t="shared" si="324"/>
        <v>1382,74589,070861139018</v>
      </c>
    </row>
    <row r="332" spans="2:2" x14ac:dyDescent="0.25">
      <c r="B332" s="344" t="str">
        <f t="shared" si="324"/>
        <v>1386,934598,233230285162</v>
      </c>
    </row>
    <row r="333" spans="2:2" x14ac:dyDescent="0.25">
      <c r="B333" s="344" t="str">
        <f t="shared" si="324"/>
        <v>1391,128609,095044814362</v>
      </c>
    </row>
    <row r="334" spans="2:2" x14ac:dyDescent="0.25">
      <c r="B334" s="344" t="str">
        <f t="shared" si="324"/>
        <v>1395,322621,67317590058</v>
      </c>
    </row>
    <row r="335" spans="2:2" x14ac:dyDescent="0.25">
      <c r="B335" s="344" t="str">
        <f t="shared" si="324"/>
        <v>1399,516635,987160596036</v>
      </c>
    </row>
    <row r="336" spans="2:2" x14ac:dyDescent="0.25">
      <c r="B336" s="344" t="str">
        <f t="shared" si="324"/>
        <v>1403,71652,059232177244</v>
      </c>
    </row>
    <row r="337" spans="2:3" x14ac:dyDescent="0.25">
      <c r="B337" s="344" t="str">
        <f t="shared" si="324"/>
        <v>1407,904669,914354678974</v>
      </c>
    </row>
    <row r="338" spans="2:3" x14ac:dyDescent="0.25">
      <c r="B338" s="344" t="str">
        <f t="shared" si="324"/>
        <v>1412,098689,580261669775</v>
      </c>
    </row>
    <row r="339" spans="2:3" x14ac:dyDescent="0.25">
      <c r="B339" s="344" t="str">
        <f t="shared" si="324"/>
        <v>1416,292711,0874993293</v>
      </c>
    </row>
    <row r="340" spans="2:3" x14ac:dyDescent="0.25">
      <c r="B340" s="344" t="str">
        <f t="shared" si="324"/>
        <v>1420,486734,469473894323</v>
      </c>
    </row>
    <row r="341" spans="2:3" x14ac:dyDescent="0.25">
      <c r="B341" s="344" t="str">
        <f t="shared" si="324"/>
        <v>1424,68759,762503547169</v>
      </c>
    </row>
    <row r="342" spans="2:3" x14ac:dyDescent="0.25">
      <c r="B342" s="344" t="str">
        <f t="shared" si="324"/>
        <v>1428,874787,00587482713</v>
      </c>
    </row>
    <row r="343" spans="2:3" x14ac:dyDescent="0.25">
      <c r="B343" s="344" t="str">
        <f t="shared" si="324"/>
        <v>1433,068816,241903652501</v>
      </c>
    </row>
    <row r="344" spans="2:3" x14ac:dyDescent="0.25">
      <c r="B344" s="344" t="str">
        <f t="shared" si="324"/>
        <v>1437,262847,516001048016</v>
      </c>
    </row>
    <row r="345" spans="2:3" x14ac:dyDescent="0.25">
      <c r="B345" s="344" t="str">
        <f t="shared" si="324"/>
        <v>1441,456880,876743679778</v>
      </c>
    </row>
    <row r="346" spans="2:3" x14ac:dyDescent="0.25">
      <c r="B346" s="344" t="str">
        <f t="shared" si="324"/>
        <v>1445,65916,37594930723</v>
      </c>
    </row>
    <row r="347" spans="2:3" x14ac:dyDescent="0.25">
      <c r="B347" s="344" t="str">
        <f t="shared" si="324"/>
        <v>1449,844954,068757269388</v>
      </c>
    </row>
    <row r="348" spans="2:3" x14ac:dyDescent="0.25">
      <c r="B348" s="344" t="str">
        <f t="shared" si="324"/>
        <v>1454,038994,013714130317</v>
      </c>
    </row>
    <row r="349" spans="2:3" x14ac:dyDescent="0.25">
      <c r="B349" s="344" t="str">
        <f t="shared" si="324"/>
        <v>1458,2321036,27286461692</v>
      </c>
    </row>
    <row r="350" spans="2:3" x14ac:dyDescent="0.25">
      <c r="B350" s="344" t="str">
        <f t="shared" si="324"/>
        <v>1462,4261080,91184799023</v>
      </c>
    </row>
    <row r="351" spans="2:3" ht="14.4" thickBot="1" x14ac:dyDescent="0.3">
      <c r="B351" s="345" t="str">
        <f t="shared" si="324"/>
        <v>1466,621128</v>
      </c>
      <c r="C351" s="341">
        <f>Adatok!F26</f>
        <v>22</v>
      </c>
    </row>
    <row r="352" spans="2:3" x14ac:dyDescent="0.25">
      <c r="B352" s="343" t="str">
        <f>IF($S$2&gt;0,CONCATENATE($A$3,S17,$A$4,T17),0)</f>
        <v>1470,79461081,40955242824</v>
      </c>
    </row>
    <row r="353" spans="2:2" x14ac:dyDescent="0.25">
      <c r="B353" s="344" t="str">
        <f t="shared" ref="B353:B401" si="325">IF($S$2&gt;0,CONCATENATE($A$3,S18,$A$4,T18),0)</f>
        <v>1474,96921037,23785468532</v>
      </c>
    </row>
    <row r="354" spans="2:2" x14ac:dyDescent="0.25">
      <c r="B354" s="344" t="str">
        <f t="shared" si="325"/>
        <v>1479,1438995,416930180578</v>
      </c>
    </row>
    <row r="355" spans="2:2" x14ac:dyDescent="0.25">
      <c r="B355" s="344" t="str">
        <f t="shared" si="325"/>
        <v>1483,3184955,882419968971</v>
      </c>
    </row>
    <row r="356" spans="2:2" x14ac:dyDescent="0.25">
      <c r="B356" s="344" t="str">
        <f t="shared" si="325"/>
        <v>1487,493918,57348370803</v>
      </c>
    </row>
    <row r="357" spans="2:2" x14ac:dyDescent="0.25">
      <c r="B357" s="344" t="str">
        <f t="shared" si="325"/>
        <v>1491,6676883,43270602958</v>
      </c>
    </row>
    <row r="358" spans="2:2" x14ac:dyDescent="0.25">
      <c r="B358" s="344" t="str">
        <f t="shared" si="325"/>
        <v>1495,8422850,406008182238</v>
      </c>
    </row>
    <row r="359" spans="2:2" x14ac:dyDescent="0.25">
      <c r="B359" s="344" t="str">
        <f t="shared" si="325"/>
        <v>1500,0168819,44256480869</v>
      </c>
    </row>
    <row r="360" spans="2:2" x14ac:dyDescent="0.25">
      <c r="B360" s="344" t="str">
        <f t="shared" si="325"/>
        <v>1504,1914790,494725729662</v>
      </c>
    </row>
    <row r="361" spans="2:2" x14ac:dyDescent="0.25">
      <c r="B361" s="344" t="str">
        <f t="shared" si="325"/>
        <v>1508,366763,517942614242</v>
      </c>
    </row>
    <row r="362" spans="2:2" x14ac:dyDescent="0.25">
      <c r="B362" s="344" t="str">
        <f t="shared" si="325"/>
        <v>1512,5406738,470700423673</v>
      </c>
    </row>
    <row r="363" spans="2:2" x14ac:dyDescent="0.25">
      <c r="B363" s="344" t="str">
        <f t="shared" si="325"/>
        <v>1516,7152715,31445352315</v>
      </c>
    </row>
    <row r="364" spans="2:2" x14ac:dyDescent="0.25">
      <c r="B364" s="344" t="str">
        <f t="shared" si="325"/>
        <v>1520,8898694,013566363268</v>
      </c>
    </row>
    <row r="365" spans="2:2" x14ac:dyDescent="0.25">
      <c r="B365" s="344" t="str">
        <f t="shared" si="325"/>
        <v>1525,0644674,53525863986</v>
      </c>
    </row>
    <row r="366" spans="2:2" x14ac:dyDescent="0.25">
      <c r="B366" s="344" t="str">
        <f t="shared" si="325"/>
        <v>1529,239656,849554847821</v>
      </c>
    </row>
    <row r="367" spans="2:2" x14ac:dyDescent="0.25">
      <c r="B367" s="344" t="str">
        <f t="shared" si="325"/>
        <v>1533,4136640,929238151282</v>
      </c>
    </row>
    <row r="368" spans="2:2" x14ac:dyDescent="0.25">
      <c r="B368" s="344" t="str">
        <f t="shared" si="325"/>
        <v>1537,5882626,749808499151</v>
      </c>
    </row>
    <row r="369" spans="2:2" x14ac:dyDescent="0.25">
      <c r="B369" s="344" t="str">
        <f t="shared" si="325"/>
        <v>1541,7628614,289444921557</v>
      </c>
    </row>
    <row r="370" spans="2:2" x14ac:dyDescent="0.25">
      <c r="B370" s="344" t="str">
        <f t="shared" si="325"/>
        <v>1545,9374603,528971949188</v>
      </c>
    </row>
    <row r="371" spans="2:2" x14ac:dyDescent="0.25">
      <c r="B371" s="344" t="str">
        <f t="shared" si="325"/>
        <v>1550,112594,451830103822</v>
      </c>
    </row>
    <row r="372" spans="2:2" x14ac:dyDescent="0.25">
      <c r="B372" s="344" t="str">
        <f t="shared" si="325"/>
        <v>1554,2866587,044050414664</v>
      </c>
    </row>
    <row r="373" spans="2:2" x14ac:dyDescent="0.25">
      <c r="B373" s="344" t="str">
        <f t="shared" si="325"/>
        <v>1558,4612581,294232921253</v>
      </c>
    </row>
    <row r="374" spans="2:2" x14ac:dyDescent="0.25">
      <c r="B374" s="344" t="str">
        <f t="shared" si="325"/>
        <v>1562,6358577,193529129866</v>
      </c>
    </row>
    <row r="375" spans="2:2" x14ac:dyDescent="0.25">
      <c r="B375" s="344" t="str">
        <f t="shared" si="325"/>
        <v>1566,8104574,735628396417</v>
      </c>
    </row>
    <row r="376" spans="2:2" x14ac:dyDescent="0.25">
      <c r="B376" s="344" t="str">
        <f t="shared" si="325"/>
        <v>1570,985573,916748214899</v>
      </c>
    </row>
    <row r="377" spans="2:2" x14ac:dyDescent="0.25">
      <c r="B377" s="344" t="str">
        <f t="shared" si="325"/>
        <v>1575,1596574,735628396417</v>
      </c>
    </row>
    <row r="378" spans="2:2" x14ac:dyDescent="0.25">
      <c r="B378" s="344" t="str">
        <f t="shared" si="325"/>
        <v>1579,3342577,193529129866</v>
      </c>
    </row>
    <row r="379" spans="2:2" x14ac:dyDescent="0.25">
      <c r="B379" s="344" t="str">
        <f t="shared" si="325"/>
        <v>1583,5088581,294232921253</v>
      </c>
    </row>
    <row r="380" spans="2:2" x14ac:dyDescent="0.25">
      <c r="B380" s="344" t="str">
        <f t="shared" si="325"/>
        <v>1587,6834587,044050414664</v>
      </c>
    </row>
    <row r="381" spans="2:2" x14ac:dyDescent="0.25">
      <c r="B381" s="344" t="str">
        <f t="shared" si="325"/>
        <v>1591,858594,451830103822</v>
      </c>
    </row>
    <row r="382" spans="2:2" x14ac:dyDescent="0.25">
      <c r="B382" s="344" t="str">
        <f t="shared" si="325"/>
        <v>1596,0326603,528971949188</v>
      </c>
    </row>
    <row r="383" spans="2:2" x14ac:dyDescent="0.25">
      <c r="B383" s="344" t="str">
        <f t="shared" si="325"/>
        <v>1600,2072614,289444921557</v>
      </c>
    </row>
    <row r="384" spans="2:2" x14ac:dyDescent="0.25">
      <c r="B384" s="344" t="str">
        <f t="shared" si="325"/>
        <v>1604,3818626,749808499151</v>
      </c>
    </row>
    <row r="385" spans="2:2" x14ac:dyDescent="0.25">
      <c r="B385" s="344" t="str">
        <f t="shared" si="325"/>
        <v>1608,5564640,929238151282</v>
      </c>
    </row>
    <row r="386" spans="2:2" x14ac:dyDescent="0.25">
      <c r="B386" s="344" t="str">
        <f t="shared" si="325"/>
        <v>1612,731656,849554847821</v>
      </c>
    </row>
    <row r="387" spans="2:2" x14ac:dyDescent="0.25">
      <c r="B387" s="344" t="str">
        <f t="shared" si="325"/>
        <v>1616,9056674,53525863986</v>
      </c>
    </row>
    <row r="388" spans="2:2" x14ac:dyDescent="0.25">
      <c r="B388" s="344" t="str">
        <f t="shared" si="325"/>
        <v>1621,0802694,013566363268</v>
      </c>
    </row>
    <row r="389" spans="2:2" x14ac:dyDescent="0.25">
      <c r="B389" s="344" t="str">
        <f t="shared" si="325"/>
        <v>1625,2548715,31445352315</v>
      </c>
    </row>
    <row r="390" spans="2:2" x14ac:dyDescent="0.25">
      <c r="B390" s="344" t="str">
        <f t="shared" si="325"/>
        <v>1629,4294738,470700423673</v>
      </c>
    </row>
    <row r="391" spans="2:2" x14ac:dyDescent="0.25">
      <c r="B391" s="344" t="str">
        <f t="shared" si="325"/>
        <v>1633,604763,517942614242</v>
      </c>
    </row>
    <row r="392" spans="2:2" x14ac:dyDescent="0.25">
      <c r="B392" s="344" t="str">
        <f t="shared" si="325"/>
        <v>1637,7786790,494725729663</v>
      </c>
    </row>
    <row r="393" spans="2:2" x14ac:dyDescent="0.25">
      <c r="B393" s="344" t="str">
        <f t="shared" si="325"/>
        <v>1641,9532819,44256480869</v>
      </c>
    </row>
    <row r="394" spans="2:2" x14ac:dyDescent="0.25">
      <c r="B394" s="344" t="str">
        <f t="shared" si="325"/>
        <v>1646,1278850,406008182239</v>
      </c>
    </row>
    <row r="395" spans="2:2" x14ac:dyDescent="0.25">
      <c r="B395" s="344" t="str">
        <f t="shared" si="325"/>
        <v>1650,3024883,43270602958</v>
      </c>
    </row>
    <row r="396" spans="2:2" x14ac:dyDescent="0.25">
      <c r="B396" s="344" t="str">
        <f t="shared" si="325"/>
        <v>1654,477918,57348370803</v>
      </c>
    </row>
    <row r="397" spans="2:2" x14ac:dyDescent="0.25">
      <c r="B397" s="344" t="str">
        <f t="shared" si="325"/>
        <v>1658,6516955,882419968971</v>
      </c>
    </row>
    <row r="398" spans="2:2" x14ac:dyDescent="0.25">
      <c r="B398" s="344" t="str">
        <f t="shared" si="325"/>
        <v>1662,8262995,416930180578</v>
      </c>
    </row>
    <row r="399" spans="2:2" x14ac:dyDescent="0.25">
      <c r="B399" s="344" t="str">
        <f t="shared" si="325"/>
        <v>1667,00081037,23785468532</v>
      </c>
    </row>
    <row r="400" spans="2:2" x14ac:dyDescent="0.25">
      <c r="B400" s="344" t="str">
        <f t="shared" si="325"/>
        <v>1671,17541081,40955242824</v>
      </c>
    </row>
    <row r="401" spans="2:3" ht="14.4" thickBot="1" x14ac:dyDescent="0.3">
      <c r="B401" s="345" t="str">
        <f t="shared" si="325"/>
        <v>1675,351128</v>
      </c>
      <c r="C401" s="341" t="str">
        <f>Adatok!F27</f>
        <v>-</v>
      </c>
    </row>
    <row r="402" spans="2:3" x14ac:dyDescent="0.25">
      <c r="B402" s="343">
        <f>IF($U$2&gt;0,CONCATENATE($A$3,U17,$A$4,V17),0)</f>
        <v>0</v>
      </c>
    </row>
    <row r="403" spans="2:3" x14ac:dyDescent="0.25">
      <c r="B403" s="344">
        <f t="shared" ref="B403:B451" si="326">IF($U$2&gt;0,CONCATENATE($A$3,U18,$A$4,V18),0)</f>
        <v>0</v>
      </c>
    </row>
    <row r="404" spans="2:3" x14ac:dyDescent="0.25">
      <c r="B404" s="344">
        <f t="shared" si="326"/>
        <v>0</v>
      </c>
    </row>
    <row r="405" spans="2:3" x14ac:dyDescent="0.25">
      <c r="B405" s="344">
        <f t="shared" si="326"/>
        <v>0</v>
      </c>
    </row>
    <row r="406" spans="2:3" x14ac:dyDescent="0.25">
      <c r="B406" s="344">
        <f t="shared" si="326"/>
        <v>0</v>
      </c>
    </row>
    <row r="407" spans="2:3" x14ac:dyDescent="0.25">
      <c r="B407" s="344">
        <f t="shared" si="326"/>
        <v>0</v>
      </c>
    </row>
    <row r="408" spans="2:3" x14ac:dyDescent="0.25">
      <c r="B408" s="344">
        <f t="shared" si="326"/>
        <v>0</v>
      </c>
    </row>
    <row r="409" spans="2:3" x14ac:dyDescent="0.25">
      <c r="B409" s="344">
        <f t="shared" si="326"/>
        <v>0</v>
      </c>
    </row>
    <row r="410" spans="2:3" x14ac:dyDescent="0.25">
      <c r="B410" s="344">
        <f t="shared" si="326"/>
        <v>0</v>
      </c>
    </row>
    <row r="411" spans="2:3" x14ac:dyDescent="0.25">
      <c r="B411" s="344">
        <f t="shared" si="326"/>
        <v>0</v>
      </c>
    </row>
    <row r="412" spans="2:3" x14ac:dyDescent="0.25">
      <c r="B412" s="344">
        <f t="shared" si="326"/>
        <v>0</v>
      </c>
    </row>
    <row r="413" spans="2:3" x14ac:dyDescent="0.25">
      <c r="B413" s="344">
        <f t="shared" si="326"/>
        <v>0</v>
      </c>
    </row>
    <row r="414" spans="2:3" x14ac:dyDescent="0.25">
      <c r="B414" s="344">
        <f t="shared" si="326"/>
        <v>0</v>
      </c>
    </row>
    <row r="415" spans="2:3" x14ac:dyDescent="0.25">
      <c r="B415" s="344">
        <f t="shared" si="326"/>
        <v>0</v>
      </c>
    </row>
    <row r="416" spans="2:3" x14ac:dyDescent="0.25">
      <c r="B416" s="344">
        <f t="shared" si="326"/>
        <v>0</v>
      </c>
    </row>
    <row r="417" spans="2:2" x14ac:dyDescent="0.25">
      <c r="B417" s="344">
        <f t="shared" si="326"/>
        <v>0</v>
      </c>
    </row>
    <row r="418" spans="2:2" x14ac:dyDescent="0.25">
      <c r="B418" s="344">
        <f t="shared" si="326"/>
        <v>0</v>
      </c>
    </row>
    <row r="419" spans="2:2" x14ac:dyDescent="0.25">
      <c r="B419" s="344">
        <f t="shared" si="326"/>
        <v>0</v>
      </c>
    </row>
    <row r="420" spans="2:2" x14ac:dyDescent="0.25">
      <c r="B420" s="344">
        <f t="shared" si="326"/>
        <v>0</v>
      </c>
    </row>
    <row r="421" spans="2:2" x14ac:dyDescent="0.25">
      <c r="B421" s="344">
        <f t="shared" si="326"/>
        <v>0</v>
      </c>
    </row>
    <row r="422" spans="2:2" x14ac:dyDescent="0.25">
      <c r="B422" s="344">
        <f t="shared" si="326"/>
        <v>0</v>
      </c>
    </row>
    <row r="423" spans="2:2" x14ac:dyDescent="0.25">
      <c r="B423" s="344">
        <f t="shared" si="326"/>
        <v>0</v>
      </c>
    </row>
    <row r="424" spans="2:2" x14ac:dyDescent="0.25">
      <c r="B424" s="344">
        <f t="shared" si="326"/>
        <v>0</v>
      </c>
    </row>
    <row r="425" spans="2:2" x14ac:dyDescent="0.25">
      <c r="B425" s="344">
        <f t="shared" si="326"/>
        <v>0</v>
      </c>
    </row>
    <row r="426" spans="2:2" x14ac:dyDescent="0.25">
      <c r="B426" s="344">
        <f t="shared" si="326"/>
        <v>0</v>
      </c>
    </row>
    <row r="427" spans="2:2" x14ac:dyDescent="0.25">
      <c r="B427" s="344">
        <f t="shared" si="326"/>
        <v>0</v>
      </c>
    </row>
    <row r="428" spans="2:2" x14ac:dyDescent="0.25">
      <c r="B428" s="344">
        <f t="shared" si="326"/>
        <v>0</v>
      </c>
    </row>
    <row r="429" spans="2:2" x14ac:dyDescent="0.25">
      <c r="B429" s="344">
        <f t="shared" si="326"/>
        <v>0</v>
      </c>
    </row>
    <row r="430" spans="2:2" x14ac:dyDescent="0.25">
      <c r="B430" s="344">
        <f t="shared" si="326"/>
        <v>0</v>
      </c>
    </row>
    <row r="431" spans="2:2" x14ac:dyDescent="0.25">
      <c r="B431" s="344">
        <f t="shared" si="326"/>
        <v>0</v>
      </c>
    </row>
    <row r="432" spans="2:2" x14ac:dyDescent="0.25">
      <c r="B432" s="344">
        <f t="shared" si="326"/>
        <v>0</v>
      </c>
    </row>
    <row r="433" spans="2:2" x14ac:dyDescent="0.25">
      <c r="B433" s="344">
        <f t="shared" si="326"/>
        <v>0</v>
      </c>
    </row>
    <row r="434" spans="2:2" x14ac:dyDescent="0.25">
      <c r="B434" s="344">
        <f t="shared" si="326"/>
        <v>0</v>
      </c>
    </row>
    <row r="435" spans="2:2" x14ac:dyDescent="0.25">
      <c r="B435" s="344">
        <f t="shared" si="326"/>
        <v>0</v>
      </c>
    </row>
    <row r="436" spans="2:2" x14ac:dyDescent="0.25">
      <c r="B436" s="344">
        <f t="shared" si="326"/>
        <v>0</v>
      </c>
    </row>
    <row r="437" spans="2:2" x14ac:dyDescent="0.25">
      <c r="B437" s="344">
        <f t="shared" si="326"/>
        <v>0</v>
      </c>
    </row>
    <row r="438" spans="2:2" x14ac:dyDescent="0.25">
      <c r="B438" s="344">
        <f t="shared" si="326"/>
        <v>0</v>
      </c>
    </row>
    <row r="439" spans="2:2" x14ac:dyDescent="0.25">
      <c r="B439" s="344">
        <f t="shared" si="326"/>
        <v>0</v>
      </c>
    </row>
    <row r="440" spans="2:2" x14ac:dyDescent="0.25">
      <c r="B440" s="344">
        <f t="shared" si="326"/>
        <v>0</v>
      </c>
    </row>
    <row r="441" spans="2:2" x14ac:dyDescent="0.25">
      <c r="B441" s="344">
        <f t="shared" si="326"/>
        <v>0</v>
      </c>
    </row>
    <row r="442" spans="2:2" x14ac:dyDescent="0.25">
      <c r="B442" s="344">
        <f t="shared" si="326"/>
        <v>0</v>
      </c>
    </row>
    <row r="443" spans="2:2" x14ac:dyDescent="0.25">
      <c r="B443" s="344">
        <f t="shared" si="326"/>
        <v>0</v>
      </c>
    </row>
    <row r="444" spans="2:2" x14ac:dyDescent="0.25">
      <c r="B444" s="344">
        <f t="shared" si="326"/>
        <v>0</v>
      </c>
    </row>
    <row r="445" spans="2:2" x14ac:dyDescent="0.25">
      <c r="B445" s="344">
        <f t="shared" si="326"/>
        <v>0</v>
      </c>
    </row>
    <row r="446" spans="2:2" x14ac:dyDescent="0.25">
      <c r="B446" s="344">
        <f t="shared" si="326"/>
        <v>0</v>
      </c>
    </row>
    <row r="447" spans="2:2" x14ac:dyDescent="0.25">
      <c r="B447" s="344">
        <f t="shared" si="326"/>
        <v>0</v>
      </c>
    </row>
    <row r="448" spans="2:2" x14ac:dyDescent="0.25">
      <c r="B448" s="344">
        <f t="shared" si="326"/>
        <v>0</v>
      </c>
    </row>
    <row r="449" spans="2:3" x14ac:dyDescent="0.25">
      <c r="B449" s="344">
        <f t="shared" si="326"/>
        <v>0</v>
      </c>
    </row>
    <row r="450" spans="2:3" x14ac:dyDescent="0.25">
      <c r="B450" s="344">
        <f t="shared" si="326"/>
        <v>0</v>
      </c>
    </row>
    <row r="451" spans="2:3" ht="14.4" thickBot="1" x14ac:dyDescent="0.3">
      <c r="B451" s="345">
        <f t="shared" si="326"/>
        <v>0</v>
      </c>
      <c r="C451" s="341" t="str">
        <f>Adatok!F28</f>
        <v>-</v>
      </c>
    </row>
    <row r="452" spans="2:3" x14ac:dyDescent="0.25">
      <c r="B452" s="343">
        <f>IF($W$2&gt;0,CONCATENATE($A$3,W17,$A$4,X17),0)</f>
        <v>0</v>
      </c>
    </row>
    <row r="453" spans="2:3" x14ac:dyDescent="0.25">
      <c r="B453" s="344">
        <f t="shared" ref="B453:B501" si="327">IF($W$2&gt;0,CONCATENATE($A$3,W18,$A$4,X18),0)</f>
        <v>0</v>
      </c>
    </row>
    <row r="454" spans="2:3" x14ac:dyDescent="0.25">
      <c r="B454" s="344">
        <f t="shared" si="327"/>
        <v>0</v>
      </c>
    </row>
    <row r="455" spans="2:3" x14ac:dyDescent="0.25">
      <c r="B455" s="344">
        <f t="shared" si="327"/>
        <v>0</v>
      </c>
    </row>
    <row r="456" spans="2:3" x14ac:dyDescent="0.25">
      <c r="B456" s="344">
        <f t="shared" si="327"/>
        <v>0</v>
      </c>
    </row>
    <row r="457" spans="2:3" x14ac:dyDescent="0.25">
      <c r="B457" s="344">
        <f t="shared" si="327"/>
        <v>0</v>
      </c>
    </row>
    <row r="458" spans="2:3" x14ac:dyDescent="0.25">
      <c r="B458" s="344">
        <f t="shared" si="327"/>
        <v>0</v>
      </c>
    </row>
    <row r="459" spans="2:3" x14ac:dyDescent="0.25">
      <c r="B459" s="344">
        <f t="shared" si="327"/>
        <v>0</v>
      </c>
    </row>
    <row r="460" spans="2:3" x14ac:dyDescent="0.25">
      <c r="B460" s="344">
        <f t="shared" si="327"/>
        <v>0</v>
      </c>
    </row>
    <row r="461" spans="2:3" x14ac:dyDescent="0.25">
      <c r="B461" s="344">
        <f t="shared" si="327"/>
        <v>0</v>
      </c>
    </row>
    <row r="462" spans="2:3" x14ac:dyDescent="0.25">
      <c r="B462" s="344">
        <f t="shared" si="327"/>
        <v>0</v>
      </c>
    </row>
    <row r="463" spans="2:3" x14ac:dyDescent="0.25">
      <c r="B463" s="344">
        <f t="shared" si="327"/>
        <v>0</v>
      </c>
    </row>
    <row r="464" spans="2:3" x14ac:dyDescent="0.25">
      <c r="B464" s="344">
        <f t="shared" si="327"/>
        <v>0</v>
      </c>
    </row>
    <row r="465" spans="2:2" x14ac:dyDescent="0.25">
      <c r="B465" s="344">
        <f t="shared" si="327"/>
        <v>0</v>
      </c>
    </row>
    <row r="466" spans="2:2" x14ac:dyDescent="0.25">
      <c r="B466" s="344">
        <f t="shared" si="327"/>
        <v>0</v>
      </c>
    </row>
    <row r="467" spans="2:2" x14ac:dyDescent="0.25">
      <c r="B467" s="344">
        <f t="shared" si="327"/>
        <v>0</v>
      </c>
    </row>
    <row r="468" spans="2:2" x14ac:dyDescent="0.25">
      <c r="B468" s="344">
        <f t="shared" si="327"/>
        <v>0</v>
      </c>
    </row>
    <row r="469" spans="2:2" x14ac:dyDescent="0.25">
      <c r="B469" s="344">
        <f t="shared" si="327"/>
        <v>0</v>
      </c>
    </row>
    <row r="470" spans="2:2" x14ac:dyDescent="0.25">
      <c r="B470" s="344">
        <f t="shared" si="327"/>
        <v>0</v>
      </c>
    </row>
    <row r="471" spans="2:2" x14ac:dyDescent="0.25">
      <c r="B471" s="344">
        <f t="shared" si="327"/>
        <v>0</v>
      </c>
    </row>
    <row r="472" spans="2:2" x14ac:dyDescent="0.25">
      <c r="B472" s="344">
        <f t="shared" si="327"/>
        <v>0</v>
      </c>
    </row>
    <row r="473" spans="2:2" x14ac:dyDescent="0.25">
      <c r="B473" s="344">
        <f t="shared" si="327"/>
        <v>0</v>
      </c>
    </row>
    <row r="474" spans="2:2" x14ac:dyDescent="0.25">
      <c r="B474" s="344">
        <f t="shared" si="327"/>
        <v>0</v>
      </c>
    </row>
    <row r="475" spans="2:2" x14ac:dyDescent="0.25">
      <c r="B475" s="344">
        <f t="shared" si="327"/>
        <v>0</v>
      </c>
    </row>
    <row r="476" spans="2:2" x14ac:dyDescent="0.25">
      <c r="B476" s="344">
        <f t="shared" si="327"/>
        <v>0</v>
      </c>
    </row>
    <row r="477" spans="2:2" x14ac:dyDescent="0.25">
      <c r="B477" s="344">
        <f t="shared" si="327"/>
        <v>0</v>
      </c>
    </row>
    <row r="478" spans="2:2" x14ac:dyDescent="0.25">
      <c r="B478" s="344">
        <f t="shared" si="327"/>
        <v>0</v>
      </c>
    </row>
    <row r="479" spans="2:2" x14ac:dyDescent="0.25">
      <c r="B479" s="344">
        <f t="shared" si="327"/>
        <v>0</v>
      </c>
    </row>
    <row r="480" spans="2:2" x14ac:dyDescent="0.25">
      <c r="B480" s="344">
        <f t="shared" si="327"/>
        <v>0</v>
      </c>
    </row>
    <row r="481" spans="2:2" x14ac:dyDescent="0.25">
      <c r="B481" s="344">
        <f t="shared" si="327"/>
        <v>0</v>
      </c>
    </row>
    <row r="482" spans="2:2" x14ac:dyDescent="0.25">
      <c r="B482" s="344">
        <f t="shared" si="327"/>
        <v>0</v>
      </c>
    </row>
    <row r="483" spans="2:2" x14ac:dyDescent="0.25">
      <c r="B483" s="344">
        <f t="shared" si="327"/>
        <v>0</v>
      </c>
    </row>
    <row r="484" spans="2:2" x14ac:dyDescent="0.25">
      <c r="B484" s="344">
        <f t="shared" si="327"/>
        <v>0</v>
      </c>
    </row>
    <row r="485" spans="2:2" x14ac:dyDescent="0.25">
      <c r="B485" s="344">
        <f t="shared" si="327"/>
        <v>0</v>
      </c>
    </row>
    <row r="486" spans="2:2" x14ac:dyDescent="0.25">
      <c r="B486" s="344">
        <f t="shared" si="327"/>
        <v>0</v>
      </c>
    </row>
    <row r="487" spans="2:2" x14ac:dyDescent="0.25">
      <c r="B487" s="344">
        <f t="shared" si="327"/>
        <v>0</v>
      </c>
    </row>
    <row r="488" spans="2:2" x14ac:dyDescent="0.25">
      <c r="B488" s="344">
        <f t="shared" si="327"/>
        <v>0</v>
      </c>
    </row>
    <row r="489" spans="2:2" x14ac:dyDescent="0.25">
      <c r="B489" s="344">
        <f t="shared" si="327"/>
        <v>0</v>
      </c>
    </row>
    <row r="490" spans="2:2" x14ac:dyDescent="0.25">
      <c r="B490" s="344">
        <f t="shared" si="327"/>
        <v>0</v>
      </c>
    </row>
    <row r="491" spans="2:2" x14ac:dyDescent="0.25">
      <c r="B491" s="344">
        <f t="shared" si="327"/>
        <v>0</v>
      </c>
    </row>
    <row r="492" spans="2:2" x14ac:dyDescent="0.25">
      <c r="B492" s="344">
        <f t="shared" si="327"/>
        <v>0</v>
      </c>
    </row>
    <row r="493" spans="2:2" x14ac:dyDescent="0.25">
      <c r="B493" s="344">
        <f t="shared" si="327"/>
        <v>0</v>
      </c>
    </row>
    <row r="494" spans="2:2" x14ac:dyDescent="0.25">
      <c r="B494" s="344">
        <f t="shared" si="327"/>
        <v>0</v>
      </c>
    </row>
    <row r="495" spans="2:2" x14ac:dyDescent="0.25">
      <c r="B495" s="344">
        <f t="shared" si="327"/>
        <v>0</v>
      </c>
    </row>
    <row r="496" spans="2:2" x14ac:dyDescent="0.25">
      <c r="B496" s="344">
        <f t="shared" si="327"/>
        <v>0</v>
      </c>
    </row>
    <row r="497" spans="2:3" x14ac:dyDescent="0.25">
      <c r="B497" s="344">
        <f t="shared" si="327"/>
        <v>0</v>
      </c>
    </row>
    <row r="498" spans="2:3" x14ac:dyDescent="0.25">
      <c r="B498" s="344">
        <f t="shared" si="327"/>
        <v>0</v>
      </c>
    </row>
    <row r="499" spans="2:3" x14ac:dyDescent="0.25">
      <c r="B499" s="344">
        <f t="shared" si="327"/>
        <v>0</v>
      </c>
    </row>
    <row r="500" spans="2:3" x14ac:dyDescent="0.25">
      <c r="B500" s="344">
        <f t="shared" si="327"/>
        <v>0</v>
      </c>
    </row>
    <row r="501" spans="2:3" ht="14.4" thickBot="1" x14ac:dyDescent="0.3">
      <c r="B501" s="345">
        <f t="shared" si="327"/>
        <v>0</v>
      </c>
      <c r="C501" s="341" t="str">
        <f>Adatok!F29</f>
        <v>-</v>
      </c>
    </row>
    <row r="502" spans="2:3" x14ac:dyDescent="0.25">
      <c r="B502" s="343">
        <f>IF($Y$2&gt;0,CONCATENATE($A$3,Y17,$A$4,Z17),0)</f>
        <v>0</v>
      </c>
    </row>
    <row r="503" spans="2:3" x14ac:dyDescent="0.25">
      <c r="B503" s="344">
        <f t="shared" ref="B503:B551" si="328">IF($Y$2&gt;0,CONCATENATE($A$3,Y18,$A$4,Z18),0)</f>
        <v>0</v>
      </c>
    </row>
    <row r="504" spans="2:3" x14ac:dyDescent="0.25">
      <c r="B504" s="344">
        <f t="shared" si="328"/>
        <v>0</v>
      </c>
    </row>
    <row r="505" spans="2:3" x14ac:dyDescent="0.25">
      <c r="B505" s="344">
        <f t="shared" si="328"/>
        <v>0</v>
      </c>
    </row>
    <row r="506" spans="2:3" x14ac:dyDescent="0.25">
      <c r="B506" s="344">
        <f t="shared" si="328"/>
        <v>0</v>
      </c>
    </row>
    <row r="507" spans="2:3" x14ac:dyDescent="0.25">
      <c r="B507" s="344">
        <f t="shared" si="328"/>
        <v>0</v>
      </c>
    </row>
    <row r="508" spans="2:3" x14ac:dyDescent="0.25">
      <c r="B508" s="344">
        <f t="shared" si="328"/>
        <v>0</v>
      </c>
    </row>
    <row r="509" spans="2:3" x14ac:dyDescent="0.25">
      <c r="B509" s="344">
        <f t="shared" si="328"/>
        <v>0</v>
      </c>
    </row>
    <row r="510" spans="2:3" x14ac:dyDescent="0.25">
      <c r="B510" s="344">
        <f t="shared" si="328"/>
        <v>0</v>
      </c>
    </row>
    <row r="511" spans="2:3" x14ac:dyDescent="0.25">
      <c r="B511" s="344">
        <f t="shared" si="328"/>
        <v>0</v>
      </c>
    </row>
    <row r="512" spans="2:3" x14ac:dyDescent="0.25">
      <c r="B512" s="344">
        <f t="shared" si="328"/>
        <v>0</v>
      </c>
    </row>
    <row r="513" spans="2:2" x14ac:dyDescent="0.25">
      <c r="B513" s="344">
        <f t="shared" si="328"/>
        <v>0</v>
      </c>
    </row>
    <row r="514" spans="2:2" x14ac:dyDescent="0.25">
      <c r="B514" s="344">
        <f t="shared" si="328"/>
        <v>0</v>
      </c>
    </row>
    <row r="515" spans="2:2" x14ac:dyDescent="0.25">
      <c r="B515" s="344">
        <f t="shared" si="328"/>
        <v>0</v>
      </c>
    </row>
    <row r="516" spans="2:2" x14ac:dyDescent="0.25">
      <c r="B516" s="344">
        <f t="shared" si="328"/>
        <v>0</v>
      </c>
    </row>
    <row r="517" spans="2:2" x14ac:dyDescent="0.25">
      <c r="B517" s="344">
        <f t="shared" si="328"/>
        <v>0</v>
      </c>
    </row>
    <row r="518" spans="2:2" x14ac:dyDescent="0.25">
      <c r="B518" s="344">
        <f t="shared" si="328"/>
        <v>0</v>
      </c>
    </row>
    <row r="519" spans="2:2" x14ac:dyDescent="0.25">
      <c r="B519" s="344">
        <f t="shared" si="328"/>
        <v>0</v>
      </c>
    </row>
    <row r="520" spans="2:2" x14ac:dyDescent="0.25">
      <c r="B520" s="344">
        <f t="shared" si="328"/>
        <v>0</v>
      </c>
    </row>
    <row r="521" spans="2:2" x14ac:dyDescent="0.25">
      <c r="B521" s="344">
        <f t="shared" si="328"/>
        <v>0</v>
      </c>
    </row>
    <row r="522" spans="2:2" x14ac:dyDescent="0.25">
      <c r="B522" s="344">
        <f t="shared" si="328"/>
        <v>0</v>
      </c>
    </row>
    <row r="523" spans="2:2" x14ac:dyDescent="0.25">
      <c r="B523" s="344">
        <f t="shared" si="328"/>
        <v>0</v>
      </c>
    </row>
    <row r="524" spans="2:2" x14ac:dyDescent="0.25">
      <c r="B524" s="344">
        <f t="shared" si="328"/>
        <v>0</v>
      </c>
    </row>
    <row r="525" spans="2:2" x14ac:dyDescent="0.25">
      <c r="B525" s="344">
        <f t="shared" si="328"/>
        <v>0</v>
      </c>
    </row>
    <row r="526" spans="2:2" x14ac:dyDescent="0.25">
      <c r="B526" s="344">
        <f t="shared" si="328"/>
        <v>0</v>
      </c>
    </row>
    <row r="527" spans="2:2" x14ac:dyDescent="0.25">
      <c r="B527" s="344">
        <f t="shared" si="328"/>
        <v>0</v>
      </c>
    </row>
    <row r="528" spans="2:2" x14ac:dyDescent="0.25">
      <c r="B528" s="344">
        <f t="shared" si="328"/>
        <v>0</v>
      </c>
    </row>
    <row r="529" spans="2:2" x14ac:dyDescent="0.25">
      <c r="B529" s="344">
        <f t="shared" si="328"/>
        <v>0</v>
      </c>
    </row>
    <row r="530" spans="2:2" x14ac:dyDescent="0.25">
      <c r="B530" s="344">
        <f t="shared" si="328"/>
        <v>0</v>
      </c>
    </row>
    <row r="531" spans="2:2" x14ac:dyDescent="0.25">
      <c r="B531" s="344">
        <f t="shared" si="328"/>
        <v>0</v>
      </c>
    </row>
    <row r="532" spans="2:2" x14ac:dyDescent="0.25">
      <c r="B532" s="344">
        <f t="shared" si="328"/>
        <v>0</v>
      </c>
    </row>
    <row r="533" spans="2:2" x14ac:dyDescent="0.25">
      <c r="B533" s="344">
        <f t="shared" si="328"/>
        <v>0</v>
      </c>
    </row>
    <row r="534" spans="2:2" x14ac:dyDescent="0.25">
      <c r="B534" s="344">
        <f t="shared" si="328"/>
        <v>0</v>
      </c>
    </row>
    <row r="535" spans="2:2" x14ac:dyDescent="0.25">
      <c r="B535" s="344">
        <f t="shared" si="328"/>
        <v>0</v>
      </c>
    </row>
    <row r="536" spans="2:2" x14ac:dyDescent="0.25">
      <c r="B536" s="344">
        <f t="shared" si="328"/>
        <v>0</v>
      </c>
    </row>
    <row r="537" spans="2:2" x14ac:dyDescent="0.25">
      <c r="B537" s="344">
        <f t="shared" si="328"/>
        <v>0</v>
      </c>
    </row>
    <row r="538" spans="2:2" x14ac:dyDescent="0.25">
      <c r="B538" s="344">
        <f t="shared" si="328"/>
        <v>0</v>
      </c>
    </row>
    <row r="539" spans="2:2" x14ac:dyDescent="0.25">
      <c r="B539" s="344">
        <f t="shared" si="328"/>
        <v>0</v>
      </c>
    </row>
    <row r="540" spans="2:2" x14ac:dyDescent="0.25">
      <c r="B540" s="344">
        <f t="shared" si="328"/>
        <v>0</v>
      </c>
    </row>
    <row r="541" spans="2:2" x14ac:dyDescent="0.25">
      <c r="B541" s="344">
        <f t="shared" si="328"/>
        <v>0</v>
      </c>
    </row>
    <row r="542" spans="2:2" x14ac:dyDescent="0.25">
      <c r="B542" s="344">
        <f t="shared" si="328"/>
        <v>0</v>
      </c>
    </row>
    <row r="543" spans="2:2" x14ac:dyDescent="0.25">
      <c r="B543" s="344">
        <f t="shared" si="328"/>
        <v>0</v>
      </c>
    </row>
    <row r="544" spans="2:2" x14ac:dyDescent="0.25">
      <c r="B544" s="344">
        <f t="shared" si="328"/>
        <v>0</v>
      </c>
    </row>
    <row r="545" spans="2:3" x14ac:dyDescent="0.25">
      <c r="B545" s="344">
        <f t="shared" si="328"/>
        <v>0</v>
      </c>
    </row>
    <row r="546" spans="2:3" x14ac:dyDescent="0.25">
      <c r="B546" s="344">
        <f t="shared" si="328"/>
        <v>0</v>
      </c>
    </row>
    <row r="547" spans="2:3" x14ac:dyDescent="0.25">
      <c r="B547" s="344">
        <f t="shared" si="328"/>
        <v>0</v>
      </c>
    </row>
    <row r="548" spans="2:3" x14ac:dyDescent="0.25">
      <c r="B548" s="344">
        <f t="shared" si="328"/>
        <v>0</v>
      </c>
    </row>
    <row r="549" spans="2:3" x14ac:dyDescent="0.25">
      <c r="B549" s="344">
        <f t="shared" si="328"/>
        <v>0</v>
      </c>
    </row>
    <row r="550" spans="2:3" x14ac:dyDescent="0.25">
      <c r="B550" s="344">
        <f t="shared" si="328"/>
        <v>0</v>
      </c>
    </row>
    <row r="551" spans="2:3" ht="14.4" thickBot="1" x14ac:dyDescent="0.3">
      <c r="B551" s="345">
        <f t="shared" si="328"/>
        <v>0</v>
      </c>
      <c r="C551" s="341" t="str">
        <f>Adatok!F30</f>
        <v>-</v>
      </c>
    </row>
    <row r="552" spans="2:3" x14ac:dyDescent="0.25">
      <c r="B552" s="343">
        <f>IF($AA$2&gt;0,CONCATENATE($A$3,AA17,$A$4,AB17),0)</f>
        <v>0</v>
      </c>
    </row>
    <row r="553" spans="2:3" x14ac:dyDescent="0.25">
      <c r="B553" s="344">
        <f t="shared" ref="B553:B601" si="329">IF($AA$2&gt;0,CONCATENATE($A$3,AA18,$A$4,AB18),0)</f>
        <v>0</v>
      </c>
    </row>
    <row r="554" spans="2:3" x14ac:dyDescent="0.25">
      <c r="B554" s="344">
        <f t="shared" si="329"/>
        <v>0</v>
      </c>
    </row>
    <row r="555" spans="2:3" x14ac:dyDescent="0.25">
      <c r="B555" s="344">
        <f t="shared" si="329"/>
        <v>0</v>
      </c>
    </row>
    <row r="556" spans="2:3" x14ac:dyDescent="0.25">
      <c r="B556" s="344">
        <f t="shared" si="329"/>
        <v>0</v>
      </c>
    </row>
    <row r="557" spans="2:3" x14ac:dyDescent="0.25">
      <c r="B557" s="344">
        <f t="shared" si="329"/>
        <v>0</v>
      </c>
    </row>
    <row r="558" spans="2:3" x14ac:dyDescent="0.25">
      <c r="B558" s="344">
        <f t="shared" si="329"/>
        <v>0</v>
      </c>
    </row>
    <row r="559" spans="2:3" x14ac:dyDescent="0.25">
      <c r="B559" s="344">
        <f t="shared" si="329"/>
        <v>0</v>
      </c>
    </row>
    <row r="560" spans="2:3" x14ac:dyDescent="0.25">
      <c r="B560" s="344">
        <f t="shared" si="329"/>
        <v>0</v>
      </c>
    </row>
    <row r="561" spans="2:2" x14ac:dyDescent="0.25">
      <c r="B561" s="344">
        <f t="shared" si="329"/>
        <v>0</v>
      </c>
    </row>
    <row r="562" spans="2:2" x14ac:dyDescent="0.25">
      <c r="B562" s="344">
        <f t="shared" si="329"/>
        <v>0</v>
      </c>
    </row>
    <row r="563" spans="2:2" x14ac:dyDescent="0.25">
      <c r="B563" s="344">
        <f t="shared" si="329"/>
        <v>0</v>
      </c>
    </row>
    <row r="564" spans="2:2" x14ac:dyDescent="0.25">
      <c r="B564" s="344">
        <f t="shared" si="329"/>
        <v>0</v>
      </c>
    </row>
    <row r="565" spans="2:2" x14ac:dyDescent="0.25">
      <c r="B565" s="344">
        <f t="shared" si="329"/>
        <v>0</v>
      </c>
    </row>
    <row r="566" spans="2:2" x14ac:dyDescent="0.25">
      <c r="B566" s="344">
        <f t="shared" si="329"/>
        <v>0</v>
      </c>
    </row>
    <row r="567" spans="2:2" x14ac:dyDescent="0.25">
      <c r="B567" s="344">
        <f t="shared" si="329"/>
        <v>0</v>
      </c>
    </row>
    <row r="568" spans="2:2" x14ac:dyDescent="0.25">
      <c r="B568" s="344">
        <f t="shared" si="329"/>
        <v>0</v>
      </c>
    </row>
    <row r="569" spans="2:2" x14ac:dyDescent="0.25">
      <c r="B569" s="344">
        <f t="shared" si="329"/>
        <v>0</v>
      </c>
    </row>
    <row r="570" spans="2:2" x14ac:dyDescent="0.25">
      <c r="B570" s="344">
        <f t="shared" si="329"/>
        <v>0</v>
      </c>
    </row>
    <row r="571" spans="2:2" x14ac:dyDescent="0.25">
      <c r="B571" s="344">
        <f t="shared" si="329"/>
        <v>0</v>
      </c>
    </row>
    <row r="572" spans="2:2" x14ac:dyDescent="0.25">
      <c r="B572" s="344">
        <f t="shared" si="329"/>
        <v>0</v>
      </c>
    </row>
    <row r="573" spans="2:2" x14ac:dyDescent="0.25">
      <c r="B573" s="344">
        <f t="shared" si="329"/>
        <v>0</v>
      </c>
    </row>
    <row r="574" spans="2:2" x14ac:dyDescent="0.25">
      <c r="B574" s="344">
        <f t="shared" si="329"/>
        <v>0</v>
      </c>
    </row>
    <row r="575" spans="2:2" x14ac:dyDescent="0.25">
      <c r="B575" s="344">
        <f t="shared" si="329"/>
        <v>0</v>
      </c>
    </row>
    <row r="576" spans="2:2" x14ac:dyDescent="0.25">
      <c r="B576" s="344">
        <f t="shared" si="329"/>
        <v>0</v>
      </c>
    </row>
    <row r="577" spans="2:2" x14ac:dyDescent="0.25">
      <c r="B577" s="344">
        <f t="shared" si="329"/>
        <v>0</v>
      </c>
    </row>
    <row r="578" spans="2:2" x14ac:dyDescent="0.25">
      <c r="B578" s="344">
        <f t="shared" si="329"/>
        <v>0</v>
      </c>
    </row>
    <row r="579" spans="2:2" x14ac:dyDescent="0.25">
      <c r="B579" s="344">
        <f t="shared" si="329"/>
        <v>0</v>
      </c>
    </row>
    <row r="580" spans="2:2" x14ac:dyDescent="0.25">
      <c r="B580" s="344">
        <f t="shared" si="329"/>
        <v>0</v>
      </c>
    </row>
    <row r="581" spans="2:2" x14ac:dyDescent="0.25">
      <c r="B581" s="344">
        <f t="shared" si="329"/>
        <v>0</v>
      </c>
    </row>
    <row r="582" spans="2:2" x14ac:dyDescent="0.25">
      <c r="B582" s="344">
        <f t="shared" si="329"/>
        <v>0</v>
      </c>
    </row>
    <row r="583" spans="2:2" x14ac:dyDescent="0.25">
      <c r="B583" s="344">
        <f t="shared" si="329"/>
        <v>0</v>
      </c>
    </row>
    <row r="584" spans="2:2" x14ac:dyDescent="0.25">
      <c r="B584" s="344">
        <f t="shared" si="329"/>
        <v>0</v>
      </c>
    </row>
    <row r="585" spans="2:2" x14ac:dyDescent="0.25">
      <c r="B585" s="344">
        <f t="shared" si="329"/>
        <v>0</v>
      </c>
    </row>
    <row r="586" spans="2:2" x14ac:dyDescent="0.25">
      <c r="B586" s="344">
        <f t="shared" si="329"/>
        <v>0</v>
      </c>
    </row>
    <row r="587" spans="2:2" x14ac:dyDescent="0.25">
      <c r="B587" s="344">
        <f t="shared" si="329"/>
        <v>0</v>
      </c>
    </row>
    <row r="588" spans="2:2" x14ac:dyDescent="0.25">
      <c r="B588" s="344">
        <f t="shared" si="329"/>
        <v>0</v>
      </c>
    </row>
    <row r="589" spans="2:2" x14ac:dyDescent="0.25">
      <c r="B589" s="344">
        <f t="shared" si="329"/>
        <v>0</v>
      </c>
    </row>
    <row r="590" spans="2:2" x14ac:dyDescent="0.25">
      <c r="B590" s="344">
        <f t="shared" si="329"/>
        <v>0</v>
      </c>
    </row>
    <row r="591" spans="2:2" x14ac:dyDescent="0.25">
      <c r="B591" s="344">
        <f t="shared" si="329"/>
        <v>0</v>
      </c>
    </row>
    <row r="592" spans="2:2" x14ac:dyDescent="0.25">
      <c r="B592" s="344">
        <f t="shared" si="329"/>
        <v>0</v>
      </c>
    </row>
    <row r="593" spans="2:3" x14ac:dyDescent="0.25">
      <c r="B593" s="344">
        <f t="shared" si="329"/>
        <v>0</v>
      </c>
    </row>
    <row r="594" spans="2:3" x14ac:dyDescent="0.25">
      <c r="B594" s="344">
        <f t="shared" si="329"/>
        <v>0</v>
      </c>
    </row>
    <row r="595" spans="2:3" x14ac:dyDescent="0.25">
      <c r="B595" s="344">
        <f t="shared" si="329"/>
        <v>0</v>
      </c>
    </row>
    <row r="596" spans="2:3" x14ac:dyDescent="0.25">
      <c r="B596" s="344">
        <f t="shared" si="329"/>
        <v>0</v>
      </c>
    </row>
    <row r="597" spans="2:3" x14ac:dyDescent="0.25">
      <c r="B597" s="344">
        <f t="shared" si="329"/>
        <v>0</v>
      </c>
    </row>
    <row r="598" spans="2:3" x14ac:dyDescent="0.25">
      <c r="B598" s="344">
        <f t="shared" si="329"/>
        <v>0</v>
      </c>
    </row>
    <row r="599" spans="2:3" x14ac:dyDescent="0.25">
      <c r="B599" s="344">
        <f t="shared" si="329"/>
        <v>0</v>
      </c>
    </row>
    <row r="600" spans="2:3" x14ac:dyDescent="0.25">
      <c r="B600" s="344">
        <f t="shared" si="329"/>
        <v>0</v>
      </c>
    </row>
    <row r="601" spans="2:3" ht="14.4" thickBot="1" x14ac:dyDescent="0.3">
      <c r="B601" s="345">
        <f t="shared" si="329"/>
        <v>0</v>
      </c>
      <c r="C601" s="341" t="str">
        <f>Adatok!F31</f>
        <v>-</v>
      </c>
    </row>
    <row r="602" spans="2:3" x14ac:dyDescent="0.25">
      <c r="B602" s="343">
        <f>IF($AC$2&gt;0,CONCATENATE($A$3,AC17,$A$4,AD17),0)</f>
        <v>0</v>
      </c>
    </row>
    <row r="603" spans="2:3" x14ac:dyDescent="0.25">
      <c r="B603" s="344">
        <f t="shared" ref="B603:B651" si="330">IF($AC$2&gt;0,CONCATENATE($A$3,AC18,$A$4,AD18),0)</f>
        <v>0</v>
      </c>
    </row>
    <row r="604" spans="2:3" x14ac:dyDescent="0.25">
      <c r="B604" s="344">
        <f t="shared" si="330"/>
        <v>0</v>
      </c>
    </row>
    <row r="605" spans="2:3" x14ac:dyDescent="0.25">
      <c r="B605" s="344">
        <f t="shared" si="330"/>
        <v>0</v>
      </c>
    </row>
    <row r="606" spans="2:3" x14ac:dyDescent="0.25">
      <c r="B606" s="344">
        <f t="shared" si="330"/>
        <v>0</v>
      </c>
    </row>
    <row r="607" spans="2:3" x14ac:dyDescent="0.25">
      <c r="B607" s="344">
        <f t="shared" si="330"/>
        <v>0</v>
      </c>
    </row>
    <row r="608" spans="2:3" x14ac:dyDescent="0.25">
      <c r="B608" s="344">
        <f t="shared" si="330"/>
        <v>0</v>
      </c>
    </row>
    <row r="609" spans="2:2" x14ac:dyDescent="0.25">
      <c r="B609" s="344">
        <f t="shared" si="330"/>
        <v>0</v>
      </c>
    </row>
    <row r="610" spans="2:2" x14ac:dyDescent="0.25">
      <c r="B610" s="344">
        <f t="shared" si="330"/>
        <v>0</v>
      </c>
    </row>
    <row r="611" spans="2:2" x14ac:dyDescent="0.25">
      <c r="B611" s="344">
        <f t="shared" si="330"/>
        <v>0</v>
      </c>
    </row>
    <row r="612" spans="2:2" x14ac:dyDescent="0.25">
      <c r="B612" s="344">
        <f t="shared" si="330"/>
        <v>0</v>
      </c>
    </row>
    <row r="613" spans="2:2" x14ac:dyDescent="0.25">
      <c r="B613" s="344">
        <f t="shared" si="330"/>
        <v>0</v>
      </c>
    </row>
    <row r="614" spans="2:2" x14ac:dyDescent="0.25">
      <c r="B614" s="344">
        <f t="shared" si="330"/>
        <v>0</v>
      </c>
    </row>
    <row r="615" spans="2:2" x14ac:dyDescent="0.25">
      <c r="B615" s="344">
        <f t="shared" si="330"/>
        <v>0</v>
      </c>
    </row>
    <row r="616" spans="2:2" x14ac:dyDescent="0.25">
      <c r="B616" s="344">
        <f t="shared" si="330"/>
        <v>0</v>
      </c>
    </row>
    <row r="617" spans="2:2" x14ac:dyDescent="0.25">
      <c r="B617" s="344">
        <f t="shared" si="330"/>
        <v>0</v>
      </c>
    </row>
    <row r="618" spans="2:2" x14ac:dyDescent="0.25">
      <c r="B618" s="344">
        <f t="shared" si="330"/>
        <v>0</v>
      </c>
    </row>
    <row r="619" spans="2:2" x14ac:dyDescent="0.25">
      <c r="B619" s="344">
        <f t="shared" si="330"/>
        <v>0</v>
      </c>
    </row>
    <row r="620" spans="2:2" x14ac:dyDescent="0.25">
      <c r="B620" s="344">
        <f t="shared" si="330"/>
        <v>0</v>
      </c>
    </row>
    <row r="621" spans="2:2" x14ac:dyDescent="0.25">
      <c r="B621" s="344">
        <f t="shared" si="330"/>
        <v>0</v>
      </c>
    </row>
    <row r="622" spans="2:2" x14ac:dyDescent="0.25">
      <c r="B622" s="344">
        <f t="shared" si="330"/>
        <v>0</v>
      </c>
    </row>
    <row r="623" spans="2:2" x14ac:dyDescent="0.25">
      <c r="B623" s="344">
        <f t="shared" si="330"/>
        <v>0</v>
      </c>
    </row>
    <row r="624" spans="2:2" x14ac:dyDescent="0.25">
      <c r="B624" s="344">
        <f t="shared" si="330"/>
        <v>0</v>
      </c>
    </row>
    <row r="625" spans="2:2" x14ac:dyDescent="0.25">
      <c r="B625" s="344">
        <f t="shared" si="330"/>
        <v>0</v>
      </c>
    </row>
    <row r="626" spans="2:2" x14ac:dyDescent="0.25">
      <c r="B626" s="344">
        <f t="shared" si="330"/>
        <v>0</v>
      </c>
    </row>
    <row r="627" spans="2:2" x14ac:dyDescent="0.25">
      <c r="B627" s="344">
        <f t="shared" si="330"/>
        <v>0</v>
      </c>
    </row>
    <row r="628" spans="2:2" x14ac:dyDescent="0.25">
      <c r="B628" s="344">
        <f t="shared" si="330"/>
        <v>0</v>
      </c>
    </row>
    <row r="629" spans="2:2" x14ac:dyDescent="0.25">
      <c r="B629" s="344">
        <f t="shared" si="330"/>
        <v>0</v>
      </c>
    </row>
    <row r="630" spans="2:2" x14ac:dyDescent="0.25">
      <c r="B630" s="344">
        <f t="shared" si="330"/>
        <v>0</v>
      </c>
    </row>
    <row r="631" spans="2:2" x14ac:dyDescent="0.25">
      <c r="B631" s="344">
        <f t="shared" si="330"/>
        <v>0</v>
      </c>
    </row>
    <row r="632" spans="2:2" x14ac:dyDescent="0.25">
      <c r="B632" s="344">
        <f t="shared" si="330"/>
        <v>0</v>
      </c>
    </row>
    <row r="633" spans="2:2" x14ac:dyDescent="0.25">
      <c r="B633" s="344">
        <f t="shared" si="330"/>
        <v>0</v>
      </c>
    </row>
    <row r="634" spans="2:2" x14ac:dyDescent="0.25">
      <c r="B634" s="344">
        <f t="shared" si="330"/>
        <v>0</v>
      </c>
    </row>
    <row r="635" spans="2:2" x14ac:dyDescent="0.25">
      <c r="B635" s="344">
        <f t="shared" si="330"/>
        <v>0</v>
      </c>
    </row>
    <row r="636" spans="2:2" x14ac:dyDescent="0.25">
      <c r="B636" s="344">
        <f t="shared" si="330"/>
        <v>0</v>
      </c>
    </row>
    <row r="637" spans="2:2" x14ac:dyDescent="0.25">
      <c r="B637" s="344">
        <f t="shared" si="330"/>
        <v>0</v>
      </c>
    </row>
    <row r="638" spans="2:2" x14ac:dyDescent="0.25">
      <c r="B638" s="344">
        <f t="shared" si="330"/>
        <v>0</v>
      </c>
    </row>
    <row r="639" spans="2:2" x14ac:dyDescent="0.25">
      <c r="B639" s="344">
        <f t="shared" si="330"/>
        <v>0</v>
      </c>
    </row>
    <row r="640" spans="2:2" x14ac:dyDescent="0.25">
      <c r="B640" s="344">
        <f t="shared" si="330"/>
        <v>0</v>
      </c>
    </row>
    <row r="641" spans="2:3" x14ac:dyDescent="0.25">
      <c r="B641" s="344">
        <f t="shared" si="330"/>
        <v>0</v>
      </c>
    </row>
    <row r="642" spans="2:3" x14ac:dyDescent="0.25">
      <c r="B642" s="344">
        <f t="shared" si="330"/>
        <v>0</v>
      </c>
    </row>
    <row r="643" spans="2:3" x14ac:dyDescent="0.25">
      <c r="B643" s="344">
        <f t="shared" si="330"/>
        <v>0</v>
      </c>
    </row>
    <row r="644" spans="2:3" x14ac:dyDescent="0.25">
      <c r="B644" s="344">
        <f t="shared" si="330"/>
        <v>0</v>
      </c>
    </row>
    <row r="645" spans="2:3" x14ac:dyDescent="0.25">
      <c r="B645" s="344">
        <f t="shared" si="330"/>
        <v>0</v>
      </c>
    </row>
    <row r="646" spans="2:3" x14ac:dyDescent="0.25">
      <c r="B646" s="344">
        <f t="shared" si="330"/>
        <v>0</v>
      </c>
    </row>
    <row r="647" spans="2:3" x14ac:dyDescent="0.25">
      <c r="B647" s="344">
        <f t="shared" si="330"/>
        <v>0</v>
      </c>
    </row>
    <row r="648" spans="2:3" x14ac:dyDescent="0.25">
      <c r="B648" s="344">
        <f t="shared" si="330"/>
        <v>0</v>
      </c>
    </row>
    <row r="649" spans="2:3" x14ac:dyDescent="0.25">
      <c r="B649" s="344">
        <f t="shared" si="330"/>
        <v>0</v>
      </c>
    </row>
    <row r="650" spans="2:3" x14ac:dyDescent="0.25">
      <c r="B650" s="344">
        <f t="shared" si="330"/>
        <v>0</v>
      </c>
    </row>
    <row r="651" spans="2:3" ht="14.4" thickBot="1" x14ac:dyDescent="0.3">
      <c r="B651" s="345">
        <f t="shared" si="330"/>
        <v>0</v>
      </c>
      <c r="C651" s="341" t="str">
        <f>Adatok!F32</f>
        <v>-</v>
      </c>
    </row>
    <row r="652" spans="2:3" x14ac:dyDescent="0.25">
      <c r="B652" s="343">
        <f>IF($AE$2&gt;0,CONCATENATE($A$3,AE17,$A$4,AF17),0)</f>
        <v>0</v>
      </c>
    </row>
    <row r="653" spans="2:3" x14ac:dyDescent="0.25">
      <c r="B653" s="344">
        <f t="shared" ref="B653:B701" si="331">IF($AE$2&gt;0,CONCATENATE($A$3,AE18,$A$4,AF18),0)</f>
        <v>0</v>
      </c>
    </row>
    <row r="654" spans="2:3" x14ac:dyDescent="0.25">
      <c r="B654" s="344">
        <f t="shared" si="331"/>
        <v>0</v>
      </c>
    </row>
    <row r="655" spans="2:3" x14ac:dyDescent="0.25">
      <c r="B655" s="344">
        <f t="shared" si="331"/>
        <v>0</v>
      </c>
    </row>
    <row r="656" spans="2:3" x14ac:dyDescent="0.25">
      <c r="B656" s="344">
        <f t="shared" si="331"/>
        <v>0</v>
      </c>
    </row>
    <row r="657" spans="2:2" x14ac:dyDescent="0.25">
      <c r="B657" s="344">
        <f t="shared" si="331"/>
        <v>0</v>
      </c>
    </row>
    <row r="658" spans="2:2" x14ac:dyDescent="0.25">
      <c r="B658" s="344">
        <f t="shared" si="331"/>
        <v>0</v>
      </c>
    </row>
    <row r="659" spans="2:2" x14ac:dyDescent="0.25">
      <c r="B659" s="344">
        <f t="shared" si="331"/>
        <v>0</v>
      </c>
    </row>
    <row r="660" spans="2:2" x14ac:dyDescent="0.25">
      <c r="B660" s="344">
        <f t="shared" si="331"/>
        <v>0</v>
      </c>
    </row>
    <row r="661" spans="2:2" x14ac:dyDescent="0.25">
      <c r="B661" s="344">
        <f t="shared" si="331"/>
        <v>0</v>
      </c>
    </row>
    <row r="662" spans="2:2" x14ac:dyDescent="0.25">
      <c r="B662" s="344">
        <f t="shared" si="331"/>
        <v>0</v>
      </c>
    </row>
    <row r="663" spans="2:2" x14ac:dyDescent="0.25">
      <c r="B663" s="344">
        <f t="shared" si="331"/>
        <v>0</v>
      </c>
    </row>
    <row r="664" spans="2:2" x14ac:dyDescent="0.25">
      <c r="B664" s="344">
        <f t="shared" si="331"/>
        <v>0</v>
      </c>
    </row>
    <row r="665" spans="2:2" x14ac:dyDescent="0.25">
      <c r="B665" s="344">
        <f t="shared" si="331"/>
        <v>0</v>
      </c>
    </row>
    <row r="666" spans="2:2" x14ac:dyDescent="0.25">
      <c r="B666" s="344">
        <f t="shared" si="331"/>
        <v>0</v>
      </c>
    </row>
    <row r="667" spans="2:2" x14ac:dyDescent="0.25">
      <c r="B667" s="344">
        <f t="shared" si="331"/>
        <v>0</v>
      </c>
    </row>
    <row r="668" spans="2:2" x14ac:dyDescent="0.25">
      <c r="B668" s="344">
        <f t="shared" si="331"/>
        <v>0</v>
      </c>
    </row>
    <row r="669" spans="2:2" x14ac:dyDescent="0.25">
      <c r="B669" s="344">
        <f t="shared" si="331"/>
        <v>0</v>
      </c>
    </row>
    <row r="670" spans="2:2" x14ac:dyDescent="0.25">
      <c r="B670" s="344">
        <f t="shared" si="331"/>
        <v>0</v>
      </c>
    </row>
    <row r="671" spans="2:2" x14ac:dyDescent="0.25">
      <c r="B671" s="344">
        <f t="shared" si="331"/>
        <v>0</v>
      </c>
    </row>
    <row r="672" spans="2:2" x14ac:dyDescent="0.25">
      <c r="B672" s="344">
        <f t="shared" si="331"/>
        <v>0</v>
      </c>
    </row>
    <row r="673" spans="2:2" x14ac:dyDescent="0.25">
      <c r="B673" s="344">
        <f t="shared" si="331"/>
        <v>0</v>
      </c>
    </row>
    <row r="674" spans="2:2" x14ac:dyDescent="0.25">
      <c r="B674" s="344">
        <f t="shared" si="331"/>
        <v>0</v>
      </c>
    </row>
    <row r="675" spans="2:2" x14ac:dyDescent="0.25">
      <c r="B675" s="344">
        <f t="shared" si="331"/>
        <v>0</v>
      </c>
    </row>
    <row r="676" spans="2:2" x14ac:dyDescent="0.25">
      <c r="B676" s="344">
        <f t="shared" si="331"/>
        <v>0</v>
      </c>
    </row>
    <row r="677" spans="2:2" x14ac:dyDescent="0.25">
      <c r="B677" s="344">
        <f t="shared" si="331"/>
        <v>0</v>
      </c>
    </row>
    <row r="678" spans="2:2" x14ac:dyDescent="0.25">
      <c r="B678" s="344">
        <f t="shared" si="331"/>
        <v>0</v>
      </c>
    </row>
    <row r="679" spans="2:2" x14ac:dyDescent="0.25">
      <c r="B679" s="344">
        <f t="shared" si="331"/>
        <v>0</v>
      </c>
    </row>
    <row r="680" spans="2:2" x14ac:dyDescent="0.25">
      <c r="B680" s="344">
        <f t="shared" si="331"/>
        <v>0</v>
      </c>
    </row>
    <row r="681" spans="2:2" x14ac:dyDescent="0.25">
      <c r="B681" s="344">
        <f t="shared" si="331"/>
        <v>0</v>
      </c>
    </row>
    <row r="682" spans="2:2" x14ac:dyDescent="0.25">
      <c r="B682" s="344">
        <f t="shared" si="331"/>
        <v>0</v>
      </c>
    </row>
    <row r="683" spans="2:2" x14ac:dyDescent="0.25">
      <c r="B683" s="344">
        <f t="shared" si="331"/>
        <v>0</v>
      </c>
    </row>
    <row r="684" spans="2:2" x14ac:dyDescent="0.25">
      <c r="B684" s="344">
        <f t="shared" si="331"/>
        <v>0</v>
      </c>
    </row>
    <row r="685" spans="2:2" x14ac:dyDescent="0.25">
      <c r="B685" s="344">
        <f t="shared" si="331"/>
        <v>0</v>
      </c>
    </row>
    <row r="686" spans="2:2" x14ac:dyDescent="0.25">
      <c r="B686" s="344">
        <f t="shared" si="331"/>
        <v>0</v>
      </c>
    </row>
    <row r="687" spans="2:2" x14ac:dyDescent="0.25">
      <c r="B687" s="344">
        <f t="shared" si="331"/>
        <v>0</v>
      </c>
    </row>
    <row r="688" spans="2:2" x14ac:dyDescent="0.25">
      <c r="B688" s="344">
        <f t="shared" si="331"/>
        <v>0</v>
      </c>
    </row>
    <row r="689" spans="2:3" x14ac:dyDescent="0.25">
      <c r="B689" s="344">
        <f t="shared" si="331"/>
        <v>0</v>
      </c>
    </row>
    <row r="690" spans="2:3" x14ac:dyDescent="0.25">
      <c r="B690" s="344">
        <f t="shared" si="331"/>
        <v>0</v>
      </c>
    </row>
    <row r="691" spans="2:3" x14ac:dyDescent="0.25">
      <c r="B691" s="344">
        <f t="shared" si="331"/>
        <v>0</v>
      </c>
    </row>
    <row r="692" spans="2:3" x14ac:dyDescent="0.25">
      <c r="B692" s="344">
        <f t="shared" si="331"/>
        <v>0</v>
      </c>
    </row>
    <row r="693" spans="2:3" x14ac:dyDescent="0.25">
      <c r="B693" s="344">
        <f t="shared" si="331"/>
        <v>0</v>
      </c>
    </row>
    <row r="694" spans="2:3" x14ac:dyDescent="0.25">
      <c r="B694" s="344">
        <f t="shared" si="331"/>
        <v>0</v>
      </c>
    </row>
    <row r="695" spans="2:3" x14ac:dyDescent="0.25">
      <c r="B695" s="344">
        <f t="shared" si="331"/>
        <v>0</v>
      </c>
    </row>
    <row r="696" spans="2:3" x14ac:dyDescent="0.25">
      <c r="B696" s="344">
        <f t="shared" si="331"/>
        <v>0</v>
      </c>
    </row>
    <row r="697" spans="2:3" x14ac:dyDescent="0.25">
      <c r="B697" s="344">
        <f t="shared" si="331"/>
        <v>0</v>
      </c>
    </row>
    <row r="698" spans="2:3" x14ac:dyDescent="0.25">
      <c r="B698" s="344">
        <f t="shared" si="331"/>
        <v>0</v>
      </c>
    </row>
    <row r="699" spans="2:3" x14ac:dyDescent="0.25">
      <c r="B699" s="344">
        <f t="shared" si="331"/>
        <v>0</v>
      </c>
    </row>
    <row r="700" spans="2:3" x14ac:dyDescent="0.25">
      <c r="B700" s="344">
        <f t="shared" si="331"/>
        <v>0</v>
      </c>
    </row>
    <row r="701" spans="2:3" ht="14.4" thickBot="1" x14ac:dyDescent="0.3">
      <c r="B701" s="345">
        <f t="shared" si="331"/>
        <v>0</v>
      </c>
      <c r="C701" s="341" t="str">
        <f>Adatok!F33</f>
        <v>-</v>
      </c>
    </row>
    <row r="702" spans="2:3" x14ac:dyDescent="0.25">
      <c r="B702" s="343">
        <f>IF($AG$2&gt;0,CONCATENATE($A$3,AG17,$A$4,AH17),0)</f>
        <v>0</v>
      </c>
    </row>
    <row r="703" spans="2:3" x14ac:dyDescent="0.25">
      <c r="B703" s="344">
        <f t="shared" ref="B703:B751" si="332">IF($AG$2&gt;0,CONCATENATE($A$3,AG18,$A$4,AH18),0)</f>
        <v>0</v>
      </c>
    </row>
    <row r="704" spans="2:3" x14ac:dyDescent="0.25">
      <c r="B704" s="344">
        <f t="shared" si="332"/>
        <v>0</v>
      </c>
    </row>
    <row r="705" spans="2:2" x14ac:dyDescent="0.25">
      <c r="B705" s="344">
        <f t="shared" si="332"/>
        <v>0</v>
      </c>
    </row>
    <row r="706" spans="2:2" x14ac:dyDescent="0.25">
      <c r="B706" s="344">
        <f t="shared" si="332"/>
        <v>0</v>
      </c>
    </row>
    <row r="707" spans="2:2" x14ac:dyDescent="0.25">
      <c r="B707" s="344">
        <f t="shared" si="332"/>
        <v>0</v>
      </c>
    </row>
    <row r="708" spans="2:2" x14ac:dyDescent="0.25">
      <c r="B708" s="344">
        <f t="shared" si="332"/>
        <v>0</v>
      </c>
    </row>
    <row r="709" spans="2:2" x14ac:dyDescent="0.25">
      <c r="B709" s="344">
        <f t="shared" si="332"/>
        <v>0</v>
      </c>
    </row>
    <row r="710" spans="2:2" x14ac:dyDescent="0.25">
      <c r="B710" s="344">
        <f t="shared" si="332"/>
        <v>0</v>
      </c>
    </row>
    <row r="711" spans="2:2" x14ac:dyDescent="0.25">
      <c r="B711" s="344">
        <f t="shared" si="332"/>
        <v>0</v>
      </c>
    </row>
    <row r="712" spans="2:2" x14ac:dyDescent="0.25">
      <c r="B712" s="344">
        <f t="shared" si="332"/>
        <v>0</v>
      </c>
    </row>
    <row r="713" spans="2:2" x14ac:dyDescent="0.25">
      <c r="B713" s="344">
        <f t="shared" si="332"/>
        <v>0</v>
      </c>
    </row>
    <row r="714" spans="2:2" x14ac:dyDescent="0.25">
      <c r="B714" s="344">
        <f t="shared" si="332"/>
        <v>0</v>
      </c>
    </row>
    <row r="715" spans="2:2" x14ac:dyDescent="0.25">
      <c r="B715" s="344">
        <f t="shared" si="332"/>
        <v>0</v>
      </c>
    </row>
    <row r="716" spans="2:2" x14ac:dyDescent="0.25">
      <c r="B716" s="344">
        <f t="shared" si="332"/>
        <v>0</v>
      </c>
    </row>
    <row r="717" spans="2:2" x14ac:dyDescent="0.25">
      <c r="B717" s="344">
        <f t="shared" si="332"/>
        <v>0</v>
      </c>
    </row>
    <row r="718" spans="2:2" x14ac:dyDescent="0.25">
      <c r="B718" s="344">
        <f t="shared" si="332"/>
        <v>0</v>
      </c>
    </row>
    <row r="719" spans="2:2" x14ac:dyDescent="0.25">
      <c r="B719" s="344">
        <f t="shared" si="332"/>
        <v>0</v>
      </c>
    </row>
    <row r="720" spans="2:2" x14ac:dyDescent="0.25">
      <c r="B720" s="344">
        <f t="shared" si="332"/>
        <v>0</v>
      </c>
    </row>
    <row r="721" spans="2:2" x14ac:dyDescent="0.25">
      <c r="B721" s="344">
        <f t="shared" si="332"/>
        <v>0</v>
      </c>
    </row>
    <row r="722" spans="2:2" x14ac:dyDescent="0.25">
      <c r="B722" s="344">
        <f t="shared" si="332"/>
        <v>0</v>
      </c>
    </row>
    <row r="723" spans="2:2" x14ac:dyDescent="0.25">
      <c r="B723" s="344">
        <f t="shared" si="332"/>
        <v>0</v>
      </c>
    </row>
    <row r="724" spans="2:2" x14ac:dyDescent="0.25">
      <c r="B724" s="344">
        <f t="shared" si="332"/>
        <v>0</v>
      </c>
    </row>
    <row r="725" spans="2:2" x14ac:dyDescent="0.25">
      <c r="B725" s="344">
        <f t="shared" si="332"/>
        <v>0</v>
      </c>
    </row>
    <row r="726" spans="2:2" x14ac:dyDescent="0.25">
      <c r="B726" s="344">
        <f t="shared" si="332"/>
        <v>0</v>
      </c>
    </row>
    <row r="727" spans="2:2" x14ac:dyDescent="0.25">
      <c r="B727" s="344">
        <f t="shared" si="332"/>
        <v>0</v>
      </c>
    </row>
    <row r="728" spans="2:2" x14ac:dyDescent="0.25">
      <c r="B728" s="344">
        <f t="shared" si="332"/>
        <v>0</v>
      </c>
    </row>
    <row r="729" spans="2:2" x14ac:dyDescent="0.25">
      <c r="B729" s="344">
        <f t="shared" si="332"/>
        <v>0</v>
      </c>
    </row>
    <row r="730" spans="2:2" x14ac:dyDescent="0.25">
      <c r="B730" s="344">
        <f t="shared" si="332"/>
        <v>0</v>
      </c>
    </row>
    <row r="731" spans="2:2" x14ac:dyDescent="0.25">
      <c r="B731" s="344">
        <f t="shared" si="332"/>
        <v>0</v>
      </c>
    </row>
    <row r="732" spans="2:2" x14ac:dyDescent="0.25">
      <c r="B732" s="344">
        <f t="shared" si="332"/>
        <v>0</v>
      </c>
    </row>
    <row r="733" spans="2:2" x14ac:dyDescent="0.25">
      <c r="B733" s="344">
        <f t="shared" si="332"/>
        <v>0</v>
      </c>
    </row>
    <row r="734" spans="2:2" x14ac:dyDescent="0.25">
      <c r="B734" s="344">
        <f t="shared" si="332"/>
        <v>0</v>
      </c>
    </row>
    <row r="735" spans="2:2" x14ac:dyDescent="0.25">
      <c r="B735" s="344">
        <f t="shared" si="332"/>
        <v>0</v>
      </c>
    </row>
    <row r="736" spans="2:2" x14ac:dyDescent="0.25">
      <c r="B736" s="344">
        <f t="shared" si="332"/>
        <v>0</v>
      </c>
    </row>
    <row r="737" spans="2:3" x14ac:dyDescent="0.25">
      <c r="B737" s="344">
        <f t="shared" si="332"/>
        <v>0</v>
      </c>
    </row>
    <row r="738" spans="2:3" x14ac:dyDescent="0.25">
      <c r="B738" s="344">
        <f t="shared" si="332"/>
        <v>0</v>
      </c>
    </row>
    <row r="739" spans="2:3" x14ac:dyDescent="0.25">
      <c r="B739" s="344">
        <f t="shared" si="332"/>
        <v>0</v>
      </c>
    </row>
    <row r="740" spans="2:3" x14ac:dyDescent="0.25">
      <c r="B740" s="344">
        <f t="shared" si="332"/>
        <v>0</v>
      </c>
    </row>
    <row r="741" spans="2:3" x14ac:dyDescent="0.25">
      <c r="B741" s="344">
        <f t="shared" si="332"/>
        <v>0</v>
      </c>
    </row>
    <row r="742" spans="2:3" x14ac:dyDescent="0.25">
      <c r="B742" s="344">
        <f t="shared" si="332"/>
        <v>0</v>
      </c>
    </row>
    <row r="743" spans="2:3" x14ac:dyDescent="0.25">
      <c r="B743" s="344">
        <f t="shared" si="332"/>
        <v>0</v>
      </c>
    </row>
    <row r="744" spans="2:3" x14ac:dyDescent="0.25">
      <c r="B744" s="344">
        <f t="shared" si="332"/>
        <v>0</v>
      </c>
    </row>
    <row r="745" spans="2:3" x14ac:dyDescent="0.25">
      <c r="B745" s="344">
        <f t="shared" si="332"/>
        <v>0</v>
      </c>
    </row>
    <row r="746" spans="2:3" x14ac:dyDescent="0.25">
      <c r="B746" s="344">
        <f t="shared" si="332"/>
        <v>0</v>
      </c>
    </row>
    <row r="747" spans="2:3" x14ac:dyDescent="0.25">
      <c r="B747" s="344">
        <f t="shared" si="332"/>
        <v>0</v>
      </c>
    </row>
    <row r="748" spans="2:3" x14ac:dyDescent="0.25">
      <c r="B748" s="344">
        <f t="shared" si="332"/>
        <v>0</v>
      </c>
    </row>
    <row r="749" spans="2:3" x14ac:dyDescent="0.25">
      <c r="B749" s="344">
        <f t="shared" si="332"/>
        <v>0</v>
      </c>
    </row>
    <row r="750" spans="2:3" x14ac:dyDescent="0.25">
      <c r="B750" s="344">
        <f t="shared" si="332"/>
        <v>0</v>
      </c>
    </row>
    <row r="751" spans="2:3" ht="14.4" thickBot="1" x14ac:dyDescent="0.3">
      <c r="B751" s="345">
        <f t="shared" si="332"/>
        <v>0</v>
      </c>
      <c r="C751" s="341" t="str">
        <f>Adatok!F34</f>
        <v>-</v>
      </c>
    </row>
    <row r="752" spans="2:3" x14ac:dyDescent="0.25">
      <c r="B752" s="343">
        <f>IF($AI$2&gt;0,CONCATENATE($A$3,AI17,$A$4,AJ17),0)</f>
        <v>0</v>
      </c>
    </row>
    <row r="753" spans="2:2" x14ac:dyDescent="0.25">
      <c r="B753" s="344">
        <f t="shared" ref="B753:B801" si="333">IF($AI$2&gt;0,CONCATENATE($A$3,AI18,$A$4,AJ18),0)</f>
        <v>0</v>
      </c>
    </row>
    <row r="754" spans="2:2" x14ac:dyDescent="0.25">
      <c r="B754" s="344">
        <f t="shared" si="333"/>
        <v>0</v>
      </c>
    </row>
    <row r="755" spans="2:2" x14ac:dyDescent="0.25">
      <c r="B755" s="344">
        <f t="shared" si="333"/>
        <v>0</v>
      </c>
    </row>
    <row r="756" spans="2:2" x14ac:dyDescent="0.25">
      <c r="B756" s="344">
        <f t="shared" si="333"/>
        <v>0</v>
      </c>
    </row>
    <row r="757" spans="2:2" x14ac:dyDescent="0.25">
      <c r="B757" s="344">
        <f t="shared" si="333"/>
        <v>0</v>
      </c>
    </row>
    <row r="758" spans="2:2" x14ac:dyDescent="0.25">
      <c r="B758" s="344">
        <f t="shared" si="333"/>
        <v>0</v>
      </c>
    </row>
    <row r="759" spans="2:2" x14ac:dyDescent="0.25">
      <c r="B759" s="344">
        <f t="shared" si="333"/>
        <v>0</v>
      </c>
    </row>
    <row r="760" spans="2:2" x14ac:dyDescent="0.25">
      <c r="B760" s="344">
        <f t="shared" si="333"/>
        <v>0</v>
      </c>
    </row>
    <row r="761" spans="2:2" x14ac:dyDescent="0.25">
      <c r="B761" s="344">
        <f t="shared" si="333"/>
        <v>0</v>
      </c>
    </row>
    <row r="762" spans="2:2" x14ac:dyDescent="0.25">
      <c r="B762" s="344">
        <f t="shared" si="333"/>
        <v>0</v>
      </c>
    </row>
    <row r="763" spans="2:2" x14ac:dyDescent="0.25">
      <c r="B763" s="344">
        <f t="shared" si="333"/>
        <v>0</v>
      </c>
    </row>
    <row r="764" spans="2:2" x14ac:dyDescent="0.25">
      <c r="B764" s="344">
        <f t="shared" si="333"/>
        <v>0</v>
      </c>
    </row>
    <row r="765" spans="2:2" x14ac:dyDescent="0.25">
      <c r="B765" s="344">
        <f t="shared" si="333"/>
        <v>0</v>
      </c>
    </row>
    <row r="766" spans="2:2" x14ac:dyDescent="0.25">
      <c r="B766" s="344">
        <f t="shared" si="333"/>
        <v>0</v>
      </c>
    </row>
    <row r="767" spans="2:2" x14ac:dyDescent="0.25">
      <c r="B767" s="344">
        <f t="shared" si="333"/>
        <v>0</v>
      </c>
    </row>
    <row r="768" spans="2:2" x14ac:dyDescent="0.25">
      <c r="B768" s="344">
        <f t="shared" si="333"/>
        <v>0</v>
      </c>
    </row>
    <row r="769" spans="2:2" x14ac:dyDescent="0.25">
      <c r="B769" s="344">
        <f t="shared" si="333"/>
        <v>0</v>
      </c>
    </row>
    <row r="770" spans="2:2" x14ac:dyDescent="0.25">
      <c r="B770" s="344">
        <f t="shared" si="333"/>
        <v>0</v>
      </c>
    </row>
    <row r="771" spans="2:2" x14ac:dyDescent="0.25">
      <c r="B771" s="344">
        <f t="shared" si="333"/>
        <v>0</v>
      </c>
    </row>
    <row r="772" spans="2:2" x14ac:dyDescent="0.25">
      <c r="B772" s="344">
        <f t="shared" si="333"/>
        <v>0</v>
      </c>
    </row>
    <row r="773" spans="2:2" x14ac:dyDescent="0.25">
      <c r="B773" s="344">
        <f t="shared" si="333"/>
        <v>0</v>
      </c>
    </row>
    <row r="774" spans="2:2" x14ac:dyDescent="0.25">
      <c r="B774" s="344">
        <f t="shared" si="333"/>
        <v>0</v>
      </c>
    </row>
    <row r="775" spans="2:2" x14ac:dyDescent="0.25">
      <c r="B775" s="344">
        <f t="shared" si="333"/>
        <v>0</v>
      </c>
    </row>
    <row r="776" spans="2:2" x14ac:dyDescent="0.25">
      <c r="B776" s="344">
        <f t="shared" si="333"/>
        <v>0</v>
      </c>
    </row>
    <row r="777" spans="2:2" x14ac:dyDescent="0.25">
      <c r="B777" s="344">
        <f t="shared" si="333"/>
        <v>0</v>
      </c>
    </row>
    <row r="778" spans="2:2" x14ac:dyDescent="0.25">
      <c r="B778" s="344">
        <f t="shared" si="333"/>
        <v>0</v>
      </c>
    </row>
    <row r="779" spans="2:2" x14ac:dyDescent="0.25">
      <c r="B779" s="344">
        <f t="shared" si="333"/>
        <v>0</v>
      </c>
    </row>
    <row r="780" spans="2:2" x14ac:dyDescent="0.25">
      <c r="B780" s="344">
        <f t="shared" si="333"/>
        <v>0</v>
      </c>
    </row>
    <row r="781" spans="2:2" x14ac:dyDescent="0.25">
      <c r="B781" s="344">
        <f t="shared" si="333"/>
        <v>0</v>
      </c>
    </row>
    <row r="782" spans="2:2" x14ac:dyDescent="0.25">
      <c r="B782" s="344">
        <f t="shared" si="333"/>
        <v>0</v>
      </c>
    </row>
    <row r="783" spans="2:2" x14ac:dyDescent="0.25">
      <c r="B783" s="344">
        <f t="shared" si="333"/>
        <v>0</v>
      </c>
    </row>
    <row r="784" spans="2:2" x14ac:dyDescent="0.25">
      <c r="B784" s="344">
        <f t="shared" si="333"/>
        <v>0</v>
      </c>
    </row>
    <row r="785" spans="2:2" x14ac:dyDescent="0.25">
      <c r="B785" s="344">
        <f t="shared" si="333"/>
        <v>0</v>
      </c>
    </row>
    <row r="786" spans="2:2" x14ac:dyDescent="0.25">
      <c r="B786" s="344">
        <f t="shared" si="333"/>
        <v>0</v>
      </c>
    </row>
    <row r="787" spans="2:2" x14ac:dyDescent="0.25">
      <c r="B787" s="344">
        <f t="shared" si="333"/>
        <v>0</v>
      </c>
    </row>
    <row r="788" spans="2:2" x14ac:dyDescent="0.25">
      <c r="B788" s="344">
        <f t="shared" si="333"/>
        <v>0</v>
      </c>
    </row>
    <row r="789" spans="2:2" x14ac:dyDescent="0.25">
      <c r="B789" s="344">
        <f t="shared" si="333"/>
        <v>0</v>
      </c>
    </row>
    <row r="790" spans="2:2" x14ac:dyDescent="0.25">
      <c r="B790" s="344">
        <f t="shared" si="333"/>
        <v>0</v>
      </c>
    </row>
    <row r="791" spans="2:2" x14ac:dyDescent="0.25">
      <c r="B791" s="344">
        <f t="shared" si="333"/>
        <v>0</v>
      </c>
    </row>
    <row r="792" spans="2:2" x14ac:dyDescent="0.25">
      <c r="B792" s="344">
        <f t="shared" si="333"/>
        <v>0</v>
      </c>
    </row>
    <row r="793" spans="2:2" x14ac:dyDescent="0.25">
      <c r="B793" s="344">
        <f t="shared" si="333"/>
        <v>0</v>
      </c>
    </row>
    <row r="794" spans="2:2" x14ac:dyDescent="0.25">
      <c r="B794" s="344">
        <f t="shared" si="333"/>
        <v>0</v>
      </c>
    </row>
    <row r="795" spans="2:2" x14ac:dyDescent="0.25">
      <c r="B795" s="344">
        <f t="shared" si="333"/>
        <v>0</v>
      </c>
    </row>
    <row r="796" spans="2:2" x14ac:dyDescent="0.25">
      <c r="B796" s="344">
        <f t="shared" si="333"/>
        <v>0</v>
      </c>
    </row>
    <row r="797" spans="2:2" x14ac:dyDescent="0.25">
      <c r="B797" s="344">
        <f t="shared" si="333"/>
        <v>0</v>
      </c>
    </row>
    <row r="798" spans="2:2" x14ac:dyDescent="0.25">
      <c r="B798" s="344">
        <f t="shared" si="333"/>
        <v>0</v>
      </c>
    </row>
    <row r="799" spans="2:2" x14ac:dyDescent="0.25">
      <c r="B799" s="344">
        <f t="shared" si="333"/>
        <v>0</v>
      </c>
    </row>
    <row r="800" spans="2:2" x14ac:dyDescent="0.25">
      <c r="B800" s="344">
        <f t="shared" si="333"/>
        <v>0</v>
      </c>
    </row>
    <row r="801" spans="2:3" ht="14.4" thickBot="1" x14ac:dyDescent="0.3">
      <c r="B801" s="345">
        <f t="shared" si="333"/>
        <v>0</v>
      </c>
      <c r="C801" s="341" t="str">
        <f>Adatok!F35</f>
        <v>-</v>
      </c>
    </row>
    <row r="802" spans="2:3" x14ac:dyDescent="0.25">
      <c r="B802" s="343">
        <f>IF($AK$2&gt;0,CONCATENATE($A$3,AK17,$A$4,AL17),0)</f>
        <v>0</v>
      </c>
    </row>
    <row r="803" spans="2:3" x14ac:dyDescent="0.25">
      <c r="B803" s="344">
        <f t="shared" ref="B803:B851" si="334">IF($AK$2&gt;0,CONCATENATE($A$3,AK18,$A$4,AL18),0)</f>
        <v>0</v>
      </c>
    </row>
    <row r="804" spans="2:3" x14ac:dyDescent="0.25">
      <c r="B804" s="344">
        <f t="shared" si="334"/>
        <v>0</v>
      </c>
    </row>
    <row r="805" spans="2:3" x14ac:dyDescent="0.25">
      <c r="B805" s="344">
        <f t="shared" si="334"/>
        <v>0</v>
      </c>
    </row>
    <row r="806" spans="2:3" x14ac:dyDescent="0.25">
      <c r="B806" s="344">
        <f t="shared" si="334"/>
        <v>0</v>
      </c>
    </row>
    <row r="807" spans="2:3" x14ac:dyDescent="0.25">
      <c r="B807" s="344">
        <f t="shared" si="334"/>
        <v>0</v>
      </c>
    </row>
    <row r="808" spans="2:3" x14ac:dyDescent="0.25">
      <c r="B808" s="344">
        <f t="shared" si="334"/>
        <v>0</v>
      </c>
    </row>
    <row r="809" spans="2:3" x14ac:dyDescent="0.25">
      <c r="B809" s="344">
        <f t="shared" si="334"/>
        <v>0</v>
      </c>
    </row>
    <row r="810" spans="2:3" x14ac:dyDescent="0.25">
      <c r="B810" s="344">
        <f t="shared" si="334"/>
        <v>0</v>
      </c>
    </row>
    <row r="811" spans="2:3" x14ac:dyDescent="0.25">
      <c r="B811" s="344">
        <f t="shared" si="334"/>
        <v>0</v>
      </c>
    </row>
    <row r="812" spans="2:3" x14ac:dyDescent="0.25">
      <c r="B812" s="344">
        <f t="shared" si="334"/>
        <v>0</v>
      </c>
    </row>
    <row r="813" spans="2:3" x14ac:dyDescent="0.25">
      <c r="B813" s="344">
        <f t="shared" si="334"/>
        <v>0</v>
      </c>
    </row>
    <row r="814" spans="2:3" x14ac:dyDescent="0.25">
      <c r="B814" s="344">
        <f t="shared" si="334"/>
        <v>0</v>
      </c>
    </row>
    <row r="815" spans="2:3" x14ac:dyDescent="0.25">
      <c r="B815" s="344">
        <f t="shared" si="334"/>
        <v>0</v>
      </c>
    </row>
    <row r="816" spans="2:3" x14ac:dyDescent="0.25">
      <c r="B816" s="344">
        <f t="shared" si="334"/>
        <v>0</v>
      </c>
    </row>
    <row r="817" spans="2:2" x14ac:dyDescent="0.25">
      <c r="B817" s="344">
        <f t="shared" si="334"/>
        <v>0</v>
      </c>
    </row>
    <row r="818" spans="2:2" x14ac:dyDescent="0.25">
      <c r="B818" s="344">
        <f t="shared" si="334"/>
        <v>0</v>
      </c>
    </row>
    <row r="819" spans="2:2" x14ac:dyDescent="0.25">
      <c r="B819" s="344">
        <f t="shared" si="334"/>
        <v>0</v>
      </c>
    </row>
    <row r="820" spans="2:2" x14ac:dyDescent="0.25">
      <c r="B820" s="344">
        <f t="shared" si="334"/>
        <v>0</v>
      </c>
    </row>
    <row r="821" spans="2:2" x14ac:dyDescent="0.25">
      <c r="B821" s="344">
        <f t="shared" si="334"/>
        <v>0</v>
      </c>
    </row>
    <row r="822" spans="2:2" x14ac:dyDescent="0.25">
      <c r="B822" s="344">
        <f t="shared" si="334"/>
        <v>0</v>
      </c>
    </row>
    <row r="823" spans="2:2" x14ac:dyDescent="0.25">
      <c r="B823" s="344">
        <f t="shared" si="334"/>
        <v>0</v>
      </c>
    </row>
    <row r="824" spans="2:2" x14ac:dyDescent="0.25">
      <c r="B824" s="344">
        <f t="shared" si="334"/>
        <v>0</v>
      </c>
    </row>
    <row r="825" spans="2:2" x14ac:dyDescent="0.25">
      <c r="B825" s="344">
        <f t="shared" si="334"/>
        <v>0</v>
      </c>
    </row>
    <row r="826" spans="2:2" x14ac:dyDescent="0.25">
      <c r="B826" s="344">
        <f t="shared" si="334"/>
        <v>0</v>
      </c>
    </row>
    <row r="827" spans="2:2" x14ac:dyDescent="0.25">
      <c r="B827" s="344">
        <f t="shared" si="334"/>
        <v>0</v>
      </c>
    </row>
    <row r="828" spans="2:2" x14ac:dyDescent="0.25">
      <c r="B828" s="344">
        <f t="shared" si="334"/>
        <v>0</v>
      </c>
    </row>
    <row r="829" spans="2:2" x14ac:dyDescent="0.25">
      <c r="B829" s="344">
        <f t="shared" si="334"/>
        <v>0</v>
      </c>
    </row>
    <row r="830" spans="2:2" x14ac:dyDescent="0.25">
      <c r="B830" s="344">
        <f t="shared" si="334"/>
        <v>0</v>
      </c>
    </row>
    <row r="831" spans="2:2" x14ac:dyDescent="0.25">
      <c r="B831" s="344">
        <f t="shared" si="334"/>
        <v>0</v>
      </c>
    </row>
    <row r="832" spans="2:2" x14ac:dyDescent="0.25">
      <c r="B832" s="344">
        <f t="shared" si="334"/>
        <v>0</v>
      </c>
    </row>
    <row r="833" spans="2:2" x14ac:dyDescent="0.25">
      <c r="B833" s="344">
        <f t="shared" si="334"/>
        <v>0</v>
      </c>
    </row>
    <row r="834" spans="2:2" x14ac:dyDescent="0.25">
      <c r="B834" s="344">
        <f t="shared" si="334"/>
        <v>0</v>
      </c>
    </row>
    <row r="835" spans="2:2" x14ac:dyDescent="0.25">
      <c r="B835" s="344">
        <f t="shared" si="334"/>
        <v>0</v>
      </c>
    </row>
    <row r="836" spans="2:2" x14ac:dyDescent="0.25">
      <c r="B836" s="344">
        <f t="shared" si="334"/>
        <v>0</v>
      </c>
    </row>
    <row r="837" spans="2:2" x14ac:dyDescent="0.25">
      <c r="B837" s="344">
        <f t="shared" si="334"/>
        <v>0</v>
      </c>
    </row>
    <row r="838" spans="2:2" x14ac:dyDescent="0.25">
      <c r="B838" s="344">
        <f t="shared" si="334"/>
        <v>0</v>
      </c>
    </row>
    <row r="839" spans="2:2" x14ac:dyDescent="0.25">
      <c r="B839" s="344">
        <f t="shared" si="334"/>
        <v>0</v>
      </c>
    </row>
    <row r="840" spans="2:2" x14ac:dyDescent="0.25">
      <c r="B840" s="344">
        <f t="shared" si="334"/>
        <v>0</v>
      </c>
    </row>
    <row r="841" spans="2:2" x14ac:dyDescent="0.25">
      <c r="B841" s="344">
        <f t="shared" si="334"/>
        <v>0</v>
      </c>
    </row>
    <row r="842" spans="2:2" x14ac:dyDescent="0.25">
      <c r="B842" s="344">
        <f t="shared" si="334"/>
        <v>0</v>
      </c>
    </row>
    <row r="843" spans="2:2" x14ac:dyDescent="0.25">
      <c r="B843" s="344">
        <f t="shared" si="334"/>
        <v>0</v>
      </c>
    </row>
    <row r="844" spans="2:2" x14ac:dyDescent="0.25">
      <c r="B844" s="344">
        <f t="shared" si="334"/>
        <v>0</v>
      </c>
    </row>
    <row r="845" spans="2:2" x14ac:dyDescent="0.25">
      <c r="B845" s="344">
        <f t="shared" si="334"/>
        <v>0</v>
      </c>
    </row>
    <row r="846" spans="2:2" x14ac:dyDescent="0.25">
      <c r="B846" s="344">
        <f t="shared" si="334"/>
        <v>0</v>
      </c>
    </row>
    <row r="847" spans="2:2" x14ac:dyDescent="0.25">
      <c r="B847" s="344">
        <f t="shared" si="334"/>
        <v>0</v>
      </c>
    </row>
    <row r="848" spans="2:2" x14ac:dyDescent="0.25">
      <c r="B848" s="344">
        <f t="shared" si="334"/>
        <v>0</v>
      </c>
    </row>
    <row r="849" spans="2:3" x14ac:dyDescent="0.25">
      <c r="B849" s="344">
        <f t="shared" si="334"/>
        <v>0</v>
      </c>
    </row>
    <row r="850" spans="2:3" x14ac:dyDescent="0.25">
      <c r="B850" s="344">
        <f t="shared" si="334"/>
        <v>0</v>
      </c>
    </row>
    <row r="851" spans="2:3" ht="14.4" thickBot="1" x14ac:dyDescent="0.3">
      <c r="B851" s="345">
        <f t="shared" si="334"/>
        <v>0</v>
      </c>
      <c r="C851" s="341" t="str">
        <f>Adatok!F36</f>
        <v>-</v>
      </c>
    </row>
    <row r="852" spans="2:3" x14ac:dyDescent="0.25">
      <c r="B852" s="343">
        <f>IF($AM$2&gt;0,CONCATENATE($A$3,AM17,$A$4,AN17),0)</f>
        <v>0</v>
      </c>
    </row>
    <row r="853" spans="2:3" x14ac:dyDescent="0.25">
      <c r="B853" s="344">
        <f t="shared" ref="B853:B901" si="335">IF($AM$2&gt;0,CONCATENATE($A$3,AM18,$A$4,AN18),0)</f>
        <v>0</v>
      </c>
    </row>
    <row r="854" spans="2:3" x14ac:dyDescent="0.25">
      <c r="B854" s="344">
        <f t="shared" si="335"/>
        <v>0</v>
      </c>
    </row>
    <row r="855" spans="2:3" x14ac:dyDescent="0.25">
      <c r="B855" s="344">
        <f t="shared" si="335"/>
        <v>0</v>
      </c>
    </row>
    <row r="856" spans="2:3" x14ac:dyDescent="0.25">
      <c r="B856" s="344">
        <f t="shared" si="335"/>
        <v>0</v>
      </c>
    </row>
    <row r="857" spans="2:3" x14ac:dyDescent="0.25">
      <c r="B857" s="344">
        <f t="shared" si="335"/>
        <v>0</v>
      </c>
    </row>
    <row r="858" spans="2:3" x14ac:dyDescent="0.25">
      <c r="B858" s="344">
        <f t="shared" si="335"/>
        <v>0</v>
      </c>
    </row>
    <row r="859" spans="2:3" x14ac:dyDescent="0.25">
      <c r="B859" s="344">
        <f t="shared" si="335"/>
        <v>0</v>
      </c>
    </row>
    <row r="860" spans="2:3" x14ac:dyDescent="0.25">
      <c r="B860" s="344">
        <f t="shared" si="335"/>
        <v>0</v>
      </c>
    </row>
    <row r="861" spans="2:3" x14ac:dyDescent="0.25">
      <c r="B861" s="344">
        <f t="shared" si="335"/>
        <v>0</v>
      </c>
    </row>
    <row r="862" spans="2:3" x14ac:dyDescent="0.25">
      <c r="B862" s="344">
        <f t="shared" si="335"/>
        <v>0</v>
      </c>
    </row>
    <row r="863" spans="2:3" x14ac:dyDescent="0.25">
      <c r="B863" s="344">
        <f t="shared" si="335"/>
        <v>0</v>
      </c>
    </row>
    <row r="864" spans="2:3" x14ac:dyDescent="0.25">
      <c r="B864" s="344">
        <f t="shared" si="335"/>
        <v>0</v>
      </c>
    </row>
    <row r="865" spans="2:2" x14ac:dyDescent="0.25">
      <c r="B865" s="344">
        <f t="shared" si="335"/>
        <v>0</v>
      </c>
    </row>
    <row r="866" spans="2:2" x14ac:dyDescent="0.25">
      <c r="B866" s="344">
        <f t="shared" si="335"/>
        <v>0</v>
      </c>
    </row>
    <row r="867" spans="2:2" x14ac:dyDescent="0.25">
      <c r="B867" s="344">
        <f t="shared" si="335"/>
        <v>0</v>
      </c>
    </row>
    <row r="868" spans="2:2" x14ac:dyDescent="0.25">
      <c r="B868" s="344">
        <f t="shared" si="335"/>
        <v>0</v>
      </c>
    </row>
    <row r="869" spans="2:2" x14ac:dyDescent="0.25">
      <c r="B869" s="344">
        <f t="shared" si="335"/>
        <v>0</v>
      </c>
    </row>
    <row r="870" spans="2:2" x14ac:dyDescent="0.25">
      <c r="B870" s="344">
        <f t="shared" si="335"/>
        <v>0</v>
      </c>
    </row>
    <row r="871" spans="2:2" x14ac:dyDescent="0.25">
      <c r="B871" s="344">
        <f t="shared" si="335"/>
        <v>0</v>
      </c>
    </row>
    <row r="872" spans="2:2" x14ac:dyDescent="0.25">
      <c r="B872" s="344">
        <f t="shared" si="335"/>
        <v>0</v>
      </c>
    </row>
    <row r="873" spans="2:2" x14ac:dyDescent="0.25">
      <c r="B873" s="344">
        <f t="shared" si="335"/>
        <v>0</v>
      </c>
    </row>
    <row r="874" spans="2:2" x14ac:dyDescent="0.25">
      <c r="B874" s="344">
        <f t="shared" si="335"/>
        <v>0</v>
      </c>
    </row>
    <row r="875" spans="2:2" x14ac:dyDescent="0.25">
      <c r="B875" s="344">
        <f t="shared" si="335"/>
        <v>0</v>
      </c>
    </row>
    <row r="876" spans="2:2" x14ac:dyDescent="0.25">
      <c r="B876" s="344">
        <f t="shared" si="335"/>
        <v>0</v>
      </c>
    </row>
    <row r="877" spans="2:2" x14ac:dyDescent="0.25">
      <c r="B877" s="344">
        <f t="shared" si="335"/>
        <v>0</v>
      </c>
    </row>
    <row r="878" spans="2:2" x14ac:dyDescent="0.25">
      <c r="B878" s="344">
        <f t="shared" si="335"/>
        <v>0</v>
      </c>
    </row>
    <row r="879" spans="2:2" x14ac:dyDescent="0.25">
      <c r="B879" s="344">
        <f t="shared" si="335"/>
        <v>0</v>
      </c>
    </row>
    <row r="880" spans="2:2" x14ac:dyDescent="0.25">
      <c r="B880" s="344">
        <f t="shared" si="335"/>
        <v>0</v>
      </c>
    </row>
    <row r="881" spans="2:2" x14ac:dyDescent="0.25">
      <c r="B881" s="344">
        <f t="shared" si="335"/>
        <v>0</v>
      </c>
    </row>
    <row r="882" spans="2:2" x14ac:dyDescent="0.25">
      <c r="B882" s="344">
        <f t="shared" si="335"/>
        <v>0</v>
      </c>
    </row>
    <row r="883" spans="2:2" x14ac:dyDescent="0.25">
      <c r="B883" s="344">
        <f t="shared" si="335"/>
        <v>0</v>
      </c>
    </row>
    <row r="884" spans="2:2" x14ac:dyDescent="0.25">
      <c r="B884" s="344">
        <f t="shared" si="335"/>
        <v>0</v>
      </c>
    </row>
    <row r="885" spans="2:2" x14ac:dyDescent="0.25">
      <c r="B885" s="344">
        <f t="shared" si="335"/>
        <v>0</v>
      </c>
    </row>
    <row r="886" spans="2:2" x14ac:dyDescent="0.25">
      <c r="B886" s="344">
        <f t="shared" si="335"/>
        <v>0</v>
      </c>
    </row>
    <row r="887" spans="2:2" x14ac:dyDescent="0.25">
      <c r="B887" s="344">
        <f t="shared" si="335"/>
        <v>0</v>
      </c>
    </row>
    <row r="888" spans="2:2" x14ac:dyDescent="0.25">
      <c r="B888" s="344">
        <f t="shared" si="335"/>
        <v>0</v>
      </c>
    </row>
    <row r="889" spans="2:2" x14ac:dyDescent="0.25">
      <c r="B889" s="344">
        <f t="shared" si="335"/>
        <v>0</v>
      </c>
    </row>
    <row r="890" spans="2:2" x14ac:dyDescent="0.25">
      <c r="B890" s="344">
        <f t="shared" si="335"/>
        <v>0</v>
      </c>
    </row>
    <row r="891" spans="2:2" x14ac:dyDescent="0.25">
      <c r="B891" s="344">
        <f t="shared" si="335"/>
        <v>0</v>
      </c>
    </row>
    <row r="892" spans="2:2" x14ac:dyDescent="0.25">
      <c r="B892" s="344">
        <f t="shared" si="335"/>
        <v>0</v>
      </c>
    </row>
    <row r="893" spans="2:2" x14ac:dyDescent="0.25">
      <c r="B893" s="344">
        <f t="shared" si="335"/>
        <v>0</v>
      </c>
    </row>
    <row r="894" spans="2:2" x14ac:dyDescent="0.25">
      <c r="B894" s="344">
        <f t="shared" si="335"/>
        <v>0</v>
      </c>
    </row>
    <row r="895" spans="2:2" x14ac:dyDescent="0.25">
      <c r="B895" s="344">
        <f t="shared" si="335"/>
        <v>0</v>
      </c>
    </row>
    <row r="896" spans="2:2" x14ac:dyDescent="0.25">
      <c r="B896" s="344">
        <f t="shared" si="335"/>
        <v>0</v>
      </c>
    </row>
    <row r="897" spans="2:3" x14ac:dyDescent="0.25">
      <c r="B897" s="344">
        <f t="shared" si="335"/>
        <v>0</v>
      </c>
    </row>
    <row r="898" spans="2:3" x14ac:dyDescent="0.25">
      <c r="B898" s="344">
        <f t="shared" si="335"/>
        <v>0</v>
      </c>
    </row>
    <row r="899" spans="2:3" x14ac:dyDescent="0.25">
      <c r="B899" s="344">
        <f t="shared" si="335"/>
        <v>0</v>
      </c>
    </row>
    <row r="900" spans="2:3" x14ac:dyDescent="0.25">
      <c r="B900" s="344">
        <f t="shared" si="335"/>
        <v>0</v>
      </c>
    </row>
    <row r="901" spans="2:3" ht="14.4" thickBot="1" x14ac:dyDescent="0.3">
      <c r="B901" s="345">
        <f t="shared" si="335"/>
        <v>0</v>
      </c>
      <c r="C901" s="341" t="str">
        <f>Adatok!F37</f>
        <v>-</v>
      </c>
    </row>
    <row r="902" spans="2:3" x14ac:dyDescent="0.25">
      <c r="B902" s="343">
        <f t="shared" ref="B902:B933" si="336">IF($AO$2&gt;0,CONCATENATE($A$3,AO17,$A$4,AP17),0)</f>
        <v>0</v>
      </c>
    </row>
    <row r="903" spans="2:3" x14ac:dyDescent="0.25">
      <c r="B903" s="344">
        <f t="shared" si="336"/>
        <v>0</v>
      </c>
    </row>
    <row r="904" spans="2:3" x14ac:dyDescent="0.25">
      <c r="B904" s="344">
        <f t="shared" si="336"/>
        <v>0</v>
      </c>
    </row>
    <row r="905" spans="2:3" x14ac:dyDescent="0.25">
      <c r="B905" s="344">
        <f t="shared" si="336"/>
        <v>0</v>
      </c>
    </row>
    <row r="906" spans="2:3" x14ac:dyDescent="0.25">
      <c r="B906" s="344">
        <f t="shared" si="336"/>
        <v>0</v>
      </c>
    </row>
    <row r="907" spans="2:3" x14ac:dyDescent="0.25">
      <c r="B907" s="344">
        <f t="shared" si="336"/>
        <v>0</v>
      </c>
    </row>
    <row r="908" spans="2:3" x14ac:dyDescent="0.25">
      <c r="B908" s="344">
        <f t="shared" si="336"/>
        <v>0</v>
      </c>
    </row>
    <row r="909" spans="2:3" x14ac:dyDescent="0.25">
      <c r="B909" s="344">
        <f t="shared" si="336"/>
        <v>0</v>
      </c>
    </row>
    <row r="910" spans="2:3" x14ac:dyDescent="0.25">
      <c r="B910" s="344">
        <f t="shared" si="336"/>
        <v>0</v>
      </c>
    </row>
    <row r="911" spans="2:3" x14ac:dyDescent="0.25">
      <c r="B911" s="344">
        <f t="shared" si="336"/>
        <v>0</v>
      </c>
    </row>
    <row r="912" spans="2:3" x14ac:dyDescent="0.25">
      <c r="B912" s="344">
        <f t="shared" si="336"/>
        <v>0</v>
      </c>
    </row>
    <row r="913" spans="2:2" x14ac:dyDescent="0.25">
      <c r="B913" s="344">
        <f t="shared" si="336"/>
        <v>0</v>
      </c>
    </row>
    <row r="914" spans="2:2" x14ac:dyDescent="0.25">
      <c r="B914" s="344">
        <f t="shared" si="336"/>
        <v>0</v>
      </c>
    </row>
    <row r="915" spans="2:2" x14ac:dyDescent="0.25">
      <c r="B915" s="344">
        <f t="shared" si="336"/>
        <v>0</v>
      </c>
    </row>
    <row r="916" spans="2:2" x14ac:dyDescent="0.25">
      <c r="B916" s="344">
        <f t="shared" si="336"/>
        <v>0</v>
      </c>
    </row>
    <row r="917" spans="2:2" x14ac:dyDescent="0.25">
      <c r="B917" s="344">
        <f t="shared" si="336"/>
        <v>0</v>
      </c>
    </row>
    <row r="918" spans="2:2" x14ac:dyDescent="0.25">
      <c r="B918" s="344">
        <f t="shared" si="336"/>
        <v>0</v>
      </c>
    </row>
    <row r="919" spans="2:2" x14ac:dyDescent="0.25">
      <c r="B919" s="344">
        <f t="shared" si="336"/>
        <v>0</v>
      </c>
    </row>
    <row r="920" spans="2:2" x14ac:dyDescent="0.25">
      <c r="B920" s="344">
        <f t="shared" si="336"/>
        <v>0</v>
      </c>
    </row>
    <row r="921" spans="2:2" x14ac:dyDescent="0.25">
      <c r="B921" s="344">
        <f t="shared" si="336"/>
        <v>0</v>
      </c>
    </row>
    <row r="922" spans="2:2" x14ac:dyDescent="0.25">
      <c r="B922" s="344">
        <f t="shared" si="336"/>
        <v>0</v>
      </c>
    </row>
    <row r="923" spans="2:2" x14ac:dyDescent="0.25">
      <c r="B923" s="344">
        <f t="shared" si="336"/>
        <v>0</v>
      </c>
    </row>
    <row r="924" spans="2:2" x14ac:dyDescent="0.25">
      <c r="B924" s="344">
        <f t="shared" si="336"/>
        <v>0</v>
      </c>
    </row>
    <row r="925" spans="2:2" x14ac:dyDescent="0.25">
      <c r="B925" s="344">
        <f t="shared" si="336"/>
        <v>0</v>
      </c>
    </row>
    <row r="926" spans="2:2" x14ac:dyDescent="0.25">
      <c r="B926" s="344">
        <f t="shared" si="336"/>
        <v>0</v>
      </c>
    </row>
    <row r="927" spans="2:2" x14ac:dyDescent="0.25">
      <c r="B927" s="344">
        <f t="shared" si="336"/>
        <v>0</v>
      </c>
    </row>
    <row r="928" spans="2:2" x14ac:dyDescent="0.25">
      <c r="B928" s="344">
        <f t="shared" si="336"/>
        <v>0</v>
      </c>
    </row>
    <row r="929" spans="2:2" x14ac:dyDescent="0.25">
      <c r="B929" s="344">
        <f t="shared" si="336"/>
        <v>0</v>
      </c>
    </row>
    <row r="930" spans="2:2" x14ac:dyDescent="0.25">
      <c r="B930" s="344">
        <f t="shared" si="336"/>
        <v>0</v>
      </c>
    </row>
    <row r="931" spans="2:2" x14ac:dyDescent="0.25">
      <c r="B931" s="344">
        <f t="shared" si="336"/>
        <v>0</v>
      </c>
    </row>
    <row r="932" spans="2:2" x14ac:dyDescent="0.25">
      <c r="B932" s="344">
        <f t="shared" si="336"/>
        <v>0</v>
      </c>
    </row>
    <row r="933" spans="2:2" x14ac:dyDescent="0.25">
      <c r="B933" s="344">
        <f t="shared" si="336"/>
        <v>0</v>
      </c>
    </row>
    <row r="934" spans="2:2" x14ac:dyDescent="0.25">
      <c r="B934" s="344">
        <f t="shared" ref="B934:B951" si="337">IF($AO$2&gt;0,CONCATENATE($A$3,AO49,$A$4,AP49),0)</f>
        <v>0</v>
      </c>
    </row>
    <row r="935" spans="2:2" x14ac:dyDescent="0.25">
      <c r="B935" s="344">
        <f t="shared" si="337"/>
        <v>0</v>
      </c>
    </row>
    <row r="936" spans="2:2" x14ac:dyDescent="0.25">
      <c r="B936" s="344">
        <f t="shared" si="337"/>
        <v>0</v>
      </c>
    </row>
    <row r="937" spans="2:2" x14ac:dyDescent="0.25">
      <c r="B937" s="344">
        <f t="shared" si="337"/>
        <v>0</v>
      </c>
    </row>
    <row r="938" spans="2:2" x14ac:dyDescent="0.25">
      <c r="B938" s="344">
        <f t="shared" si="337"/>
        <v>0</v>
      </c>
    </row>
    <row r="939" spans="2:2" x14ac:dyDescent="0.25">
      <c r="B939" s="344">
        <f t="shared" si="337"/>
        <v>0</v>
      </c>
    </row>
    <row r="940" spans="2:2" x14ac:dyDescent="0.25">
      <c r="B940" s="344">
        <f t="shared" si="337"/>
        <v>0</v>
      </c>
    </row>
    <row r="941" spans="2:2" x14ac:dyDescent="0.25">
      <c r="B941" s="344">
        <f t="shared" si="337"/>
        <v>0</v>
      </c>
    </row>
    <row r="942" spans="2:2" x14ac:dyDescent="0.25">
      <c r="B942" s="344">
        <f t="shared" si="337"/>
        <v>0</v>
      </c>
    </row>
    <row r="943" spans="2:2" x14ac:dyDescent="0.25">
      <c r="B943" s="344">
        <f t="shared" si="337"/>
        <v>0</v>
      </c>
    </row>
    <row r="944" spans="2:2" x14ac:dyDescent="0.25">
      <c r="B944" s="344">
        <f t="shared" si="337"/>
        <v>0</v>
      </c>
    </row>
    <row r="945" spans="2:3" x14ac:dyDescent="0.25">
      <c r="B945" s="344">
        <f t="shared" si="337"/>
        <v>0</v>
      </c>
    </row>
    <row r="946" spans="2:3" x14ac:dyDescent="0.25">
      <c r="B946" s="344">
        <f t="shared" si="337"/>
        <v>0</v>
      </c>
    </row>
    <row r="947" spans="2:3" x14ac:dyDescent="0.25">
      <c r="B947" s="344">
        <f t="shared" si="337"/>
        <v>0</v>
      </c>
    </row>
    <row r="948" spans="2:3" x14ac:dyDescent="0.25">
      <c r="B948" s="344">
        <f t="shared" si="337"/>
        <v>0</v>
      </c>
    </row>
    <row r="949" spans="2:3" x14ac:dyDescent="0.25">
      <c r="B949" s="344">
        <f t="shared" si="337"/>
        <v>0</v>
      </c>
    </row>
    <row r="950" spans="2:3" x14ac:dyDescent="0.25">
      <c r="B950" s="344">
        <f t="shared" si="337"/>
        <v>0</v>
      </c>
    </row>
    <row r="951" spans="2:3" ht="14.4" thickBot="1" x14ac:dyDescent="0.3">
      <c r="B951" s="345">
        <f t="shared" si="337"/>
        <v>0</v>
      </c>
      <c r="C951" s="341" t="str">
        <f>Adatok!F38</f>
        <v>-</v>
      </c>
    </row>
    <row r="952" spans="2:3" x14ac:dyDescent="0.25">
      <c r="B952" s="343">
        <f t="shared" ref="B952:B983" si="338">IF($AQ$2&gt;0,CONCATENATE($A$3,AQ17,$A$4,AR17),0)</f>
        <v>0</v>
      </c>
    </row>
    <row r="953" spans="2:3" x14ac:dyDescent="0.25">
      <c r="B953" s="344">
        <f t="shared" si="338"/>
        <v>0</v>
      </c>
    </row>
    <row r="954" spans="2:3" x14ac:dyDescent="0.25">
      <c r="B954" s="344">
        <f t="shared" si="338"/>
        <v>0</v>
      </c>
    </row>
    <row r="955" spans="2:3" x14ac:dyDescent="0.25">
      <c r="B955" s="344">
        <f t="shared" si="338"/>
        <v>0</v>
      </c>
    </row>
    <row r="956" spans="2:3" x14ac:dyDescent="0.25">
      <c r="B956" s="344">
        <f t="shared" si="338"/>
        <v>0</v>
      </c>
    </row>
    <row r="957" spans="2:3" x14ac:dyDescent="0.25">
      <c r="B957" s="344">
        <f t="shared" si="338"/>
        <v>0</v>
      </c>
    </row>
    <row r="958" spans="2:3" x14ac:dyDescent="0.25">
      <c r="B958" s="344">
        <f t="shared" si="338"/>
        <v>0</v>
      </c>
    </row>
    <row r="959" spans="2:3" x14ac:dyDescent="0.25">
      <c r="B959" s="344">
        <f t="shared" si="338"/>
        <v>0</v>
      </c>
    </row>
    <row r="960" spans="2:3" x14ac:dyDescent="0.25">
      <c r="B960" s="344">
        <f t="shared" si="338"/>
        <v>0</v>
      </c>
    </row>
    <row r="961" spans="2:2" x14ac:dyDescent="0.25">
      <c r="B961" s="344">
        <f t="shared" si="338"/>
        <v>0</v>
      </c>
    </row>
    <row r="962" spans="2:2" x14ac:dyDescent="0.25">
      <c r="B962" s="344">
        <f t="shared" si="338"/>
        <v>0</v>
      </c>
    </row>
    <row r="963" spans="2:2" x14ac:dyDescent="0.25">
      <c r="B963" s="344">
        <f t="shared" si="338"/>
        <v>0</v>
      </c>
    </row>
    <row r="964" spans="2:2" x14ac:dyDescent="0.25">
      <c r="B964" s="344">
        <f t="shared" si="338"/>
        <v>0</v>
      </c>
    </row>
    <row r="965" spans="2:2" x14ac:dyDescent="0.25">
      <c r="B965" s="344">
        <f t="shared" si="338"/>
        <v>0</v>
      </c>
    </row>
    <row r="966" spans="2:2" x14ac:dyDescent="0.25">
      <c r="B966" s="344">
        <f t="shared" si="338"/>
        <v>0</v>
      </c>
    </row>
    <row r="967" spans="2:2" x14ac:dyDescent="0.25">
      <c r="B967" s="344">
        <f t="shared" si="338"/>
        <v>0</v>
      </c>
    </row>
    <row r="968" spans="2:2" x14ac:dyDescent="0.25">
      <c r="B968" s="344">
        <f t="shared" si="338"/>
        <v>0</v>
      </c>
    </row>
    <row r="969" spans="2:2" x14ac:dyDescent="0.25">
      <c r="B969" s="344">
        <f t="shared" si="338"/>
        <v>0</v>
      </c>
    </row>
    <row r="970" spans="2:2" x14ac:dyDescent="0.25">
      <c r="B970" s="344">
        <f t="shared" si="338"/>
        <v>0</v>
      </c>
    </row>
    <row r="971" spans="2:2" x14ac:dyDescent="0.25">
      <c r="B971" s="344">
        <f t="shared" si="338"/>
        <v>0</v>
      </c>
    </row>
    <row r="972" spans="2:2" x14ac:dyDescent="0.25">
      <c r="B972" s="344">
        <f t="shared" si="338"/>
        <v>0</v>
      </c>
    </row>
    <row r="973" spans="2:2" x14ac:dyDescent="0.25">
      <c r="B973" s="344">
        <f t="shared" si="338"/>
        <v>0</v>
      </c>
    </row>
    <row r="974" spans="2:2" x14ac:dyDescent="0.25">
      <c r="B974" s="344">
        <f t="shared" si="338"/>
        <v>0</v>
      </c>
    </row>
    <row r="975" spans="2:2" x14ac:dyDescent="0.25">
      <c r="B975" s="344">
        <f t="shared" si="338"/>
        <v>0</v>
      </c>
    </row>
    <row r="976" spans="2:2" x14ac:dyDescent="0.25">
      <c r="B976" s="344">
        <f t="shared" si="338"/>
        <v>0</v>
      </c>
    </row>
    <row r="977" spans="2:2" x14ac:dyDescent="0.25">
      <c r="B977" s="344">
        <f t="shared" si="338"/>
        <v>0</v>
      </c>
    </row>
    <row r="978" spans="2:2" x14ac:dyDescent="0.25">
      <c r="B978" s="344">
        <f t="shared" si="338"/>
        <v>0</v>
      </c>
    </row>
    <row r="979" spans="2:2" x14ac:dyDescent="0.25">
      <c r="B979" s="344">
        <f t="shared" si="338"/>
        <v>0</v>
      </c>
    </row>
    <row r="980" spans="2:2" x14ac:dyDescent="0.25">
      <c r="B980" s="344">
        <f t="shared" si="338"/>
        <v>0</v>
      </c>
    </row>
    <row r="981" spans="2:2" x14ac:dyDescent="0.25">
      <c r="B981" s="344">
        <f t="shared" si="338"/>
        <v>0</v>
      </c>
    </row>
    <row r="982" spans="2:2" x14ac:dyDescent="0.25">
      <c r="B982" s="344">
        <f t="shared" si="338"/>
        <v>0</v>
      </c>
    </row>
    <row r="983" spans="2:2" x14ac:dyDescent="0.25">
      <c r="B983" s="344">
        <f t="shared" si="338"/>
        <v>0</v>
      </c>
    </row>
    <row r="984" spans="2:2" x14ac:dyDescent="0.25">
      <c r="B984" s="344">
        <f t="shared" ref="B984:B1001" si="339">IF($AQ$2&gt;0,CONCATENATE($A$3,AQ49,$A$4,AR49),0)</f>
        <v>0</v>
      </c>
    </row>
    <row r="985" spans="2:2" x14ac:dyDescent="0.25">
      <c r="B985" s="344">
        <f t="shared" si="339"/>
        <v>0</v>
      </c>
    </row>
    <row r="986" spans="2:2" x14ac:dyDescent="0.25">
      <c r="B986" s="344">
        <f t="shared" si="339"/>
        <v>0</v>
      </c>
    </row>
    <row r="987" spans="2:2" x14ac:dyDescent="0.25">
      <c r="B987" s="344">
        <f t="shared" si="339"/>
        <v>0</v>
      </c>
    </row>
    <row r="988" spans="2:2" x14ac:dyDescent="0.25">
      <c r="B988" s="344">
        <f t="shared" si="339"/>
        <v>0</v>
      </c>
    </row>
    <row r="989" spans="2:2" x14ac:dyDescent="0.25">
      <c r="B989" s="344">
        <f t="shared" si="339"/>
        <v>0</v>
      </c>
    </row>
    <row r="990" spans="2:2" x14ac:dyDescent="0.25">
      <c r="B990" s="344">
        <f t="shared" si="339"/>
        <v>0</v>
      </c>
    </row>
    <row r="991" spans="2:2" x14ac:dyDescent="0.25">
      <c r="B991" s="344">
        <f t="shared" si="339"/>
        <v>0</v>
      </c>
    </row>
    <row r="992" spans="2:2" x14ac:dyDescent="0.25">
      <c r="B992" s="344">
        <f t="shared" si="339"/>
        <v>0</v>
      </c>
    </row>
    <row r="993" spans="2:3" x14ac:dyDescent="0.25">
      <c r="B993" s="344">
        <f t="shared" si="339"/>
        <v>0</v>
      </c>
    </row>
    <row r="994" spans="2:3" x14ac:dyDescent="0.25">
      <c r="B994" s="344">
        <f t="shared" si="339"/>
        <v>0</v>
      </c>
    </row>
    <row r="995" spans="2:3" x14ac:dyDescent="0.25">
      <c r="B995" s="344">
        <f t="shared" si="339"/>
        <v>0</v>
      </c>
    </row>
    <row r="996" spans="2:3" x14ac:dyDescent="0.25">
      <c r="B996" s="344">
        <f t="shared" si="339"/>
        <v>0</v>
      </c>
    </row>
    <row r="997" spans="2:3" x14ac:dyDescent="0.25">
      <c r="B997" s="344">
        <f t="shared" si="339"/>
        <v>0</v>
      </c>
    </row>
    <row r="998" spans="2:3" x14ac:dyDescent="0.25">
      <c r="B998" s="344">
        <f t="shared" si="339"/>
        <v>0</v>
      </c>
    </row>
    <row r="999" spans="2:3" x14ac:dyDescent="0.25">
      <c r="B999" s="344">
        <f t="shared" si="339"/>
        <v>0</v>
      </c>
    </row>
    <row r="1000" spans="2:3" x14ac:dyDescent="0.25">
      <c r="B1000" s="344">
        <f t="shared" si="339"/>
        <v>0</v>
      </c>
    </row>
    <row r="1001" spans="2:3" ht="14.4" thickBot="1" x14ac:dyDescent="0.3">
      <c r="B1001" s="345">
        <f t="shared" si="339"/>
        <v>0</v>
      </c>
      <c r="C1001" s="341" t="str">
        <f>Adatok!F39</f>
        <v>-</v>
      </c>
    </row>
    <row r="1002" spans="2:3" x14ac:dyDescent="0.25">
      <c r="B1002" s="343">
        <f t="shared" ref="B1002:B1033" si="340">IF($AS$2&gt;0,CONCATENATE($A$3,AS17,$A$4,AT17),0)</f>
        <v>0</v>
      </c>
    </row>
    <row r="1003" spans="2:3" x14ac:dyDescent="0.25">
      <c r="B1003" s="344">
        <f t="shared" si="340"/>
        <v>0</v>
      </c>
    </row>
    <row r="1004" spans="2:3" x14ac:dyDescent="0.25">
      <c r="B1004" s="344">
        <f t="shared" si="340"/>
        <v>0</v>
      </c>
    </row>
    <row r="1005" spans="2:3" x14ac:dyDescent="0.25">
      <c r="B1005" s="344">
        <f t="shared" si="340"/>
        <v>0</v>
      </c>
    </row>
    <row r="1006" spans="2:3" x14ac:dyDescent="0.25">
      <c r="B1006" s="344">
        <f t="shared" si="340"/>
        <v>0</v>
      </c>
    </row>
    <row r="1007" spans="2:3" x14ac:dyDescent="0.25">
      <c r="B1007" s="344">
        <f t="shared" si="340"/>
        <v>0</v>
      </c>
    </row>
    <row r="1008" spans="2:3" x14ac:dyDescent="0.25">
      <c r="B1008" s="344">
        <f t="shared" si="340"/>
        <v>0</v>
      </c>
    </row>
    <row r="1009" spans="2:2" x14ac:dyDescent="0.25">
      <c r="B1009" s="344">
        <f t="shared" si="340"/>
        <v>0</v>
      </c>
    </row>
    <row r="1010" spans="2:2" x14ac:dyDescent="0.25">
      <c r="B1010" s="344">
        <f t="shared" si="340"/>
        <v>0</v>
      </c>
    </row>
    <row r="1011" spans="2:2" x14ac:dyDescent="0.25">
      <c r="B1011" s="344">
        <f t="shared" si="340"/>
        <v>0</v>
      </c>
    </row>
    <row r="1012" spans="2:2" x14ac:dyDescent="0.25">
      <c r="B1012" s="344">
        <f t="shared" si="340"/>
        <v>0</v>
      </c>
    </row>
    <row r="1013" spans="2:2" x14ac:dyDescent="0.25">
      <c r="B1013" s="344">
        <f t="shared" si="340"/>
        <v>0</v>
      </c>
    </row>
    <row r="1014" spans="2:2" x14ac:dyDescent="0.25">
      <c r="B1014" s="344">
        <f t="shared" si="340"/>
        <v>0</v>
      </c>
    </row>
    <row r="1015" spans="2:2" x14ac:dyDescent="0.25">
      <c r="B1015" s="344">
        <f t="shared" si="340"/>
        <v>0</v>
      </c>
    </row>
    <row r="1016" spans="2:2" x14ac:dyDescent="0.25">
      <c r="B1016" s="344">
        <f t="shared" si="340"/>
        <v>0</v>
      </c>
    </row>
    <row r="1017" spans="2:2" x14ac:dyDescent="0.25">
      <c r="B1017" s="344">
        <f t="shared" si="340"/>
        <v>0</v>
      </c>
    </row>
    <row r="1018" spans="2:2" x14ac:dyDescent="0.25">
      <c r="B1018" s="344">
        <f t="shared" si="340"/>
        <v>0</v>
      </c>
    </row>
    <row r="1019" spans="2:2" x14ac:dyDescent="0.25">
      <c r="B1019" s="344">
        <f t="shared" si="340"/>
        <v>0</v>
      </c>
    </row>
    <row r="1020" spans="2:2" x14ac:dyDescent="0.25">
      <c r="B1020" s="344">
        <f t="shared" si="340"/>
        <v>0</v>
      </c>
    </row>
    <row r="1021" spans="2:2" x14ac:dyDescent="0.25">
      <c r="B1021" s="344">
        <f t="shared" si="340"/>
        <v>0</v>
      </c>
    </row>
    <row r="1022" spans="2:2" x14ac:dyDescent="0.25">
      <c r="B1022" s="344">
        <f t="shared" si="340"/>
        <v>0</v>
      </c>
    </row>
    <row r="1023" spans="2:2" x14ac:dyDescent="0.25">
      <c r="B1023" s="344">
        <f t="shared" si="340"/>
        <v>0</v>
      </c>
    </row>
    <row r="1024" spans="2:2" x14ac:dyDescent="0.25">
      <c r="B1024" s="344">
        <f t="shared" si="340"/>
        <v>0</v>
      </c>
    </row>
    <row r="1025" spans="2:2" x14ac:dyDescent="0.25">
      <c r="B1025" s="344">
        <f t="shared" si="340"/>
        <v>0</v>
      </c>
    </row>
    <row r="1026" spans="2:2" x14ac:dyDescent="0.25">
      <c r="B1026" s="344">
        <f t="shared" si="340"/>
        <v>0</v>
      </c>
    </row>
    <row r="1027" spans="2:2" x14ac:dyDescent="0.25">
      <c r="B1027" s="344">
        <f t="shared" si="340"/>
        <v>0</v>
      </c>
    </row>
    <row r="1028" spans="2:2" x14ac:dyDescent="0.25">
      <c r="B1028" s="344">
        <f t="shared" si="340"/>
        <v>0</v>
      </c>
    </row>
    <row r="1029" spans="2:2" x14ac:dyDescent="0.25">
      <c r="B1029" s="344">
        <f t="shared" si="340"/>
        <v>0</v>
      </c>
    </row>
    <row r="1030" spans="2:2" x14ac:dyDescent="0.25">
      <c r="B1030" s="344">
        <f t="shared" si="340"/>
        <v>0</v>
      </c>
    </row>
    <row r="1031" spans="2:2" x14ac:dyDescent="0.25">
      <c r="B1031" s="344">
        <f t="shared" si="340"/>
        <v>0</v>
      </c>
    </row>
    <row r="1032" spans="2:2" x14ac:dyDescent="0.25">
      <c r="B1032" s="344">
        <f t="shared" si="340"/>
        <v>0</v>
      </c>
    </row>
    <row r="1033" spans="2:2" x14ac:dyDescent="0.25">
      <c r="B1033" s="344">
        <f t="shared" si="340"/>
        <v>0</v>
      </c>
    </row>
    <row r="1034" spans="2:2" x14ac:dyDescent="0.25">
      <c r="B1034" s="344">
        <f t="shared" ref="B1034:B1051" si="341">IF($AS$2&gt;0,CONCATENATE($A$3,AS49,$A$4,AT49),0)</f>
        <v>0</v>
      </c>
    </row>
    <row r="1035" spans="2:2" x14ac:dyDescent="0.25">
      <c r="B1035" s="344">
        <f t="shared" si="341"/>
        <v>0</v>
      </c>
    </row>
    <row r="1036" spans="2:2" x14ac:dyDescent="0.25">
      <c r="B1036" s="344">
        <f t="shared" si="341"/>
        <v>0</v>
      </c>
    </row>
    <row r="1037" spans="2:2" x14ac:dyDescent="0.25">
      <c r="B1037" s="344">
        <f t="shared" si="341"/>
        <v>0</v>
      </c>
    </row>
    <row r="1038" spans="2:2" x14ac:dyDescent="0.25">
      <c r="B1038" s="344">
        <f t="shared" si="341"/>
        <v>0</v>
      </c>
    </row>
    <row r="1039" spans="2:2" x14ac:dyDescent="0.25">
      <c r="B1039" s="344">
        <f t="shared" si="341"/>
        <v>0</v>
      </c>
    </row>
    <row r="1040" spans="2:2" x14ac:dyDescent="0.25">
      <c r="B1040" s="344">
        <f t="shared" si="341"/>
        <v>0</v>
      </c>
    </row>
    <row r="1041" spans="2:3" x14ac:dyDescent="0.25">
      <c r="B1041" s="344">
        <f t="shared" si="341"/>
        <v>0</v>
      </c>
    </row>
    <row r="1042" spans="2:3" x14ac:dyDescent="0.25">
      <c r="B1042" s="344">
        <f t="shared" si="341"/>
        <v>0</v>
      </c>
    </row>
    <row r="1043" spans="2:3" x14ac:dyDescent="0.25">
      <c r="B1043" s="344">
        <f t="shared" si="341"/>
        <v>0</v>
      </c>
    </row>
    <row r="1044" spans="2:3" x14ac:dyDescent="0.25">
      <c r="B1044" s="344">
        <f t="shared" si="341"/>
        <v>0</v>
      </c>
    </row>
    <row r="1045" spans="2:3" x14ac:dyDescent="0.25">
      <c r="B1045" s="344">
        <f t="shared" si="341"/>
        <v>0</v>
      </c>
    </row>
    <row r="1046" spans="2:3" x14ac:dyDescent="0.25">
      <c r="B1046" s="344">
        <f t="shared" si="341"/>
        <v>0</v>
      </c>
    </row>
    <row r="1047" spans="2:3" x14ac:dyDescent="0.25">
      <c r="B1047" s="344">
        <f t="shared" si="341"/>
        <v>0</v>
      </c>
    </row>
    <row r="1048" spans="2:3" x14ac:dyDescent="0.25">
      <c r="B1048" s="344">
        <f t="shared" si="341"/>
        <v>0</v>
      </c>
    </row>
    <row r="1049" spans="2:3" x14ac:dyDescent="0.25">
      <c r="B1049" s="344">
        <f t="shared" si="341"/>
        <v>0</v>
      </c>
    </row>
    <row r="1050" spans="2:3" x14ac:dyDescent="0.25">
      <c r="B1050" s="344">
        <f t="shared" si="341"/>
        <v>0</v>
      </c>
    </row>
    <row r="1051" spans="2:3" ht="14.4" thickBot="1" x14ac:dyDescent="0.3">
      <c r="B1051" s="345">
        <f t="shared" si="341"/>
        <v>0</v>
      </c>
      <c r="C1051" s="341" t="str">
        <f>Adatok!F40</f>
        <v>-</v>
      </c>
    </row>
    <row r="1052" spans="2:3" x14ac:dyDescent="0.25">
      <c r="B1052" s="343">
        <f t="shared" ref="B1052:B1083" si="342">IF($AU$2&gt;0,CONCATENATE($A$3,AU17,$A$4,AV17),0)</f>
        <v>0</v>
      </c>
    </row>
    <row r="1053" spans="2:3" x14ac:dyDescent="0.25">
      <c r="B1053" s="344">
        <f t="shared" si="342"/>
        <v>0</v>
      </c>
    </row>
    <row r="1054" spans="2:3" x14ac:dyDescent="0.25">
      <c r="B1054" s="344">
        <f t="shared" si="342"/>
        <v>0</v>
      </c>
    </row>
    <row r="1055" spans="2:3" x14ac:dyDescent="0.25">
      <c r="B1055" s="344">
        <f t="shared" si="342"/>
        <v>0</v>
      </c>
    </row>
    <row r="1056" spans="2:3" x14ac:dyDescent="0.25">
      <c r="B1056" s="344">
        <f t="shared" si="342"/>
        <v>0</v>
      </c>
    </row>
    <row r="1057" spans="2:2" x14ac:dyDescent="0.25">
      <c r="B1057" s="344">
        <f t="shared" si="342"/>
        <v>0</v>
      </c>
    </row>
    <row r="1058" spans="2:2" x14ac:dyDescent="0.25">
      <c r="B1058" s="344">
        <f t="shared" si="342"/>
        <v>0</v>
      </c>
    </row>
    <row r="1059" spans="2:2" x14ac:dyDescent="0.25">
      <c r="B1059" s="344">
        <f t="shared" si="342"/>
        <v>0</v>
      </c>
    </row>
    <row r="1060" spans="2:2" x14ac:dyDescent="0.25">
      <c r="B1060" s="344">
        <f t="shared" si="342"/>
        <v>0</v>
      </c>
    </row>
    <row r="1061" spans="2:2" x14ac:dyDescent="0.25">
      <c r="B1061" s="344">
        <f t="shared" si="342"/>
        <v>0</v>
      </c>
    </row>
    <row r="1062" spans="2:2" x14ac:dyDescent="0.25">
      <c r="B1062" s="344">
        <f t="shared" si="342"/>
        <v>0</v>
      </c>
    </row>
    <row r="1063" spans="2:2" x14ac:dyDescent="0.25">
      <c r="B1063" s="344">
        <f t="shared" si="342"/>
        <v>0</v>
      </c>
    </row>
    <row r="1064" spans="2:2" x14ac:dyDescent="0.25">
      <c r="B1064" s="344">
        <f t="shared" si="342"/>
        <v>0</v>
      </c>
    </row>
    <row r="1065" spans="2:2" x14ac:dyDescent="0.25">
      <c r="B1065" s="344">
        <f t="shared" si="342"/>
        <v>0</v>
      </c>
    </row>
    <row r="1066" spans="2:2" x14ac:dyDescent="0.25">
      <c r="B1066" s="344">
        <f t="shared" si="342"/>
        <v>0</v>
      </c>
    </row>
    <row r="1067" spans="2:2" x14ac:dyDescent="0.25">
      <c r="B1067" s="344">
        <f t="shared" si="342"/>
        <v>0</v>
      </c>
    </row>
    <row r="1068" spans="2:2" x14ac:dyDescent="0.25">
      <c r="B1068" s="344">
        <f t="shared" si="342"/>
        <v>0</v>
      </c>
    </row>
    <row r="1069" spans="2:2" x14ac:dyDescent="0.25">
      <c r="B1069" s="344">
        <f t="shared" si="342"/>
        <v>0</v>
      </c>
    </row>
    <row r="1070" spans="2:2" x14ac:dyDescent="0.25">
      <c r="B1070" s="344">
        <f t="shared" si="342"/>
        <v>0</v>
      </c>
    </row>
    <row r="1071" spans="2:2" x14ac:dyDescent="0.25">
      <c r="B1071" s="344">
        <f t="shared" si="342"/>
        <v>0</v>
      </c>
    </row>
    <row r="1072" spans="2:2" x14ac:dyDescent="0.25">
      <c r="B1072" s="344">
        <f t="shared" si="342"/>
        <v>0</v>
      </c>
    </row>
    <row r="1073" spans="2:2" x14ac:dyDescent="0.25">
      <c r="B1073" s="344">
        <f t="shared" si="342"/>
        <v>0</v>
      </c>
    </row>
    <row r="1074" spans="2:2" x14ac:dyDescent="0.25">
      <c r="B1074" s="344">
        <f t="shared" si="342"/>
        <v>0</v>
      </c>
    </row>
    <row r="1075" spans="2:2" x14ac:dyDescent="0.25">
      <c r="B1075" s="344">
        <f t="shared" si="342"/>
        <v>0</v>
      </c>
    </row>
    <row r="1076" spans="2:2" x14ac:dyDescent="0.25">
      <c r="B1076" s="344">
        <f t="shared" si="342"/>
        <v>0</v>
      </c>
    </row>
    <row r="1077" spans="2:2" x14ac:dyDescent="0.25">
      <c r="B1077" s="344">
        <f t="shared" si="342"/>
        <v>0</v>
      </c>
    </row>
    <row r="1078" spans="2:2" x14ac:dyDescent="0.25">
      <c r="B1078" s="344">
        <f t="shared" si="342"/>
        <v>0</v>
      </c>
    </row>
    <row r="1079" spans="2:2" x14ac:dyDescent="0.25">
      <c r="B1079" s="344">
        <f t="shared" si="342"/>
        <v>0</v>
      </c>
    </row>
    <row r="1080" spans="2:2" x14ac:dyDescent="0.25">
      <c r="B1080" s="344">
        <f t="shared" si="342"/>
        <v>0</v>
      </c>
    </row>
    <row r="1081" spans="2:2" x14ac:dyDescent="0.25">
      <c r="B1081" s="344">
        <f t="shared" si="342"/>
        <v>0</v>
      </c>
    </row>
    <row r="1082" spans="2:2" x14ac:dyDescent="0.25">
      <c r="B1082" s="344">
        <f t="shared" si="342"/>
        <v>0</v>
      </c>
    </row>
    <row r="1083" spans="2:2" x14ac:dyDescent="0.25">
      <c r="B1083" s="344">
        <f t="shared" si="342"/>
        <v>0</v>
      </c>
    </row>
    <row r="1084" spans="2:2" x14ac:dyDescent="0.25">
      <c r="B1084" s="344">
        <f t="shared" ref="B1084:B1101" si="343">IF($AU$2&gt;0,CONCATENATE($A$3,AU49,$A$4,AV49),0)</f>
        <v>0</v>
      </c>
    </row>
    <row r="1085" spans="2:2" x14ac:dyDescent="0.25">
      <c r="B1085" s="344">
        <f t="shared" si="343"/>
        <v>0</v>
      </c>
    </row>
    <row r="1086" spans="2:2" x14ac:dyDescent="0.25">
      <c r="B1086" s="344">
        <f t="shared" si="343"/>
        <v>0</v>
      </c>
    </row>
    <row r="1087" spans="2:2" x14ac:dyDescent="0.25">
      <c r="B1087" s="344">
        <f t="shared" si="343"/>
        <v>0</v>
      </c>
    </row>
    <row r="1088" spans="2:2" x14ac:dyDescent="0.25">
      <c r="B1088" s="344">
        <f t="shared" si="343"/>
        <v>0</v>
      </c>
    </row>
    <row r="1089" spans="2:3" x14ac:dyDescent="0.25">
      <c r="B1089" s="344">
        <f t="shared" si="343"/>
        <v>0</v>
      </c>
    </row>
    <row r="1090" spans="2:3" x14ac:dyDescent="0.25">
      <c r="B1090" s="344">
        <f t="shared" si="343"/>
        <v>0</v>
      </c>
    </row>
    <row r="1091" spans="2:3" x14ac:dyDescent="0.25">
      <c r="B1091" s="344">
        <f t="shared" si="343"/>
        <v>0</v>
      </c>
    </row>
    <row r="1092" spans="2:3" x14ac:dyDescent="0.25">
      <c r="B1092" s="344">
        <f t="shared" si="343"/>
        <v>0</v>
      </c>
    </row>
    <row r="1093" spans="2:3" x14ac:dyDescent="0.25">
      <c r="B1093" s="344">
        <f t="shared" si="343"/>
        <v>0</v>
      </c>
    </row>
    <row r="1094" spans="2:3" x14ac:dyDescent="0.25">
      <c r="B1094" s="344">
        <f t="shared" si="343"/>
        <v>0</v>
      </c>
    </row>
    <row r="1095" spans="2:3" x14ac:dyDescent="0.25">
      <c r="B1095" s="344">
        <f t="shared" si="343"/>
        <v>0</v>
      </c>
    </row>
    <row r="1096" spans="2:3" x14ac:dyDescent="0.25">
      <c r="B1096" s="344">
        <f t="shared" si="343"/>
        <v>0</v>
      </c>
    </row>
    <row r="1097" spans="2:3" x14ac:dyDescent="0.25">
      <c r="B1097" s="344">
        <f t="shared" si="343"/>
        <v>0</v>
      </c>
    </row>
    <row r="1098" spans="2:3" x14ac:dyDescent="0.25">
      <c r="B1098" s="344">
        <f t="shared" si="343"/>
        <v>0</v>
      </c>
    </row>
    <row r="1099" spans="2:3" x14ac:dyDescent="0.25">
      <c r="B1099" s="344">
        <f t="shared" si="343"/>
        <v>0</v>
      </c>
    </row>
    <row r="1100" spans="2:3" x14ac:dyDescent="0.25">
      <c r="B1100" s="344">
        <f t="shared" si="343"/>
        <v>0</v>
      </c>
    </row>
    <row r="1101" spans="2:3" ht="14.4" thickBot="1" x14ac:dyDescent="0.3">
      <c r="B1101" s="345">
        <f t="shared" si="343"/>
        <v>0</v>
      </c>
      <c r="C1101" s="341" t="str">
        <f>Adatok!F41</f>
        <v>-</v>
      </c>
    </row>
    <row r="1102" spans="2:3" x14ac:dyDescent="0.25">
      <c r="B1102" s="343">
        <f t="shared" ref="B1102:B1133" si="344">IF($AW$2&gt;0,CONCATENATE($A$3,AW17,$A$4,AX17),0)</f>
        <v>0</v>
      </c>
    </row>
    <row r="1103" spans="2:3" x14ac:dyDescent="0.25">
      <c r="B1103" s="344">
        <f t="shared" si="344"/>
        <v>0</v>
      </c>
    </row>
    <row r="1104" spans="2:3" x14ac:dyDescent="0.25">
      <c r="B1104" s="344">
        <f t="shared" si="344"/>
        <v>0</v>
      </c>
    </row>
    <row r="1105" spans="2:2" x14ac:dyDescent="0.25">
      <c r="B1105" s="344">
        <f t="shared" si="344"/>
        <v>0</v>
      </c>
    </row>
    <row r="1106" spans="2:2" x14ac:dyDescent="0.25">
      <c r="B1106" s="344">
        <f t="shared" si="344"/>
        <v>0</v>
      </c>
    </row>
    <row r="1107" spans="2:2" x14ac:dyDescent="0.25">
      <c r="B1107" s="344">
        <f t="shared" si="344"/>
        <v>0</v>
      </c>
    </row>
    <row r="1108" spans="2:2" x14ac:dyDescent="0.25">
      <c r="B1108" s="344">
        <f t="shared" si="344"/>
        <v>0</v>
      </c>
    </row>
    <row r="1109" spans="2:2" x14ac:dyDescent="0.25">
      <c r="B1109" s="344">
        <f t="shared" si="344"/>
        <v>0</v>
      </c>
    </row>
    <row r="1110" spans="2:2" x14ac:dyDescent="0.25">
      <c r="B1110" s="344">
        <f t="shared" si="344"/>
        <v>0</v>
      </c>
    </row>
    <row r="1111" spans="2:2" x14ac:dyDescent="0.25">
      <c r="B1111" s="344">
        <f t="shared" si="344"/>
        <v>0</v>
      </c>
    </row>
    <row r="1112" spans="2:2" x14ac:dyDescent="0.25">
      <c r="B1112" s="344">
        <f t="shared" si="344"/>
        <v>0</v>
      </c>
    </row>
    <row r="1113" spans="2:2" x14ac:dyDescent="0.25">
      <c r="B1113" s="344">
        <f t="shared" si="344"/>
        <v>0</v>
      </c>
    </row>
    <row r="1114" spans="2:2" x14ac:dyDescent="0.25">
      <c r="B1114" s="344">
        <f t="shared" si="344"/>
        <v>0</v>
      </c>
    </row>
    <row r="1115" spans="2:2" x14ac:dyDescent="0.25">
      <c r="B1115" s="344">
        <f t="shared" si="344"/>
        <v>0</v>
      </c>
    </row>
    <row r="1116" spans="2:2" x14ac:dyDescent="0.25">
      <c r="B1116" s="344">
        <f t="shared" si="344"/>
        <v>0</v>
      </c>
    </row>
    <row r="1117" spans="2:2" x14ac:dyDescent="0.25">
      <c r="B1117" s="344">
        <f t="shared" si="344"/>
        <v>0</v>
      </c>
    </row>
    <row r="1118" spans="2:2" x14ac:dyDescent="0.25">
      <c r="B1118" s="344">
        <f t="shared" si="344"/>
        <v>0</v>
      </c>
    </row>
    <row r="1119" spans="2:2" x14ac:dyDescent="0.25">
      <c r="B1119" s="344">
        <f t="shared" si="344"/>
        <v>0</v>
      </c>
    </row>
    <row r="1120" spans="2:2" x14ac:dyDescent="0.25">
      <c r="B1120" s="344">
        <f t="shared" si="344"/>
        <v>0</v>
      </c>
    </row>
    <row r="1121" spans="2:2" x14ac:dyDescent="0.25">
      <c r="B1121" s="344">
        <f t="shared" si="344"/>
        <v>0</v>
      </c>
    </row>
    <row r="1122" spans="2:2" x14ac:dyDescent="0.25">
      <c r="B1122" s="344">
        <f t="shared" si="344"/>
        <v>0</v>
      </c>
    </row>
    <row r="1123" spans="2:2" x14ac:dyDescent="0.25">
      <c r="B1123" s="344">
        <f t="shared" si="344"/>
        <v>0</v>
      </c>
    </row>
    <row r="1124" spans="2:2" x14ac:dyDescent="0.25">
      <c r="B1124" s="344">
        <f t="shared" si="344"/>
        <v>0</v>
      </c>
    </row>
    <row r="1125" spans="2:2" x14ac:dyDescent="0.25">
      <c r="B1125" s="344">
        <f t="shared" si="344"/>
        <v>0</v>
      </c>
    </row>
    <row r="1126" spans="2:2" x14ac:dyDescent="0.25">
      <c r="B1126" s="344">
        <f t="shared" si="344"/>
        <v>0</v>
      </c>
    </row>
    <row r="1127" spans="2:2" x14ac:dyDescent="0.25">
      <c r="B1127" s="344">
        <f t="shared" si="344"/>
        <v>0</v>
      </c>
    </row>
    <row r="1128" spans="2:2" x14ac:dyDescent="0.25">
      <c r="B1128" s="344">
        <f t="shared" si="344"/>
        <v>0</v>
      </c>
    </row>
    <row r="1129" spans="2:2" x14ac:dyDescent="0.25">
      <c r="B1129" s="344">
        <f t="shared" si="344"/>
        <v>0</v>
      </c>
    </row>
    <row r="1130" spans="2:2" x14ac:dyDescent="0.25">
      <c r="B1130" s="344">
        <f t="shared" si="344"/>
        <v>0</v>
      </c>
    </row>
    <row r="1131" spans="2:2" x14ac:dyDescent="0.25">
      <c r="B1131" s="344">
        <f t="shared" si="344"/>
        <v>0</v>
      </c>
    </row>
    <row r="1132" spans="2:2" x14ac:dyDescent="0.25">
      <c r="B1132" s="344">
        <f t="shared" si="344"/>
        <v>0</v>
      </c>
    </row>
    <row r="1133" spans="2:2" x14ac:dyDescent="0.25">
      <c r="B1133" s="344">
        <f t="shared" si="344"/>
        <v>0</v>
      </c>
    </row>
    <row r="1134" spans="2:2" x14ac:dyDescent="0.25">
      <c r="B1134" s="344">
        <f t="shared" ref="B1134:B1151" si="345">IF($AW$2&gt;0,CONCATENATE($A$3,AW49,$A$4,AX49),0)</f>
        <v>0</v>
      </c>
    </row>
    <row r="1135" spans="2:2" x14ac:dyDescent="0.25">
      <c r="B1135" s="344">
        <f t="shared" si="345"/>
        <v>0</v>
      </c>
    </row>
    <row r="1136" spans="2:2" x14ac:dyDescent="0.25">
      <c r="B1136" s="344">
        <f t="shared" si="345"/>
        <v>0</v>
      </c>
    </row>
    <row r="1137" spans="2:3" x14ac:dyDescent="0.25">
      <c r="B1137" s="344">
        <f t="shared" si="345"/>
        <v>0</v>
      </c>
    </row>
    <row r="1138" spans="2:3" x14ac:dyDescent="0.25">
      <c r="B1138" s="344">
        <f t="shared" si="345"/>
        <v>0</v>
      </c>
    </row>
    <row r="1139" spans="2:3" x14ac:dyDescent="0.25">
      <c r="B1139" s="344">
        <f t="shared" si="345"/>
        <v>0</v>
      </c>
    </row>
    <row r="1140" spans="2:3" x14ac:dyDescent="0.25">
      <c r="B1140" s="344">
        <f t="shared" si="345"/>
        <v>0</v>
      </c>
    </row>
    <row r="1141" spans="2:3" x14ac:dyDescent="0.25">
      <c r="B1141" s="344">
        <f t="shared" si="345"/>
        <v>0</v>
      </c>
    </row>
    <row r="1142" spans="2:3" x14ac:dyDescent="0.25">
      <c r="B1142" s="344">
        <f t="shared" si="345"/>
        <v>0</v>
      </c>
    </row>
    <row r="1143" spans="2:3" x14ac:dyDescent="0.25">
      <c r="B1143" s="344">
        <f t="shared" si="345"/>
        <v>0</v>
      </c>
    </row>
    <row r="1144" spans="2:3" x14ac:dyDescent="0.25">
      <c r="B1144" s="344">
        <f t="shared" si="345"/>
        <v>0</v>
      </c>
    </row>
    <row r="1145" spans="2:3" x14ac:dyDescent="0.25">
      <c r="B1145" s="344">
        <f t="shared" si="345"/>
        <v>0</v>
      </c>
    </row>
    <row r="1146" spans="2:3" x14ac:dyDescent="0.25">
      <c r="B1146" s="344">
        <f t="shared" si="345"/>
        <v>0</v>
      </c>
    </row>
    <row r="1147" spans="2:3" x14ac:dyDescent="0.25">
      <c r="B1147" s="344">
        <f t="shared" si="345"/>
        <v>0</v>
      </c>
    </row>
    <row r="1148" spans="2:3" x14ac:dyDescent="0.25">
      <c r="B1148" s="344">
        <f t="shared" si="345"/>
        <v>0</v>
      </c>
    </row>
    <row r="1149" spans="2:3" x14ac:dyDescent="0.25">
      <c r="B1149" s="344">
        <f t="shared" si="345"/>
        <v>0</v>
      </c>
    </row>
    <row r="1150" spans="2:3" x14ac:dyDescent="0.25">
      <c r="B1150" s="344">
        <f t="shared" si="345"/>
        <v>0</v>
      </c>
    </row>
    <row r="1151" spans="2:3" ht="14.4" thickBot="1" x14ac:dyDescent="0.3">
      <c r="B1151" s="345">
        <f t="shared" si="345"/>
        <v>0</v>
      </c>
      <c r="C1151" s="341" t="str">
        <f>Adatok!F42</f>
        <v>-</v>
      </c>
    </row>
    <row r="1152" spans="2:3" x14ac:dyDescent="0.25">
      <c r="B1152" s="343">
        <f t="shared" ref="B1152:B1183" si="346">IF($AY$2&gt;0,CONCATENATE($A$3,AY17,$A$4,AZ17),0)</f>
        <v>0</v>
      </c>
    </row>
    <row r="1153" spans="2:2" x14ac:dyDescent="0.25">
      <c r="B1153" s="344">
        <f t="shared" si="346"/>
        <v>0</v>
      </c>
    </row>
    <row r="1154" spans="2:2" x14ac:dyDescent="0.25">
      <c r="B1154" s="344">
        <f t="shared" si="346"/>
        <v>0</v>
      </c>
    </row>
    <row r="1155" spans="2:2" x14ac:dyDescent="0.25">
      <c r="B1155" s="344">
        <f t="shared" si="346"/>
        <v>0</v>
      </c>
    </row>
    <row r="1156" spans="2:2" x14ac:dyDescent="0.25">
      <c r="B1156" s="344">
        <f t="shared" si="346"/>
        <v>0</v>
      </c>
    </row>
    <row r="1157" spans="2:2" x14ac:dyDescent="0.25">
      <c r="B1157" s="344">
        <f t="shared" si="346"/>
        <v>0</v>
      </c>
    </row>
    <row r="1158" spans="2:2" x14ac:dyDescent="0.25">
      <c r="B1158" s="344">
        <f t="shared" si="346"/>
        <v>0</v>
      </c>
    </row>
    <row r="1159" spans="2:2" x14ac:dyDescent="0.25">
      <c r="B1159" s="344">
        <f t="shared" si="346"/>
        <v>0</v>
      </c>
    </row>
    <row r="1160" spans="2:2" x14ac:dyDescent="0.25">
      <c r="B1160" s="344">
        <f t="shared" si="346"/>
        <v>0</v>
      </c>
    </row>
    <row r="1161" spans="2:2" x14ac:dyDescent="0.25">
      <c r="B1161" s="344">
        <f t="shared" si="346"/>
        <v>0</v>
      </c>
    </row>
    <row r="1162" spans="2:2" x14ac:dyDescent="0.25">
      <c r="B1162" s="344">
        <f t="shared" si="346"/>
        <v>0</v>
      </c>
    </row>
    <row r="1163" spans="2:2" x14ac:dyDescent="0.25">
      <c r="B1163" s="344">
        <f t="shared" si="346"/>
        <v>0</v>
      </c>
    </row>
    <row r="1164" spans="2:2" x14ac:dyDescent="0.25">
      <c r="B1164" s="344">
        <f t="shared" si="346"/>
        <v>0</v>
      </c>
    </row>
    <row r="1165" spans="2:2" x14ac:dyDescent="0.25">
      <c r="B1165" s="344">
        <f t="shared" si="346"/>
        <v>0</v>
      </c>
    </row>
    <row r="1166" spans="2:2" x14ac:dyDescent="0.25">
      <c r="B1166" s="344">
        <f t="shared" si="346"/>
        <v>0</v>
      </c>
    </row>
    <row r="1167" spans="2:2" x14ac:dyDescent="0.25">
      <c r="B1167" s="344">
        <f t="shared" si="346"/>
        <v>0</v>
      </c>
    </row>
    <row r="1168" spans="2:2" x14ac:dyDescent="0.25">
      <c r="B1168" s="344">
        <f t="shared" si="346"/>
        <v>0</v>
      </c>
    </row>
    <row r="1169" spans="2:2" x14ac:dyDescent="0.25">
      <c r="B1169" s="344">
        <f t="shared" si="346"/>
        <v>0</v>
      </c>
    </row>
    <row r="1170" spans="2:2" x14ac:dyDescent="0.25">
      <c r="B1170" s="344">
        <f t="shared" si="346"/>
        <v>0</v>
      </c>
    </row>
    <row r="1171" spans="2:2" x14ac:dyDescent="0.25">
      <c r="B1171" s="344">
        <f t="shared" si="346"/>
        <v>0</v>
      </c>
    </row>
    <row r="1172" spans="2:2" x14ac:dyDescent="0.25">
      <c r="B1172" s="344">
        <f t="shared" si="346"/>
        <v>0</v>
      </c>
    </row>
    <row r="1173" spans="2:2" x14ac:dyDescent="0.25">
      <c r="B1173" s="344">
        <f t="shared" si="346"/>
        <v>0</v>
      </c>
    </row>
    <row r="1174" spans="2:2" x14ac:dyDescent="0.25">
      <c r="B1174" s="344">
        <f t="shared" si="346"/>
        <v>0</v>
      </c>
    </row>
    <row r="1175" spans="2:2" x14ac:dyDescent="0.25">
      <c r="B1175" s="344">
        <f t="shared" si="346"/>
        <v>0</v>
      </c>
    </row>
    <row r="1176" spans="2:2" x14ac:dyDescent="0.25">
      <c r="B1176" s="344">
        <f t="shared" si="346"/>
        <v>0</v>
      </c>
    </row>
    <row r="1177" spans="2:2" x14ac:dyDescent="0.25">
      <c r="B1177" s="344">
        <f t="shared" si="346"/>
        <v>0</v>
      </c>
    </row>
    <row r="1178" spans="2:2" x14ac:dyDescent="0.25">
      <c r="B1178" s="344">
        <f t="shared" si="346"/>
        <v>0</v>
      </c>
    </row>
    <row r="1179" spans="2:2" x14ac:dyDescent="0.25">
      <c r="B1179" s="344">
        <f t="shared" si="346"/>
        <v>0</v>
      </c>
    </row>
    <row r="1180" spans="2:2" x14ac:dyDescent="0.25">
      <c r="B1180" s="344">
        <f t="shared" si="346"/>
        <v>0</v>
      </c>
    </row>
    <row r="1181" spans="2:2" x14ac:dyDescent="0.25">
      <c r="B1181" s="344">
        <f t="shared" si="346"/>
        <v>0</v>
      </c>
    </row>
    <row r="1182" spans="2:2" x14ac:dyDescent="0.25">
      <c r="B1182" s="344">
        <f t="shared" si="346"/>
        <v>0</v>
      </c>
    </row>
    <row r="1183" spans="2:2" x14ac:dyDescent="0.25">
      <c r="B1183" s="344">
        <f t="shared" si="346"/>
        <v>0</v>
      </c>
    </row>
    <row r="1184" spans="2:2" x14ac:dyDescent="0.25">
      <c r="B1184" s="344">
        <f t="shared" ref="B1184:B1201" si="347">IF($AY$2&gt;0,CONCATENATE($A$3,AY49,$A$4,AZ49),0)</f>
        <v>0</v>
      </c>
    </row>
    <row r="1185" spans="2:2" x14ac:dyDescent="0.25">
      <c r="B1185" s="344">
        <f t="shared" si="347"/>
        <v>0</v>
      </c>
    </row>
    <row r="1186" spans="2:2" x14ac:dyDescent="0.25">
      <c r="B1186" s="344">
        <f t="shared" si="347"/>
        <v>0</v>
      </c>
    </row>
    <row r="1187" spans="2:2" x14ac:dyDescent="0.25">
      <c r="B1187" s="344">
        <f t="shared" si="347"/>
        <v>0</v>
      </c>
    </row>
    <row r="1188" spans="2:2" x14ac:dyDescent="0.25">
      <c r="B1188" s="344">
        <f t="shared" si="347"/>
        <v>0</v>
      </c>
    </row>
    <row r="1189" spans="2:2" x14ac:dyDescent="0.25">
      <c r="B1189" s="344">
        <f t="shared" si="347"/>
        <v>0</v>
      </c>
    </row>
    <row r="1190" spans="2:2" x14ac:dyDescent="0.25">
      <c r="B1190" s="344">
        <f t="shared" si="347"/>
        <v>0</v>
      </c>
    </row>
    <row r="1191" spans="2:2" x14ac:dyDescent="0.25">
      <c r="B1191" s="344">
        <f t="shared" si="347"/>
        <v>0</v>
      </c>
    </row>
    <row r="1192" spans="2:2" x14ac:dyDescent="0.25">
      <c r="B1192" s="344">
        <f t="shared" si="347"/>
        <v>0</v>
      </c>
    </row>
    <row r="1193" spans="2:2" x14ac:dyDescent="0.25">
      <c r="B1193" s="344">
        <f t="shared" si="347"/>
        <v>0</v>
      </c>
    </row>
    <row r="1194" spans="2:2" x14ac:dyDescent="0.25">
      <c r="B1194" s="344">
        <f t="shared" si="347"/>
        <v>0</v>
      </c>
    </row>
    <row r="1195" spans="2:2" x14ac:dyDescent="0.25">
      <c r="B1195" s="344">
        <f t="shared" si="347"/>
        <v>0</v>
      </c>
    </row>
    <row r="1196" spans="2:2" x14ac:dyDescent="0.25">
      <c r="B1196" s="344">
        <f t="shared" si="347"/>
        <v>0</v>
      </c>
    </row>
    <row r="1197" spans="2:2" x14ac:dyDescent="0.25">
      <c r="B1197" s="344">
        <f t="shared" si="347"/>
        <v>0</v>
      </c>
    </row>
    <row r="1198" spans="2:2" x14ac:dyDescent="0.25">
      <c r="B1198" s="344">
        <f t="shared" si="347"/>
        <v>0</v>
      </c>
    </row>
    <row r="1199" spans="2:2" x14ac:dyDescent="0.25">
      <c r="B1199" s="344">
        <f t="shared" si="347"/>
        <v>0</v>
      </c>
    </row>
    <row r="1200" spans="2:2" x14ac:dyDescent="0.25">
      <c r="B1200" s="344">
        <f t="shared" si="347"/>
        <v>0</v>
      </c>
    </row>
    <row r="1201" spans="2:3" ht="14.4" thickBot="1" x14ac:dyDescent="0.3">
      <c r="B1201" s="345">
        <f t="shared" si="347"/>
        <v>0</v>
      </c>
      <c r="C1201" s="341" t="str">
        <f>Adatok!F43</f>
        <v>-</v>
      </c>
    </row>
    <row r="1202" spans="2:3" x14ac:dyDescent="0.25">
      <c r="B1202" s="343">
        <f t="shared" ref="B1202:B1233" si="348">IF($BA$2&gt;0,CONCATENATE($A$3,BA17,$A$4,BB17),0)</f>
        <v>0</v>
      </c>
    </row>
    <row r="1203" spans="2:3" x14ac:dyDescent="0.25">
      <c r="B1203" s="344">
        <f t="shared" si="348"/>
        <v>0</v>
      </c>
    </row>
    <row r="1204" spans="2:3" x14ac:dyDescent="0.25">
      <c r="B1204" s="344">
        <f t="shared" si="348"/>
        <v>0</v>
      </c>
    </row>
    <row r="1205" spans="2:3" x14ac:dyDescent="0.25">
      <c r="B1205" s="344">
        <f t="shared" si="348"/>
        <v>0</v>
      </c>
    </row>
    <row r="1206" spans="2:3" x14ac:dyDescent="0.25">
      <c r="B1206" s="344">
        <f t="shared" si="348"/>
        <v>0</v>
      </c>
    </row>
    <row r="1207" spans="2:3" x14ac:dyDescent="0.25">
      <c r="B1207" s="344">
        <f t="shared" si="348"/>
        <v>0</v>
      </c>
    </row>
    <row r="1208" spans="2:3" x14ac:dyDescent="0.25">
      <c r="B1208" s="344">
        <f t="shared" si="348"/>
        <v>0</v>
      </c>
    </row>
    <row r="1209" spans="2:3" x14ac:dyDescent="0.25">
      <c r="B1209" s="344">
        <f t="shared" si="348"/>
        <v>0</v>
      </c>
    </row>
    <row r="1210" spans="2:3" x14ac:dyDescent="0.25">
      <c r="B1210" s="344">
        <f t="shared" si="348"/>
        <v>0</v>
      </c>
    </row>
    <row r="1211" spans="2:3" x14ac:dyDescent="0.25">
      <c r="B1211" s="344">
        <f t="shared" si="348"/>
        <v>0</v>
      </c>
    </row>
    <row r="1212" spans="2:3" x14ac:dyDescent="0.25">
      <c r="B1212" s="344">
        <f t="shared" si="348"/>
        <v>0</v>
      </c>
    </row>
    <row r="1213" spans="2:3" x14ac:dyDescent="0.25">
      <c r="B1213" s="344">
        <f t="shared" si="348"/>
        <v>0</v>
      </c>
    </row>
    <row r="1214" spans="2:3" x14ac:dyDescent="0.25">
      <c r="B1214" s="344">
        <f t="shared" si="348"/>
        <v>0</v>
      </c>
    </row>
    <row r="1215" spans="2:3" x14ac:dyDescent="0.25">
      <c r="B1215" s="344">
        <f t="shared" si="348"/>
        <v>0</v>
      </c>
    </row>
    <row r="1216" spans="2:3" x14ac:dyDescent="0.25">
      <c r="B1216" s="344">
        <f t="shared" si="348"/>
        <v>0</v>
      </c>
    </row>
    <row r="1217" spans="2:2" x14ac:dyDescent="0.25">
      <c r="B1217" s="344">
        <f t="shared" si="348"/>
        <v>0</v>
      </c>
    </row>
    <row r="1218" spans="2:2" x14ac:dyDescent="0.25">
      <c r="B1218" s="344">
        <f t="shared" si="348"/>
        <v>0</v>
      </c>
    </row>
    <row r="1219" spans="2:2" x14ac:dyDescent="0.25">
      <c r="B1219" s="344">
        <f t="shared" si="348"/>
        <v>0</v>
      </c>
    </row>
    <row r="1220" spans="2:2" x14ac:dyDescent="0.25">
      <c r="B1220" s="344">
        <f t="shared" si="348"/>
        <v>0</v>
      </c>
    </row>
    <row r="1221" spans="2:2" x14ac:dyDescent="0.25">
      <c r="B1221" s="344">
        <f t="shared" si="348"/>
        <v>0</v>
      </c>
    </row>
    <row r="1222" spans="2:2" x14ac:dyDescent="0.25">
      <c r="B1222" s="344">
        <f t="shared" si="348"/>
        <v>0</v>
      </c>
    </row>
    <row r="1223" spans="2:2" x14ac:dyDescent="0.25">
      <c r="B1223" s="344">
        <f t="shared" si="348"/>
        <v>0</v>
      </c>
    </row>
    <row r="1224" spans="2:2" x14ac:dyDescent="0.25">
      <c r="B1224" s="344">
        <f t="shared" si="348"/>
        <v>0</v>
      </c>
    </row>
    <row r="1225" spans="2:2" x14ac:dyDescent="0.25">
      <c r="B1225" s="344">
        <f t="shared" si="348"/>
        <v>0</v>
      </c>
    </row>
    <row r="1226" spans="2:2" x14ac:dyDescent="0.25">
      <c r="B1226" s="344">
        <f t="shared" si="348"/>
        <v>0</v>
      </c>
    </row>
    <row r="1227" spans="2:2" x14ac:dyDescent="0.25">
      <c r="B1227" s="344">
        <f t="shared" si="348"/>
        <v>0</v>
      </c>
    </row>
    <row r="1228" spans="2:2" x14ac:dyDescent="0.25">
      <c r="B1228" s="344">
        <f t="shared" si="348"/>
        <v>0</v>
      </c>
    </row>
    <row r="1229" spans="2:2" x14ac:dyDescent="0.25">
      <c r="B1229" s="344">
        <f t="shared" si="348"/>
        <v>0</v>
      </c>
    </row>
    <row r="1230" spans="2:2" x14ac:dyDescent="0.25">
      <c r="B1230" s="344">
        <f t="shared" si="348"/>
        <v>0</v>
      </c>
    </row>
    <row r="1231" spans="2:2" x14ac:dyDescent="0.25">
      <c r="B1231" s="344">
        <f t="shared" si="348"/>
        <v>0</v>
      </c>
    </row>
    <row r="1232" spans="2:2" x14ac:dyDescent="0.25">
      <c r="B1232" s="344">
        <f t="shared" si="348"/>
        <v>0</v>
      </c>
    </row>
    <row r="1233" spans="2:2" x14ac:dyDescent="0.25">
      <c r="B1233" s="344">
        <f t="shared" si="348"/>
        <v>0</v>
      </c>
    </row>
    <row r="1234" spans="2:2" x14ac:dyDescent="0.25">
      <c r="B1234" s="344">
        <f t="shared" ref="B1234:B1251" si="349">IF($BA$2&gt;0,CONCATENATE($A$3,BA49,$A$4,BB49),0)</f>
        <v>0</v>
      </c>
    </row>
    <row r="1235" spans="2:2" x14ac:dyDescent="0.25">
      <c r="B1235" s="344">
        <f t="shared" si="349"/>
        <v>0</v>
      </c>
    </row>
    <row r="1236" spans="2:2" x14ac:dyDescent="0.25">
      <c r="B1236" s="344">
        <f t="shared" si="349"/>
        <v>0</v>
      </c>
    </row>
    <row r="1237" spans="2:2" x14ac:dyDescent="0.25">
      <c r="B1237" s="344">
        <f t="shared" si="349"/>
        <v>0</v>
      </c>
    </row>
    <row r="1238" spans="2:2" x14ac:dyDescent="0.25">
      <c r="B1238" s="344">
        <f t="shared" si="349"/>
        <v>0</v>
      </c>
    </row>
    <row r="1239" spans="2:2" x14ac:dyDescent="0.25">
      <c r="B1239" s="344">
        <f t="shared" si="349"/>
        <v>0</v>
      </c>
    </row>
    <row r="1240" spans="2:2" x14ac:dyDescent="0.25">
      <c r="B1240" s="344">
        <f t="shared" si="349"/>
        <v>0</v>
      </c>
    </row>
    <row r="1241" spans="2:2" x14ac:dyDescent="0.25">
      <c r="B1241" s="344">
        <f t="shared" si="349"/>
        <v>0</v>
      </c>
    </row>
    <row r="1242" spans="2:2" x14ac:dyDescent="0.25">
      <c r="B1242" s="344">
        <f t="shared" si="349"/>
        <v>0</v>
      </c>
    </row>
    <row r="1243" spans="2:2" x14ac:dyDescent="0.25">
      <c r="B1243" s="344">
        <f t="shared" si="349"/>
        <v>0</v>
      </c>
    </row>
    <row r="1244" spans="2:2" x14ac:dyDescent="0.25">
      <c r="B1244" s="344">
        <f t="shared" si="349"/>
        <v>0</v>
      </c>
    </row>
    <row r="1245" spans="2:2" x14ac:dyDescent="0.25">
      <c r="B1245" s="344">
        <f t="shared" si="349"/>
        <v>0</v>
      </c>
    </row>
    <row r="1246" spans="2:2" x14ac:dyDescent="0.25">
      <c r="B1246" s="344">
        <f t="shared" si="349"/>
        <v>0</v>
      </c>
    </row>
    <row r="1247" spans="2:2" x14ac:dyDescent="0.25">
      <c r="B1247" s="344">
        <f t="shared" si="349"/>
        <v>0</v>
      </c>
    </row>
    <row r="1248" spans="2:2" x14ac:dyDescent="0.25">
      <c r="B1248" s="344">
        <f t="shared" si="349"/>
        <v>0</v>
      </c>
    </row>
    <row r="1249" spans="2:3" x14ac:dyDescent="0.25">
      <c r="B1249" s="344">
        <f t="shared" si="349"/>
        <v>0</v>
      </c>
    </row>
    <row r="1250" spans="2:3" x14ac:dyDescent="0.25">
      <c r="B1250" s="344">
        <f t="shared" si="349"/>
        <v>0</v>
      </c>
    </row>
    <row r="1251" spans="2:3" ht="14.4" thickBot="1" x14ac:dyDescent="0.3">
      <c r="B1251" s="345">
        <f t="shared" si="349"/>
        <v>0</v>
      </c>
      <c r="C1251" s="341" t="str">
        <f>Adatok!F44</f>
        <v>-</v>
      </c>
    </row>
    <row r="1252" spans="2:3" x14ac:dyDescent="0.25">
      <c r="B1252" s="343">
        <f t="shared" ref="B1252:B1283" si="350">IF($BC$2&gt;0,CONCATENATE($A$3,BC17,$A$4,BD17),0)</f>
        <v>0</v>
      </c>
    </row>
    <row r="1253" spans="2:3" x14ac:dyDescent="0.25">
      <c r="B1253" s="344">
        <f t="shared" si="350"/>
        <v>0</v>
      </c>
    </row>
    <row r="1254" spans="2:3" x14ac:dyDescent="0.25">
      <c r="B1254" s="344">
        <f t="shared" si="350"/>
        <v>0</v>
      </c>
    </row>
    <row r="1255" spans="2:3" x14ac:dyDescent="0.25">
      <c r="B1255" s="344">
        <f t="shared" si="350"/>
        <v>0</v>
      </c>
    </row>
    <row r="1256" spans="2:3" x14ac:dyDescent="0.25">
      <c r="B1256" s="344">
        <f t="shared" si="350"/>
        <v>0</v>
      </c>
    </row>
    <row r="1257" spans="2:3" x14ac:dyDescent="0.25">
      <c r="B1257" s="344">
        <f t="shared" si="350"/>
        <v>0</v>
      </c>
    </row>
    <row r="1258" spans="2:3" x14ac:dyDescent="0.25">
      <c r="B1258" s="344">
        <f t="shared" si="350"/>
        <v>0</v>
      </c>
    </row>
    <row r="1259" spans="2:3" x14ac:dyDescent="0.25">
      <c r="B1259" s="344">
        <f t="shared" si="350"/>
        <v>0</v>
      </c>
    </row>
    <row r="1260" spans="2:3" x14ac:dyDescent="0.25">
      <c r="B1260" s="344">
        <f t="shared" si="350"/>
        <v>0</v>
      </c>
    </row>
    <row r="1261" spans="2:3" x14ac:dyDescent="0.25">
      <c r="B1261" s="344">
        <f t="shared" si="350"/>
        <v>0</v>
      </c>
    </row>
    <row r="1262" spans="2:3" x14ac:dyDescent="0.25">
      <c r="B1262" s="344">
        <f t="shared" si="350"/>
        <v>0</v>
      </c>
    </row>
    <row r="1263" spans="2:3" x14ac:dyDescent="0.25">
      <c r="B1263" s="344">
        <f t="shared" si="350"/>
        <v>0</v>
      </c>
    </row>
    <row r="1264" spans="2:3" x14ac:dyDescent="0.25">
      <c r="B1264" s="344">
        <f t="shared" si="350"/>
        <v>0</v>
      </c>
    </row>
    <row r="1265" spans="2:2" x14ac:dyDescent="0.25">
      <c r="B1265" s="344">
        <f t="shared" si="350"/>
        <v>0</v>
      </c>
    </row>
    <row r="1266" spans="2:2" x14ac:dyDescent="0.25">
      <c r="B1266" s="344">
        <f t="shared" si="350"/>
        <v>0</v>
      </c>
    </row>
    <row r="1267" spans="2:2" x14ac:dyDescent="0.25">
      <c r="B1267" s="344">
        <f t="shared" si="350"/>
        <v>0</v>
      </c>
    </row>
    <row r="1268" spans="2:2" x14ac:dyDescent="0.25">
      <c r="B1268" s="344">
        <f t="shared" si="350"/>
        <v>0</v>
      </c>
    </row>
    <row r="1269" spans="2:2" x14ac:dyDescent="0.25">
      <c r="B1269" s="344">
        <f t="shared" si="350"/>
        <v>0</v>
      </c>
    </row>
    <row r="1270" spans="2:2" x14ac:dyDescent="0.25">
      <c r="B1270" s="344">
        <f t="shared" si="350"/>
        <v>0</v>
      </c>
    </row>
    <row r="1271" spans="2:2" x14ac:dyDescent="0.25">
      <c r="B1271" s="344">
        <f t="shared" si="350"/>
        <v>0</v>
      </c>
    </row>
    <row r="1272" spans="2:2" x14ac:dyDescent="0.25">
      <c r="B1272" s="344">
        <f t="shared" si="350"/>
        <v>0</v>
      </c>
    </row>
    <row r="1273" spans="2:2" x14ac:dyDescent="0.25">
      <c r="B1273" s="344">
        <f t="shared" si="350"/>
        <v>0</v>
      </c>
    </row>
    <row r="1274" spans="2:2" x14ac:dyDescent="0.25">
      <c r="B1274" s="344">
        <f t="shared" si="350"/>
        <v>0</v>
      </c>
    </row>
    <row r="1275" spans="2:2" x14ac:dyDescent="0.25">
      <c r="B1275" s="344">
        <f t="shared" si="350"/>
        <v>0</v>
      </c>
    </row>
    <row r="1276" spans="2:2" x14ac:dyDescent="0.25">
      <c r="B1276" s="344">
        <f t="shared" si="350"/>
        <v>0</v>
      </c>
    </row>
    <row r="1277" spans="2:2" x14ac:dyDescent="0.25">
      <c r="B1277" s="344">
        <f t="shared" si="350"/>
        <v>0</v>
      </c>
    </row>
    <row r="1278" spans="2:2" x14ac:dyDescent="0.25">
      <c r="B1278" s="344">
        <f t="shared" si="350"/>
        <v>0</v>
      </c>
    </row>
    <row r="1279" spans="2:2" x14ac:dyDescent="0.25">
      <c r="B1279" s="344">
        <f t="shared" si="350"/>
        <v>0</v>
      </c>
    </row>
    <row r="1280" spans="2:2" x14ac:dyDescent="0.25">
      <c r="B1280" s="344">
        <f t="shared" si="350"/>
        <v>0</v>
      </c>
    </row>
    <row r="1281" spans="2:2" x14ac:dyDescent="0.25">
      <c r="B1281" s="344">
        <f t="shared" si="350"/>
        <v>0</v>
      </c>
    </row>
    <row r="1282" spans="2:2" x14ac:dyDescent="0.25">
      <c r="B1282" s="344">
        <f t="shared" si="350"/>
        <v>0</v>
      </c>
    </row>
    <row r="1283" spans="2:2" x14ac:dyDescent="0.25">
      <c r="B1283" s="344">
        <f t="shared" si="350"/>
        <v>0</v>
      </c>
    </row>
    <row r="1284" spans="2:2" x14ac:dyDescent="0.25">
      <c r="B1284" s="344">
        <f t="shared" ref="B1284:B1301" si="351">IF($BC$2&gt;0,CONCATENATE($A$3,BC49,$A$4,BD49),0)</f>
        <v>0</v>
      </c>
    </row>
    <row r="1285" spans="2:2" x14ac:dyDescent="0.25">
      <c r="B1285" s="344">
        <f t="shared" si="351"/>
        <v>0</v>
      </c>
    </row>
    <row r="1286" spans="2:2" x14ac:dyDescent="0.25">
      <c r="B1286" s="344">
        <f t="shared" si="351"/>
        <v>0</v>
      </c>
    </row>
    <row r="1287" spans="2:2" x14ac:dyDescent="0.25">
      <c r="B1287" s="344">
        <f t="shared" si="351"/>
        <v>0</v>
      </c>
    </row>
    <row r="1288" spans="2:2" x14ac:dyDescent="0.25">
      <c r="B1288" s="344">
        <f t="shared" si="351"/>
        <v>0</v>
      </c>
    </row>
    <row r="1289" spans="2:2" x14ac:dyDescent="0.25">
      <c r="B1289" s="344">
        <f t="shared" si="351"/>
        <v>0</v>
      </c>
    </row>
    <row r="1290" spans="2:2" x14ac:dyDescent="0.25">
      <c r="B1290" s="344">
        <f t="shared" si="351"/>
        <v>0</v>
      </c>
    </row>
    <row r="1291" spans="2:2" x14ac:dyDescent="0.25">
      <c r="B1291" s="344">
        <f t="shared" si="351"/>
        <v>0</v>
      </c>
    </row>
    <row r="1292" spans="2:2" x14ac:dyDescent="0.25">
      <c r="B1292" s="344">
        <f t="shared" si="351"/>
        <v>0</v>
      </c>
    </row>
    <row r="1293" spans="2:2" x14ac:dyDescent="0.25">
      <c r="B1293" s="344">
        <f t="shared" si="351"/>
        <v>0</v>
      </c>
    </row>
    <row r="1294" spans="2:2" x14ac:dyDescent="0.25">
      <c r="B1294" s="344">
        <f t="shared" si="351"/>
        <v>0</v>
      </c>
    </row>
    <row r="1295" spans="2:2" x14ac:dyDescent="0.25">
      <c r="B1295" s="344">
        <f t="shared" si="351"/>
        <v>0</v>
      </c>
    </row>
    <row r="1296" spans="2:2" x14ac:dyDescent="0.25">
      <c r="B1296" s="344">
        <f t="shared" si="351"/>
        <v>0</v>
      </c>
    </row>
    <row r="1297" spans="2:3" x14ac:dyDescent="0.25">
      <c r="B1297" s="344">
        <f t="shared" si="351"/>
        <v>0</v>
      </c>
    </row>
    <row r="1298" spans="2:3" x14ac:dyDescent="0.25">
      <c r="B1298" s="344">
        <f t="shared" si="351"/>
        <v>0</v>
      </c>
    </row>
    <row r="1299" spans="2:3" x14ac:dyDescent="0.25">
      <c r="B1299" s="344">
        <f t="shared" si="351"/>
        <v>0</v>
      </c>
    </row>
    <row r="1300" spans="2:3" x14ac:dyDescent="0.25">
      <c r="B1300" s="344">
        <f t="shared" si="351"/>
        <v>0</v>
      </c>
    </row>
    <row r="1301" spans="2:3" ht="14.4" thickBot="1" x14ac:dyDescent="0.3">
      <c r="B1301" s="345">
        <f t="shared" si="351"/>
        <v>0</v>
      </c>
      <c r="C1301" s="341" t="str">
        <f>Adatok!F45</f>
        <v>-</v>
      </c>
    </row>
    <row r="1302" spans="2:3" x14ac:dyDescent="0.25">
      <c r="B1302" s="343">
        <f t="shared" ref="B1302:B1333" si="352">IF($BE$2&gt;0,CONCATENATE($A$3,BE17,$A$4,BF17),0)</f>
        <v>0</v>
      </c>
    </row>
    <row r="1303" spans="2:3" x14ac:dyDescent="0.25">
      <c r="B1303" s="344">
        <f t="shared" si="352"/>
        <v>0</v>
      </c>
    </row>
    <row r="1304" spans="2:3" x14ac:dyDescent="0.25">
      <c r="B1304" s="344">
        <f t="shared" si="352"/>
        <v>0</v>
      </c>
    </row>
    <row r="1305" spans="2:3" x14ac:dyDescent="0.25">
      <c r="B1305" s="344">
        <f t="shared" si="352"/>
        <v>0</v>
      </c>
    </row>
    <row r="1306" spans="2:3" x14ac:dyDescent="0.25">
      <c r="B1306" s="344">
        <f t="shared" si="352"/>
        <v>0</v>
      </c>
    </row>
    <row r="1307" spans="2:3" x14ac:dyDescent="0.25">
      <c r="B1307" s="344">
        <f t="shared" si="352"/>
        <v>0</v>
      </c>
    </row>
    <row r="1308" spans="2:3" x14ac:dyDescent="0.25">
      <c r="B1308" s="344">
        <f t="shared" si="352"/>
        <v>0</v>
      </c>
    </row>
    <row r="1309" spans="2:3" x14ac:dyDescent="0.25">
      <c r="B1309" s="344">
        <f t="shared" si="352"/>
        <v>0</v>
      </c>
    </row>
    <row r="1310" spans="2:3" x14ac:dyDescent="0.25">
      <c r="B1310" s="344">
        <f t="shared" si="352"/>
        <v>0</v>
      </c>
    </row>
    <row r="1311" spans="2:3" x14ac:dyDescent="0.25">
      <c r="B1311" s="344">
        <f t="shared" si="352"/>
        <v>0</v>
      </c>
    </row>
    <row r="1312" spans="2:3" x14ac:dyDescent="0.25">
      <c r="B1312" s="344">
        <f t="shared" si="352"/>
        <v>0</v>
      </c>
    </row>
    <row r="1313" spans="2:2" x14ac:dyDescent="0.25">
      <c r="B1313" s="344">
        <f t="shared" si="352"/>
        <v>0</v>
      </c>
    </row>
    <row r="1314" spans="2:2" x14ac:dyDescent="0.25">
      <c r="B1314" s="344">
        <f t="shared" si="352"/>
        <v>0</v>
      </c>
    </row>
    <row r="1315" spans="2:2" x14ac:dyDescent="0.25">
      <c r="B1315" s="344">
        <f t="shared" si="352"/>
        <v>0</v>
      </c>
    </row>
    <row r="1316" spans="2:2" x14ac:dyDescent="0.25">
      <c r="B1316" s="344">
        <f t="shared" si="352"/>
        <v>0</v>
      </c>
    </row>
    <row r="1317" spans="2:2" x14ac:dyDescent="0.25">
      <c r="B1317" s="344">
        <f t="shared" si="352"/>
        <v>0</v>
      </c>
    </row>
    <row r="1318" spans="2:2" x14ac:dyDescent="0.25">
      <c r="B1318" s="344">
        <f t="shared" si="352"/>
        <v>0</v>
      </c>
    </row>
    <row r="1319" spans="2:2" x14ac:dyDescent="0.25">
      <c r="B1319" s="344">
        <f t="shared" si="352"/>
        <v>0</v>
      </c>
    </row>
    <row r="1320" spans="2:2" x14ac:dyDescent="0.25">
      <c r="B1320" s="344">
        <f t="shared" si="352"/>
        <v>0</v>
      </c>
    </row>
    <row r="1321" spans="2:2" x14ac:dyDescent="0.25">
      <c r="B1321" s="344">
        <f t="shared" si="352"/>
        <v>0</v>
      </c>
    </row>
    <row r="1322" spans="2:2" x14ac:dyDescent="0.25">
      <c r="B1322" s="344">
        <f t="shared" si="352"/>
        <v>0</v>
      </c>
    </row>
    <row r="1323" spans="2:2" x14ac:dyDescent="0.25">
      <c r="B1323" s="344">
        <f t="shared" si="352"/>
        <v>0</v>
      </c>
    </row>
    <row r="1324" spans="2:2" x14ac:dyDescent="0.25">
      <c r="B1324" s="344">
        <f t="shared" si="352"/>
        <v>0</v>
      </c>
    </row>
    <row r="1325" spans="2:2" x14ac:dyDescent="0.25">
      <c r="B1325" s="344">
        <f t="shared" si="352"/>
        <v>0</v>
      </c>
    </row>
    <row r="1326" spans="2:2" x14ac:dyDescent="0.25">
      <c r="B1326" s="344">
        <f t="shared" si="352"/>
        <v>0</v>
      </c>
    </row>
    <row r="1327" spans="2:2" x14ac:dyDescent="0.25">
      <c r="B1327" s="344">
        <f t="shared" si="352"/>
        <v>0</v>
      </c>
    </row>
    <row r="1328" spans="2:2" x14ac:dyDescent="0.25">
      <c r="B1328" s="344">
        <f t="shared" si="352"/>
        <v>0</v>
      </c>
    </row>
    <row r="1329" spans="2:2" x14ac:dyDescent="0.25">
      <c r="B1329" s="344">
        <f t="shared" si="352"/>
        <v>0</v>
      </c>
    </row>
    <row r="1330" spans="2:2" x14ac:dyDescent="0.25">
      <c r="B1330" s="344">
        <f t="shared" si="352"/>
        <v>0</v>
      </c>
    </row>
    <row r="1331" spans="2:2" x14ac:dyDescent="0.25">
      <c r="B1331" s="344">
        <f t="shared" si="352"/>
        <v>0</v>
      </c>
    </row>
    <row r="1332" spans="2:2" x14ac:dyDescent="0.25">
      <c r="B1332" s="344">
        <f t="shared" si="352"/>
        <v>0</v>
      </c>
    </row>
    <row r="1333" spans="2:2" x14ac:dyDescent="0.25">
      <c r="B1333" s="344">
        <f t="shared" si="352"/>
        <v>0</v>
      </c>
    </row>
    <row r="1334" spans="2:2" x14ac:dyDescent="0.25">
      <c r="B1334" s="344">
        <f t="shared" ref="B1334:B1351" si="353">IF($BE$2&gt;0,CONCATENATE($A$3,BE49,$A$4,BF49),0)</f>
        <v>0</v>
      </c>
    </row>
    <row r="1335" spans="2:2" x14ac:dyDescent="0.25">
      <c r="B1335" s="344">
        <f t="shared" si="353"/>
        <v>0</v>
      </c>
    </row>
    <row r="1336" spans="2:2" x14ac:dyDescent="0.25">
      <c r="B1336" s="344">
        <f t="shared" si="353"/>
        <v>0</v>
      </c>
    </row>
    <row r="1337" spans="2:2" x14ac:dyDescent="0.25">
      <c r="B1337" s="344">
        <f t="shared" si="353"/>
        <v>0</v>
      </c>
    </row>
    <row r="1338" spans="2:2" x14ac:dyDescent="0.25">
      <c r="B1338" s="344">
        <f t="shared" si="353"/>
        <v>0</v>
      </c>
    </row>
    <row r="1339" spans="2:2" x14ac:dyDescent="0.25">
      <c r="B1339" s="344">
        <f t="shared" si="353"/>
        <v>0</v>
      </c>
    </row>
    <row r="1340" spans="2:2" x14ac:dyDescent="0.25">
      <c r="B1340" s="344">
        <f t="shared" si="353"/>
        <v>0</v>
      </c>
    </row>
    <row r="1341" spans="2:2" x14ac:dyDescent="0.25">
      <c r="B1341" s="344">
        <f t="shared" si="353"/>
        <v>0</v>
      </c>
    </row>
    <row r="1342" spans="2:2" x14ac:dyDescent="0.25">
      <c r="B1342" s="344">
        <f t="shared" si="353"/>
        <v>0</v>
      </c>
    </row>
    <row r="1343" spans="2:2" x14ac:dyDescent="0.25">
      <c r="B1343" s="344">
        <f t="shared" si="353"/>
        <v>0</v>
      </c>
    </row>
    <row r="1344" spans="2:2" x14ac:dyDescent="0.25">
      <c r="B1344" s="344">
        <f t="shared" si="353"/>
        <v>0</v>
      </c>
    </row>
    <row r="1345" spans="2:3" x14ac:dyDescent="0.25">
      <c r="B1345" s="344">
        <f t="shared" si="353"/>
        <v>0</v>
      </c>
    </row>
    <row r="1346" spans="2:3" x14ac:dyDescent="0.25">
      <c r="B1346" s="344">
        <f t="shared" si="353"/>
        <v>0</v>
      </c>
    </row>
    <row r="1347" spans="2:3" x14ac:dyDescent="0.25">
      <c r="B1347" s="344">
        <f t="shared" si="353"/>
        <v>0</v>
      </c>
    </row>
    <row r="1348" spans="2:3" x14ac:dyDescent="0.25">
      <c r="B1348" s="344">
        <f t="shared" si="353"/>
        <v>0</v>
      </c>
    </row>
    <row r="1349" spans="2:3" x14ac:dyDescent="0.25">
      <c r="B1349" s="344">
        <f t="shared" si="353"/>
        <v>0</v>
      </c>
    </row>
    <row r="1350" spans="2:3" x14ac:dyDescent="0.25">
      <c r="B1350" s="344">
        <f t="shared" si="353"/>
        <v>0</v>
      </c>
    </row>
    <row r="1351" spans="2:3" ht="14.4" thickBot="1" x14ac:dyDescent="0.3">
      <c r="B1351" s="345">
        <f t="shared" si="353"/>
        <v>0</v>
      </c>
      <c r="C1351" s="341" t="str">
        <f>Adatok!F46</f>
        <v>-</v>
      </c>
    </row>
    <row r="1352" spans="2:3" x14ac:dyDescent="0.25">
      <c r="B1352" s="343">
        <f t="shared" ref="B1352:B1383" si="354">IF($BG$2&gt;0,CONCATENATE($A$3,BG17,$A$4,BH17),0)</f>
        <v>0</v>
      </c>
    </row>
    <row r="1353" spans="2:3" x14ac:dyDescent="0.25">
      <c r="B1353" s="344">
        <f t="shared" si="354"/>
        <v>0</v>
      </c>
    </row>
    <row r="1354" spans="2:3" x14ac:dyDescent="0.25">
      <c r="B1354" s="344">
        <f t="shared" si="354"/>
        <v>0</v>
      </c>
    </row>
    <row r="1355" spans="2:3" x14ac:dyDescent="0.25">
      <c r="B1355" s="344">
        <f t="shared" si="354"/>
        <v>0</v>
      </c>
    </row>
    <row r="1356" spans="2:3" x14ac:dyDescent="0.25">
      <c r="B1356" s="344">
        <f t="shared" si="354"/>
        <v>0</v>
      </c>
    </row>
    <row r="1357" spans="2:3" x14ac:dyDescent="0.25">
      <c r="B1357" s="344">
        <f t="shared" si="354"/>
        <v>0</v>
      </c>
    </row>
    <row r="1358" spans="2:3" x14ac:dyDescent="0.25">
      <c r="B1358" s="344">
        <f t="shared" si="354"/>
        <v>0</v>
      </c>
    </row>
    <row r="1359" spans="2:3" x14ac:dyDescent="0.25">
      <c r="B1359" s="344">
        <f t="shared" si="354"/>
        <v>0</v>
      </c>
    </row>
    <row r="1360" spans="2:3" x14ac:dyDescent="0.25">
      <c r="B1360" s="344">
        <f t="shared" si="354"/>
        <v>0</v>
      </c>
    </row>
    <row r="1361" spans="2:2" x14ac:dyDescent="0.25">
      <c r="B1361" s="344">
        <f t="shared" si="354"/>
        <v>0</v>
      </c>
    </row>
    <row r="1362" spans="2:2" x14ac:dyDescent="0.25">
      <c r="B1362" s="344">
        <f t="shared" si="354"/>
        <v>0</v>
      </c>
    </row>
    <row r="1363" spans="2:2" x14ac:dyDescent="0.25">
      <c r="B1363" s="344">
        <f t="shared" si="354"/>
        <v>0</v>
      </c>
    </row>
    <row r="1364" spans="2:2" x14ac:dyDescent="0.25">
      <c r="B1364" s="344">
        <f t="shared" si="354"/>
        <v>0</v>
      </c>
    </row>
    <row r="1365" spans="2:2" x14ac:dyDescent="0.25">
      <c r="B1365" s="344">
        <f t="shared" si="354"/>
        <v>0</v>
      </c>
    </row>
    <row r="1366" spans="2:2" x14ac:dyDescent="0.25">
      <c r="B1366" s="344">
        <f t="shared" si="354"/>
        <v>0</v>
      </c>
    </row>
    <row r="1367" spans="2:2" x14ac:dyDescent="0.25">
      <c r="B1367" s="344">
        <f t="shared" si="354"/>
        <v>0</v>
      </c>
    </row>
    <row r="1368" spans="2:2" x14ac:dyDescent="0.25">
      <c r="B1368" s="344">
        <f t="shared" si="354"/>
        <v>0</v>
      </c>
    </row>
    <row r="1369" spans="2:2" x14ac:dyDescent="0.25">
      <c r="B1369" s="344">
        <f t="shared" si="354"/>
        <v>0</v>
      </c>
    </row>
    <row r="1370" spans="2:2" x14ac:dyDescent="0.25">
      <c r="B1370" s="344">
        <f t="shared" si="354"/>
        <v>0</v>
      </c>
    </row>
    <row r="1371" spans="2:2" x14ac:dyDescent="0.25">
      <c r="B1371" s="344">
        <f t="shared" si="354"/>
        <v>0</v>
      </c>
    </row>
    <row r="1372" spans="2:2" x14ac:dyDescent="0.25">
      <c r="B1372" s="344">
        <f t="shared" si="354"/>
        <v>0</v>
      </c>
    </row>
    <row r="1373" spans="2:2" x14ac:dyDescent="0.25">
      <c r="B1373" s="344">
        <f t="shared" si="354"/>
        <v>0</v>
      </c>
    </row>
    <row r="1374" spans="2:2" x14ac:dyDescent="0.25">
      <c r="B1374" s="344">
        <f t="shared" si="354"/>
        <v>0</v>
      </c>
    </row>
    <row r="1375" spans="2:2" x14ac:dyDescent="0.25">
      <c r="B1375" s="344">
        <f t="shared" si="354"/>
        <v>0</v>
      </c>
    </row>
    <row r="1376" spans="2:2" x14ac:dyDescent="0.25">
      <c r="B1376" s="344">
        <f t="shared" si="354"/>
        <v>0</v>
      </c>
    </row>
    <row r="1377" spans="2:2" x14ac:dyDescent="0.25">
      <c r="B1377" s="344">
        <f t="shared" si="354"/>
        <v>0</v>
      </c>
    </row>
    <row r="1378" spans="2:2" x14ac:dyDescent="0.25">
      <c r="B1378" s="344">
        <f t="shared" si="354"/>
        <v>0</v>
      </c>
    </row>
    <row r="1379" spans="2:2" x14ac:dyDescent="0.25">
      <c r="B1379" s="344">
        <f t="shared" si="354"/>
        <v>0</v>
      </c>
    </row>
    <row r="1380" spans="2:2" x14ac:dyDescent="0.25">
      <c r="B1380" s="344">
        <f t="shared" si="354"/>
        <v>0</v>
      </c>
    </row>
    <row r="1381" spans="2:2" x14ac:dyDescent="0.25">
      <c r="B1381" s="344">
        <f t="shared" si="354"/>
        <v>0</v>
      </c>
    </row>
    <row r="1382" spans="2:2" x14ac:dyDescent="0.25">
      <c r="B1382" s="344">
        <f t="shared" si="354"/>
        <v>0</v>
      </c>
    </row>
    <row r="1383" spans="2:2" x14ac:dyDescent="0.25">
      <c r="B1383" s="344">
        <f t="shared" si="354"/>
        <v>0</v>
      </c>
    </row>
    <row r="1384" spans="2:2" x14ac:dyDescent="0.25">
      <c r="B1384" s="344">
        <f t="shared" ref="B1384:B1401" si="355">IF($BG$2&gt;0,CONCATENATE($A$3,BG49,$A$4,BH49),0)</f>
        <v>0</v>
      </c>
    </row>
    <row r="1385" spans="2:2" x14ac:dyDescent="0.25">
      <c r="B1385" s="344">
        <f t="shared" si="355"/>
        <v>0</v>
      </c>
    </row>
    <row r="1386" spans="2:2" x14ac:dyDescent="0.25">
      <c r="B1386" s="344">
        <f t="shared" si="355"/>
        <v>0</v>
      </c>
    </row>
    <row r="1387" spans="2:2" x14ac:dyDescent="0.25">
      <c r="B1387" s="344">
        <f t="shared" si="355"/>
        <v>0</v>
      </c>
    </row>
    <row r="1388" spans="2:2" x14ac:dyDescent="0.25">
      <c r="B1388" s="344">
        <f t="shared" si="355"/>
        <v>0</v>
      </c>
    </row>
    <row r="1389" spans="2:2" x14ac:dyDescent="0.25">
      <c r="B1389" s="344">
        <f t="shared" si="355"/>
        <v>0</v>
      </c>
    </row>
    <row r="1390" spans="2:2" x14ac:dyDescent="0.25">
      <c r="B1390" s="344">
        <f t="shared" si="355"/>
        <v>0</v>
      </c>
    </row>
    <row r="1391" spans="2:2" x14ac:dyDescent="0.25">
      <c r="B1391" s="344">
        <f t="shared" si="355"/>
        <v>0</v>
      </c>
    </row>
    <row r="1392" spans="2:2" x14ac:dyDescent="0.25">
      <c r="B1392" s="344">
        <f t="shared" si="355"/>
        <v>0</v>
      </c>
    </row>
    <row r="1393" spans="2:3" x14ac:dyDescent="0.25">
      <c r="B1393" s="344">
        <f t="shared" si="355"/>
        <v>0</v>
      </c>
    </row>
    <row r="1394" spans="2:3" x14ac:dyDescent="0.25">
      <c r="B1394" s="344">
        <f t="shared" si="355"/>
        <v>0</v>
      </c>
    </row>
    <row r="1395" spans="2:3" x14ac:dyDescent="0.25">
      <c r="B1395" s="344">
        <f t="shared" si="355"/>
        <v>0</v>
      </c>
    </row>
    <row r="1396" spans="2:3" x14ac:dyDescent="0.25">
      <c r="B1396" s="344">
        <f t="shared" si="355"/>
        <v>0</v>
      </c>
    </row>
    <row r="1397" spans="2:3" x14ac:dyDescent="0.25">
      <c r="B1397" s="344">
        <f t="shared" si="355"/>
        <v>0</v>
      </c>
    </row>
    <row r="1398" spans="2:3" x14ac:dyDescent="0.25">
      <c r="B1398" s="344">
        <f t="shared" si="355"/>
        <v>0</v>
      </c>
    </row>
    <row r="1399" spans="2:3" x14ac:dyDescent="0.25">
      <c r="B1399" s="344">
        <f t="shared" si="355"/>
        <v>0</v>
      </c>
    </row>
    <row r="1400" spans="2:3" x14ac:dyDescent="0.25">
      <c r="B1400" s="344">
        <f t="shared" si="355"/>
        <v>0</v>
      </c>
    </row>
    <row r="1401" spans="2:3" ht="14.4" thickBot="1" x14ac:dyDescent="0.3">
      <c r="B1401" s="345">
        <f t="shared" si="355"/>
        <v>0</v>
      </c>
      <c r="C1401" s="341" t="str">
        <f>Adatok!F47</f>
        <v>-</v>
      </c>
    </row>
    <row r="1402" spans="2:3" x14ac:dyDescent="0.25">
      <c r="B1402" s="343">
        <f>IF($BI$2&gt;0,CONCATENATE($A$3,BI17,$A$4,BJ17),0)</f>
        <v>0</v>
      </c>
    </row>
    <row r="1403" spans="2:3" x14ac:dyDescent="0.25">
      <c r="B1403" s="344">
        <f t="shared" ref="B1403:B1451" si="356">IF($BI$2&gt;0,CONCATENATE($A$3,BI18,$A$4,BJ18),0)</f>
        <v>0</v>
      </c>
    </row>
    <row r="1404" spans="2:3" x14ac:dyDescent="0.25">
      <c r="B1404" s="344">
        <f t="shared" si="356"/>
        <v>0</v>
      </c>
    </row>
    <row r="1405" spans="2:3" x14ac:dyDescent="0.25">
      <c r="B1405" s="344">
        <f t="shared" si="356"/>
        <v>0</v>
      </c>
    </row>
    <row r="1406" spans="2:3" x14ac:dyDescent="0.25">
      <c r="B1406" s="344">
        <f t="shared" si="356"/>
        <v>0</v>
      </c>
    </row>
    <row r="1407" spans="2:3" x14ac:dyDescent="0.25">
      <c r="B1407" s="344">
        <f t="shared" si="356"/>
        <v>0</v>
      </c>
    </row>
    <row r="1408" spans="2:3" x14ac:dyDescent="0.25">
      <c r="B1408" s="344">
        <f t="shared" si="356"/>
        <v>0</v>
      </c>
    </row>
    <row r="1409" spans="2:2" x14ac:dyDescent="0.25">
      <c r="B1409" s="344">
        <f t="shared" si="356"/>
        <v>0</v>
      </c>
    </row>
    <row r="1410" spans="2:2" x14ac:dyDescent="0.25">
      <c r="B1410" s="344">
        <f t="shared" si="356"/>
        <v>0</v>
      </c>
    </row>
    <row r="1411" spans="2:2" x14ac:dyDescent="0.25">
      <c r="B1411" s="344">
        <f t="shared" si="356"/>
        <v>0</v>
      </c>
    </row>
    <row r="1412" spans="2:2" x14ac:dyDescent="0.25">
      <c r="B1412" s="344">
        <f t="shared" si="356"/>
        <v>0</v>
      </c>
    </row>
    <row r="1413" spans="2:2" x14ac:dyDescent="0.25">
      <c r="B1413" s="344">
        <f t="shared" si="356"/>
        <v>0</v>
      </c>
    </row>
    <row r="1414" spans="2:2" x14ac:dyDescent="0.25">
      <c r="B1414" s="344">
        <f t="shared" si="356"/>
        <v>0</v>
      </c>
    </row>
    <row r="1415" spans="2:2" x14ac:dyDescent="0.25">
      <c r="B1415" s="344">
        <f t="shared" si="356"/>
        <v>0</v>
      </c>
    </row>
    <row r="1416" spans="2:2" x14ac:dyDescent="0.25">
      <c r="B1416" s="344">
        <f t="shared" si="356"/>
        <v>0</v>
      </c>
    </row>
    <row r="1417" spans="2:2" x14ac:dyDescent="0.25">
      <c r="B1417" s="344">
        <f t="shared" si="356"/>
        <v>0</v>
      </c>
    </row>
    <row r="1418" spans="2:2" x14ac:dyDescent="0.25">
      <c r="B1418" s="344">
        <f t="shared" si="356"/>
        <v>0</v>
      </c>
    </row>
    <row r="1419" spans="2:2" x14ac:dyDescent="0.25">
      <c r="B1419" s="344">
        <f t="shared" si="356"/>
        <v>0</v>
      </c>
    </row>
    <row r="1420" spans="2:2" x14ac:dyDescent="0.25">
      <c r="B1420" s="344">
        <f t="shared" si="356"/>
        <v>0</v>
      </c>
    </row>
    <row r="1421" spans="2:2" x14ac:dyDescent="0.25">
      <c r="B1421" s="344">
        <f t="shared" si="356"/>
        <v>0</v>
      </c>
    </row>
    <row r="1422" spans="2:2" x14ac:dyDescent="0.25">
      <c r="B1422" s="344">
        <f t="shared" si="356"/>
        <v>0</v>
      </c>
    </row>
    <row r="1423" spans="2:2" x14ac:dyDescent="0.25">
      <c r="B1423" s="344">
        <f t="shared" si="356"/>
        <v>0</v>
      </c>
    </row>
    <row r="1424" spans="2:2" x14ac:dyDescent="0.25">
      <c r="B1424" s="344">
        <f t="shared" si="356"/>
        <v>0</v>
      </c>
    </row>
    <row r="1425" spans="2:2" x14ac:dyDescent="0.25">
      <c r="B1425" s="344">
        <f t="shared" si="356"/>
        <v>0</v>
      </c>
    </row>
    <row r="1426" spans="2:2" x14ac:dyDescent="0.25">
      <c r="B1426" s="344">
        <f t="shared" si="356"/>
        <v>0</v>
      </c>
    </row>
    <row r="1427" spans="2:2" x14ac:dyDescent="0.25">
      <c r="B1427" s="344">
        <f t="shared" si="356"/>
        <v>0</v>
      </c>
    </row>
    <row r="1428" spans="2:2" x14ac:dyDescent="0.25">
      <c r="B1428" s="344">
        <f t="shared" si="356"/>
        <v>0</v>
      </c>
    </row>
    <row r="1429" spans="2:2" x14ac:dyDescent="0.25">
      <c r="B1429" s="344">
        <f t="shared" si="356"/>
        <v>0</v>
      </c>
    </row>
    <row r="1430" spans="2:2" x14ac:dyDescent="0.25">
      <c r="B1430" s="344">
        <f t="shared" si="356"/>
        <v>0</v>
      </c>
    </row>
    <row r="1431" spans="2:2" x14ac:dyDescent="0.25">
      <c r="B1431" s="344">
        <f t="shared" si="356"/>
        <v>0</v>
      </c>
    </row>
    <row r="1432" spans="2:2" x14ac:dyDescent="0.25">
      <c r="B1432" s="344">
        <f t="shared" si="356"/>
        <v>0</v>
      </c>
    </row>
    <row r="1433" spans="2:2" x14ac:dyDescent="0.25">
      <c r="B1433" s="344">
        <f t="shared" si="356"/>
        <v>0</v>
      </c>
    </row>
    <row r="1434" spans="2:2" x14ac:dyDescent="0.25">
      <c r="B1434" s="344">
        <f t="shared" si="356"/>
        <v>0</v>
      </c>
    </row>
    <row r="1435" spans="2:2" x14ac:dyDescent="0.25">
      <c r="B1435" s="344">
        <f t="shared" si="356"/>
        <v>0</v>
      </c>
    </row>
    <row r="1436" spans="2:2" x14ac:dyDescent="0.25">
      <c r="B1436" s="344">
        <f t="shared" si="356"/>
        <v>0</v>
      </c>
    </row>
    <row r="1437" spans="2:2" x14ac:dyDescent="0.25">
      <c r="B1437" s="344">
        <f t="shared" si="356"/>
        <v>0</v>
      </c>
    </row>
    <row r="1438" spans="2:2" x14ac:dyDescent="0.25">
      <c r="B1438" s="344">
        <f t="shared" si="356"/>
        <v>0</v>
      </c>
    </row>
    <row r="1439" spans="2:2" x14ac:dyDescent="0.25">
      <c r="B1439" s="344">
        <f t="shared" si="356"/>
        <v>0</v>
      </c>
    </row>
    <row r="1440" spans="2:2" x14ac:dyDescent="0.25">
      <c r="B1440" s="344">
        <f t="shared" si="356"/>
        <v>0</v>
      </c>
    </row>
    <row r="1441" spans="2:3" x14ac:dyDescent="0.25">
      <c r="B1441" s="344">
        <f t="shared" si="356"/>
        <v>0</v>
      </c>
    </row>
    <row r="1442" spans="2:3" x14ac:dyDescent="0.25">
      <c r="B1442" s="344">
        <f t="shared" si="356"/>
        <v>0</v>
      </c>
    </row>
    <row r="1443" spans="2:3" x14ac:dyDescent="0.25">
      <c r="B1443" s="344">
        <f t="shared" si="356"/>
        <v>0</v>
      </c>
    </row>
    <row r="1444" spans="2:3" x14ac:dyDescent="0.25">
      <c r="B1444" s="344">
        <f t="shared" si="356"/>
        <v>0</v>
      </c>
    </row>
    <row r="1445" spans="2:3" x14ac:dyDescent="0.25">
      <c r="B1445" s="344">
        <f t="shared" si="356"/>
        <v>0</v>
      </c>
    </row>
    <row r="1446" spans="2:3" x14ac:dyDescent="0.25">
      <c r="B1446" s="344">
        <f t="shared" si="356"/>
        <v>0</v>
      </c>
    </row>
    <row r="1447" spans="2:3" x14ac:dyDescent="0.25">
      <c r="B1447" s="344">
        <f t="shared" si="356"/>
        <v>0</v>
      </c>
    </row>
    <row r="1448" spans="2:3" x14ac:dyDescent="0.25">
      <c r="B1448" s="344">
        <f t="shared" si="356"/>
        <v>0</v>
      </c>
    </row>
    <row r="1449" spans="2:3" x14ac:dyDescent="0.25">
      <c r="B1449" s="344">
        <f t="shared" si="356"/>
        <v>0</v>
      </c>
    </row>
    <row r="1450" spans="2:3" x14ac:dyDescent="0.25">
      <c r="B1450" s="344">
        <f t="shared" si="356"/>
        <v>0</v>
      </c>
    </row>
    <row r="1451" spans="2:3" ht="14.4" thickBot="1" x14ac:dyDescent="0.3">
      <c r="B1451" s="345">
        <f t="shared" si="356"/>
        <v>0</v>
      </c>
      <c r="C1451" s="341" t="str">
        <f>Adatok!F48</f>
        <v>-</v>
      </c>
    </row>
    <row r="1452" spans="2:3" x14ac:dyDescent="0.25">
      <c r="B1452" s="343">
        <f>IF($BK$2&gt;0,CONCATENATE($A$3,BK17,$A$4,BL17),0)</f>
        <v>0</v>
      </c>
    </row>
    <row r="1453" spans="2:3" x14ac:dyDescent="0.25">
      <c r="B1453" s="344">
        <f t="shared" ref="B1453:B1501" si="357">IF($BK$2&gt;0,CONCATENATE($A$3,BK18,$A$4,BL18),0)</f>
        <v>0</v>
      </c>
    </row>
    <row r="1454" spans="2:3" x14ac:dyDescent="0.25">
      <c r="B1454" s="344">
        <f t="shared" si="357"/>
        <v>0</v>
      </c>
    </row>
    <row r="1455" spans="2:3" x14ac:dyDescent="0.25">
      <c r="B1455" s="344">
        <f t="shared" si="357"/>
        <v>0</v>
      </c>
    </row>
    <row r="1456" spans="2:3" x14ac:dyDescent="0.25">
      <c r="B1456" s="344">
        <f t="shared" si="357"/>
        <v>0</v>
      </c>
    </row>
    <row r="1457" spans="2:2" x14ac:dyDescent="0.25">
      <c r="B1457" s="344">
        <f t="shared" si="357"/>
        <v>0</v>
      </c>
    </row>
    <row r="1458" spans="2:2" x14ac:dyDescent="0.25">
      <c r="B1458" s="344">
        <f t="shared" si="357"/>
        <v>0</v>
      </c>
    </row>
    <row r="1459" spans="2:2" x14ac:dyDescent="0.25">
      <c r="B1459" s="344">
        <f t="shared" si="357"/>
        <v>0</v>
      </c>
    </row>
    <row r="1460" spans="2:2" x14ac:dyDescent="0.25">
      <c r="B1460" s="344">
        <f t="shared" si="357"/>
        <v>0</v>
      </c>
    </row>
    <row r="1461" spans="2:2" x14ac:dyDescent="0.25">
      <c r="B1461" s="344">
        <f t="shared" si="357"/>
        <v>0</v>
      </c>
    </row>
    <row r="1462" spans="2:2" x14ac:dyDescent="0.25">
      <c r="B1462" s="344">
        <f t="shared" si="357"/>
        <v>0</v>
      </c>
    </row>
    <row r="1463" spans="2:2" x14ac:dyDescent="0.25">
      <c r="B1463" s="344">
        <f t="shared" si="357"/>
        <v>0</v>
      </c>
    </row>
    <row r="1464" spans="2:2" x14ac:dyDescent="0.25">
      <c r="B1464" s="344">
        <f t="shared" si="357"/>
        <v>0</v>
      </c>
    </row>
    <row r="1465" spans="2:2" x14ac:dyDescent="0.25">
      <c r="B1465" s="344">
        <f t="shared" si="357"/>
        <v>0</v>
      </c>
    </row>
    <row r="1466" spans="2:2" x14ac:dyDescent="0.25">
      <c r="B1466" s="344">
        <f t="shared" si="357"/>
        <v>0</v>
      </c>
    </row>
    <row r="1467" spans="2:2" x14ac:dyDescent="0.25">
      <c r="B1467" s="344">
        <f t="shared" si="357"/>
        <v>0</v>
      </c>
    </row>
    <row r="1468" spans="2:2" x14ac:dyDescent="0.25">
      <c r="B1468" s="344">
        <f t="shared" si="357"/>
        <v>0</v>
      </c>
    </row>
    <row r="1469" spans="2:2" x14ac:dyDescent="0.25">
      <c r="B1469" s="344">
        <f t="shared" si="357"/>
        <v>0</v>
      </c>
    </row>
    <row r="1470" spans="2:2" x14ac:dyDescent="0.25">
      <c r="B1470" s="344">
        <f t="shared" si="357"/>
        <v>0</v>
      </c>
    </row>
    <row r="1471" spans="2:2" x14ac:dyDescent="0.25">
      <c r="B1471" s="344">
        <f t="shared" si="357"/>
        <v>0</v>
      </c>
    </row>
    <row r="1472" spans="2:2" x14ac:dyDescent="0.25">
      <c r="B1472" s="344">
        <f t="shared" si="357"/>
        <v>0</v>
      </c>
    </row>
    <row r="1473" spans="2:2" x14ac:dyDescent="0.25">
      <c r="B1473" s="344">
        <f t="shared" si="357"/>
        <v>0</v>
      </c>
    </row>
    <row r="1474" spans="2:2" x14ac:dyDescent="0.25">
      <c r="B1474" s="344">
        <f t="shared" si="357"/>
        <v>0</v>
      </c>
    </row>
    <row r="1475" spans="2:2" x14ac:dyDescent="0.25">
      <c r="B1475" s="344">
        <f t="shared" si="357"/>
        <v>0</v>
      </c>
    </row>
    <row r="1476" spans="2:2" x14ac:dyDescent="0.25">
      <c r="B1476" s="344">
        <f t="shared" si="357"/>
        <v>0</v>
      </c>
    </row>
    <row r="1477" spans="2:2" x14ac:dyDescent="0.25">
      <c r="B1477" s="344">
        <f t="shared" si="357"/>
        <v>0</v>
      </c>
    </row>
    <row r="1478" spans="2:2" x14ac:dyDescent="0.25">
      <c r="B1478" s="344">
        <f t="shared" si="357"/>
        <v>0</v>
      </c>
    </row>
    <row r="1479" spans="2:2" x14ac:dyDescent="0.25">
      <c r="B1479" s="344">
        <f t="shared" si="357"/>
        <v>0</v>
      </c>
    </row>
    <row r="1480" spans="2:2" x14ac:dyDescent="0.25">
      <c r="B1480" s="344">
        <f t="shared" si="357"/>
        <v>0</v>
      </c>
    </row>
    <row r="1481" spans="2:2" x14ac:dyDescent="0.25">
      <c r="B1481" s="344">
        <f t="shared" si="357"/>
        <v>0</v>
      </c>
    </row>
    <row r="1482" spans="2:2" x14ac:dyDescent="0.25">
      <c r="B1482" s="344">
        <f t="shared" si="357"/>
        <v>0</v>
      </c>
    </row>
    <row r="1483" spans="2:2" x14ac:dyDescent="0.25">
      <c r="B1483" s="344">
        <f t="shared" si="357"/>
        <v>0</v>
      </c>
    </row>
    <row r="1484" spans="2:2" x14ac:dyDescent="0.25">
      <c r="B1484" s="344">
        <f t="shared" si="357"/>
        <v>0</v>
      </c>
    </row>
    <row r="1485" spans="2:2" x14ac:dyDescent="0.25">
      <c r="B1485" s="344">
        <f t="shared" si="357"/>
        <v>0</v>
      </c>
    </row>
    <row r="1486" spans="2:2" x14ac:dyDescent="0.25">
      <c r="B1486" s="344">
        <f t="shared" si="357"/>
        <v>0</v>
      </c>
    </row>
    <row r="1487" spans="2:2" x14ac:dyDescent="0.25">
      <c r="B1487" s="344">
        <f t="shared" si="357"/>
        <v>0</v>
      </c>
    </row>
    <row r="1488" spans="2:2" x14ac:dyDescent="0.25">
      <c r="B1488" s="344">
        <f t="shared" si="357"/>
        <v>0</v>
      </c>
    </row>
    <row r="1489" spans="2:3" x14ac:dyDescent="0.25">
      <c r="B1489" s="344">
        <f t="shared" si="357"/>
        <v>0</v>
      </c>
    </row>
    <row r="1490" spans="2:3" x14ac:dyDescent="0.25">
      <c r="B1490" s="344">
        <f t="shared" si="357"/>
        <v>0</v>
      </c>
    </row>
    <row r="1491" spans="2:3" x14ac:dyDescent="0.25">
      <c r="B1491" s="344">
        <f t="shared" si="357"/>
        <v>0</v>
      </c>
    </row>
    <row r="1492" spans="2:3" x14ac:dyDescent="0.25">
      <c r="B1492" s="344">
        <f t="shared" si="357"/>
        <v>0</v>
      </c>
    </row>
    <row r="1493" spans="2:3" x14ac:dyDescent="0.25">
      <c r="B1493" s="344">
        <f t="shared" si="357"/>
        <v>0</v>
      </c>
    </row>
    <row r="1494" spans="2:3" x14ac:dyDescent="0.25">
      <c r="B1494" s="344">
        <f t="shared" si="357"/>
        <v>0</v>
      </c>
    </row>
    <row r="1495" spans="2:3" x14ac:dyDescent="0.25">
      <c r="B1495" s="344">
        <f t="shared" si="357"/>
        <v>0</v>
      </c>
    </row>
    <row r="1496" spans="2:3" x14ac:dyDescent="0.25">
      <c r="B1496" s="344">
        <f t="shared" si="357"/>
        <v>0</v>
      </c>
    </row>
    <row r="1497" spans="2:3" x14ac:dyDescent="0.25">
      <c r="B1497" s="344">
        <f t="shared" si="357"/>
        <v>0</v>
      </c>
    </row>
    <row r="1498" spans="2:3" x14ac:dyDescent="0.25">
      <c r="B1498" s="344">
        <f t="shared" si="357"/>
        <v>0</v>
      </c>
    </row>
    <row r="1499" spans="2:3" x14ac:dyDescent="0.25">
      <c r="B1499" s="344">
        <f t="shared" si="357"/>
        <v>0</v>
      </c>
    </row>
    <row r="1500" spans="2:3" x14ac:dyDescent="0.25">
      <c r="B1500" s="344">
        <f t="shared" si="357"/>
        <v>0</v>
      </c>
    </row>
    <row r="1501" spans="2:3" ht="14.4" thickBot="1" x14ac:dyDescent="0.3">
      <c r="B1501" s="345">
        <f t="shared" si="357"/>
        <v>0</v>
      </c>
      <c r="C1501" s="341" t="str">
        <f>Adatok!F49</f>
        <v>-</v>
      </c>
    </row>
    <row r="1502" spans="2:3" x14ac:dyDescent="0.25">
      <c r="B1502" s="343">
        <f>IF($BM$2&gt;0,CONCATENATE($A$3,BM17,$A$4,BN17),0)</f>
        <v>0</v>
      </c>
    </row>
    <row r="1503" spans="2:3" x14ac:dyDescent="0.25">
      <c r="B1503" s="344">
        <f t="shared" ref="B1503:B1551" si="358">IF($BM$2&gt;0,CONCATENATE($A$3,BM18,$A$4,BN18),0)</f>
        <v>0</v>
      </c>
    </row>
    <row r="1504" spans="2:3" x14ac:dyDescent="0.25">
      <c r="B1504" s="344">
        <f t="shared" si="358"/>
        <v>0</v>
      </c>
    </row>
    <row r="1505" spans="2:2" x14ac:dyDescent="0.25">
      <c r="B1505" s="344">
        <f t="shared" si="358"/>
        <v>0</v>
      </c>
    </row>
    <row r="1506" spans="2:2" x14ac:dyDescent="0.25">
      <c r="B1506" s="344">
        <f t="shared" si="358"/>
        <v>0</v>
      </c>
    </row>
    <row r="1507" spans="2:2" x14ac:dyDescent="0.25">
      <c r="B1507" s="344">
        <f t="shared" si="358"/>
        <v>0</v>
      </c>
    </row>
    <row r="1508" spans="2:2" x14ac:dyDescent="0.25">
      <c r="B1508" s="344">
        <f t="shared" si="358"/>
        <v>0</v>
      </c>
    </row>
    <row r="1509" spans="2:2" x14ac:dyDescent="0.25">
      <c r="B1509" s="344">
        <f t="shared" si="358"/>
        <v>0</v>
      </c>
    </row>
    <row r="1510" spans="2:2" x14ac:dyDescent="0.25">
      <c r="B1510" s="344">
        <f t="shared" si="358"/>
        <v>0</v>
      </c>
    </row>
    <row r="1511" spans="2:2" x14ac:dyDescent="0.25">
      <c r="B1511" s="344">
        <f t="shared" si="358"/>
        <v>0</v>
      </c>
    </row>
    <row r="1512" spans="2:2" x14ac:dyDescent="0.25">
      <c r="B1512" s="344">
        <f t="shared" si="358"/>
        <v>0</v>
      </c>
    </row>
    <row r="1513" spans="2:2" x14ac:dyDescent="0.25">
      <c r="B1513" s="344">
        <f t="shared" si="358"/>
        <v>0</v>
      </c>
    </row>
    <row r="1514" spans="2:2" x14ac:dyDescent="0.25">
      <c r="B1514" s="344">
        <f t="shared" si="358"/>
        <v>0</v>
      </c>
    </row>
    <row r="1515" spans="2:2" x14ac:dyDescent="0.25">
      <c r="B1515" s="344">
        <f t="shared" si="358"/>
        <v>0</v>
      </c>
    </row>
    <row r="1516" spans="2:2" x14ac:dyDescent="0.25">
      <c r="B1516" s="344">
        <f t="shared" si="358"/>
        <v>0</v>
      </c>
    </row>
    <row r="1517" spans="2:2" x14ac:dyDescent="0.25">
      <c r="B1517" s="344">
        <f t="shared" si="358"/>
        <v>0</v>
      </c>
    </row>
    <row r="1518" spans="2:2" x14ac:dyDescent="0.25">
      <c r="B1518" s="344">
        <f t="shared" si="358"/>
        <v>0</v>
      </c>
    </row>
    <row r="1519" spans="2:2" x14ac:dyDescent="0.25">
      <c r="B1519" s="344">
        <f t="shared" si="358"/>
        <v>0</v>
      </c>
    </row>
    <row r="1520" spans="2:2" x14ac:dyDescent="0.25">
      <c r="B1520" s="344">
        <f t="shared" si="358"/>
        <v>0</v>
      </c>
    </row>
    <row r="1521" spans="2:2" x14ac:dyDescent="0.25">
      <c r="B1521" s="344">
        <f t="shared" si="358"/>
        <v>0</v>
      </c>
    </row>
    <row r="1522" spans="2:2" x14ac:dyDescent="0.25">
      <c r="B1522" s="344">
        <f t="shared" si="358"/>
        <v>0</v>
      </c>
    </row>
    <row r="1523" spans="2:2" x14ac:dyDescent="0.25">
      <c r="B1523" s="344">
        <f t="shared" si="358"/>
        <v>0</v>
      </c>
    </row>
    <row r="1524" spans="2:2" x14ac:dyDescent="0.25">
      <c r="B1524" s="344">
        <f t="shared" si="358"/>
        <v>0</v>
      </c>
    </row>
    <row r="1525" spans="2:2" x14ac:dyDescent="0.25">
      <c r="B1525" s="344">
        <f t="shared" si="358"/>
        <v>0</v>
      </c>
    </row>
    <row r="1526" spans="2:2" x14ac:dyDescent="0.25">
      <c r="B1526" s="344">
        <f t="shared" si="358"/>
        <v>0</v>
      </c>
    </row>
    <row r="1527" spans="2:2" x14ac:dyDescent="0.25">
      <c r="B1527" s="344">
        <f t="shared" si="358"/>
        <v>0</v>
      </c>
    </row>
    <row r="1528" spans="2:2" x14ac:dyDescent="0.25">
      <c r="B1528" s="344">
        <f t="shared" si="358"/>
        <v>0</v>
      </c>
    </row>
    <row r="1529" spans="2:2" x14ac:dyDescent="0.25">
      <c r="B1529" s="344">
        <f t="shared" si="358"/>
        <v>0</v>
      </c>
    </row>
    <row r="1530" spans="2:2" x14ac:dyDescent="0.25">
      <c r="B1530" s="344">
        <f t="shared" si="358"/>
        <v>0</v>
      </c>
    </row>
    <row r="1531" spans="2:2" x14ac:dyDescent="0.25">
      <c r="B1531" s="344">
        <f t="shared" si="358"/>
        <v>0</v>
      </c>
    </row>
    <row r="1532" spans="2:2" x14ac:dyDescent="0.25">
      <c r="B1532" s="344">
        <f t="shared" si="358"/>
        <v>0</v>
      </c>
    </row>
    <row r="1533" spans="2:2" x14ac:dyDescent="0.25">
      <c r="B1533" s="344">
        <f t="shared" si="358"/>
        <v>0</v>
      </c>
    </row>
    <row r="1534" spans="2:2" x14ac:dyDescent="0.25">
      <c r="B1534" s="344">
        <f t="shared" si="358"/>
        <v>0</v>
      </c>
    </row>
    <row r="1535" spans="2:2" x14ac:dyDescent="0.25">
      <c r="B1535" s="344">
        <f t="shared" si="358"/>
        <v>0</v>
      </c>
    </row>
    <row r="1536" spans="2:2" x14ac:dyDescent="0.25">
      <c r="B1536" s="344">
        <f t="shared" si="358"/>
        <v>0</v>
      </c>
    </row>
    <row r="1537" spans="2:3" x14ac:dyDescent="0.25">
      <c r="B1537" s="344">
        <f t="shared" si="358"/>
        <v>0</v>
      </c>
    </row>
    <row r="1538" spans="2:3" x14ac:dyDescent="0.25">
      <c r="B1538" s="344">
        <f t="shared" si="358"/>
        <v>0</v>
      </c>
    </row>
    <row r="1539" spans="2:3" x14ac:dyDescent="0.25">
      <c r="B1539" s="344">
        <f t="shared" si="358"/>
        <v>0</v>
      </c>
    </row>
    <row r="1540" spans="2:3" x14ac:dyDescent="0.25">
      <c r="B1540" s="344">
        <f t="shared" si="358"/>
        <v>0</v>
      </c>
    </row>
    <row r="1541" spans="2:3" x14ac:dyDescent="0.25">
      <c r="B1541" s="344">
        <f t="shared" si="358"/>
        <v>0</v>
      </c>
    </row>
    <row r="1542" spans="2:3" x14ac:dyDescent="0.25">
      <c r="B1542" s="344">
        <f t="shared" si="358"/>
        <v>0</v>
      </c>
    </row>
    <row r="1543" spans="2:3" x14ac:dyDescent="0.25">
      <c r="B1543" s="344">
        <f t="shared" si="358"/>
        <v>0</v>
      </c>
    </row>
    <row r="1544" spans="2:3" x14ac:dyDescent="0.25">
      <c r="B1544" s="344">
        <f t="shared" si="358"/>
        <v>0</v>
      </c>
    </row>
    <row r="1545" spans="2:3" x14ac:dyDescent="0.25">
      <c r="B1545" s="344">
        <f t="shared" si="358"/>
        <v>0</v>
      </c>
    </row>
    <row r="1546" spans="2:3" x14ac:dyDescent="0.25">
      <c r="B1546" s="344">
        <f t="shared" si="358"/>
        <v>0</v>
      </c>
    </row>
    <row r="1547" spans="2:3" x14ac:dyDescent="0.25">
      <c r="B1547" s="344">
        <f t="shared" si="358"/>
        <v>0</v>
      </c>
    </row>
    <row r="1548" spans="2:3" x14ac:dyDescent="0.25">
      <c r="B1548" s="344">
        <f t="shared" si="358"/>
        <v>0</v>
      </c>
    </row>
    <row r="1549" spans="2:3" x14ac:dyDescent="0.25">
      <c r="B1549" s="344">
        <f t="shared" si="358"/>
        <v>0</v>
      </c>
    </row>
    <row r="1550" spans="2:3" x14ac:dyDescent="0.25">
      <c r="B1550" s="344">
        <f t="shared" si="358"/>
        <v>0</v>
      </c>
    </row>
    <row r="1551" spans="2:3" ht="14.4" thickBot="1" x14ac:dyDescent="0.3">
      <c r="B1551" s="345">
        <f t="shared" si="358"/>
        <v>0</v>
      </c>
      <c r="C1551" s="341" t="str">
        <f>Adatok!F50</f>
        <v>-</v>
      </c>
    </row>
    <row r="1552" spans="2:3" x14ac:dyDescent="0.25">
      <c r="B1552" s="343">
        <f>IF($BO$2&gt;0,CONCATENATE($A$3,BO17,$A$4,BP17),0)</f>
        <v>0</v>
      </c>
    </row>
    <row r="1553" spans="2:2" x14ac:dyDescent="0.25">
      <c r="B1553" s="344">
        <f t="shared" ref="B1553:B1601" si="359">IF($BO$2&gt;0,CONCATENATE($A$3,BO18,$A$4,BP18),0)</f>
        <v>0</v>
      </c>
    </row>
    <row r="1554" spans="2:2" x14ac:dyDescent="0.25">
      <c r="B1554" s="344">
        <f t="shared" si="359"/>
        <v>0</v>
      </c>
    </row>
    <row r="1555" spans="2:2" x14ac:dyDescent="0.25">
      <c r="B1555" s="344">
        <f t="shared" si="359"/>
        <v>0</v>
      </c>
    </row>
    <row r="1556" spans="2:2" x14ac:dyDescent="0.25">
      <c r="B1556" s="344">
        <f t="shared" si="359"/>
        <v>0</v>
      </c>
    </row>
    <row r="1557" spans="2:2" x14ac:dyDescent="0.25">
      <c r="B1557" s="344">
        <f t="shared" si="359"/>
        <v>0</v>
      </c>
    </row>
    <row r="1558" spans="2:2" x14ac:dyDescent="0.25">
      <c r="B1558" s="344">
        <f t="shared" si="359"/>
        <v>0</v>
      </c>
    </row>
    <row r="1559" spans="2:2" x14ac:dyDescent="0.25">
      <c r="B1559" s="344">
        <f t="shared" si="359"/>
        <v>0</v>
      </c>
    </row>
    <row r="1560" spans="2:2" x14ac:dyDescent="0.25">
      <c r="B1560" s="344">
        <f t="shared" si="359"/>
        <v>0</v>
      </c>
    </row>
    <row r="1561" spans="2:2" x14ac:dyDescent="0.25">
      <c r="B1561" s="344">
        <f t="shared" si="359"/>
        <v>0</v>
      </c>
    </row>
    <row r="1562" spans="2:2" x14ac:dyDescent="0.25">
      <c r="B1562" s="344">
        <f t="shared" si="359"/>
        <v>0</v>
      </c>
    </row>
    <row r="1563" spans="2:2" x14ac:dyDescent="0.25">
      <c r="B1563" s="344">
        <f t="shared" si="359"/>
        <v>0</v>
      </c>
    </row>
    <row r="1564" spans="2:2" x14ac:dyDescent="0.25">
      <c r="B1564" s="344">
        <f t="shared" si="359"/>
        <v>0</v>
      </c>
    </row>
    <row r="1565" spans="2:2" x14ac:dyDescent="0.25">
      <c r="B1565" s="344">
        <f t="shared" si="359"/>
        <v>0</v>
      </c>
    </row>
    <row r="1566" spans="2:2" x14ac:dyDescent="0.25">
      <c r="B1566" s="344">
        <f t="shared" si="359"/>
        <v>0</v>
      </c>
    </row>
    <row r="1567" spans="2:2" x14ac:dyDescent="0.25">
      <c r="B1567" s="344">
        <f t="shared" si="359"/>
        <v>0</v>
      </c>
    </row>
    <row r="1568" spans="2:2" x14ac:dyDescent="0.25">
      <c r="B1568" s="344">
        <f t="shared" si="359"/>
        <v>0</v>
      </c>
    </row>
    <row r="1569" spans="2:2" x14ac:dyDescent="0.25">
      <c r="B1569" s="344">
        <f t="shared" si="359"/>
        <v>0</v>
      </c>
    </row>
    <row r="1570" spans="2:2" x14ac:dyDescent="0.25">
      <c r="B1570" s="344">
        <f t="shared" si="359"/>
        <v>0</v>
      </c>
    </row>
    <row r="1571" spans="2:2" x14ac:dyDescent="0.25">
      <c r="B1571" s="344">
        <f t="shared" si="359"/>
        <v>0</v>
      </c>
    </row>
    <row r="1572" spans="2:2" x14ac:dyDescent="0.25">
      <c r="B1572" s="344">
        <f t="shared" si="359"/>
        <v>0</v>
      </c>
    </row>
    <row r="1573" spans="2:2" x14ac:dyDescent="0.25">
      <c r="B1573" s="344">
        <f t="shared" si="359"/>
        <v>0</v>
      </c>
    </row>
    <row r="1574" spans="2:2" x14ac:dyDescent="0.25">
      <c r="B1574" s="344">
        <f t="shared" si="359"/>
        <v>0</v>
      </c>
    </row>
    <row r="1575" spans="2:2" x14ac:dyDescent="0.25">
      <c r="B1575" s="344">
        <f t="shared" si="359"/>
        <v>0</v>
      </c>
    </row>
    <row r="1576" spans="2:2" x14ac:dyDescent="0.25">
      <c r="B1576" s="344">
        <f t="shared" si="359"/>
        <v>0</v>
      </c>
    </row>
    <row r="1577" spans="2:2" x14ac:dyDescent="0.25">
      <c r="B1577" s="344">
        <f t="shared" si="359"/>
        <v>0</v>
      </c>
    </row>
    <row r="1578" spans="2:2" x14ac:dyDescent="0.25">
      <c r="B1578" s="344">
        <f t="shared" si="359"/>
        <v>0</v>
      </c>
    </row>
    <row r="1579" spans="2:2" x14ac:dyDescent="0.25">
      <c r="B1579" s="344">
        <f t="shared" si="359"/>
        <v>0</v>
      </c>
    </row>
    <row r="1580" spans="2:2" x14ac:dyDescent="0.25">
      <c r="B1580" s="344">
        <f t="shared" si="359"/>
        <v>0</v>
      </c>
    </row>
    <row r="1581" spans="2:2" x14ac:dyDescent="0.25">
      <c r="B1581" s="344">
        <f t="shared" si="359"/>
        <v>0</v>
      </c>
    </row>
    <row r="1582" spans="2:2" x14ac:dyDescent="0.25">
      <c r="B1582" s="344">
        <f t="shared" si="359"/>
        <v>0</v>
      </c>
    </row>
    <row r="1583" spans="2:2" x14ac:dyDescent="0.25">
      <c r="B1583" s="344">
        <f t="shared" si="359"/>
        <v>0</v>
      </c>
    </row>
    <row r="1584" spans="2:2" x14ac:dyDescent="0.25">
      <c r="B1584" s="344">
        <f t="shared" si="359"/>
        <v>0</v>
      </c>
    </row>
    <row r="1585" spans="2:2" x14ac:dyDescent="0.25">
      <c r="B1585" s="344">
        <f t="shared" si="359"/>
        <v>0</v>
      </c>
    </row>
    <row r="1586" spans="2:2" x14ac:dyDescent="0.25">
      <c r="B1586" s="344">
        <f t="shared" si="359"/>
        <v>0</v>
      </c>
    </row>
    <row r="1587" spans="2:2" x14ac:dyDescent="0.25">
      <c r="B1587" s="344">
        <f t="shared" si="359"/>
        <v>0</v>
      </c>
    </row>
    <row r="1588" spans="2:2" x14ac:dyDescent="0.25">
      <c r="B1588" s="344">
        <f t="shared" si="359"/>
        <v>0</v>
      </c>
    </row>
    <row r="1589" spans="2:2" x14ac:dyDescent="0.25">
      <c r="B1589" s="344">
        <f t="shared" si="359"/>
        <v>0</v>
      </c>
    </row>
    <row r="1590" spans="2:2" x14ac:dyDescent="0.25">
      <c r="B1590" s="344">
        <f t="shared" si="359"/>
        <v>0</v>
      </c>
    </row>
    <row r="1591" spans="2:2" x14ac:dyDescent="0.25">
      <c r="B1591" s="344">
        <f t="shared" si="359"/>
        <v>0</v>
      </c>
    </row>
    <row r="1592" spans="2:2" x14ac:dyDescent="0.25">
      <c r="B1592" s="344">
        <f t="shared" si="359"/>
        <v>0</v>
      </c>
    </row>
    <row r="1593" spans="2:2" x14ac:dyDescent="0.25">
      <c r="B1593" s="344">
        <f t="shared" si="359"/>
        <v>0</v>
      </c>
    </row>
    <row r="1594" spans="2:2" x14ac:dyDescent="0.25">
      <c r="B1594" s="344">
        <f t="shared" si="359"/>
        <v>0</v>
      </c>
    </row>
    <row r="1595" spans="2:2" x14ac:dyDescent="0.25">
      <c r="B1595" s="344">
        <f t="shared" si="359"/>
        <v>0</v>
      </c>
    </row>
    <row r="1596" spans="2:2" x14ac:dyDescent="0.25">
      <c r="B1596" s="344">
        <f t="shared" si="359"/>
        <v>0</v>
      </c>
    </row>
    <row r="1597" spans="2:2" x14ac:dyDescent="0.25">
      <c r="B1597" s="344">
        <f t="shared" si="359"/>
        <v>0</v>
      </c>
    </row>
    <row r="1598" spans="2:2" x14ac:dyDescent="0.25">
      <c r="B1598" s="344">
        <f t="shared" si="359"/>
        <v>0</v>
      </c>
    </row>
    <row r="1599" spans="2:2" x14ac:dyDescent="0.25">
      <c r="B1599" s="344">
        <f t="shared" si="359"/>
        <v>0</v>
      </c>
    </row>
    <row r="1600" spans="2:2" x14ac:dyDescent="0.25">
      <c r="B1600" s="344">
        <f t="shared" si="359"/>
        <v>0</v>
      </c>
    </row>
    <row r="1601" spans="2:3" ht="14.4" thickBot="1" x14ac:dyDescent="0.3">
      <c r="B1601" s="345">
        <f t="shared" si="359"/>
        <v>0</v>
      </c>
      <c r="C1601" s="341" t="str">
        <f>Adatok!F51</f>
        <v>-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sqref="A1:H47"/>
    </sheetView>
  </sheetViews>
  <sheetFormatPr defaultColWidth="9.109375" defaultRowHeight="13.8" x14ac:dyDescent="0.25"/>
  <cols>
    <col min="1" max="1" width="41" style="193" bestFit="1" customWidth="1"/>
    <col min="2" max="8" width="16.6640625" style="193" customWidth="1"/>
    <col min="9" max="9" width="10.88671875" style="193" customWidth="1"/>
    <col min="10" max="16384" width="9.109375" style="193"/>
  </cols>
  <sheetData>
    <row r="1" spans="1:8" x14ac:dyDescent="0.25">
      <c r="A1" s="190" t="s">
        <v>1</v>
      </c>
      <c r="B1" s="191" t="s">
        <v>106</v>
      </c>
      <c r="C1" s="191" t="s">
        <v>107</v>
      </c>
      <c r="D1" s="419" t="s">
        <v>108</v>
      </c>
      <c r="E1" s="419"/>
      <c r="F1" s="191" t="s">
        <v>109</v>
      </c>
      <c r="G1" s="191" t="s">
        <v>110</v>
      </c>
      <c r="H1" s="192" t="s">
        <v>111</v>
      </c>
    </row>
    <row r="2" spans="1:8" ht="17.399999999999999" thickBot="1" x14ac:dyDescent="0.3">
      <c r="A2" s="194"/>
      <c r="B2" s="195" t="s">
        <v>112</v>
      </c>
      <c r="C2" s="195" t="s">
        <v>3</v>
      </c>
      <c r="D2" s="195" t="s">
        <v>10</v>
      </c>
      <c r="E2" s="195" t="s">
        <v>6</v>
      </c>
      <c r="F2" s="195" t="s">
        <v>6</v>
      </c>
      <c r="G2" s="195" t="s">
        <v>113</v>
      </c>
      <c r="H2" s="196" t="s">
        <v>7</v>
      </c>
    </row>
    <row r="3" spans="1:8" ht="14.4" thickTop="1" x14ac:dyDescent="0.25">
      <c r="A3" s="197" t="s">
        <v>189</v>
      </c>
      <c r="B3" s="420">
        <v>40.1</v>
      </c>
      <c r="C3" s="420">
        <v>9</v>
      </c>
      <c r="D3" s="420">
        <v>0.25800000000000001</v>
      </c>
      <c r="E3" s="420">
        <f>D3*9.81</f>
        <v>2.53098</v>
      </c>
      <c r="F3" s="420">
        <f>3.25+0.25*C3</f>
        <v>5.5</v>
      </c>
      <c r="G3" s="198">
        <v>132000</v>
      </c>
      <c r="H3" s="346">
        <v>1.38E-5</v>
      </c>
    </row>
    <row r="4" spans="1:8" x14ac:dyDescent="0.25">
      <c r="A4" s="197" t="s">
        <v>190</v>
      </c>
      <c r="B4" s="420">
        <v>137.69999999999999</v>
      </c>
      <c r="C4" s="420">
        <v>15.8</v>
      </c>
      <c r="D4" s="420">
        <v>0.61399999999999999</v>
      </c>
      <c r="E4" s="420">
        <f t="shared" ref="E4:E5" si="0">D4*9.81</f>
        <v>6.0233400000000001</v>
      </c>
      <c r="F4" s="420">
        <f t="shared" ref="F4:F5" si="1">3.25+0.25*C4</f>
        <v>7.2</v>
      </c>
      <c r="G4" s="198">
        <v>94800</v>
      </c>
      <c r="H4" s="346">
        <v>1.6900000000000001E-5</v>
      </c>
    </row>
    <row r="5" spans="1:8" x14ac:dyDescent="0.25">
      <c r="A5" s="197" t="s">
        <v>191</v>
      </c>
      <c r="B5" s="420">
        <v>154.5</v>
      </c>
      <c r="C5" s="420">
        <v>16.600000000000001</v>
      </c>
      <c r="D5" s="420">
        <v>0.59899999999999998</v>
      </c>
      <c r="E5" s="420">
        <f t="shared" si="0"/>
        <v>5.8761900000000002</v>
      </c>
      <c r="F5" s="420">
        <f t="shared" si="1"/>
        <v>7.4</v>
      </c>
      <c r="G5" s="198">
        <v>80600</v>
      </c>
      <c r="H5" s="346">
        <v>1.8499999999999999E-5</v>
      </c>
    </row>
    <row r="6" spans="1:8" x14ac:dyDescent="0.25">
      <c r="A6" s="197" t="s">
        <v>114</v>
      </c>
      <c r="B6" s="420">
        <v>49.5</v>
      </c>
      <c r="C6" s="420">
        <v>9</v>
      </c>
      <c r="D6" s="420">
        <v>0.4</v>
      </c>
      <c r="E6" s="420">
        <f>D6*9.81</f>
        <v>3.9240000000000004</v>
      </c>
      <c r="F6" s="420">
        <f>3.25+0.25*C6</f>
        <v>5.5</v>
      </c>
      <c r="G6" s="198">
        <v>196200</v>
      </c>
      <c r="H6" s="346">
        <v>1.15E-5</v>
      </c>
    </row>
    <row r="7" spans="1:8" x14ac:dyDescent="0.25">
      <c r="A7" s="197" t="s">
        <v>115</v>
      </c>
      <c r="B7" s="420">
        <v>65.8</v>
      </c>
      <c r="C7" s="420">
        <v>10.5</v>
      </c>
      <c r="D7" s="420">
        <v>0.53500000000000003</v>
      </c>
      <c r="E7" s="420">
        <f t="shared" ref="E7:E47" si="2">D7*9.81</f>
        <v>5.2483500000000003</v>
      </c>
      <c r="F7" s="420">
        <f t="shared" ref="F7:F48" si="3">3.25+0.25*C7</f>
        <v>5.875</v>
      </c>
      <c r="G7" s="198">
        <v>196200</v>
      </c>
      <c r="H7" s="346">
        <v>1.15E-5</v>
      </c>
    </row>
    <row r="8" spans="1:8" x14ac:dyDescent="0.25">
      <c r="A8" s="197" t="s">
        <v>116</v>
      </c>
      <c r="B8" s="420">
        <v>93.3</v>
      </c>
      <c r="C8" s="420">
        <v>12.5</v>
      </c>
      <c r="D8" s="420">
        <v>0.755</v>
      </c>
      <c r="E8" s="420">
        <f t="shared" si="2"/>
        <v>7.4065500000000002</v>
      </c>
      <c r="F8" s="420">
        <f t="shared" si="3"/>
        <v>6.375</v>
      </c>
      <c r="G8" s="198">
        <v>196200</v>
      </c>
      <c r="H8" s="346">
        <v>1.15E-5</v>
      </c>
    </row>
    <row r="9" spans="1:8" x14ac:dyDescent="0.25">
      <c r="A9" s="197" t="s">
        <v>132</v>
      </c>
      <c r="B9" s="420">
        <v>93.25</v>
      </c>
      <c r="C9" s="420">
        <v>12.5</v>
      </c>
      <c r="D9" s="420">
        <v>0.2581</v>
      </c>
      <c r="E9" s="420">
        <f t="shared" si="2"/>
        <v>2.5319609999999999</v>
      </c>
      <c r="F9" s="420">
        <f t="shared" si="3"/>
        <v>6.375</v>
      </c>
      <c r="G9" s="198">
        <v>60000</v>
      </c>
      <c r="H9" s="346">
        <v>2.3E-5</v>
      </c>
    </row>
    <row r="10" spans="1:8" x14ac:dyDescent="0.25">
      <c r="A10" s="197" t="s">
        <v>117</v>
      </c>
      <c r="B10" s="420">
        <v>117</v>
      </c>
      <c r="C10" s="420">
        <v>14</v>
      </c>
      <c r="D10" s="420">
        <v>0.32400000000000001</v>
      </c>
      <c r="E10" s="420">
        <f t="shared" si="2"/>
        <v>3.1784400000000002</v>
      </c>
      <c r="F10" s="420">
        <f t="shared" si="3"/>
        <v>6.75</v>
      </c>
      <c r="G10" s="198">
        <v>56000</v>
      </c>
      <c r="H10" s="346">
        <v>2.3E-5</v>
      </c>
    </row>
    <row r="11" spans="1:8" x14ac:dyDescent="0.25">
      <c r="A11" s="197" t="s">
        <v>118</v>
      </c>
      <c r="B11" s="420">
        <v>242.7</v>
      </c>
      <c r="C11" s="420">
        <v>20.23</v>
      </c>
      <c r="D11" s="420">
        <v>0.67800000000000005</v>
      </c>
      <c r="E11" s="420">
        <f t="shared" si="2"/>
        <v>6.651180000000001</v>
      </c>
      <c r="F11" s="420">
        <f t="shared" si="3"/>
        <v>8.307500000000001</v>
      </c>
      <c r="G11" s="198">
        <v>56000</v>
      </c>
      <c r="H11" s="346">
        <v>2.3E-5</v>
      </c>
    </row>
    <row r="12" spans="1:8" x14ac:dyDescent="0.25">
      <c r="A12" s="197" t="s">
        <v>119</v>
      </c>
      <c r="B12" s="420">
        <v>299.39999999999998</v>
      </c>
      <c r="C12" s="420">
        <v>22.47</v>
      </c>
      <c r="D12" s="420">
        <v>0.83599999999999997</v>
      </c>
      <c r="E12" s="420">
        <f t="shared" si="2"/>
        <v>8.2011599999999998</v>
      </c>
      <c r="F12" s="420">
        <f t="shared" si="3"/>
        <v>8.8674999999999997</v>
      </c>
      <c r="G12" s="198">
        <v>56000</v>
      </c>
      <c r="H12" s="346">
        <v>2.3E-5</v>
      </c>
    </row>
    <row r="13" spans="1:8" x14ac:dyDescent="0.25">
      <c r="A13" s="197" t="s">
        <v>136</v>
      </c>
      <c r="B13" s="420">
        <v>375.6</v>
      </c>
      <c r="C13" s="420">
        <v>25.2</v>
      </c>
      <c r="D13" s="420">
        <v>1.0920000000000001</v>
      </c>
      <c r="E13" s="420">
        <f t="shared" si="2"/>
        <v>10.712520000000001</v>
      </c>
      <c r="F13" s="420">
        <f t="shared" si="3"/>
        <v>9.5500000000000007</v>
      </c>
      <c r="G13" s="198">
        <v>57000</v>
      </c>
      <c r="H13" s="346">
        <v>2.3E-5</v>
      </c>
    </row>
    <row r="14" spans="1:8" x14ac:dyDescent="0.25">
      <c r="A14" s="197" t="s">
        <v>137</v>
      </c>
      <c r="B14" s="420">
        <v>643.29999999999995</v>
      </c>
      <c r="C14" s="420">
        <v>33</v>
      </c>
      <c r="D14" s="420">
        <v>1.8069999999999999</v>
      </c>
      <c r="E14" s="420">
        <f t="shared" si="2"/>
        <v>17.726669999999999</v>
      </c>
      <c r="F14" s="420">
        <f t="shared" si="3"/>
        <v>11.5</v>
      </c>
      <c r="G14" s="198">
        <v>54000</v>
      </c>
      <c r="H14" s="346">
        <v>2.3E-5</v>
      </c>
    </row>
    <row r="15" spans="1:8" x14ac:dyDescent="0.25">
      <c r="A15" s="197" t="s">
        <v>120</v>
      </c>
      <c r="B15" s="420">
        <v>81</v>
      </c>
      <c r="C15" s="420">
        <v>11.7</v>
      </c>
      <c r="D15" s="420">
        <v>0.378</v>
      </c>
      <c r="E15" s="420">
        <f t="shared" si="2"/>
        <v>3.70818</v>
      </c>
      <c r="F15" s="420">
        <f t="shared" si="3"/>
        <v>6.1749999999999998</v>
      </c>
      <c r="G15" s="198">
        <v>98750</v>
      </c>
      <c r="H15" s="346">
        <v>1.5319999999999999E-5</v>
      </c>
    </row>
    <row r="16" spans="1:8" x14ac:dyDescent="0.25">
      <c r="A16" s="197" t="s">
        <v>121</v>
      </c>
      <c r="B16" s="420">
        <v>152.81</v>
      </c>
      <c r="C16" s="420">
        <v>16</v>
      </c>
      <c r="D16" s="420">
        <v>0.71199999999999997</v>
      </c>
      <c r="E16" s="420">
        <f t="shared" si="2"/>
        <v>6.9847200000000003</v>
      </c>
      <c r="F16" s="420">
        <f t="shared" si="3"/>
        <v>7.25</v>
      </c>
      <c r="G16" s="198">
        <v>98750</v>
      </c>
      <c r="H16" s="346">
        <v>1.5319999999999999E-5</v>
      </c>
    </row>
    <row r="17" spans="1:8" x14ac:dyDescent="0.25">
      <c r="A17" s="197" t="s">
        <v>122</v>
      </c>
      <c r="B17" s="420">
        <v>132.62</v>
      </c>
      <c r="C17" s="420">
        <v>15.1</v>
      </c>
      <c r="D17" s="420">
        <v>0.47699999999999998</v>
      </c>
      <c r="E17" s="420">
        <f t="shared" si="2"/>
        <v>4.6793700000000005</v>
      </c>
      <c r="F17" s="420">
        <f t="shared" si="3"/>
        <v>7.0250000000000004</v>
      </c>
      <c r="G17" s="198">
        <v>72200</v>
      </c>
      <c r="H17" s="346">
        <v>1.9049999999999999E-5</v>
      </c>
    </row>
    <row r="18" spans="1:8" x14ac:dyDescent="0.25">
      <c r="A18" s="197" t="s">
        <v>179</v>
      </c>
      <c r="B18" s="420">
        <v>181.04</v>
      </c>
      <c r="C18" s="420">
        <v>17.600000000000001</v>
      </c>
      <c r="D18" s="420">
        <v>0.64800000000000002</v>
      </c>
      <c r="E18" s="420">
        <f t="shared" ref="E18" si="4">D18*9.81</f>
        <v>6.3568800000000003</v>
      </c>
      <c r="F18" s="420">
        <f t="shared" ref="F18" si="5">3.25+0.25*C18</f>
        <v>7.65</v>
      </c>
      <c r="G18" s="198">
        <f>7500*9.81</f>
        <v>73575</v>
      </c>
      <c r="H18" s="346">
        <v>1.8649999999999999E-5</v>
      </c>
    </row>
    <row r="19" spans="1:8" x14ac:dyDescent="0.25">
      <c r="A19" s="197" t="s">
        <v>178</v>
      </c>
      <c r="B19" s="420">
        <v>173.11</v>
      </c>
      <c r="C19" s="420">
        <v>17.100000000000001</v>
      </c>
      <c r="D19" s="420">
        <v>0.60799999999999998</v>
      </c>
      <c r="E19" s="420">
        <f t="shared" si="2"/>
        <v>5.96448</v>
      </c>
      <c r="F19" s="420">
        <f t="shared" si="3"/>
        <v>7.5250000000000004</v>
      </c>
      <c r="G19" s="198">
        <v>72200</v>
      </c>
      <c r="H19" s="346">
        <v>1.9049999999999999E-5</v>
      </c>
    </row>
    <row r="20" spans="1:8" x14ac:dyDescent="0.25">
      <c r="A20" s="197" t="s">
        <v>123</v>
      </c>
      <c r="B20" s="420">
        <v>247.2</v>
      </c>
      <c r="C20" s="420">
        <v>20.78</v>
      </c>
      <c r="D20" s="420">
        <v>1.07</v>
      </c>
      <c r="E20" s="420">
        <f t="shared" si="2"/>
        <v>10.496700000000001</v>
      </c>
      <c r="F20" s="420">
        <f t="shared" si="3"/>
        <v>8.4450000000000003</v>
      </c>
      <c r="G20" s="198">
        <v>88300</v>
      </c>
      <c r="H20" s="346">
        <v>1.6710000000000001E-5</v>
      </c>
    </row>
    <row r="21" spans="1:8" x14ac:dyDescent="0.25">
      <c r="A21" s="197" t="s">
        <v>124</v>
      </c>
      <c r="B21" s="420">
        <v>293.20999999999998</v>
      </c>
      <c r="C21" s="420">
        <v>22.4</v>
      </c>
      <c r="D21" s="420">
        <v>1.0389999999999999</v>
      </c>
      <c r="E21" s="420">
        <f t="shared" si="2"/>
        <v>10.192589999999999</v>
      </c>
      <c r="F21" s="420">
        <f t="shared" si="3"/>
        <v>8.85</v>
      </c>
      <c r="G21" s="198">
        <v>72200</v>
      </c>
      <c r="H21" s="346">
        <v>1.9300000000000002E-5</v>
      </c>
    </row>
    <row r="22" spans="1:8" x14ac:dyDescent="0.25">
      <c r="A22" s="197" t="s">
        <v>125</v>
      </c>
      <c r="B22" s="420">
        <v>402.9</v>
      </c>
      <c r="C22" s="420">
        <v>26.1</v>
      </c>
      <c r="D22" s="420">
        <v>1.351</v>
      </c>
      <c r="E22" s="420">
        <f t="shared" si="2"/>
        <v>13.253310000000001</v>
      </c>
      <c r="F22" s="420">
        <f t="shared" si="3"/>
        <v>9.7750000000000004</v>
      </c>
      <c r="G22" s="198">
        <v>66500</v>
      </c>
      <c r="H22" s="346">
        <v>1.9300000000000002E-5</v>
      </c>
    </row>
    <row r="23" spans="1:8" x14ac:dyDescent="0.25">
      <c r="A23" s="197" t="s">
        <v>182</v>
      </c>
      <c r="B23" s="420">
        <v>467.4</v>
      </c>
      <c r="C23" s="420">
        <v>28.14</v>
      </c>
      <c r="D23" s="420">
        <v>1.7511000000000001</v>
      </c>
      <c r="E23" s="420">
        <f t="shared" si="2"/>
        <v>17.178291000000002</v>
      </c>
      <c r="F23" s="420">
        <f t="shared" si="3"/>
        <v>10.285</v>
      </c>
      <c r="G23" s="198">
        <v>82000</v>
      </c>
      <c r="H23" s="346">
        <v>1.7999999999999999E-6</v>
      </c>
    </row>
    <row r="24" spans="1:8" x14ac:dyDescent="0.25">
      <c r="A24" s="197" t="s">
        <v>126</v>
      </c>
      <c r="B24" s="420">
        <v>454.51</v>
      </c>
      <c r="C24" s="420">
        <v>27.72</v>
      </c>
      <c r="D24" s="420">
        <v>1.5209999999999999</v>
      </c>
      <c r="E24" s="420">
        <f t="shared" si="2"/>
        <v>14.921009999999999</v>
      </c>
      <c r="F24" s="420">
        <f t="shared" si="3"/>
        <v>10.18</v>
      </c>
      <c r="G24" s="198">
        <v>66500</v>
      </c>
      <c r="H24" s="346">
        <v>1.9300000000000002E-5</v>
      </c>
    </row>
    <row r="25" spans="1:8" x14ac:dyDescent="0.25">
      <c r="A25" s="197" t="s">
        <v>127</v>
      </c>
      <c r="B25" s="420">
        <v>547.35</v>
      </c>
      <c r="C25" s="420">
        <v>30.42</v>
      </c>
      <c r="D25" s="420">
        <v>1.8260000000000001</v>
      </c>
      <c r="E25" s="420">
        <f t="shared" si="2"/>
        <v>17.913060000000002</v>
      </c>
      <c r="F25" s="420">
        <f t="shared" si="3"/>
        <v>10.855</v>
      </c>
      <c r="G25" s="198">
        <v>66500</v>
      </c>
      <c r="H25" s="346">
        <v>1.9300000000000002E-5</v>
      </c>
    </row>
    <row r="26" spans="1:8" x14ac:dyDescent="0.25">
      <c r="A26" s="197" t="s">
        <v>128</v>
      </c>
      <c r="B26" s="420">
        <v>570.21</v>
      </c>
      <c r="C26" s="420">
        <v>31.05</v>
      </c>
      <c r="D26" s="420">
        <v>1.9350000000000001</v>
      </c>
      <c r="E26" s="420">
        <f t="shared" si="2"/>
        <v>18.98235</v>
      </c>
      <c r="F26" s="420">
        <f t="shared" si="3"/>
        <v>11.012499999999999</v>
      </c>
      <c r="G26" s="198">
        <v>66500</v>
      </c>
      <c r="H26" s="346">
        <v>1.9300000000000002E-5</v>
      </c>
    </row>
    <row r="27" spans="1:8" x14ac:dyDescent="0.25">
      <c r="A27" s="197" t="s">
        <v>129</v>
      </c>
      <c r="B27" s="420">
        <v>764.6</v>
      </c>
      <c r="C27" s="420">
        <v>36</v>
      </c>
      <c r="D27" s="420">
        <v>2.5499999999999998</v>
      </c>
      <c r="E27" s="420">
        <f t="shared" si="2"/>
        <v>25.015499999999999</v>
      </c>
      <c r="F27" s="420">
        <f t="shared" si="3"/>
        <v>12.25</v>
      </c>
      <c r="G27" s="198">
        <v>66500</v>
      </c>
      <c r="H27" s="346">
        <v>1.9300000000000002E-5</v>
      </c>
    </row>
    <row r="28" spans="1:8" x14ac:dyDescent="0.25">
      <c r="A28" s="197" t="s">
        <v>133</v>
      </c>
      <c r="B28" s="420">
        <v>251.07</v>
      </c>
      <c r="C28" s="420">
        <v>20.8</v>
      </c>
      <c r="D28" s="420">
        <v>1.48</v>
      </c>
      <c r="E28" s="420">
        <f t="shared" si="2"/>
        <v>14.518800000000001</v>
      </c>
      <c r="F28" s="420">
        <f t="shared" si="3"/>
        <v>8.4499999999999993</v>
      </c>
      <c r="G28" s="198">
        <v>122000</v>
      </c>
      <c r="H28" s="346">
        <v>1.396E-5</v>
      </c>
    </row>
    <row r="29" spans="1:8" x14ac:dyDescent="0.25">
      <c r="A29" s="197" t="s">
        <v>134</v>
      </c>
      <c r="B29" s="420">
        <v>375.37</v>
      </c>
      <c r="C29" s="420">
        <v>26</v>
      </c>
      <c r="D29" s="420">
        <v>1.77</v>
      </c>
      <c r="E29" s="420">
        <f t="shared" si="2"/>
        <v>17.363700000000001</v>
      </c>
      <c r="F29" s="420">
        <f t="shared" si="3"/>
        <v>9.75</v>
      </c>
      <c r="G29" s="198">
        <v>97500</v>
      </c>
      <c r="H29" s="346">
        <v>1.6189999999999999E-5</v>
      </c>
    </row>
    <row r="30" spans="1:8" x14ac:dyDescent="0.25">
      <c r="A30" s="197" t="s">
        <v>135</v>
      </c>
      <c r="B30" s="420">
        <v>697.3</v>
      </c>
      <c r="C30" s="420">
        <v>34.22</v>
      </c>
      <c r="D30" s="420">
        <v>2.581</v>
      </c>
      <c r="E30" s="420">
        <f t="shared" si="2"/>
        <v>25.319610000000001</v>
      </c>
      <c r="F30" s="420">
        <f t="shared" si="3"/>
        <v>11.805</v>
      </c>
      <c r="G30" s="198">
        <v>76000</v>
      </c>
      <c r="H30" s="346">
        <v>1.823E-5</v>
      </c>
    </row>
    <row r="31" spans="1:8" x14ac:dyDescent="0.25">
      <c r="A31" s="197" t="s">
        <v>130</v>
      </c>
      <c r="B31" s="420">
        <v>170.18</v>
      </c>
      <c r="C31" s="420">
        <v>16.88</v>
      </c>
      <c r="D31" s="420">
        <v>0.70399999999999996</v>
      </c>
      <c r="E31" s="420">
        <f t="shared" si="2"/>
        <v>6.9062400000000004</v>
      </c>
      <c r="F31" s="420">
        <f t="shared" si="3"/>
        <v>7.47</v>
      </c>
      <c r="G31" s="198">
        <v>104000</v>
      </c>
      <c r="H31" s="346">
        <v>1.7600000000000001E-5</v>
      </c>
    </row>
    <row r="32" spans="1:8" x14ac:dyDescent="0.25">
      <c r="A32" s="197" t="s">
        <v>188</v>
      </c>
      <c r="B32" s="420">
        <v>481.1</v>
      </c>
      <c r="C32" s="420">
        <v>28.7</v>
      </c>
      <c r="D32" s="420">
        <v>1.6240000000000001</v>
      </c>
      <c r="E32" s="420">
        <f t="shared" si="2"/>
        <v>15.931440000000002</v>
      </c>
      <c r="F32" s="420">
        <f t="shared" si="3"/>
        <v>10.425000000000001</v>
      </c>
      <c r="G32" s="198">
        <v>86000</v>
      </c>
      <c r="H32" s="346">
        <v>2.05E-5</v>
      </c>
    </row>
    <row r="33" spans="1:9" x14ac:dyDescent="0.25">
      <c r="A33" s="197" t="s">
        <v>138</v>
      </c>
      <c r="B33" s="420">
        <v>133.5</v>
      </c>
      <c r="C33" s="420">
        <v>16.399999999999999</v>
      </c>
      <c r="D33" s="420">
        <v>0.61499999999999999</v>
      </c>
      <c r="E33" s="420">
        <f t="shared" si="2"/>
        <v>6.03315</v>
      </c>
      <c r="F33" s="420">
        <f t="shared" si="3"/>
        <v>7.35</v>
      </c>
      <c r="G33" s="198">
        <v>93000</v>
      </c>
      <c r="H33" s="346">
        <v>1.66E-5</v>
      </c>
      <c r="I33" s="193" t="s">
        <v>142</v>
      </c>
    </row>
    <row r="34" spans="1:9" x14ac:dyDescent="0.25">
      <c r="A34" s="197" t="s">
        <v>141</v>
      </c>
      <c r="B34" s="420">
        <v>168.7</v>
      </c>
      <c r="C34" s="420">
        <v>18.100000000000001</v>
      </c>
      <c r="D34" s="420">
        <v>0.81100000000000005</v>
      </c>
      <c r="E34" s="420">
        <f t="shared" si="2"/>
        <v>7.9559100000000011</v>
      </c>
      <c r="F34" s="420">
        <f t="shared" si="3"/>
        <v>7.7750000000000004</v>
      </c>
      <c r="G34" s="198">
        <v>98000</v>
      </c>
      <c r="H34" s="346">
        <v>1.5999999999999999E-5</v>
      </c>
      <c r="I34" s="193" t="s">
        <v>142</v>
      </c>
    </row>
    <row r="35" spans="1:9" x14ac:dyDescent="0.25">
      <c r="A35" s="197" t="s">
        <v>187</v>
      </c>
      <c r="B35" s="420">
        <v>154.5</v>
      </c>
      <c r="C35" s="420">
        <v>16.600000000000001</v>
      </c>
      <c r="D35" s="420">
        <v>0.59899999999999998</v>
      </c>
      <c r="E35" s="420">
        <f t="shared" si="2"/>
        <v>5.8761900000000002</v>
      </c>
      <c r="F35" s="420">
        <f t="shared" si="3"/>
        <v>7.4</v>
      </c>
      <c r="G35" s="198">
        <v>80600</v>
      </c>
      <c r="H35" s="346">
        <v>1.8499999999999999E-5</v>
      </c>
    </row>
    <row r="36" spans="1:9" x14ac:dyDescent="0.25">
      <c r="A36" s="197" t="s">
        <v>175</v>
      </c>
      <c r="B36" s="420">
        <v>174.6</v>
      </c>
      <c r="C36" s="420">
        <v>17.8</v>
      </c>
      <c r="D36" s="420">
        <v>0.77400000000000002</v>
      </c>
      <c r="E36" s="420">
        <f t="shared" si="2"/>
        <v>7.5929400000000005</v>
      </c>
      <c r="F36" s="420">
        <f t="shared" si="3"/>
        <v>7.7</v>
      </c>
      <c r="G36" s="198">
        <v>91900</v>
      </c>
      <c r="H36" s="346">
        <v>1.63E-5</v>
      </c>
      <c r="I36" s="193" t="s">
        <v>143</v>
      </c>
    </row>
    <row r="37" spans="1:9" x14ac:dyDescent="0.25">
      <c r="A37" s="197" t="s">
        <v>180</v>
      </c>
      <c r="B37" s="420">
        <v>137.69999999999999</v>
      </c>
      <c r="C37" s="420">
        <v>15.8</v>
      </c>
      <c r="D37" s="420">
        <v>0.66800000000000004</v>
      </c>
      <c r="E37" s="420">
        <f t="shared" si="2"/>
        <v>6.5530800000000005</v>
      </c>
      <c r="F37" s="420">
        <f t="shared" si="3"/>
        <v>7.2</v>
      </c>
      <c r="G37" s="198">
        <v>101200</v>
      </c>
      <c r="H37" s="346">
        <v>1.5299999999999999E-5</v>
      </c>
    </row>
    <row r="38" spans="1:9" x14ac:dyDescent="0.25">
      <c r="A38" s="197" t="s">
        <v>139</v>
      </c>
      <c r="B38" s="420">
        <v>83.8</v>
      </c>
      <c r="C38" s="420">
        <v>12.6</v>
      </c>
      <c r="D38" s="420">
        <v>0.39600000000000002</v>
      </c>
      <c r="E38" s="420">
        <f t="shared" si="2"/>
        <v>3.8847600000000004</v>
      </c>
      <c r="F38" s="420">
        <f t="shared" si="3"/>
        <v>6.4</v>
      </c>
      <c r="G38" s="198">
        <v>93600</v>
      </c>
      <c r="H38" s="346">
        <v>1.6099999999999998E-5</v>
      </c>
      <c r="I38" s="193" t="s">
        <v>143</v>
      </c>
    </row>
    <row r="39" spans="1:9" x14ac:dyDescent="0.25">
      <c r="A39" s="197" t="s">
        <v>184</v>
      </c>
      <c r="B39" s="420">
        <v>151.74</v>
      </c>
      <c r="C39" s="420">
        <v>13.9</v>
      </c>
      <c r="D39" s="420">
        <v>0.15</v>
      </c>
      <c r="E39" s="420">
        <f t="shared" si="2"/>
        <v>1.4715</v>
      </c>
      <c r="F39" s="420">
        <f t="shared" si="3"/>
        <v>6.7249999999999996</v>
      </c>
      <c r="G39" s="198">
        <v>7675</v>
      </c>
      <c r="H39" s="346">
        <v>6.3899999999999998E-6</v>
      </c>
      <c r="I39" s="193" t="s">
        <v>183</v>
      </c>
    </row>
    <row r="40" spans="1:9" x14ac:dyDescent="0.25">
      <c r="A40" s="197" t="s">
        <v>185</v>
      </c>
      <c r="B40" s="420">
        <v>181.45</v>
      </c>
      <c r="C40" s="420">
        <v>15.2</v>
      </c>
      <c r="D40" s="420">
        <v>0.19</v>
      </c>
      <c r="E40" s="420">
        <f t="shared" si="2"/>
        <v>1.8639000000000001</v>
      </c>
      <c r="F40" s="420">
        <f t="shared" si="3"/>
        <v>7.05</v>
      </c>
      <c r="G40" s="198">
        <v>15200</v>
      </c>
      <c r="H40" s="346">
        <v>7.2599999999999999E-6</v>
      </c>
      <c r="I40" s="193" t="s">
        <v>186</v>
      </c>
    </row>
    <row r="41" spans="1:9" x14ac:dyDescent="0.25">
      <c r="A41" s="197" t="s">
        <v>181</v>
      </c>
      <c r="B41" s="420">
        <v>130.63</v>
      </c>
      <c r="C41" s="420">
        <v>12.9</v>
      </c>
      <c r="D41" s="420">
        <v>0.13500000000000001</v>
      </c>
      <c r="E41" s="420">
        <f t="shared" si="2"/>
        <v>1.3243500000000001</v>
      </c>
      <c r="F41" s="420">
        <f t="shared" si="3"/>
        <v>6.4749999999999996</v>
      </c>
      <c r="G41" s="198">
        <v>21000</v>
      </c>
      <c r="H41" s="346">
        <v>2.3E-6</v>
      </c>
    </row>
    <row r="42" spans="1:9" x14ac:dyDescent="0.25">
      <c r="A42" s="197" t="s">
        <v>140</v>
      </c>
      <c r="B42" s="420">
        <v>93.55</v>
      </c>
      <c r="C42" s="420">
        <v>12.73</v>
      </c>
      <c r="D42" s="420">
        <v>0.39500000000000002</v>
      </c>
      <c r="E42" s="420">
        <f t="shared" si="2"/>
        <v>3.8749500000000006</v>
      </c>
      <c r="F42" s="420">
        <f t="shared" si="3"/>
        <v>6.4325000000000001</v>
      </c>
      <c r="G42" s="198">
        <v>102510</v>
      </c>
      <c r="H42" s="346">
        <v>1.7540000000000001E-5</v>
      </c>
      <c r="I42" s="193" t="s">
        <v>144</v>
      </c>
    </row>
    <row r="43" spans="1:9" x14ac:dyDescent="0.25">
      <c r="A43" s="197" t="s">
        <v>149</v>
      </c>
      <c r="B43" s="420">
        <v>123</v>
      </c>
      <c r="C43" s="420">
        <v>15.4</v>
      </c>
      <c r="D43" s="420">
        <v>0.55800000000000005</v>
      </c>
      <c r="E43" s="420">
        <f t="shared" si="2"/>
        <v>5.473980000000001</v>
      </c>
      <c r="F43" s="420">
        <f t="shared" si="3"/>
        <v>7.1</v>
      </c>
      <c r="G43" s="198">
        <v>99487</v>
      </c>
      <c r="H43" s="347">
        <v>1.6900000000000001E-5</v>
      </c>
      <c r="I43" s="193" t="s">
        <v>152</v>
      </c>
    </row>
    <row r="44" spans="1:9" x14ac:dyDescent="0.25">
      <c r="A44" s="197" t="s">
        <v>150</v>
      </c>
      <c r="B44" s="420">
        <v>126</v>
      </c>
      <c r="C44" s="420">
        <v>15.5</v>
      </c>
      <c r="D44" s="420">
        <v>0.79900000000000004</v>
      </c>
      <c r="E44" s="420">
        <f t="shared" si="2"/>
        <v>7.8381900000000009</v>
      </c>
      <c r="F44" s="420">
        <f t="shared" si="3"/>
        <v>7.125</v>
      </c>
      <c r="G44" s="198">
        <v>140000</v>
      </c>
      <c r="H44" s="347">
        <v>1.73E-5</v>
      </c>
      <c r="I44" s="193" t="s">
        <v>153</v>
      </c>
    </row>
    <row r="45" spans="1:9" x14ac:dyDescent="0.25">
      <c r="A45" s="197" t="s">
        <v>151</v>
      </c>
      <c r="B45" s="420">
        <v>154</v>
      </c>
      <c r="C45" s="420">
        <v>17</v>
      </c>
      <c r="D45" s="420">
        <v>0.61199999999999999</v>
      </c>
      <c r="E45" s="420">
        <f t="shared" si="2"/>
        <v>6.0037200000000004</v>
      </c>
      <c r="F45" s="420">
        <f t="shared" si="3"/>
        <v>7.5</v>
      </c>
      <c r="G45" s="198">
        <v>84941</v>
      </c>
      <c r="H45" s="347">
        <v>1.8300000000000001E-5</v>
      </c>
      <c r="I45" s="193" t="s">
        <v>154</v>
      </c>
    </row>
    <row r="46" spans="1:9" ht="14.4" thickBot="1" x14ac:dyDescent="0.3">
      <c r="A46" s="296" t="s">
        <v>156</v>
      </c>
      <c r="B46" s="421">
        <v>238</v>
      </c>
      <c r="C46" s="421">
        <v>20.8</v>
      </c>
      <c r="D46" s="421">
        <v>0.71</v>
      </c>
      <c r="E46" s="421">
        <f t="shared" si="2"/>
        <v>6.9650999999999996</v>
      </c>
      <c r="F46" s="421">
        <f t="shared" si="3"/>
        <v>8.4499999999999993</v>
      </c>
      <c r="G46" s="297">
        <v>64671</v>
      </c>
      <c r="H46" s="347">
        <v>2.23E-5</v>
      </c>
      <c r="I46" s="193" t="s">
        <v>155</v>
      </c>
    </row>
    <row r="47" spans="1:9" x14ac:dyDescent="0.25">
      <c r="A47" s="199" t="s">
        <v>131</v>
      </c>
      <c r="B47" s="422">
        <v>481.44</v>
      </c>
      <c r="C47" s="422">
        <v>28.5</v>
      </c>
      <c r="D47" s="422">
        <v>1.6</v>
      </c>
      <c r="E47" s="422">
        <f t="shared" si="2"/>
        <v>15.696000000000002</v>
      </c>
      <c r="F47" s="422">
        <f t="shared" si="3"/>
        <v>10.375</v>
      </c>
      <c r="G47" s="200">
        <v>68000</v>
      </c>
      <c r="H47" s="348">
        <v>1.9345299999999999E-5</v>
      </c>
    </row>
    <row r="48" spans="1:9" ht="14.4" thickBot="1" x14ac:dyDescent="0.3">
      <c r="A48" s="201" t="s">
        <v>27</v>
      </c>
      <c r="B48" s="202">
        <v>0</v>
      </c>
      <c r="C48" s="202">
        <v>0</v>
      </c>
      <c r="D48" s="202">
        <v>0</v>
      </c>
      <c r="E48" s="202">
        <v>0</v>
      </c>
      <c r="F48" s="202">
        <f t="shared" si="3"/>
        <v>3.25</v>
      </c>
      <c r="G48" s="202">
        <v>0</v>
      </c>
      <c r="H48" s="203">
        <v>0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6</vt:i4>
      </vt:variant>
      <vt:variant>
        <vt:lpstr>Névvel ellátott tartományok</vt:lpstr>
      </vt:variant>
      <vt:variant>
        <vt:i4>1</vt:i4>
      </vt:variant>
    </vt:vector>
  </HeadingPairs>
  <TitlesOfParts>
    <vt:vector size="7" baseType="lpstr">
      <vt:lpstr>Adatok</vt:lpstr>
      <vt:lpstr>Szerelési táblázat</vt:lpstr>
      <vt:lpstr>Számítás</vt:lpstr>
      <vt:lpstr>Ívhossz</vt:lpstr>
      <vt:lpstr>Láncgörbék</vt:lpstr>
      <vt:lpstr>Sodronyok</vt:lpstr>
      <vt:lpstr>Sodronyok</vt:lpstr>
    </vt:vector>
  </TitlesOfParts>
  <Company>MVMI Informatika ZRt.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Csáki Enikő</dc:creator>
  <cp:lastModifiedBy>User</cp:lastModifiedBy>
  <cp:lastPrinted>2021-07-02T08:27:51Z</cp:lastPrinted>
  <dcterms:created xsi:type="dcterms:W3CDTF">2014-03-06T10:35:11Z</dcterms:created>
  <dcterms:modified xsi:type="dcterms:W3CDTF">2022-12-26T10:58:04Z</dcterms:modified>
</cp:coreProperties>
</file>