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davidg1_al_insper_edu_br/Documents/Insper/4º semestre (good luck)/Fin ll/"/>
    </mc:Choice>
  </mc:AlternateContent>
  <xr:revisionPtr revIDLastSave="1985" documentId="8_{7778A4D8-5851-4145-B086-37140E5D67E4}" xr6:coauthVersionLast="47" xr6:coauthVersionMax="47" xr10:uidLastSave="{21A63F27-7527-4273-AA1B-D2326BC5F461}"/>
  <bookViews>
    <workbookView xWindow="-108" yWindow="-108" windowWidth="23256" windowHeight="12456" activeTab="1" xr2:uid="{7DF62770-CFE7-4ED5-9B75-4BA54576358F}"/>
  </bookViews>
  <sheets>
    <sheet name="β Alavancado" sheetId="1" r:id="rId1"/>
    <sheet name="Valuation" sheetId="5" r:id="rId2"/>
    <sheet name="BP" sheetId="3" r:id="rId3"/>
    <sheet name="DRE" sheetId="4" r:id="rId4"/>
    <sheet name="WACC e Estrutura de Capital" sheetId="6" r:id="rId5"/>
    <sheet name="Modelo Projetado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5" l="1"/>
  <c r="E9" i="6"/>
  <c r="L11" i="5"/>
  <c r="C16" i="5"/>
  <c r="F6" i="4"/>
  <c r="G6" i="4" s="1"/>
  <c r="H6" i="4" s="1"/>
  <c r="I6" i="4" s="1"/>
  <c r="J6" i="4" s="1"/>
  <c r="C15" i="5"/>
  <c r="J12" i="3"/>
  <c r="G12" i="3"/>
  <c r="H12" i="3" s="1"/>
  <c r="I12" i="3" s="1"/>
  <c r="F12" i="3"/>
  <c r="F11" i="3"/>
  <c r="G19" i="7"/>
  <c r="F46" i="3"/>
  <c r="G46" i="3" s="1"/>
  <c r="H46" i="3" s="1"/>
  <c r="I46" i="3" s="1"/>
  <c r="J46" i="3" s="1"/>
  <c r="C22" i="5" a="1"/>
  <c r="C22" i="5" s="1"/>
  <c r="C19" i="5"/>
  <c r="C14" i="5"/>
  <c r="G11" i="5" s="1"/>
  <c r="N27" i="1" a="1"/>
  <c r="N27" i="1" s="1"/>
  <c r="O27" i="1" s="1"/>
  <c r="P27" i="1" s="1"/>
  <c r="F9" i="7"/>
  <c r="G41" i="7"/>
  <c r="H41" i="7" s="1"/>
  <c r="I41" i="7" s="1"/>
  <c r="J41" i="7" s="1"/>
  <c r="K41" i="7" s="1"/>
  <c r="D41" i="7"/>
  <c r="E41" i="7"/>
  <c r="F41" i="7"/>
  <c r="C41" i="7"/>
  <c r="C37" i="7"/>
  <c r="H11" i="3" l="1"/>
  <c r="I11" i="3" s="1"/>
  <c r="G11" i="3"/>
  <c r="H11" i="5"/>
  <c r="J11" i="5"/>
  <c r="K11" i="5"/>
  <c r="I11" i="5"/>
  <c r="C36" i="7"/>
  <c r="C40" i="7"/>
  <c r="D40" i="7"/>
  <c r="E40" i="7"/>
  <c r="F40" i="7"/>
  <c r="F5" i="7"/>
  <c r="C9" i="7"/>
  <c r="D32" i="7"/>
  <c r="E32" i="7"/>
  <c r="F32" i="7"/>
  <c r="C32" i="7"/>
  <c r="D33" i="7"/>
  <c r="E33" i="7"/>
  <c r="F33" i="7"/>
  <c r="C33" i="7"/>
  <c r="G33" i="7" s="1"/>
  <c r="E31" i="7"/>
  <c r="F31" i="7"/>
  <c r="D31" i="7"/>
  <c r="D27" i="7"/>
  <c r="D28" i="7"/>
  <c r="F30" i="7"/>
  <c r="E30" i="7"/>
  <c r="C30" i="7"/>
  <c r="D30" i="7"/>
  <c r="D26" i="7"/>
  <c r="G26" i="7" s="1"/>
  <c r="E27" i="7"/>
  <c r="F27" i="7"/>
  <c r="E26" i="7"/>
  <c r="F26" i="7"/>
  <c r="E25" i="7"/>
  <c r="F25" i="7"/>
  <c r="D25" i="7"/>
  <c r="G25" i="7" s="1"/>
  <c r="F11" i="4" s="1"/>
  <c r="E20" i="7"/>
  <c r="F20" i="7"/>
  <c r="D20" i="7"/>
  <c r="D22" i="7"/>
  <c r="E22" i="7"/>
  <c r="F22" i="7"/>
  <c r="C22" i="7"/>
  <c r="E29" i="7"/>
  <c r="D21" i="7"/>
  <c r="E21" i="7"/>
  <c r="F21" i="7"/>
  <c r="C21" i="7"/>
  <c r="H7" i="7"/>
  <c r="I7" i="7"/>
  <c r="J7" i="7"/>
  <c r="K7" i="7"/>
  <c r="G7" i="7"/>
  <c r="F4" i="7"/>
  <c r="J11" i="3" l="1"/>
  <c r="C18" i="5"/>
  <c r="C21" i="5" s="1"/>
  <c r="C23" i="5" s="1"/>
  <c r="G32" i="7"/>
  <c r="F17" i="4" s="1"/>
  <c r="F6" i="7"/>
  <c r="G22" i="7"/>
  <c r="G4" i="7" s="1"/>
  <c r="C15" i="7"/>
  <c r="G20" i="7" s="1"/>
  <c r="G31" i="7"/>
  <c r="F16" i="4" s="1"/>
  <c r="G40" i="7"/>
  <c r="F6" i="3" s="1"/>
  <c r="H26" i="7"/>
  <c r="I26" i="7" s="1"/>
  <c r="J26" i="7" s="1"/>
  <c r="K26" i="7" s="1"/>
  <c r="F12" i="4"/>
  <c r="F20" i="4"/>
  <c r="H33" i="7"/>
  <c r="G27" i="7"/>
  <c r="F13" i="4" s="1"/>
  <c r="H25" i="7"/>
  <c r="I25" i="7" s="1"/>
  <c r="J25" i="7" s="1"/>
  <c r="K25" i="7" s="1"/>
  <c r="G21" i="7"/>
  <c r="F7" i="4" s="1"/>
  <c r="G7" i="4" s="1"/>
  <c r="H7" i="4" s="1"/>
  <c r="I7" i="4" s="1"/>
  <c r="J7" i="4" s="1"/>
  <c r="H22" i="7"/>
  <c r="I22" i="7" s="1"/>
  <c r="J22" i="7"/>
  <c r="K22" i="7" s="1"/>
  <c r="H32" i="7" l="1"/>
  <c r="I32" i="7" s="1"/>
  <c r="H27" i="7"/>
  <c r="I27" i="7" s="1"/>
  <c r="J27" i="7" s="1"/>
  <c r="K27" i="7" s="1"/>
  <c r="H20" i="7"/>
  <c r="I20" i="7" s="1"/>
  <c r="F4" i="4"/>
  <c r="G4" i="4" s="1"/>
  <c r="G17" i="4"/>
  <c r="H17" i="4" s="1"/>
  <c r="I17" i="4" s="1"/>
  <c r="H40" i="7"/>
  <c r="I40" i="7" s="1"/>
  <c r="J40" i="7" s="1"/>
  <c r="K40" i="7" s="1"/>
  <c r="H31" i="7"/>
  <c r="I31" i="7" s="1"/>
  <c r="J31" i="7" s="1"/>
  <c r="K31" i="7" s="1"/>
  <c r="G13" i="4"/>
  <c r="H13" i="4" s="1"/>
  <c r="I13" i="4" s="1"/>
  <c r="J13" i="4" s="1"/>
  <c r="I4" i="7"/>
  <c r="G12" i="4"/>
  <c r="H12" i="4" s="1"/>
  <c r="I12" i="4" s="1"/>
  <c r="J12" i="4" s="1"/>
  <c r="J32" i="7"/>
  <c r="K32" i="7" s="1"/>
  <c r="G11" i="4"/>
  <c r="H11" i="4" s="1"/>
  <c r="I11" i="4" s="1"/>
  <c r="J11" i="4" s="1"/>
  <c r="I33" i="7"/>
  <c r="J33" i="7" s="1"/>
  <c r="K33" i="7" s="1"/>
  <c r="G20" i="4"/>
  <c r="H21" i="7"/>
  <c r="I21" i="7" s="1"/>
  <c r="J21" i="7" s="1"/>
  <c r="K21" i="7" s="1"/>
  <c r="H4" i="4"/>
  <c r="H4" i="7" l="1"/>
  <c r="J20" i="7"/>
  <c r="K20" i="7" s="1"/>
  <c r="G16" i="4"/>
  <c r="H16" i="4" s="1"/>
  <c r="I16" i="4" s="1"/>
  <c r="J16" i="4" s="1"/>
  <c r="G6" i="3"/>
  <c r="H20" i="4"/>
  <c r="I20" i="4" s="1"/>
  <c r="J20" i="4" s="1"/>
  <c r="K4" i="7"/>
  <c r="J17" i="4"/>
  <c r="J4" i="7" l="1"/>
  <c r="I4" i="4"/>
  <c r="J4" i="4" s="1"/>
  <c r="H6" i="3"/>
  <c r="I6" i="3" l="1"/>
  <c r="J6" i="3" l="1"/>
  <c r="D34" i="7" l="1"/>
  <c r="E34" i="7"/>
  <c r="F34" i="7"/>
  <c r="G34" i="7"/>
  <c r="H34" i="7"/>
  <c r="I34" i="7"/>
  <c r="J34" i="7"/>
  <c r="K34" i="7"/>
  <c r="C34" i="7"/>
  <c r="D36" i="7"/>
  <c r="E36" i="7"/>
  <c r="F36" i="7"/>
  <c r="G30" i="7"/>
  <c r="D37" i="7"/>
  <c r="E37" i="7"/>
  <c r="F37" i="7"/>
  <c r="F29" i="7"/>
  <c r="G29" i="7" s="1"/>
  <c r="H29" i="7" s="1"/>
  <c r="F38" i="7"/>
  <c r="D38" i="7"/>
  <c r="E38" i="7"/>
  <c r="C38" i="7"/>
  <c r="E28" i="7"/>
  <c r="F28" i="7"/>
  <c r="D23" i="7"/>
  <c r="E23" i="7"/>
  <c r="F23" i="7"/>
  <c r="C23" i="7"/>
  <c r="G28" i="7" l="1"/>
  <c r="H28" i="7" s="1"/>
  <c r="I28" i="7" s="1"/>
  <c r="F15" i="4"/>
  <c r="G5" i="7"/>
  <c r="G6" i="7" s="1"/>
  <c r="G38" i="7"/>
  <c r="G36" i="7"/>
  <c r="G37" i="7"/>
  <c r="F39" i="3" s="1"/>
  <c r="H30" i="7"/>
  <c r="I30" i="7" s="1"/>
  <c r="J30" i="7" s="1"/>
  <c r="K30" i="7" s="1"/>
  <c r="G23" i="7"/>
  <c r="I29" i="7"/>
  <c r="H38" i="7" l="1"/>
  <c r="H23" i="7"/>
  <c r="I23" i="7" s="1"/>
  <c r="J23" i="7" s="1"/>
  <c r="K23" i="7" s="1"/>
  <c r="F8" i="4"/>
  <c r="G8" i="4" s="1"/>
  <c r="H8" i="4" s="1"/>
  <c r="I8" i="4" s="1"/>
  <c r="J8" i="4" s="1"/>
  <c r="G15" i="4"/>
  <c r="H15" i="4" s="1"/>
  <c r="I15" i="4" s="1"/>
  <c r="J15" i="4" s="1"/>
  <c r="J29" i="7"/>
  <c r="K29" i="7" s="1"/>
  <c r="H36" i="7"/>
  <c r="H37" i="7"/>
  <c r="G39" i="3" s="1"/>
  <c r="J28" i="7"/>
  <c r="K28" i="7" s="1"/>
  <c r="I38" i="7" l="1"/>
  <c r="I36" i="7"/>
  <c r="I37" i="7"/>
  <c r="D9" i="7"/>
  <c r="E9" i="7"/>
  <c r="F10" i="7" s="1"/>
  <c r="J38" i="7" l="1"/>
  <c r="J37" i="7"/>
  <c r="I39" i="3" s="1"/>
  <c r="H39" i="3"/>
  <c r="J36" i="7"/>
  <c r="E10" i="7"/>
  <c r="D10" i="7"/>
  <c r="C5" i="7"/>
  <c r="D4" i="7"/>
  <c r="E4" i="7"/>
  <c r="C4" i="7"/>
  <c r="D5" i="7"/>
  <c r="E5" i="7"/>
  <c r="C3" i="7"/>
  <c r="D7" i="7"/>
  <c r="E7" i="7"/>
  <c r="F7" i="7"/>
  <c r="C7" i="7"/>
  <c r="C8" i="7" s="1"/>
  <c r="C35" i="7" s="1"/>
  <c r="D3" i="7"/>
  <c r="E3" i="7"/>
  <c r="F3" i="7"/>
  <c r="E32" i="6"/>
  <c r="E35" i="6" s="1"/>
  <c r="D32" i="6"/>
  <c r="D35" i="6" s="1"/>
  <c r="C32" i="6"/>
  <c r="C35" i="6" s="1"/>
  <c r="B32" i="6"/>
  <c r="B35" i="6" s="1"/>
  <c r="E31" i="6"/>
  <c r="D31" i="6"/>
  <c r="C31" i="6"/>
  <c r="B31" i="6"/>
  <c r="B56" i="6"/>
  <c r="B55" i="6"/>
  <c r="B23" i="6"/>
  <c r="B7" i="6"/>
  <c r="B6" i="6"/>
  <c r="B5" i="6"/>
  <c r="B4" i="6"/>
  <c r="E7" i="6"/>
  <c r="E6" i="6"/>
  <c r="E5" i="6"/>
  <c r="E4" i="6"/>
  <c r="M28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N28" i="1" a="1"/>
  <c r="N28" i="1" s="1"/>
  <c r="O28" i="1" s="1"/>
  <c r="P28" i="1" s="1"/>
  <c r="N29" i="1" a="1"/>
  <c r="N29" i="1" s="1"/>
  <c r="O29" i="1" s="1"/>
  <c r="P29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K38" i="7" l="1"/>
  <c r="K37" i="7"/>
  <c r="J39" i="3" s="1"/>
  <c r="K36" i="7"/>
  <c r="H5" i="7"/>
  <c r="F19" i="7"/>
  <c r="F24" i="7" s="1"/>
  <c r="C6" i="7"/>
  <c r="C11" i="7" s="1"/>
  <c r="E6" i="7"/>
  <c r="D19" i="7"/>
  <c r="D24" i="7" s="1"/>
  <c r="E19" i="7"/>
  <c r="E24" i="7" s="1"/>
  <c r="D6" i="7"/>
  <c r="D8" i="7"/>
  <c r="D35" i="7" s="1"/>
  <c r="B9" i="6"/>
  <c r="E37" i="6"/>
  <c r="C37" i="6"/>
  <c r="C39" i="6" s="1"/>
  <c r="C40" i="6" s="1"/>
  <c r="B37" i="6"/>
  <c r="B39" i="6" s="1"/>
  <c r="D37" i="6"/>
  <c r="D39" i="6" s="1"/>
  <c r="D40" i="6" s="1"/>
  <c r="E39" i="6"/>
  <c r="E40" i="6" s="1"/>
  <c r="G45" i="1"/>
  <c r="E45" i="1"/>
  <c r="G44" i="1"/>
  <c r="E44" i="1"/>
  <c r="G43" i="1"/>
  <c r="E43" i="1"/>
  <c r="G42" i="1"/>
  <c r="E42" i="1"/>
  <c r="G41" i="1"/>
  <c r="E41" i="1"/>
  <c r="G40" i="1"/>
  <c r="E40" i="1"/>
  <c r="G39" i="1"/>
  <c r="E39" i="1"/>
  <c r="G38" i="1"/>
  <c r="E38" i="1"/>
  <c r="G37" i="1"/>
  <c r="E37" i="1"/>
  <c r="G36" i="1"/>
  <c r="E36" i="1"/>
  <c r="G35" i="1"/>
  <c r="E35" i="1"/>
  <c r="G34" i="1"/>
  <c r="E34" i="1"/>
  <c r="G33" i="1"/>
  <c r="E33" i="1"/>
  <c r="G32" i="1"/>
  <c r="E32" i="1"/>
  <c r="G31" i="1"/>
  <c r="E31" i="1"/>
  <c r="G30" i="1"/>
  <c r="E30" i="1"/>
  <c r="G29" i="1"/>
  <c r="E29" i="1"/>
  <c r="G28" i="1"/>
  <c r="E28" i="1"/>
  <c r="G27" i="1"/>
  <c r="E27" i="1"/>
  <c r="G26" i="1"/>
  <c r="E26" i="1"/>
  <c r="G25" i="1"/>
  <c r="E25" i="1"/>
  <c r="G24" i="1"/>
  <c r="E24" i="1"/>
  <c r="G23" i="1"/>
  <c r="E23" i="1"/>
  <c r="G22" i="1"/>
  <c r="E22" i="1"/>
  <c r="G21" i="1"/>
  <c r="E21" i="1"/>
  <c r="G20" i="1"/>
  <c r="E20" i="1"/>
  <c r="G19" i="1"/>
  <c r="E19" i="1"/>
  <c r="G18" i="1"/>
  <c r="E18" i="1"/>
  <c r="G17" i="1"/>
  <c r="E17" i="1"/>
  <c r="G16" i="1"/>
  <c r="E16" i="1"/>
  <c r="G15" i="1"/>
  <c r="E15" i="1"/>
  <c r="G14" i="1"/>
  <c r="E14" i="1"/>
  <c r="G13" i="1"/>
  <c r="E13" i="1"/>
  <c r="G12" i="1"/>
  <c r="E12" i="1"/>
  <c r="G11" i="1"/>
  <c r="E11" i="1"/>
  <c r="G10" i="1"/>
  <c r="E10" i="1"/>
  <c r="G9" i="1"/>
  <c r="E9" i="1"/>
  <c r="G8" i="1"/>
  <c r="E8" i="1"/>
  <c r="G7" i="1"/>
  <c r="E7" i="1"/>
  <c r="G6" i="1"/>
  <c r="E6" i="1"/>
  <c r="G5" i="1"/>
  <c r="E5" i="1"/>
  <c r="I4" i="1"/>
  <c r="G4" i="1"/>
  <c r="E4" i="1"/>
  <c r="I5" i="7" l="1"/>
  <c r="H6" i="7"/>
  <c r="E8" i="7"/>
  <c r="E11" i="7" s="1"/>
  <c r="C14" i="7"/>
  <c r="D11" i="7"/>
  <c r="B40" i="6"/>
  <c r="B42" i="6" s="1"/>
  <c r="B53" i="6" s="1"/>
  <c r="B57" i="6" s="1"/>
  <c r="B43" i="6"/>
  <c r="B54" i="6" s="1"/>
  <c r="G24" i="7" l="1"/>
  <c r="F9" i="4" s="1"/>
  <c r="F3" i="4"/>
  <c r="F9" i="3" s="1"/>
  <c r="G9" i="7" s="1"/>
  <c r="J5" i="7"/>
  <c r="I6" i="7"/>
  <c r="F8" i="7"/>
  <c r="E35" i="7"/>
  <c r="H19" i="7"/>
  <c r="G3" i="7"/>
  <c r="F40" i="3" s="1"/>
  <c r="F35" i="7" l="1"/>
  <c r="F11" i="7"/>
  <c r="F5" i="4"/>
  <c r="F10" i="4"/>
  <c r="F14" i="4" s="1"/>
  <c r="F18" i="4" s="1"/>
  <c r="F19" i="4" s="1"/>
  <c r="F21" i="4" s="1"/>
  <c r="K5" i="7"/>
  <c r="K6" i="7" s="1"/>
  <c r="J6" i="7"/>
  <c r="G3" i="4"/>
  <c r="G9" i="3" s="1"/>
  <c r="H24" i="7"/>
  <c r="G9" i="4" s="1"/>
  <c r="G35" i="7"/>
  <c r="G8" i="7" s="1"/>
  <c r="I19" i="7"/>
  <c r="J19" i="7" s="1"/>
  <c r="J24" i="7" s="1"/>
  <c r="H3" i="7"/>
  <c r="G40" i="3" s="1"/>
  <c r="G10" i="7" l="1"/>
  <c r="G11" i="7" s="1"/>
  <c r="G5" i="4"/>
  <c r="G10" i="4" s="1"/>
  <c r="G14" i="4" s="1"/>
  <c r="G18" i="4" s="1"/>
  <c r="G19" i="4" s="1"/>
  <c r="G21" i="4" s="1"/>
  <c r="H9" i="7"/>
  <c r="H3" i="4"/>
  <c r="I24" i="7"/>
  <c r="H9" i="4" s="1"/>
  <c r="I9" i="4" s="1"/>
  <c r="H35" i="7"/>
  <c r="K19" i="7"/>
  <c r="K24" i="7" s="1"/>
  <c r="I3" i="7"/>
  <c r="H40" i="3" s="1"/>
  <c r="H9" i="3" l="1"/>
  <c r="I9" i="7" s="1"/>
  <c r="I10" i="7" s="1"/>
  <c r="H10" i="7"/>
  <c r="J9" i="4"/>
  <c r="I3" i="4"/>
  <c r="H5" i="4"/>
  <c r="H10" i="4" s="1"/>
  <c r="H14" i="4" s="1"/>
  <c r="H18" i="4" s="1"/>
  <c r="H19" i="4" s="1"/>
  <c r="H21" i="4" s="1"/>
  <c r="I35" i="7"/>
  <c r="J35" i="7" s="1"/>
  <c r="K35" i="7" s="1"/>
  <c r="H8" i="7"/>
  <c r="J3" i="7"/>
  <c r="I40" i="3" s="1"/>
  <c r="I5" i="4" l="1"/>
  <c r="I10" i="4" s="1"/>
  <c r="I14" i="4" s="1"/>
  <c r="I18" i="4" s="1"/>
  <c r="I19" i="4" s="1"/>
  <c r="I21" i="4" s="1"/>
  <c r="I9" i="3"/>
  <c r="J9" i="7" s="1"/>
  <c r="J10" i="7" s="1"/>
  <c r="J3" i="4"/>
  <c r="J9" i="3" s="1"/>
  <c r="H11" i="7"/>
  <c r="J5" i="4"/>
  <c r="J10" i="4" s="1"/>
  <c r="J14" i="4" s="1"/>
  <c r="J18" i="4" s="1"/>
  <c r="J19" i="4" s="1"/>
  <c r="J21" i="4" s="1"/>
  <c r="I8" i="7"/>
  <c r="I11" i="7" s="1"/>
  <c r="J8" i="7"/>
  <c r="K3" i="7"/>
  <c r="J40" i="3" s="1"/>
  <c r="J11" i="7" l="1"/>
  <c r="K8" i="7"/>
  <c r="K9" i="7"/>
  <c r="K10" i="7" s="1"/>
  <c r="K11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tc={F2154AF1-626A-4A70-AFBD-4EF1A2EEBA14}</author>
    <author>tc={D9705566-A583-4636-AA85-EB6E801AB7DD}</author>
    <author>tc={501C389B-80B3-4306-AFD3-071478DA568E}</author>
    <author>tc={7ADCA066-02AF-4E3B-91B1-75A448CB258B}</author>
    <author>tc={266D66DD-FD8E-4D81-8ABC-3055F1610225}</author>
  </authors>
  <commentList>
    <comment ref="A31" authorId="0" shapeId="0" xr:uid="{F2154AF1-626A-4A70-AFBD-4EF1A2EEBA1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Financiamento de Curto Prazo +  Financiamento de Longo Prazo</t>
      </text>
    </comment>
    <comment ref="A42" authorId="1" shapeId="0" xr:uid="{D9705566-A583-4636-AA85-EB6E801AB7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B/(B+S)</t>
      </text>
    </comment>
    <comment ref="A43" authorId="2" shapeId="0" xr:uid="{501C389B-80B3-4306-AFD3-071478DA56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S/(B+S)</t>
      </text>
    </comment>
    <comment ref="A53" authorId="3" shapeId="0" xr:uid="{7ADCA066-02AF-4E3B-91B1-75A448CB258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B/(B+S)</t>
      </text>
    </comment>
    <comment ref="A54" authorId="4" shapeId="0" xr:uid="{266D66DD-FD8E-4D81-8ABC-3055F161022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S/(B+S)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tc={5F669DCD-1B0D-4C2B-99D5-11C0B4BDB330}</author>
  </authors>
  <commentList>
    <comment ref="B4" authorId="0" shapeId="0" xr:uid="{5F669DCD-1B0D-4C2B-99D5-11C0B4BDB3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Lucro Antes de Juros, Impostos, Depreciação e Amortização.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<sst xmlns="http://schemas.openxmlformats.org/spreadsheetml/2006/main" count="336" uniqueCount="262">
  <si>
    <t>Data</t>
  </si>
  <si>
    <t xml:space="preserve">GNDI3 </t>
  </si>
  <si>
    <t>QUAL3</t>
  </si>
  <si>
    <t>HAPV3</t>
  </si>
  <si>
    <t>BOVA11</t>
  </si>
  <si>
    <t>Fechamento</t>
  </si>
  <si>
    <t>Retorno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</si>
  <si>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</si>
  <si>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</si>
  <si>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</si>
  <si>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</si>
  <si>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</si>
  <si>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</si>
  <si>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</si>
  <si>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</si>
  <si>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</si>
  <si>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</si>
  <si>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</si>
  <si>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</si>
  <si>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</si>
  <si>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</si>
  <si>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</si>
  <si>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</si>
  <si>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</si>
  <si>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</si>
  <si>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</si>
  <si>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</si>
  <si>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</si>
  <si>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</si>
  <si>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</si>
  <si>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</si>
  <si>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Empresas</t>
  </si>
  <si>
    <t>Beta estatístico</t>
  </si>
  <si>
    <t>Dívida bruta Fonte: (ADVFN)</t>
  </si>
  <si>
    <t>Valor de mercado</t>
  </si>
  <si>
    <t>Valor da Firma</t>
  </si>
  <si>
    <t>D/E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</si>
  <si>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</si>
  <si>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</si>
  <si>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</si>
  <si>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</si>
  <si>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</si>
  <si>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</si>
  <si>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</si>
  <si>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</si>
  <si>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</si>
  <si>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</si>
  <si>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</si>
  <si>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</si>
  <si>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</si>
  <si>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</si>
  <si>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</si>
  <si>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</si>
  <si>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Ago-2021</t>
  </si>
  <si>
    <t>Set-2021</t>
  </si>
  <si>
    <t>Out-2021</t>
  </si>
  <si>
    <t>2021e</t>
  </si>
  <si>
    <t>2022e</t>
  </si>
  <si>
    <t>2023e</t>
  </si>
  <si>
    <t>2024e</t>
  </si>
  <si>
    <t>2025e</t>
  </si>
  <si>
    <t>Perpetuidade</t>
  </si>
  <si>
    <t>(+)</t>
  </si>
  <si>
    <t>Receita Operacional Líquida</t>
  </si>
  <si>
    <t>LAJIR - Resultado Oper.</t>
  </si>
  <si>
    <t>(-)</t>
  </si>
  <si>
    <t>Imposto Operacional</t>
  </si>
  <si>
    <t>(=)</t>
  </si>
  <si>
    <t>NOPAT</t>
  </si>
  <si>
    <t>Depreciação &amp; Amortização</t>
  </si>
  <si>
    <t>CAPEX</t>
  </si>
  <si>
    <t>Investimento em  CCL</t>
  </si>
  <si>
    <t>Inv. CGL (Delta Inv. CCL)</t>
  </si>
  <si>
    <t>Flx. Caixa para os investidores</t>
  </si>
  <si>
    <t>Valor Presente</t>
  </si>
  <si>
    <t>WACC</t>
  </si>
  <si>
    <t>Taxa de Crescimento em perpetuidade - g</t>
  </si>
  <si>
    <t>Valor da Empresa</t>
  </si>
  <si>
    <t>Dívida Líquida</t>
  </si>
  <si>
    <t>Valor de Equity</t>
  </si>
  <si>
    <t>Quantidade de ações</t>
  </si>
  <si>
    <t>Valor justo</t>
  </si>
  <si>
    <t>Downside</t>
  </si>
  <si>
    <t>BALANÇO PATRIMONIAL</t>
  </si>
  <si>
    <t>ATIVO</t>
  </si>
  <si>
    <t/>
  </si>
  <si>
    <t xml:space="preserve"> Ativo total</t>
  </si>
  <si>
    <t xml:space="preserve"> Ativo Circulante</t>
  </si>
  <si>
    <t xml:space="preserve"> Caixa e equivalentes de caixa</t>
  </si>
  <si>
    <t xml:space="preserve"> Aplicacoes financeiras</t>
  </si>
  <si>
    <t xml:space="preserve"> Apl fi aval custo amo CP</t>
  </si>
  <si>
    <t>-</t>
  </si>
  <si>
    <t xml:space="preserve"> Contas a receber CP</t>
  </si>
  <si>
    <t xml:space="preserve"> Clientes CP</t>
  </si>
  <si>
    <t xml:space="preserve"> Estoques</t>
  </si>
  <si>
    <t xml:space="preserve"> Impostos a Recuperar</t>
  </si>
  <si>
    <t xml:space="preserve"> Despesas pagas antecip</t>
  </si>
  <si>
    <t xml:space="preserve"> Outros ativos circulante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</si>
  <si>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</si>
  <si>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</si>
  <si>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</si>
  <si>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</si>
  <si>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</si>
  <si>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Outros</t>
  </si>
  <si>
    <t xml:space="preserve"> Aplicacoes financeiras avaliadas a valor justo atraves de outros resultados abrangentes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</si>
  <si>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</si>
  <si>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</si>
  <si>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</si>
  <si>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</si>
  <si>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</si>
  <si>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A rec de outr part relac</t>
  </si>
  <si>
    <t xml:space="preserve"> Outros ativos nao circul</t>
  </si>
  <si>
    <t xml:space="preserve"> Imobilizado</t>
  </si>
  <si>
    <t xml:space="preserve"> Intangiveis liquido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</si>
  <si>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</si>
  <si>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</si>
  <si>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</si>
  <si>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</si>
  <si>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</si>
  <si>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Fornecedores CP</t>
  </si>
  <si>
    <t xml:space="preserve"> Impostos a pagar</t>
  </si>
  <si>
    <t xml:space="preserve"> Federais</t>
  </si>
  <si>
    <t xml:space="preserve"> IR e contrib social a pg</t>
  </si>
  <si>
    <t xml:space="preserve"> Total empres e financ CP</t>
  </si>
  <si>
    <t xml:space="preserve"> Financiamento CP</t>
  </si>
  <si>
    <t xml:space="preserve"> Outras obrigacoes CP</t>
  </si>
  <si>
    <t xml:space="preserve"> Passivos com partes relacionadas CP</t>
  </si>
  <si>
    <t xml:space="preserve"> A pag a out part rela CP</t>
  </si>
  <si>
    <t xml:space="preserve"> Outros CP</t>
  </si>
  <si>
    <t xml:space="preserve"> Dividendos a Pagar CP</t>
  </si>
  <si>
    <t xml:space="preserve"> Provisoes CP</t>
  </si>
  <si>
    <t xml:space="preserve"> Outras provisoes a curto prazo</t>
  </si>
  <si>
    <t xml:space="preserve"> Passivo nao circulante</t>
  </si>
  <si>
    <t xml:space="preserve"> Total empres e financ LP</t>
  </si>
  <si>
    <t xml:space="preserve"> Financiamento LP</t>
  </si>
  <si>
    <t xml:space="preserve"> Outras obrigacoes</t>
  </si>
  <si>
    <t xml:space="preserve"> Passivos com partes relacionadas LP</t>
  </si>
  <si>
    <t xml:space="preserve"> A pag a out part rela LP</t>
  </si>
  <si>
    <t xml:space="preserve"> Outros LP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</si>
  <si>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</si>
  <si>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</si>
  <si>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</si>
  <si>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</si>
  <si>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Outras provisoes a longo prazo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</si>
  <si>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</si>
  <si>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</si>
  <si>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</si>
  <si>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</si>
  <si>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</si>
  <si>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</si>
  <si>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Acoes em tesour (re cap)</t>
  </si>
  <si>
    <t xml:space="preserve"> Reserva de Lucros</t>
  </si>
  <si>
    <t xml:space="preserve"> Reserva Legal</t>
  </si>
  <si>
    <t xml:space="preserve"> Resv de Retencao de Luc</t>
  </si>
  <si>
    <t>DEMONSTRAÇÃO DO RESULTADO DO EXERCÍCIO - DRE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</si>
  <si>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</si>
  <si>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</si>
  <si>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</si>
  <si>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</si>
  <si>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</si>
  <si>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</si>
  <si>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-Outras rec operacionais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</si>
  <si>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</si>
  <si>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</si>
  <si>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</si>
  <si>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</si>
  <si>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</si>
  <si>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</si>
  <si>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</si>
  <si>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</si>
  <si>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</si>
  <si>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=Lucro Consolidado</t>
  </si>
  <si>
    <t>-Partic acion minoritar</t>
  </si>
  <si>
    <t>=Lucro liquido</t>
  </si>
  <si>
    <t>Custo dos credores - rb</t>
  </si>
  <si>
    <t>Dívida</t>
  </si>
  <si>
    <t>Valor</t>
  </si>
  <si>
    <t>Vencimento</t>
  </si>
  <si>
    <t>Taxa</t>
  </si>
  <si>
    <t>Taxa Efetiva</t>
  </si>
  <si>
    <t>Custo de Capital de Terceiros (rb)</t>
  </si>
  <si>
    <t>1ª Emissão Debêntures HAPV21</t>
  </si>
  <si>
    <t>110,55% do CDI</t>
  </si>
  <si>
    <t>Componentes</t>
  </si>
  <si>
    <t>1ª Emissão Debêntures HAPV11</t>
  </si>
  <si>
    <t>109% do CDI</t>
  </si>
  <si>
    <t>YTM</t>
  </si>
  <si>
    <t>2ª Emissão Debêntures HAPV22</t>
  </si>
  <si>
    <t>CDI+1,65% a.a.</t>
  </si>
  <si>
    <t>Alíquota IR</t>
  </si>
  <si>
    <t>2ª Emissão Debêntures HAPV12</t>
  </si>
  <si>
    <t>CDI+1,45% a.a.</t>
  </si>
  <si>
    <t>Custo da dívida - rb*(1-t)</t>
  </si>
  <si>
    <t>Total</t>
  </si>
  <si>
    <t xml:space="preserve">Taxa Ponderada </t>
  </si>
  <si>
    <t>Expectativa da Taxa de Juros e Câmbio</t>
  </si>
  <si>
    <t>Ano</t>
  </si>
  <si>
    <t>SELIC</t>
  </si>
  <si>
    <t>Câmbio (RS$/US$)</t>
  </si>
  <si>
    <t>Custo de capital próprio - E(rs)</t>
  </si>
  <si>
    <t>Custo de Capital próprio - E(rs)</t>
  </si>
  <si>
    <t>Taxa livre de risco</t>
  </si>
  <si>
    <t>Beta Alavancado</t>
  </si>
  <si>
    <t>Prêmio de mercado</t>
  </si>
  <si>
    <t>Custo cap. Próprio - E(rs)</t>
  </si>
  <si>
    <t>Estrutura de Capital</t>
  </si>
  <si>
    <t>Dívida Bruta</t>
  </si>
  <si>
    <t>Cotação das ações</t>
  </si>
  <si>
    <t>Capital Total</t>
  </si>
  <si>
    <t>Capital dos acionistas (%)</t>
  </si>
  <si>
    <t>Capital dos credores (%)</t>
  </si>
  <si>
    <t>Peso do Capital dos Credores</t>
  </si>
  <si>
    <t xml:space="preserve">Peso do Capital do Acionista </t>
  </si>
  <si>
    <t>Parâmetros</t>
  </si>
  <si>
    <t>Custo do Capital próprio - E(rs)</t>
  </si>
  <si>
    <t>Desvio padrão crescimento receita</t>
  </si>
  <si>
    <t>Desvio padrão do crescimento do CMV</t>
  </si>
  <si>
    <t>Premissas</t>
  </si>
  <si>
    <t>PREMISSAS</t>
  </si>
  <si>
    <t>Crescimento da receita</t>
  </si>
  <si>
    <t>Considerando um crescimento em torno de 3% na economia brasileira nos próximos anos e uma continuidade no crescimento da receita, desconsiderando os efeitos atípicos provocados pela redução brusca de custos durante 2020 devido à redução nos procedimentos médicos. Nos anos seguintes ocorrerá uma normalização no crescimento da receita devido à normalização da economia pós pandemia.</t>
  </si>
  <si>
    <t>Crescimento do CMV</t>
  </si>
  <si>
    <t>Crescimento do CMV foi equivalente a uma média do crescimento dos anos anteriores, mantendo-se constante a partir de 2023.</t>
  </si>
  <si>
    <t>Despesas com vendas (% da receita)</t>
  </si>
  <si>
    <t>Crescimento das despesas operacionais segue uma média movel dos últimos 4 anos.</t>
  </si>
  <si>
    <t>Despesas operacionais</t>
  </si>
  <si>
    <t>Despesas gerais e administrativas (% da receita)</t>
  </si>
  <si>
    <t>Despesas gerais e administrativas.</t>
  </si>
  <si>
    <t>Outras receitas operacionais (%)</t>
  </si>
  <si>
    <t>Outras receitas operacionais segue um crescimento semelhante ao crescimento da receita.</t>
  </si>
  <si>
    <t>Crescimento do Resultado Financeiro (%)</t>
  </si>
  <si>
    <t>O crescimento de resultado financeiro manteve um padrão de crescimento estavel equivalente a 27,02% ao longo dos 5 anos projetados.</t>
  </si>
  <si>
    <t>Crescimento das Receitas Financeiras (%)</t>
  </si>
  <si>
    <t>O crescimentodas receitas financeiros voltou a ser positiva com um valor estável de 15,91% ao longo dos anos.</t>
  </si>
  <si>
    <t>Crescimento das Despesas Financeiras</t>
  </si>
  <si>
    <t>O crescimento das despesas financeiras se mantiveram constantes em um patamar de 41,12%</t>
  </si>
  <si>
    <t>Taxa do rendimento do caixa (%)</t>
  </si>
  <si>
    <t>A taxa de rendimento do caixa apresentou um crescimento equivalente a média móvel dos 3 anos anteriores.</t>
  </si>
  <si>
    <t>Custo da dívida de longo prazo (%)</t>
  </si>
  <si>
    <t>Custo da dívida apresentou o crescimento que se iguala a média móvel dos últimos 2 anos.</t>
  </si>
  <si>
    <t>Imposto de renda (% do lucro antes do IR)</t>
  </si>
  <si>
    <t>O Imposto de renda apresentou um crescimento igual a média dos últimos 4 anos.</t>
  </si>
  <si>
    <t>Taxa  Provisao impost de rend</t>
  </si>
  <si>
    <t>A taxa de cresciemento da provisão do imposto de renda apresentou um crescimento estável de 37%</t>
  </si>
  <si>
    <t xml:space="preserve"> IR Diferido (% do IR)</t>
  </si>
  <si>
    <t>O imposto diferido apresentou uma redução equivalente a média móvel dos anos anteriores.</t>
  </si>
  <si>
    <t>Part. Acionista minoritário (% do lucro consolidado)</t>
  </si>
  <si>
    <t>A taxa de participação dos acionistas minoritários em relação ao lucro consolidado equivale a uma média móvel dos últimos 4 anos.</t>
  </si>
  <si>
    <t>Depreciação (% imobilizado)</t>
  </si>
  <si>
    <t>A empresa não apresentou despesas com depreciação e amortização.</t>
  </si>
  <si>
    <t>Capex (% da receita)</t>
  </si>
  <si>
    <t>O CAPEX seguiu o padrão de uma média móvel.</t>
  </si>
  <si>
    <t>Prazo Médio de Recebimento</t>
  </si>
  <si>
    <t>Os prazos de recebimento seguiram um padrão de média móvel dos últimos 3 anos.</t>
  </si>
  <si>
    <t>Prazo Médio de Pagamento</t>
  </si>
  <si>
    <t xml:space="preserve">Os prazos de pagamento seguiram um padrão de média móvel </t>
  </si>
  <si>
    <t>Income Tax Payable</t>
  </si>
  <si>
    <t>A taxa seguiu  o padrão de uma média móvel dos últimos 3 anos.</t>
  </si>
  <si>
    <t>Caixa e Equivalente de caixa (% do ativo total)</t>
  </si>
  <si>
    <t>O caixa e equivalente de caixa apresenteu um crescimento constante de 2,66% ao ano.</t>
  </si>
  <si>
    <t>Outras obrigações CP (% Passivo circ.)</t>
  </si>
  <si>
    <t>As outras obrigações de curto prazo apresentarma um crescimento estável de 23,04% do passivo circulante.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</si>
</sst>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6" formatCode="&quot;R$&quot;\ #,##0.00"/>
    <numFmt numFmtId="167" formatCode="_-* #,##0.0000_-;\-* #,##0.0000_-;_-* &quot;-&quot;??_-;_-@_-"/>
    <numFmt numFmtId="168" formatCode="0.0%"/>
    <numFmt numFmtId="169" formatCode="0.0000%"/>
    <numFmt numFmtId="170" formatCode="#,##0.00_ ;[Red]\-#,##0.00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2E2E2E"/>
      <name val="Calibri"/>
      <family val="2"/>
      <scheme val="minor"/>
    </font>
    <font>
      <b/>
      <sz val="12"/>
      <color rgb="FF2E2E2E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B9B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2" fillId="0" borderId="0"/>
  </cellStyleXfs>
  <cellXfs count="179">
    <xf numFmtId="0" fontId="0" fillId="0" borderId="0" xfId="0"/>
    <xf numFmtId="10" fontId="0" fillId="0" borderId="0" xfId="1" applyNumberFormat="1" applyFont="1"/>
    <xf numFmtId="0" fontId="0" fillId="0" borderId="0" xfId="4" applyFont="1" applyAlignment="1">
      <alignment horizontal="center" vertical="center"/>
    </xf>
    <xf numFmtId="10" fontId="0" fillId="0" borderId="0" xfId="4" applyNumberFormat="1" applyFont="1" applyAlignment="1">
      <alignment horizontal="center" vertical="center"/>
    </xf>
    <xf numFmtId="10" fontId="0" fillId="8" borderId="5" xfId="1" applyNumberFormat="1" applyFont="1" applyFill="1" applyBorder="1"/>
    <xf numFmtId="10" fontId="0" fillId="12" borderId="5" xfId="1" applyNumberFormat="1" applyFont="1" applyFill="1" applyBorder="1"/>
    <xf numFmtId="10" fontId="0" fillId="3" borderId="5" xfId="1" applyNumberFormat="1" applyFont="1" applyFill="1" applyBorder="1"/>
    <xf numFmtId="43" fontId="0" fillId="8" borderId="5" xfId="2" applyFont="1" applyFill="1" applyBorder="1"/>
    <xf numFmtId="43" fontId="0" fillId="0" borderId="0" xfId="2" applyFont="1"/>
    <xf numFmtId="43" fontId="0" fillId="10" borderId="5" xfId="2" applyFont="1" applyFill="1" applyBorder="1"/>
    <xf numFmtId="43" fontId="0" fillId="12" borderId="5" xfId="2" applyFont="1" applyFill="1" applyBorder="1"/>
    <xf numFmtId="43" fontId="0" fillId="3" borderId="5" xfId="2" applyFont="1" applyFill="1" applyBorder="1"/>
    <xf numFmtId="44" fontId="0" fillId="10" borderId="5" xfId="0" applyNumberFormat="1" applyFill="1" applyBorder="1"/>
    <xf numFmtId="44" fontId="2" fillId="8" borderId="5" xfId="0" applyNumberFormat="1" applyFont="1" applyFill="1" applyBorder="1"/>
    <xf numFmtId="0" fontId="3" fillId="13" borderId="5" xfId="0" applyFont="1" applyFill="1" applyBorder="1"/>
    <xf numFmtId="0" fontId="5" fillId="15" borderId="5" xfId="0" applyFont="1" applyFill="1" applyBorder="1"/>
    <xf numFmtId="0" fontId="3" fillId="5" borderId="5" xfId="0" applyFont="1" applyFill="1" applyBorder="1"/>
    <xf numFmtId="0" fontId="0" fillId="3" borderId="5" xfId="0" applyFill="1" applyBorder="1"/>
    <xf numFmtId="167" fontId="0" fillId="0" borderId="5" xfId="2" applyNumberFormat="1" applyFont="1" applyFill="1" applyBorder="1"/>
    <xf numFmtId="167" fontId="3" fillId="5" borderId="5" xfId="2" applyNumberFormat="1" applyFont="1" applyFill="1" applyBorder="1"/>
    <xf numFmtId="167" fontId="0" fillId="0" borderId="5" xfId="2" applyNumberFormat="1" applyFont="1" applyBorder="1"/>
    <xf numFmtId="0" fontId="3" fillId="15" borderId="5" xfId="0" applyFont="1" applyFill="1" applyBorder="1"/>
    <xf numFmtId="0" fontId="3" fillId="11" borderId="5" xfId="0" applyFont="1" applyFill="1" applyBorder="1"/>
    <xf numFmtId="167" fontId="3" fillId="3" borderId="5" xfId="2" applyNumberFormat="1" applyFont="1" applyFill="1" applyBorder="1"/>
    <xf numFmtId="0" fontId="3" fillId="6" borderId="5" xfId="0" applyFont="1" applyFill="1" applyBorder="1"/>
    <xf numFmtId="0" fontId="0" fillId="5" borderId="5" xfId="0" applyFill="1" applyBorder="1"/>
    <xf numFmtId="10" fontId="0" fillId="0" borderId="5" xfId="0" applyNumberFormat="1" applyBorder="1"/>
    <xf numFmtId="0" fontId="0" fillId="0" borderId="5" xfId="0" applyBorder="1"/>
    <xf numFmtId="0" fontId="0" fillId="16" borderId="5" xfId="0" applyFill="1" applyBorder="1"/>
    <xf numFmtId="1" fontId="7" fillId="14" borderId="5" xfId="3" applyNumberFormat="1" applyFont="1" applyFill="1" applyBorder="1" applyAlignment="1">
      <alignment horizontal="center" vertical="center"/>
    </xf>
    <xf numFmtId="10" fontId="7" fillId="14" borderId="5" xfId="1" applyNumberFormat="1" applyFont="1" applyFill="1" applyBorder="1" applyAlignment="1">
      <alignment horizontal="center" vertical="center"/>
    </xf>
    <xf numFmtId="166" fontId="7" fillId="14" borderId="5" xfId="3" applyNumberFormat="1" applyFont="1" applyFill="1" applyBorder="1" applyAlignment="1">
      <alignment horizontal="center" vertical="center"/>
    </xf>
    <xf numFmtId="9" fontId="0" fillId="0" borderId="5" xfId="0" applyNumberFormat="1" applyBorder="1"/>
    <xf numFmtId="3" fontId="0" fillId="0" borderId="0" xfId="0" applyNumberFormat="1"/>
    <xf numFmtId="0" fontId="0" fillId="17" borderId="5" xfId="0" applyFill="1" applyBorder="1"/>
    <xf numFmtId="0" fontId="0" fillId="12" borderId="13" xfId="0" applyFill="1" applyBorder="1"/>
    <xf numFmtId="0" fontId="0" fillId="12" borderId="5" xfId="0" applyFill="1" applyBorder="1"/>
    <xf numFmtId="0" fontId="8" fillId="13" borderId="5" xfId="0" applyFont="1" applyFill="1" applyBorder="1" applyAlignment="1">
      <alignment horizontal="center" vertical="top" wrapText="1"/>
    </xf>
    <xf numFmtId="0" fontId="0" fillId="8" borderId="5" xfId="0" applyFill="1" applyBorder="1"/>
    <xf numFmtId="0" fontId="0" fillId="10" borderId="5" xfId="0" applyFill="1" applyBorder="1"/>
    <xf numFmtId="0" fontId="9" fillId="2" borderId="5" xfId="0" applyFont="1" applyFill="1" applyBorder="1" applyAlignment="1">
      <alignment horizontal="center" vertical="center"/>
    </xf>
    <xf numFmtId="43" fontId="10" fillId="8" borderId="5" xfId="2" applyFont="1" applyFill="1" applyBorder="1" applyAlignment="1">
      <alignment horizontal="right" vertical="center"/>
    </xf>
    <xf numFmtId="43" fontId="10" fillId="10" borderId="5" xfId="2" applyFont="1" applyFill="1" applyBorder="1" applyAlignment="1">
      <alignment horizontal="right" vertical="center"/>
    </xf>
    <xf numFmtId="43" fontId="10" fillId="12" borderId="5" xfId="2" applyFont="1" applyFill="1" applyBorder="1" applyAlignment="1">
      <alignment horizontal="right" vertical="center"/>
    </xf>
    <xf numFmtId="43" fontId="10" fillId="3" borderId="5" xfId="2" applyFont="1" applyFill="1" applyBorder="1" applyAlignment="1">
      <alignment horizontal="right" vertical="center"/>
    </xf>
    <xf numFmtId="10" fontId="0" fillId="10" borderId="5" xfId="0" applyNumberFormat="1" applyFill="1" applyBorder="1"/>
    <xf numFmtId="0" fontId="9" fillId="2" borderId="6" xfId="0" applyFont="1" applyFill="1" applyBorder="1" applyAlignment="1">
      <alignment horizontal="center" vertical="center"/>
    </xf>
    <xf numFmtId="43" fontId="9" fillId="2" borderId="6" xfId="2" applyFont="1" applyFill="1" applyBorder="1" applyAlignment="1">
      <alignment horizontal="right" vertical="center"/>
    </xf>
    <xf numFmtId="10" fontId="0" fillId="0" borderId="0" xfId="0" applyNumberFormat="1"/>
    <xf numFmtId="0" fontId="0" fillId="11" borderId="5" xfId="0" applyFill="1" applyBorder="1"/>
    <xf numFmtId="44" fontId="0" fillId="12" borderId="5" xfId="0" applyNumberFormat="1" applyFill="1" applyBorder="1"/>
    <xf numFmtId="0" fontId="0" fillId="9" borderId="5" xfId="0" applyFill="1" applyBorder="1"/>
    <xf numFmtId="0" fontId="0" fillId="7" borderId="5" xfId="0" applyFill="1" applyBorder="1"/>
    <xf numFmtId="44" fontId="0" fillId="8" borderId="5" xfId="0" applyNumberFormat="1" applyFill="1" applyBorder="1"/>
    <xf numFmtId="8" fontId="0" fillId="0" borderId="0" xfId="0" applyNumberFormat="1"/>
    <xf numFmtId="10" fontId="3" fillId="11" borderId="5" xfId="1" applyNumberFormat="1" applyFont="1" applyFill="1" applyBorder="1"/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0" fillId="15" borderId="15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3" borderId="5" xfId="0" applyFill="1" applyBorder="1"/>
    <xf numFmtId="0" fontId="2" fillId="0" borderId="5" xfId="5" applyFont="1" applyBorder="1"/>
    <xf numFmtId="0" fontId="5" fillId="13" borderId="14" xfId="0" applyFont="1" applyFill="1" applyBorder="1"/>
    <xf numFmtId="9" fontId="0" fillId="0" borderId="0" xfId="1" applyFont="1"/>
    <xf numFmtId="40" fontId="0" fillId="0" borderId="0" xfId="0" applyNumberFormat="1"/>
    <xf numFmtId="0" fontId="5" fillId="15" borderId="5" xfId="0" applyFont="1" applyFill="1" applyBorder="1" applyAlignment="1">
      <alignment horizontal="center"/>
    </xf>
    <xf numFmtId="0" fontId="5" fillId="13" borderId="5" xfId="0" applyFont="1" applyFill="1" applyBorder="1" applyAlignment="1">
      <alignment horizontal="center"/>
    </xf>
    <xf numFmtId="0" fontId="5" fillId="13" borderId="7" xfId="0" applyFont="1" applyFill="1" applyBorder="1" applyAlignment="1">
      <alignment horizontal="center"/>
    </xf>
    <xf numFmtId="0" fontId="5" fillId="13" borderId="5" xfId="0" applyFont="1" applyFill="1" applyBorder="1" applyAlignment="1">
      <alignment horizontal="center" shrinkToFit="1"/>
    </xf>
    <xf numFmtId="0" fontId="0" fillId="18" borderId="5" xfId="0" applyFill="1" applyBorder="1" applyAlignment="1">
      <alignment wrapText="1"/>
    </xf>
    <xf numFmtId="0" fontId="0" fillId="15" borderId="5" xfId="0" applyFill="1" applyBorder="1"/>
    <xf numFmtId="0" fontId="0" fillId="0" borderId="13" xfId="0" applyBorder="1"/>
    <xf numFmtId="0" fontId="3" fillId="19" borderId="5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5" xfId="0" applyFill="1" applyBorder="1" applyAlignment="1">
      <alignment horizontal="left" wrapText="1" shrinkToFit="1"/>
    </xf>
    <xf numFmtId="0" fontId="0" fillId="0" borderId="5" xfId="0" applyBorder="1" applyAlignment="1">
      <alignment horizontal="left" wrapText="1" shrinkToFit="1"/>
    </xf>
    <xf numFmtId="10" fontId="0" fillId="0" borderId="5" xfId="1" applyNumberFormat="1" applyFont="1" applyFill="1" applyBorder="1"/>
    <xf numFmtId="40" fontId="0" fillId="2" borderId="13" xfId="0" applyNumberFormat="1" applyFill="1" applyBorder="1" applyAlignment="1">
      <alignment horizontal="right" shrinkToFit="1"/>
    </xf>
    <xf numFmtId="40" fontId="0" fillId="0" borderId="5" xfId="0" applyNumberFormat="1" applyBorder="1" applyAlignment="1">
      <alignment horizontal="right"/>
    </xf>
    <xf numFmtId="40" fontId="0" fillId="2" borderId="5" xfId="0" applyNumberFormat="1" applyFill="1" applyBorder="1" applyAlignment="1">
      <alignment horizontal="right" shrinkToFit="1"/>
    </xf>
    <xf numFmtId="0" fontId="0" fillId="5" borderId="5" xfId="0" applyFill="1" applyBorder="1" applyAlignment="1">
      <alignment horizontal="left" wrapText="1" shrinkToFit="1"/>
    </xf>
    <xf numFmtId="40" fontId="0" fillId="5" borderId="5" xfId="0" applyNumberFormat="1" applyFill="1" applyBorder="1" applyAlignment="1">
      <alignment horizontal="right" shrinkToFit="1"/>
    </xf>
    <xf numFmtId="40" fontId="0" fillId="21" borderId="5" xfId="0" applyNumberFormat="1" applyFill="1" applyBorder="1" applyAlignment="1">
      <alignment horizontal="right"/>
    </xf>
    <xf numFmtId="0" fontId="0" fillId="3" borderId="5" xfId="0" applyFill="1" applyBorder="1" applyAlignment="1">
      <alignment horizontal="left" wrapText="1" shrinkToFit="1"/>
    </xf>
    <xf numFmtId="40" fontId="0" fillId="3" borderId="5" xfId="0" applyNumberFormat="1" applyFill="1" applyBorder="1" applyAlignment="1">
      <alignment horizontal="right" shrinkToFit="1"/>
    </xf>
    <xf numFmtId="40" fontId="0" fillId="20" borderId="5" xfId="0" applyNumberFormat="1" applyFill="1" applyBorder="1" applyAlignment="1">
      <alignment horizontal="right"/>
    </xf>
    <xf numFmtId="0" fontId="0" fillId="2" borderId="5" xfId="0" quotePrefix="1" applyFill="1" applyBorder="1" applyAlignment="1">
      <alignment horizontal="left" wrapText="1" shrinkToFit="1"/>
    </xf>
    <xf numFmtId="0" fontId="0" fillId="0" borderId="0" xfId="0" applyAlignment="1">
      <alignment horizontal="left"/>
    </xf>
    <xf numFmtId="40" fontId="0" fillId="0" borderId="0" xfId="0" applyNumberFormat="1" applyAlignment="1">
      <alignment horizontal="right"/>
    </xf>
    <xf numFmtId="40" fontId="13" fillId="0" borderId="0" xfId="0" applyNumberFormat="1" applyFont="1"/>
    <xf numFmtId="0" fontId="13" fillId="0" borderId="0" xfId="0" applyFont="1"/>
    <xf numFmtId="40" fontId="15" fillId="0" borderId="0" xfId="0" applyNumberFormat="1" applyFont="1"/>
    <xf numFmtId="0" fontId="15" fillId="0" borderId="0" xfId="0" applyFont="1"/>
    <xf numFmtId="40" fontId="0" fillId="4" borderId="5" xfId="0" applyNumberFormat="1" applyFill="1" applyBorder="1" applyAlignment="1">
      <alignment horizontal="left" vertical="center" wrapText="1" shrinkToFit="1"/>
    </xf>
    <xf numFmtId="40" fontId="0" fillId="4" borderId="5" xfId="0" applyNumberFormat="1" applyFill="1" applyBorder="1" applyAlignment="1">
      <alignment horizontal="right" vertical="center" shrinkToFit="1"/>
    </xf>
    <xf numFmtId="40" fontId="0" fillId="5" borderId="5" xfId="0" applyNumberFormat="1" applyFill="1" applyBorder="1" applyAlignment="1">
      <alignment horizontal="left" vertical="center" wrapText="1" shrinkToFit="1"/>
    </xf>
    <xf numFmtId="40" fontId="0" fillId="5" borderId="5" xfId="0" applyNumberFormat="1" applyFill="1" applyBorder="1" applyAlignment="1">
      <alignment horizontal="right" vertical="center" shrinkToFit="1"/>
    </xf>
    <xf numFmtId="40" fontId="0" fillId="6" borderId="5" xfId="0" applyNumberFormat="1" applyFill="1" applyBorder="1" applyAlignment="1">
      <alignment horizontal="left" vertical="center" wrapText="1" shrinkToFit="1"/>
    </xf>
    <xf numFmtId="40" fontId="0" fillId="6" borderId="5" xfId="0" applyNumberFormat="1" applyFill="1" applyBorder="1" applyAlignment="1">
      <alignment horizontal="right" vertical="center" shrinkToFit="1"/>
    </xf>
    <xf numFmtId="40" fontId="0" fillId="2" borderId="5" xfId="0" applyNumberFormat="1" applyFill="1" applyBorder="1" applyAlignment="1">
      <alignment horizontal="left" vertical="center" wrapText="1" shrinkToFit="1"/>
    </xf>
    <xf numFmtId="40" fontId="0" fillId="2" borderId="5" xfId="0" applyNumberFormat="1" applyFill="1" applyBorder="1" applyAlignment="1">
      <alignment horizontal="right" vertical="center" shrinkToFit="1"/>
    </xf>
    <xf numFmtId="40" fontId="0" fillId="2" borderId="4" xfId="0" applyNumberFormat="1" applyFill="1" applyBorder="1" applyAlignment="1">
      <alignment horizontal="left" vertical="center" wrapText="1" shrinkToFit="1"/>
    </xf>
    <xf numFmtId="40" fontId="0" fillId="2" borderId="4" xfId="0" applyNumberFormat="1" applyFill="1" applyBorder="1" applyAlignment="1">
      <alignment horizontal="right" vertical="center" shrinkToFit="1"/>
    </xf>
    <xf numFmtId="0" fontId="13" fillId="13" borderId="5" xfId="0" applyFont="1" applyFill="1" applyBorder="1" applyAlignment="1">
      <alignment horizontal="left" wrapText="1" shrinkToFit="1"/>
    </xf>
    <xf numFmtId="40" fontId="0" fillId="18" borderId="5" xfId="0" applyNumberFormat="1" applyFill="1" applyBorder="1"/>
    <xf numFmtId="40" fontId="0" fillId="0" borderId="5" xfId="0" applyNumberFormat="1" applyBorder="1"/>
    <xf numFmtId="40" fontId="3" fillId="3" borderId="5" xfId="0" applyNumberFormat="1" applyFont="1" applyFill="1" applyBorder="1"/>
    <xf numFmtId="40" fontId="0" fillId="10" borderId="5" xfId="0" applyNumberFormat="1" applyFill="1" applyBorder="1" applyAlignment="1">
      <alignment horizontal="left" vertical="center" wrapText="1" shrinkToFit="1"/>
    </xf>
    <xf numFmtId="40" fontId="0" fillId="10" borderId="5" xfId="0" applyNumberFormat="1" applyFill="1" applyBorder="1" applyAlignment="1">
      <alignment horizontal="right" vertical="center" shrinkToFit="1"/>
    </xf>
    <xf numFmtId="40" fontId="0" fillId="10" borderId="5" xfId="0" applyNumberFormat="1" applyFill="1" applyBorder="1"/>
    <xf numFmtId="40" fontId="3" fillId="21" borderId="5" xfId="0" applyNumberFormat="1" applyFont="1" applyFill="1" applyBorder="1"/>
    <xf numFmtId="0" fontId="0" fillId="13" borderId="7" xfId="0" applyFill="1" applyBorder="1"/>
    <xf numFmtId="10" fontId="0" fillId="17" borderId="5" xfId="1" applyNumberFormat="1" applyFont="1" applyFill="1" applyBorder="1" applyAlignment="1">
      <alignment wrapText="1"/>
    </xf>
    <xf numFmtId="10" fontId="0" fillId="17" borderId="5" xfId="1" applyNumberFormat="1" applyFont="1" applyFill="1" applyBorder="1"/>
    <xf numFmtId="169" fontId="0" fillId="0" borderId="5" xfId="1" applyNumberFormat="1" applyFont="1" applyFill="1" applyBorder="1"/>
    <xf numFmtId="168" fontId="0" fillId="0" borderId="5" xfId="1" applyNumberFormat="1" applyFont="1" applyFill="1" applyBorder="1"/>
    <xf numFmtId="168" fontId="0" fillId="0" borderId="5" xfId="0" applyNumberFormat="1" applyBorder="1"/>
    <xf numFmtId="9" fontId="0" fillId="0" borderId="5" xfId="1" applyFont="1" applyFill="1" applyBorder="1"/>
    <xf numFmtId="1" fontId="0" fillId="0" borderId="5" xfId="0" applyNumberFormat="1" applyBorder="1"/>
    <xf numFmtId="0" fontId="13" fillId="13" borderId="13" xfId="0" applyFont="1" applyFill="1" applyBorder="1" applyAlignment="1">
      <alignment horizontal="left" wrapText="1" shrinkToFit="1"/>
    </xf>
    <xf numFmtId="0" fontId="5" fillId="13" borderId="13" xfId="0" applyFont="1" applyFill="1" applyBorder="1" applyAlignment="1">
      <alignment horizontal="center" shrinkToFit="1"/>
    </xf>
    <xf numFmtId="0" fontId="5" fillId="13" borderId="13" xfId="0" applyFont="1" applyFill="1" applyBorder="1" applyAlignment="1">
      <alignment horizontal="center"/>
    </xf>
    <xf numFmtId="10" fontId="3" fillId="5" borderId="5" xfId="1" applyNumberFormat="1" applyFont="1" applyFill="1" applyBorder="1"/>
    <xf numFmtId="9" fontId="3" fillId="5" borderId="5" xfId="1" applyFont="1" applyFill="1" applyBorder="1"/>
    <xf numFmtId="0" fontId="3" fillId="0" borderId="5" xfId="0" applyFont="1" applyBorder="1"/>
    <xf numFmtId="0" fontId="3" fillId="15" borderId="15" xfId="0" applyFont="1" applyFill="1" applyBorder="1"/>
    <xf numFmtId="0" fontId="3" fillId="15" borderId="14" xfId="0" applyFont="1" applyFill="1" applyBorder="1"/>
    <xf numFmtId="0" fontId="3" fillId="15" borderId="16" xfId="0" applyFont="1" applyFill="1" applyBorder="1"/>
    <xf numFmtId="0" fontId="3" fillId="0" borderId="0" xfId="0" applyFont="1"/>
    <xf numFmtId="0" fontId="0" fillId="0" borderId="17" xfId="0" applyBorder="1"/>
    <xf numFmtId="170" fontId="0" fillId="0" borderId="0" xfId="0" applyNumberFormat="1"/>
    <xf numFmtId="2" fontId="0" fillId="12" borderId="5" xfId="0" applyNumberFormat="1" applyFill="1" applyBorder="1"/>
    <xf numFmtId="0" fontId="3" fillId="22" borderId="5" xfId="0" applyFont="1" applyFill="1" applyBorder="1"/>
    <xf numFmtId="40" fontId="2" fillId="0" borderId="5" xfId="0" applyNumberFormat="1" applyFont="1" applyBorder="1"/>
    <xf numFmtId="40" fontId="3" fillId="3" borderId="7" xfId="0" applyNumberFormat="1" applyFont="1" applyFill="1" applyBorder="1"/>
    <xf numFmtId="40" fontId="0" fillId="0" borderId="14" xfId="0" applyNumberFormat="1" applyBorder="1"/>
    <xf numFmtId="40" fontId="3" fillId="0" borderId="5" xfId="0" applyNumberFormat="1" applyFont="1" applyBorder="1"/>
    <xf numFmtId="0" fontId="3" fillId="9" borderId="5" xfId="0" applyFont="1" applyFill="1" applyBorder="1"/>
    <xf numFmtId="44" fontId="0" fillId="22" borderId="5" xfId="0" applyNumberFormat="1" applyFill="1" applyBorder="1"/>
    <xf numFmtId="44" fontId="0" fillId="9" borderId="5" xfId="0" applyNumberFormat="1" applyFill="1" applyBorder="1"/>
    <xf numFmtId="40" fontId="0" fillId="18" borderId="13" xfId="0" applyNumberFormat="1" applyFill="1" applyBorder="1"/>
    <xf numFmtId="0" fontId="0" fillId="23" borderId="5" xfId="0" applyFill="1" applyBorder="1"/>
    <xf numFmtId="10" fontId="16" fillId="23" borderId="5" xfId="1" applyNumberFormat="1" applyFont="1" applyFill="1" applyBorder="1"/>
    <xf numFmtId="169" fontId="0" fillId="0" borderId="0" xfId="1" applyNumberFormat="1" applyFont="1"/>
    <xf numFmtId="4" fontId="17" fillId="0" borderId="5" xfId="0" applyNumberFormat="1" applyFont="1" applyBorder="1"/>
    <xf numFmtId="166" fontId="7" fillId="0" borderId="5" xfId="0" applyNumberFormat="1" applyFont="1" applyBorder="1" applyAlignment="1">
      <alignment horizontal="right"/>
    </xf>
    <xf numFmtId="14" fontId="17" fillId="0" borderId="5" xfId="0" applyNumberFormat="1" applyFont="1" applyBorder="1"/>
    <xf numFmtId="0" fontId="17" fillId="0" borderId="5" xfId="0" applyFont="1" applyBorder="1"/>
    <xf numFmtId="10" fontId="13" fillId="0" borderId="5" xfId="0" applyNumberFormat="1" applyFont="1" applyBorder="1"/>
    <xf numFmtId="0" fontId="13" fillId="0" borderId="5" xfId="0" applyFont="1" applyBorder="1"/>
    <xf numFmtId="166" fontId="17" fillId="0" borderId="5" xfId="0" applyNumberFormat="1" applyFont="1" applyBorder="1" applyAlignment="1">
      <alignment horizontal="right"/>
    </xf>
    <xf numFmtId="14" fontId="13" fillId="0" borderId="5" xfId="0" applyNumberFormat="1" applyFont="1" applyBorder="1"/>
    <xf numFmtId="166" fontId="13" fillId="0" borderId="0" xfId="0" applyNumberFormat="1" applyFont="1" applyAlignment="1">
      <alignment horizontal="right"/>
    </xf>
    <xf numFmtId="166" fontId="13" fillId="0" borderId="5" xfId="0" applyNumberFormat="1" applyFont="1" applyBorder="1"/>
    <xf numFmtId="0" fontId="18" fillId="16" borderId="5" xfId="0" applyFont="1" applyFill="1" applyBorder="1"/>
    <xf numFmtId="10" fontId="5" fillId="16" borderId="5" xfId="1" applyNumberFormat="1" applyFont="1" applyFill="1" applyBorder="1"/>
    <xf numFmtId="0" fontId="5" fillId="15" borderId="5" xfId="0" applyFont="1" applyFill="1" applyBorder="1" applyAlignment="1">
      <alignment horizontal="right" vertical="center" shrinkToFit="1"/>
    </xf>
    <xf numFmtId="3" fontId="13" fillId="0" borderId="5" xfId="0" applyNumberFormat="1" applyFont="1" applyBorder="1"/>
    <xf numFmtId="3" fontId="13" fillId="2" borderId="5" xfId="0" applyNumberFormat="1" applyFont="1" applyFill="1" applyBorder="1" applyAlignment="1">
      <alignment horizontal="right" vertical="center" shrinkToFit="1"/>
    </xf>
    <xf numFmtId="9" fontId="13" fillId="0" borderId="5" xfId="1" applyFont="1" applyBorder="1"/>
    <xf numFmtId="9" fontId="13" fillId="0" borderId="5" xfId="0" applyNumberFormat="1" applyFont="1" applyBorder="1"/>
    <xf numFmtId="0" fontId="3" fillId="5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40" fontId="3" fillId="3" borderId="10" xfId="0" applyNumberFormat="1" applyFont="1" applyFill="1" applyBorder="1" applyAlignment="1">
      <alignment horizontal="center" vertical="center" wrapText="1" shrinkToFit="1"/>
    </xf>
    <xf numFmtId="40" fontId="3" fillId="3" borderId="11" xfId="0" applyNumberFormat="1" applyFont="1" applyFill="1" applyBorder="1" applyAlignment="1">
      <alignment horizontal="center" vertical="center" wrapText="1" shrinkToFit="1"/>
    </xf>
    <xf numFmtId="40" fontId="3" fillId="3" borderId="12" xfId="0" applyNumberFormat="1" applyFont="1" applyFill="1" applyBorder="1" applyAlignment="1">
      <alignment horizontal="center" vertical="center" wrapText="1" shrinkToFit="1"/>
    </xf>
    <xf numFmtId="0" fontId="14" fillId="3" borderId="1" xfId="0" applyFont="1" applyFill="1" applyBorder="1" applyAlignment="1">
      <alignment horizontal="center" vertical="center" wrapText="1" shrinkToFit="1"/>
    </xf>
    <xf numFmtId="0" fontId="14" fillId="3" borderId="2" xfId="0" applyFont="1" applyFill="1" applyBorder="1" applyAlignment="1">
      <alignment horizontal="center" vertical="center" wrapText="1" shrinkToFit="1"/>
    </xf>
    <xf numFmtId="0" fontId="14" fillId="3" borderId="3" xfId="0" applyFont="1" applyFill="1" applyBorder="1" applyAlignment="1">
      <alignment horizontal="center" vertical="center" wrapText="1" shrinkToFit="1"/>
    </xf>
    <xf numFmtId="0" fontId="3" fillId="5" borderId="7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6" fillId="13" borderId="0" xfId="0" applyFont="1" applyFill="1" applyAlignment="1">
      <alignment horizontal="center"/>
    </xf>
    <xf numFmtId="4" fontId="7" fillId="15" borderId="7" xfId="0" applyNumberFormat="1" applyFont="1" applyFill="1" applyBorder="1" applyAlignment="1">
      <alignment horizontal="center" vertical="center"/>
    </xf>
    <xf numFmtId="4" fontId="7" fillId="15" borderId="8" xfId="0" applyNumberFormat="1" applyFont="1" applyFill="1" applyBorder="1" applyAlignment="1">
      <alignment horizontal="center" vertical="center"/>
    </xf>
    <xf numFmtId="4" fontId="7" fillId="15" borderId="9" xfId="0" applyNumberFormat="1" applyFont="1" applyFill="1" applyBorder="1" applyAlignment="1">
      <alignment horizontal="center" vertical="center"/>
    </xf>
  </cellXfs>
  <cellStyles count="6">
    <cellStyle name="Moeda" xfId="3" builtinId="4"/>
    <cellStyle name="Normal" xfId="0" builtinId="0"/>
    <cellStyle name="Normal 19" xfId="4" xr:uid="{5C76DA72-2354-4BF2-B5F4-3092E8B22061}"/>
    <cellStyle name="Normal 2" xfId="5" xr:uid="{A946C4BC-9D51-4F48-B29F-E7377C3DB36D}"/>
    <cellStyle name="Porcentagem" xfId="1" builtinId="5"/>
    <cellStyle name="Vírgula" xfId="2" builtinId="3"/>
  </cellStyles>
  <dxfs count="1"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FBEF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368884568647286E-2"/>
          <c:y val="0.19852876700885685"/>
          <c:w val="0.8895664032454067"/>
          <c:h val="0.64922399628540173"/>
        </c:manualLayout>
      </c:layout>
      <c:scatterChart>
        <c:scatterStyle val="lineMarker"/>
        <c:varyColors val="0"/>
        <c:ser>
          <c:idx val="1"/>
          <c:order val="0"/>
          <c:tx>
            <c:strRef>
              <c:f>'β Alavancado'!$C$1:$C$2</c:f>
              <c:strCache>
                <c:ptCount val="2"/>
                <c:pt idx="1">
                  <c:v>Retorno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69653267114986805"/>
                  <c:y val="-0.2376827530820443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0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">
                        <a:solidFill>
                          <a:schemeClr val="tx1"/>
                        </a:solidFill>
                      </a:rPr>
                      <a:t>y = 0,7897x + 0,0281: GNDI3</a:t>
                    </a:r>
                  </a:p>
                </c:rich>
              </c:tx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'β Alavancado'!$I$4:$I$45</c:f>
              <c:numCache>
                <c:formatCode>0.00%</c:formatCode>
                <c:ptCount val="42"/>
                <c:pt idx="0">
                  <c:v>-0.10952151959605694</c:v>
                </c:pt>
                <c:pt idx="1">
                  <c:v>-5.0222762251923792E-2</c:v>
                </c:pt>
                <c:pt idx="2">
                  <c:v>8.6709310589907718E-2</c:v>
                </c:pt>
                <c:pt idx="3">
                  <c:v>-3.0477436232831945E-2</c:v>
                </c:pt>
                <c:pt idx="4">
                  <c:v>3.3594171613599455E-2</c:v>
                </c:pt>
                <c:pt idx="5">
                  <c:v>9.7506852891267481E-2</c:v>
                </c:pt>
                <c:pt idx="6">
                  <c:v>2.7235965746907675E-2</c:v>
                </c:pt>
                <c:pt idx="7">
                  <c:v>-2.0493226814866428E-2</c:v>
                </c:pt>
                <c:pt idx="8">
                  <c:v>0.11111111111111116</c:v>
                </c:pt>
                <c:pt idx="9">
                  <c:v>-2.287234042553199E-2</c:v>
                </c:pt>
                <c:pt idx="10">
                  <c:v>-4.3549265106146429E-4</c:v>
                </c:pt>
                <c:pt idx="11">
                  <c:v>1.1654503866681099E-2</c:v>
                </c:pt>
                <c:pt idx="12">
                  <c:v>7.6442721791560864E-3</c:v>
                </c:pt>
                <c:pt idx="13">
                  <c:v>3.7610855860668924E-2</c:v>
                </c:pt>
                <c:pt idx="14">
                  <c:v>8.9589125733704478E-3</c:v>
                </c:pt>
                <c:pt idx="15">
                  <c:v>-3.776280873647675E-3</c:v>
                </c:pt>
                <c:pt idx="16">
                  <c:v>3.4832496670423208E-2</c:v>
                </c:pt>
                <c:pt idx="17">
                  <c:v>2.19780219780219E-2</c:v>
                </c:pt>
                <c:pt idx="18">
                  <c:v>1.0849559236655981E-2</c:v>
                </c:pt>
                <c:pt idx="19">
                  <c:v>6.5931959750838542E-2</c:v>
                </c:pt>
                <c:pt idx="20">
                  <c:v>-2.0947586082891267E-2</c:v>
                </c:pt>
                <c:pt idx="21">
                  <c:v>-7.6216712580349011E-2</c:v>
                </c:pt>
                <c:pt idx="22">
                  <c:v>-0.31063618290258455</c:v>
                </c:pt>
                <c:pt idx="23">
                  <c:v>0.11333813987022356</c:v>
                </c:pt>
                <c:pt idx="24">
                  <c:v>8.9884729957259601E-2</c:v>
                </c:pt>
                <c:pt idx="25">
                  <c:v>8.8770053475935917E-2</c:v>
                </c:pt>
                <c:pt idx="26">
                  <c:v>8.3715345994324508E-2</c:v>
                </c:pt>
                <c:pt idx="27">
                  <c:v>-3.6156712659885182E-2</c:v>
                </c:pt>
                <c:pt idx="28">
                  <c:v>-4.8589341692790056E-2</c:v>
                </c:pt>
                <c:pt idx="29">
                  <c:v>-4.2833607907742932E-3</c:v>
                </c:pt>
                <c:pt idx="30">
                  <c:v>0.15817339510258122</c:v>
                </c:pt>
                <c:pt idx="31">
                  <c:v>9.1904761904761934E-2</c:v>
                </c:pt>
                <c:pt idx="32">
                  <c:v>-3.5673789795028332E-2</c:v>
                </c:pt>
                <c:pt idx="33">
                  <c:v>-4.4952966714905895E-2</c:v>
                </c:pt>
                <c:pt idx="34">
                  <c:v>6.0895918174069363E-2</c:v>
                </c:pt>
                <c:pt idx="35">
                  <c:v>2.1246206034636783E-2</c:v>
                </c:pt>
                <c:pt idx="36">
                  <c:v>5.9877622377622286E-2</c:v>
                </c:pt>
                <c:pt idx="37">
                  <c:v>4.6185567010308404E-3</c:v>
                </c:pt>
                <c:pt idx="38">
                  <c:v>-3.8584681060668258E-2</c:v>
                </c:pt>
                <c:pt idx="39">
                  <c:v>-2.5873110750576411E-2</c:v>
                </c:pt>
                <c:pt idx="40">
                  <c:v>-6.6532258064516125E-2</c:v>
                </c:pt>
                <c:pt idx="41">
                  <c:v>-6.3949666635364721E-2</c:v>
                </c:pt>
              </c:numCache>
            </c:numRef>
          </c:xVal>
          <c:yVal>
            <c:numRef>
              <c:f>'β Alavancado'!$C$4:$C$45</c:f>
              <c:numCache>
                <c:formatCode>0.00%</c:formatCode>
                <c:ptCount val="42"/>
                <c:pt idx="0">
                  <c:v>5.3921568675340037E-2</c:v>
                </c:pt>
                <c:pt idx="1">
                  <c:v>4.6511627561189872E-3</c:v>
                </c:pt>
                <c:pt idx="2">
                  <c:v>0.13425925929612048</c:v>
                </c:pt>
                <c:pt idx="3">
                  <c:v>4.0816326516286416E-2</c:v>
                </c:pt>
                <c:pt idx="4">
                  <c:v>3.411764705564968E-2</c:v>
                </c:pt>
                <c:pt idx="5">
                  <c:v>-8.4945013279568715E-2</c:v>
                </c:pt>
                <c:pt idx="6">
                  <c:v>0.15623704930332916</c:v>
                </c:pt>
                <c:pt idx="7">
                  <c:v>4.2293906830777939E-2</c:v>
                </c:pt>
                <c:pt idx="8">
                  <c:v>0.15474552957387711</c:v>
                </c:pt>
                <c:pt idx="9">
                  <c:v>-1.0720667056515309E-2</c:v>
                </c:pt>
                <c:pt idx="10">
                  <c:v>-8.0464983563439674E-3</c:v>
                </c:pt>
                <c:pt idx="11">
                  <c:v>7.073170732920353E-2</c:v>
                </c:pt>
                <c:pt idx="12">
                  <c:v>0.16742596808177757</c:v>
                </c:pt>
                <c:pt idx="13">
                  <c:v>-1.6585365841462307E-2</c:v>
                </c:pt>
                <c:pt idx="14">
                  <c:v>8.3829365071771189E-2</c:v>
                </c:pt>
                <c:pt idx="15">
                  <c:v>0.28329519451841789</c:v>
                </c:pt>
                <c:pt idx="16">
                  <c:v>-3.2631954356328707E-2</c:v>
                </c:pt>
                <c:pt idx="17">
                  <c:v>0.10599078341133583</c:v>
                </c:pt>
                <c:pt idx="18">
                  <c:v>-5.5166666666325304E-2</c:v>
                </c:pt>
                <c:pt idx="19">
                  <c:v>0.20391603458200125</c:v>
                </c:pt>
                <c:pt idx="20">
                  <c:v>2.8717948708521401E-2</c:v>
                </c:pt>
                <c:pt idx="21">
                  <c:v>-9.9416037601513962E-2</c:v>
                </c:pt>
                <c:pt idx="22">
                  <c:v>-0.28649231178295376</c:v>
                </c:pt>
                <c:pt idx="23">
                  <c:v>0.21908362988325503</c:v>
                </c:pt>
                <c:pt idx="24">
                  <c:v>0.13665389527587091</c:v>
                </c:pt>
                <c:pt idx="25">
                  <c:v>9.1653290528389331E-2</c:v>
                </c:pt>
                <c:pt idx="26">
                  <c:v>-1.837965005279929E-2</c:v>
                </c:pt>
                <c:pt idx="27">
                  <c:v>0.1099460754941548</c:v>
                </c:pt>
                <c:pt idx="28">
                  <c:v>-0.12199730093595551</c:v>
                </c:pt>
                <c:pt idx="29">
                  <c:v>1.0605594829555143E-2</c:v>
                </c:pt>
                <c:pt idx="30">
                  <c:v>4.1825095056918116E-2</c:v>
                </c:pt>
                <c:pt idx="31">
                  <c:v>0.1436496350385108</c:v>
                </c:pt>
                <c:pt idx="32">
                  <c:v>0.20628031656695822</c:v>
                </c:pt>
                <c:pt idx="33">
                  <c:v>-8.2328042325486961E-2</c:v>
                </c:pt>
                <c:pt idx="34">
                  <c:v>-4.5202952032840304E-2</c:v>
                </c:pt>
                <c:pt idx="35">
                  <c:v>-1.8478260873490915E-2</c:v>
                </c:pt>
                <c:pt idx="36">
                  <c:v>9.1414472041137174E-2</c:v>
                </c:pt>
                <c:pt idx="37">
                  <c:v>-3.9144699626654567E-2</c:v>
                </c:pt>
                <c:pt idx="38">
                  <c:v>-5.8047804073943277E-2</c:v>
                </c:pt>
                <c:pt idx="39">
                  <c:v>-7.5000000000002842E-4</c:v>
                </c:pt>
                <c:pt idx="40">
                  <c:v>-6.6675006254691027E-2</c:v>
                </c:pt>
                <c:pt idx="41">
                  <c:v>-0.13979359335209751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2E-44B3-8C36-207733485838}"/>
            </c:ext>
          </c:extLst>
        </c:ser>
        <c:ser>
          <c:idx val="3"/>
          <c:order val="1"/>
          <c:tx>
            <c:strRef>
              <c:f>'β Alavancado'!$E$1:$E$2</c:f>
              <c:strCache>
                <c:ptCount val="2"/>
                <c:pt idx="0">
                  <c:v>QUAL3</c:v>
                </c:pt>
                <c:pt idx="1">
                  <c:v>Retorno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69571030014968793"/>
                  <c:y val="-0.3052592418764941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0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">
                        <a:solidFill>
                          <a:schemeClr val="tx1"/>
                        </a:solidFill>
                      </a:rPr>
                      <a:t>y = 0,9126x + 0,0003: QUAL3</a:t>
                    </a:r>
                  </a:p>
                </c:rich>
              </c:tx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'β Alavancado'!$I$4:$I$45</c:f>
              <c:numCache>
                <c:formatCode>0.00%</c:formatCode>
                <c:ptCount val="42"/>
                <c:pt idx="0">
                  <c:v>-0.10952151959605694</c:v>
                </c:pt>
                <c:pt idx="1">
                  <c:v>-5.0222762251923792E-2</c:v>
                </c:pt>
                <c:pt idx="2">
                  <c:v>8.6709310589907718E-2</c:v>
                </c:pt>
                <c:pt idx="3">
                  <c:v>-3.0477436232831945E-2</c:v>
                </c:pt>
                <c:pt idx="4">
                  <c:v>3.3594171613599455E-2</c:v>
                </c:pt>
                <c:pt idx="5">
                  <c:v>9.7506852891267481E-2</c:v>
                </c:pt>
                <c:pt idx="6">
                  <c:v>2.7235965746907675E-2</c:v>
                </c:pt>
                <c:pt idx="7">
                  <c:v>-2.0493226814866428E-2</c:v>
                </c:pt>
                <c:pt idx="8">
                  <c:v>0.11111111111111116</c:v>
                </c:pt>
                <c:pt idx="9">
                  <c:v>-2.287234042553199E-2</c:v>
                </c:pt>
                <c:pt idx="10">
                  <c:v>-4.3549265106146429E-4</c:v>
                </c:pt>
                <c:pt idx="11">
                  <c:v>1.1654503866681099E-2</c:v>
                </c:pt>
                <c:pt idx="12">
                  <c:v>7.6442721791560864E-3</c:v>
                </c:pt>
                <c:pt idx="13">
                  <c:v>3.7610855860668924E-2</c:v>
                </c:pt>
                <c:pt idx="14">
                  <c:v>8.9589125733704478E-3</c:v>
                </c:pt>
                <c:pt idx="15">
                  <c:v>-3.776280873647675E-3</c:v>
                </c:pt>
                <c:pt idx="16">
                  <c:v>3.4832496670423208E-2</c:v>
                </c:pt>
                <c:pt idx="17">
                  <c:v>2.19780219780219E-2</c:v>
                </c:pt>
                <c:pt idx="18">
                  <c:v>1.0849559236655981E-2</c:v>
                </c:pt>
                <c:pt idx="19">
                  <c:v>6.5931959750838542E-2</c:v>
                </c:pt>
                <c:pt idx="20">
                  <c:v>-2.0947586082891267E-2</c:v>
                </c:pt>
                <c:pt idx="21">
                  <c:v>-7.6216712580349011E-2</c:v>
                </c:pt>
                <c:pt idx="22">
                  <c:v>-0.31063618290258455</c:v>
                </c:pt>
                <c:pt idx="23">
                  <c:v>0.11333813987022356</c:v>
                </c:pt>
                <c:pt idx="24">
                  <c:v>8.9884729957259601E-2</c:v>
                </c:pt>
                <c:pt idx="25">
                  <c:v>8.8770053475935917E-2</c:v>
                </c:pt>
                <c:pt idx="26">
                  <c:v>8.3715345994324508E-2</c:v>
                </c:pt>
                <c:pt idx="27">
                  <c:v>-3.6156712659885182E-2</c:v>
                </c:pt>
                <c:pt idx="28">
                  <c:v>-4.8589341692790056E-2</c:v>
                </c:pt>
                <c:pt idx="29">
                  <c:v>-4.2833607907742932E-3</c:v>
                </c:pt>
                <c:pt idx="30">
                  <c:v>0.15817339510258122</c:v>
                </c:pt>
                <c:pt idx="31">
                  <c:v>9.1904761904761934E-2</c:v>
                </c:pt>
                <c:pt idx="32">
                  <c:v>-3.5673789795028332E-2</c:v>
                </c:pt>
                <c:pt idx="33">
                  <c:v>-4.4952966714905895E-2</c:v>
                </c:pt>
                <c:pt idx="34">
                  <c:v>6.0895918174069363E-2</c:v>
                </c:pt>
                <c:pt idx="35">
                  <c:v>2.1246206034636783E-2</c:v>
                </c:pt>
                <c:pt idx="36">
                  <c:v>5.9877622377622286E-2</c:v>
                </c:pt>
                <c:pt idx="37">
                  <c:v>4.6185567010308404E-3</c:v>
                </c:pt>
                <c:pt idx="38">
                  <c:v>-3.8584681060668258E-2</c:v>
                </c:pt>
                <c:pt idx="39">
                  <c:v>-2.5873110750576411E-2</c:v>
                </c:pt>
                <c:pt idx="40">
                  <c:v>-6.6532258064516125E-2</c:v>
                </c:pt>
                <c:pt idx="41">
                  <c:v>-6.3949666635364721E-2</c:v>
                </c:pt>
              </c:numCache>
            </c:numRef>
          </c:xVal>
          <c:yVal>
            <c:numRef>
              <c:f>'β Alavancado'!$E$4:$E$45</c:f>
              <c:numCache>
                <c:formatCode>0.00%</c:formatCode>
                <c:ptCount val="42"/>
                <c:pt idx="0">
                  <c:v>-0.21765913762368572</c:v>
                </c:pt>
                <c:pt idx="1">
                  <c:v>-1.0563032859501664E-2</c:v>
                </c:pt>
                <c:pt idx="2">
                  <c:v>8.6132177691407907E-2</c:v>
                </c:pt>
                <c:pt idx="3">
                  <c:v>-0.21396508732038499</c:v>
                </c:pt>
                <c:pt idx="4">
                  <c:v>4.5685279205781804E-2</c:v>
                </c:pt>
                <c:pt idx="5">
                  <c:v>-0.12621359221925521</c:v>
                </c:pt>
                <c:pt idx="6">
                  <c:v>-3.7499999990992516E-2</c:v>
                </c:pt>
                <c:pt idx="7">
                  <c:v>-6.9985569961518945E-2</c:v>
                </c:pt>
                <c:pt idx="8">
                  <c:v>0.22963537624251695</c:v>
                </c:pt>
                <c:pt idx="9">
                  <c:v>-2.2712933802579216E-2</c:v>
                </c:pt>
                <c:pt idx="10">
                  <c:v>1.2265978063275007E-2</c:v>
                </c:pt>
                <c:pt idx="11">
                  <c:v>0.13928080370989737</c:v>
                </c:pt>
                <c:pt idx="12">
                  <c:v>0.17151162794961317</c:v>
                </c:pt>
                <c:pt idx="13">
                  <c:v>0.13995037220031636</c:v>
                </c:pt>
                <c:pt idx="14">
                  <c:v>-4.1945639343460295E-3</c:v>
                </c:pt>
                <c:pt idx="15">
                  <c:v>0.28667866785472196</c:v>
                </c:pt>
                <c:pt idx="16">
                  <c:v>8.77929346294124E-2</c:v>
                </c:pt>
                <c:pt idx="17">
                  <c:v>0.14352794467275376</c:v>
                </c:pt>
                <c:pt idx="18">
                  <c:v>0.15360501565804752</c:v>
                </c:pt>
                <c:pt idx="19">
                  <c:v>8.1521739195522525E-3</c:v>
                </c:pt>
                <c:pt idx="20">
                  <c:v>0.1175202156384989</c:v>
                </c:pt>
                <c:pt idx="21">
                  <c:v>-0.17390255667371257</c:v>
                </c:pt>
                <c:pt idx="22">
                  <c:v>-0.31094890511324602</c:v>
                </c:pt>
                <c:pt idx="23">
                  <c:v>9.8305084730600845E-2</c:v>
                </c:pt>
                <c:pt idx="24">
                  <c:v>-8.4727779310440066E-2</c:v>
                </c:pt>
                <c:pt idx="25">
                  <c:v>0.22259696454213729</c:v>
                </c:pt>
                <c:pt idx="26">
                  <c:v>-3.4482758597402574E-2</c:v>
                </c:pt>
                <c:pt idx="27">
                  <c:v>0.11571428570484876</c:v>
                </c:pt>
                <c:pt idx="28">
                  <c:v>8.8028169005500034E-2</c:v>
                </c:pt>
                <c:pt idx="29">
                  <c:v>-5.853691189286081E-2</c:v>
                </c:pt>
                <c:pt idx="30">
                  <c:v>4.2098649085720474E-2</c:v>
                </c:pt>
                <c:pt idx="31">
                  <c:v>5.4567380173499602E-2</c:v>
                </c:pt>
                <c:pt idx="32">
                  <c:v>-0.10758034336656996</c:v>
                </c:pt>
                <c:pt idx="33">
                  <c:v>1.5429122448266552E-2</c:v>
                </c:pt>
                <c:pt idx="34">
                  <c:v>-3.9252928130555365E-2</c:v>
                </c:pt>
                <c:pt idx="35">
                  <c:v>-0.10873146621780494</c:v>
                </c:pt>
                <c:pt idx="36">
                  <c:v>0.16236371236522484</c:v>
                </c:pt>
                <c:pt idx="37">
                  <c:v>-1.0609171785908811E-2</c:v>
                </c:pt>
                <c:pt idx="38">
                  <c:v>-0.10724467257571613</c:v>
                </c:pt>
                <c:pt idx="39">
                  <c:v>-0.17009708737864071</c:v>
                </c:pt>
                <c:pt idx="40">
                  <c:v>-6.4576509124941617E-2</c:v>
                </c:pt>
                <c:pt idx="41">
                  <c:v>-0.144072036018009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2E-44B3-8C36-207733485838}"/>
            </c:ext>
          </c:extLst>
        </c:ser>
        <c:ser>
          <c:idx val="5"/>
          <c:order val="2"/>
          <c:tx>
            <c:strRef>
              <c:f>'β Alavancado'!$G$1:$G$2</c:f>
              <c:strCache>
                <c:ptCount val="2"/>
                <c:pt idx="0">
                  <c:v>HAPV3</c:v>
                </c:pt>
                <c:pt idx="1">
                  <c:v>Retorno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69484728249482319"/>
                  <c:y val="-0.3749937814371104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">
                        <a:solidFill>
                          <a:schemeClr val="tx1"/>
                        </a:solidFill>
                      </a:rPr>
                      <a:t>y = 0,7406x + 0,0176: HAPV3</a:t>
                    </a:r>
                  </a:p>
                </c:rich>
              </c:tx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'β Alavancado'!$I$4:$I$45</c:f>
              <c:numCache>
                <c:formatCode>0.00%</c:formatCode>
                <c:ptCount val="42"/>
                <c:pt idx="0">
                  <c:v>-0.10952151959605694</c:v>
                </c:pt>
                <c:pt idx="1">
                  <c:v>-5.0222762251923792E-2</c:v>
                </c:pt>
                <c:pt idx="2">
                  <c:v>8.6709310589907718E-2</c:v>
                </c:pt>
                <c:pt idx="3">
                  <c:v>-3.0477436232831945E-2</c:v>
                </c:pt>
                <c:pt idx="4">
                  <c:v>3.3594171613599455E-2</c:v>
                </c:pt>
                <c:pt idx="5">
                  <c:v>9.7506852891267481E-2</c:v>
                </c:pt>
                <c:pt idx="6">
                  <c:v>2.7235965746907675E-2</c:v>
                </c:pt>
                <c:pt idx="7">
                  <c:v>-2.0493226814866428E-2</c:v>
                </c:pt>
                <c:pt idx="8">
                  <c:v>0.11111111111111116</c:v>
                </c:pt>
                <c:pt idx="9">
                  <c:v>-2.287234042553199E-2</c:v>
                </c:pt>
                <c:pt idx="10">
                  <c:v>-4.3549265106146429E-4</c:v>
                </c:pt>
                <c:pt idx="11">
                  <c:v>1.1654503866681099E-2</c:v>
                </c:pt>
                <c:pt idx="12">
                  <c:v>7.6442721791560864E-3</c:v>
                </c:pt>
                <c:pt idx="13">
                  <c:v>3.7610855860668924E-2</c:v>
                </c:pt>
                <c:pt idx="14">
                  <c:v>8.9589125733704478E-3</c:v>
                </c:pt>
                <c:pt idx="15">
                  <c:v>-3.776280873647675E-3</c:v>
                </c:pt>
                <c:pt idx="16">
                  <c:v>3.4832496670423208E-2</c:v>
                </c:pt>
                <c:pt idx="17">
                  <c:v>2.19780219780219E-2</c:v>
                </c:pt>
                <c:pt idx="18">
                  <c:v>1.0849559236655981E-2</c:v>
                </c:pt>
                <c:pt idx="19">
                  <c:v>6.5931959750838542E-2</c:v>
                </c:pt>
                <c:pt idx="20">
                  <c:v>-2.0947586082891267E-2</c:v>
                </c:pt>
                <c:pt idx="21">
                  <c:v>-7.6216712580349011E-2</c:v>
                </c:pt>
                <c:pt idx="22">
                  <c:v>-0.31063618290258455</c:v>
                </c:pt>
                <c:pt idx="23">
                  <c:v>0.11333813987022356</c:v>
                </c:pt>
                <c:pt idx="24">
                  <c:v>8.9884729957259601E-2</c:v>
                </c:pt>
                <c:pt idx="25">
                  <c:v>8.8770053475935917E-2</c:v>
                </c:pt>
                <c:pt idx="26">
                  <c:v>8.3715345994324508E-2</c:v>
                </c:pt>
                <c:pt idx="27">
                  <c:v>-3.6156712659885182E-2</c:v>
                </c:pt>
                <c:pt idx="28">
                  <c:v>-4.8589341692790056E-2</c:v>
                </c:pt>
                <c:pt idx="29">
                  <c:v>-4.2833607907742932E-3</c:v>
                </c:pt>
                <c:pt idx="30">
                  <c:v>0.15817339510258122</c:v>
                </c:pt>
                <c:pt idx="31">
                  <c:v>9.1904761904761934E-2</c:v>
                </c:pt>
                <c:pt idx="32">
                  <c:v>-3.5673789795028332E-2</c:v>
                </c:pt>
                <c:pt idx="33">
                  <c:v>-4.4952966714905895E-2</c:v>
                </c:pt>
                <c:pt idx="34">
                  <c:v>6.0895918174069363E-2</c:v>
                </c:pt>
                <c:pt idx="35">
                  <c:v>2.1246206034636783E-2</c:v>
                </c:pt>
                <c:pt idx="36">
                  <c:v>5.9877622377622286E-2</c:v>
                </c:pt>
                <c:pt idx="37">
                  <c:v>4.6185567010308404E-3</c:v>
                </c:pt>
                <c:pt idx="38">
                  <c:v>-3.8584681060668258E-2</c:v>
                </c:pt>
                <c:pt idx="39">
                  <c:v>-2.5873110750576411E-2</c:v>
                </c:pt>
                <c:pt idx="40">
                  <c:v>-6.6532258064516125E-2</c:v>
                </c:pt>
                <c:pt idx="41">
                  <c:v>-6.3949666635364721E-2</c:v>
                </c:pt>
              </c:numCache>
            </c:numRef>
          </c:xVal>
          <c:yVal>
            <c:numRef>
              <c:f>'β Alavancado'!$G$4:$G$45</c:f>
              <c:numCache>
                <c:formatCode>0.00%</c:formatCode>
                <c:ptCount val="42"/>
                <c:pt idx="0">
                  <c:v>8.4990958400645189E-2</c:v>
                </c:pt>
                <c:pt idx="1">
                  <c:v>-3.6666666591588237E-3</c:v>
                </c:pt>
                <c:pt idx="2">
                  <c:v>-5.7878889261556266E-2</c:v>
                </c:pt>
                <c:pt idx="3">
                  <c:v>-8.0610795452563666E-2</c:v>
                </c:pt>
                <c:pt idx="4">
                  <c:v>-7.3001158756616169E-2</c:v>
                </c:pt>
                <c:pt idx="5">
                  <c:v>6.1666666668372949E-2</c:v>
                </c:pt>
                <c:pt idx="6">
                  <c:v>0.11106750391803932</c:v>
                </c:pt>
                <c:pt idx="7">
                  <c:v>0.10901339803593113</c:v>
                </c:pt>
                <c:pt idx="8">
                  <c:v>9.7435897425027562E-2</c:v>
                </c:pt>
                <c:pt idx="9">
                  <c:v>-4.8189252325783194E-2</c:v>
                </c:pt>
                <c:pt idx="10">
                  <c:v>-5.6152193936150563E-2</c:v>
                </c:pt>
                <c:pt idx="11">
                  <c:v>-1.2067238740918418E-2</c:v>
                </c:pt>
                <c:pt idx="12">
                  <c:v>0.21546596167271237</c:v>
                </c:pt>
                <c:pt idx="13">
                  <c:v>7.2050027185248444E-2</c:v>
                </c:pt>
                <c:pt idx="14">
                  <c:v>6.4551291369732366E-2</c:v>
                </c:pt>
                <c:pt idx="15">
                  <c:v>0.23708133962507771</c:v>
                </c:pt>
                <c:pt idx="16">
                  <c:v>4.1384645174086021E-2</c:v>
                </c:pt>
                <c:pt idx="17">
                  <c:v>4.5496750229516936E-2</c:v>
                </c:pt>
                <c:pt idx="18">
                  <c:v>-1.065719357401429E-2</c:v>
                </c:pt>
                <c:pt idx="19">
                  <c:v>0.14721723513875729</c:v>
                </c:pt>
                <c:pt idx="20">
                  <c:v>-5.7764640818515289E-2</c:v>
                </c:pt>
                <c:pt idx="21">
                  <c:v>-8.1072082553026115E-2</c:v>
                </c:pt>
                <c:pt idx="22">
                  <c:v>-0.23188405795806533</c:v>
                </c:pt>
                <c:pt idx="23">
                  <c:v>0.23717421770494118</c:v>
                </c:pt>
                <c:pt idx="24">
                  <c:v>4.6147978637867126E-2</c:v>
                </c:pt>
                <c:pt idx="25">
                  <c:v>0.13324826839326365</c:v>
                </c:pt>
                <c:pt idx="26">
                  <c:v>4.777223735090641E-2</c:v>
                </c:pt>
                <c:pt idx="27">
                  <c:v>-6.2941356678435367E-3</c:v>
                </c:pt>
                <c:pt idx="28">
                  <c:v>-3.7822311364699379E-2</c:v>
                </c:pt>
                <c:pt idx="29">
                  <c:v>3.5886707364157999E-2</c:v>
                </c:pt>
                <c:pt idx="30">
                  <c:v>0.12008699706132564</c:v>
                </c:pt>
                <c:pt idx="31">
                  <c:v>5.8252427193253187E-2</c:v>
                </c:pt>
                <c:pt idx="32">
                  <c:v>0.12714747449188302</c:v>
                </c:pt>
                <c:pt idx="33">
                  <c:v>-9.7262667463747343E-2</c:v>
                </c:pt>
                <c:pt idx="34">
                  <c:v>-4.0000000031035099E-2</c:v>
                </c:pt>
                <c:pt idx="35">
                  <c:v>-2.9569892453565005E-2</c:v>
                </c:pt>
                <c:pt idx="36">
                  <c:v>0.10822846937303088</c:v>
                </c:pt>
                <c:pt idx="37">
                  <c:v>-3.6874999997534186E-2</c:v>
                </c:pt>
                <c:pt idx="38">
                  <c:v>-7.5481513431786995E-2</c:v>
                </c:pt>
                <c:pt idx="39">
                  <c:v>3.4434293795625681E-2</c:v>
                </c:pt>
                <c:pt idx="40">
                  <c:v>-7.6015041052235666E-2</c:v>
                </c:pt>
                <c:pt idx="41">
                  <c:v>-0.15084621044885949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22E-44B3-8C36-207733485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492143"/>
        <c:axId val="527494223"/>
      </c:scatterChart>
      <c:valAx>
        <c:axId val="52749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600"/>
                  <a:t>Retorno</a:t>
                </a:r>
                <a:r>
                  <a:rPr lang="es-CO" sz="1600" baseline="0"/>
                  <a:t> do Mercado</a:t>
                </a:r>
                <a:endParaRPr lang="es-CO" sz="1600"/>
              </a:p>
            </c:rich>
          </c:tx>
          <c:layout>
            <c:manualLayout>
              <c:xMode val="edge"/>
              <c:yMode val="edge"/>
              <c:x val="0.4483093487448272"/>
              <c:y val="0.857312948214169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7494223"/>
        <c:crosses val="autoZero"/>
        <c:crossBetween val="midCat"/>
      </c:valAx>
      <c:valAx>
        <c:axId val="52749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600"/>
                  <a:t>Retorno das ações</a:t>
                </a:r>
              </a:p>
            </c:rich>
          </c:tx>
          <c:layout>
            <c:manualLayout>
              <c:xMode val="edge"/>
              <c:yMode val="edge"/>
              <c:x val="5.4751814322234211E-3"/>
              <c:y val="0.31121021595464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7492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Estrutura de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'WACC e Estrutura de Capital'!$A$39</c:f>
              <c:strCache>
                <c:ptCount val="1"/>
                <c:pt idx="0">
                  <c:v>Capital dos acionistas (%)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'WACC e Estrutura de Capital'!$B$30:$E$30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'WACC e Estrutura de Capital'!$B$39:$E$39</c:f>
              <c:numCache>
                <c:formatCode>0%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0.81672902598992037</c:v>
                </c:pt>
                <c:pt idx="3">
                  <c:v>0.96451883177624564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C2-45CF-AB21-8179CDD53518}"/>
            </c:ext>
          </c:extLst>
        </c:ser>
        <c:ser>
          <c:idx val="1"/>
          <c:order val="1"/>
          <c:tx>
            <c:strRef>
              <c:f>'WACC e Estrutura de Capital'!$A$40</c:f>
              <c:strCache>
                <c:ptCount val="1"/>
                <c:pt idx="0">
                  <c:v>Capital dos credores (%)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'WACC e Estrutura de Capital'!$B$30:$E$30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'WACC e Estrutura de Capital'!$B$40:$E$40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0.18327097401007963</c:v>
                </c:pt>
                <c:pt idx="3">
                  <c:v>3.5481168223754356E-2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C2-45CF-AB21-8179CDD5351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63515504"/>
        <c:axId val="563530896"/>
      </c:lineChart>
      <c:catAx>
        <c:axId val="563515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Anos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3530896"/>
        <c:crosses val="autoZero"/>
        <c:auto val="1"/>
        <c:lblAlgn val="ctr"/>
        <c:lblOffset val="100"/>
        <c:noMultiLvlLbl val="0"/>
      </c:catAx>
      <c:valAx>
        <c:axId val="56353089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Capital (em 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%" sourceLinked="1"/>
        <c:majorTickMark val="none"/>
        <c:minorTickMark val="none"/>
        <c:tickLblPos val="nextTo"/>
        <c:crossAx val="56351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391933</xdr:colOff>
      <xdr:row>0</xdr:row>
      <xdr:rowOff>68580</xdr:rowOff>
    </xdr:from>
    <xdr:to>
      <xdr:col>19</xdr:col>
      <xdr:colOff>370113</xdr:colOff>
      <xdr:row>22</xdr:row>
      <xdr:rowOff>91440</xdr:rowOff>
    </xdr:to>
    <xdr:graphicFrame macro="">
      <xdr:nvGraphicFramePr>
        <xdr:cNvPr id="3" name="Gráfico 6">
          <a:extLst>
            <a:ext uri="{FF2B5EF4-FFF2-40B4-BE49-F238E27FC236}">
              <a16:creationId xmlns:a16="http://schemas.microsoft.com/office/drawing/2014/main" id="{FEA58238-C77F-4830-8C82-0AD699805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21</xdr:row>
      <xdr:rowOff>53340</xdr:rowOff>
    </xdr:from>
    <xdr:to>
      <xdr:col>5</xdr:col>
      <xdr:colOff>106680</xdr:colOff>
      <xdr:row>22</xdr:row>
      <xdr:rowOff>137160</xdr:rowOff>
    </xdr:to>
    <xdr:sp macro="" textlink="">
      <xdr:nvSpPr>
        <xdr:cNvPr id="7" name="CaixaDeTexto 1">
          <a:extLst>
            <a:ext uri="{FF2B5EF4-FFF2-40B4-BE49-F238E27FC236}">
              <a16:creationId xmlns:a16="http://schemas.microsoft.com/office/drawing/2014/main" id="{FFAF723F-0661-48C8-8440-D6FFFF3C8A2F}"/>
            </a:ext>
          </a:extLst>
        </xdr:cNvPr>
        <xdr:cNvSpPr txBox="1"/>
      </xdr:nvSpPr>
      <xdr:spPr>
        <a:xfrm>
          <a:off x="4046220" y="3893820"/>
          <a:ext cx="1866900" cy="2667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200" b="1"/>
            <a:t>RECOMENDAÇÃO: VENDA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569172</xdr:colOff>
      <xdr:row>1</xdr:row>
      <xdr:rowOff>53976</xdr:rowOff>
    </xdr:from>
    <xdr:to>
      <xdr:col>19</xdr:col>
      <xdr:colOff>492972</xdr:colOff>
      <xdr:row>11</xdr:row>
      <xdr:rowOff>35772</xdr:rowOff>
    </xdr:to>
    <xdr:sp macro="" textlink="">
      <xdr:nvSpPr>
        <xdr:cNvPr id="127" name="CaixaDeTexto 2">
          <a:extLst>
            <a:ext uri="{FF2B5EF4-FFF2-40B4-BE49-F238E27FC236}">
              <a16:creationId xmlns:a16="http://schemas.microsoft.com/office/drawing/2014/main" id="{7AFA9024-501E-4A02-B054-D082C6295CA7}"/>
            </a:ext>
          </a:extLst>
        </xdr:cNvPr>
        <xdr:cNvSpPr txBox="1"/>
      </xdr:nvSpPr>
      <xdr:spPr>
        <a:xfrm>
          <a:off x="12566439" y="324909"/>
          <a:ext cx="6019800" cy="185293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200" b="1"/>
            <a:t>Fontes: </a:t>
          </a:r>
        </a:p>
        <a:p>
          <a:endParaRPr lang="es-CO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CO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Debêntures:</a:t>
          </a:r>
          <a:r>
            <a:rPr lang="es-CO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https://ri.hapvida.com.br/informacoes-financeiras/divida-e-ratings/</a:t>
          </a:r>
        </a:p>
        <a:p>
          <a:endParaRPr lang="pt-B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pt-B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Expectativa da Taxa de Juros e Câmbio: Bradesco BBI</a:t>
          </a:r>
        </a:p>
        <a:p>
          <a:endParaRPr lang="pt-B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Taxa livre de risco:</a:t>
          </a:r>
          <a:r>
            <a:rPr lang="es-C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CO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https://br.investing.com/rates-bonds/brazil-10-year-bond-yield</a:t>
          </a:r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es-CO" sz="1100">
            <a:effectLst/>
          </a:endParaRPr>
        </a:p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Prêmio de mercado: </a:t>
          </a:r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https://gennegociosegestao.com.br/taxa-de-desconto-toque-de-arte-valuation/</a:t>
          </a:r>
          <a:endParaRPr lang="es-CO" sz="1100">
            <a:effectLst/>
          </a:endParaRPr>
        </a:p>
        <a:p>
          <a:endParaRPr lang="pt-BR"/>
        </a:p>
      </xdr:txBody>
    </xdr:sp>
    <xdr:clientData/>
  </xdr:twoCellAnchor>
  <xdr:twoCellAnchor editAs="oneCell">
    <xdr:from>
      <xdr:col>0</xdr:col>
      <xdr:colOff>9525</xdr:colOff>
      <xdr:row>57</xdr:row>
      <xdr:rowOff>76201</xdr:rowOff>
    </xdr:from>
    <xdr:to>
      <xdr:col>1</xdr:col>
      <xdr:colOff>1826545</xdr:colOff>
      <xdr:row>60</xdr:row>
      <xdr:rowOff>109976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50282B83-88A0-42A5-92CC-6D9C50A04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0829926"/>
          <a:ext cx="3914775" cy="576700"/>
        </a:xfrm>
        <a:prstGeom prst="rect">
          <a:avLst/>
        </a:prstGeom>
      </xdr:spPr>
    </xdr:pic>
    <xdr:clientData/>
  </xdr:twoCellAnchor>
  <xdr:twoCellAnchor>
    <xdr:from>
      <xdr:col>5</xdr:col>
      <xdr:colOff>381000</xdr:colOff>
      <xdr:row>28</xdr:row>
      <xdr:rowOff>161924</xdr:rowOff>
    </xdr:from>
    <xdr:to>
      <xdr:col>12</xdr:col>
      <xdr:colOff>485775</xdr:colOff>
      <xdr:row>47</xdr:row>
      <xdr:rowOff>85725</xdr:rowOff>
    </xdr:to>
    <xdr:graphicFrame macro="">
      <xdr:nvGraphicFramePr>
        <xdr:cNvPr id="11" name="Gráfico 129">
          <a:extLst>
            <a:ext uri="{FF2B5EF4-FFF2-40B4-BE49-F238E27FC236}">
              <a16:creationId xmlns:a16="http://schemas.microsoft.com/office/drawing/2014/main" id="{73842FCC-F674-4ED6-9248-9FCA206AC6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el Bordin Beloni" id="{C50A040A-DE2E-4D42-BDFE-5E92A1DDEB3E}" userId="Mel Bordin Beloni" providerId="Non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9">
  <rv s="0">
    <v>https://www.bing.com/financeapi/forcetrigger?t=azs2pr&amp;q=BVMF%3aHAPV3&amp;form=skydnc</v>
    <v>Learn more on Bing</v>
  </rv>
  <rv s="1">
    <v>pt-BR</v>
    <v>azs2pr</v>
    <v>268435456</v>
    <v>1</v>
    <v>Da plataforma Refinitiv</v>
    <v>0</v>
    <v>1</v>
    <v>Hapvida Participações e Investimentos S/A (BVMF:HAPV3)</v>
    <v>3</v>
    <v>4</v>
    <v>Finance</v>
    <v>5</v>
    <v>13.1</v>
    <v>4.08</v>
    <v>BVMF</v>
    <v>7144256000</v>
    <v>5.16</v>
    <v>2001</v>
    <v>4.7699999999999996</v>
    <v>0.93610000000000004</v>
    <v>B3 - Brazil Stock Exchange</v>
    <v>36292820480</v>
    <v>Hapvida Participacoes e Investimentos SA (Hapvida) é uma holding brasileira de saúde. A Companhia e suas controladas têm como atividades principais a cobertura de custos de assistência médica, hospitalar e odontológica de seus associados, a prestação de serviços médicos, hospitalares e odontológicos e exames e diagnósticos por imagem. A Hapvida tem diferentes instalações de saúde, como hospitais, clínicas ou unidades de diagnóstico por imagem. A Companhia opera no Nordeste do Brasil, em mais de 10 estados, como Alagoas, Amazonas, Bahia, Pernambuco, Rio Grande do Norte, Sergipe, entre outros.</v>
    <v>BVMF</v>
    <v>4.93</v>
    <v>44973.801107453124</v>
    <v>0</v>
    <v>70348140</v>
    <v>BRL</v>
    <v>Hapvida Participações e Investimentos S/A</v>
    <v>Hapvida Participações e Investimentos S/A</v>
    <v>4.9000000000000004</v>
    <v>5.08</v>
    <v>Avenida Heraclito Graca n 406, Centro, FORTALEZA, CEARA, 60.140-060 BR</v>
    <v>Healthcare Providers &amp; Services</v>
    <v>HAPV3</v>
    <v>Ações</v>
    <v>Hapvida Participações e Investimentos S/A (BVMF:HAPV3)</v>
    <v>0.15</v>
    <v>3.0426000000000002E-2</v>
    <v>26011200</v>
  </rv>
  <rv s="2">
    <v>1</v>
  </rv>
  <rv s="0">
    <v>https://www.bing.com/financeapi/forcetrigger?t=apn7pr&amp;q=BVMF%3aQUAL3&amp;form=skydnc</v>
    <v>Learn more on Bing</v>
  </rv>
  <rv s="3">
    <v>pt-BR</v>
    <v>apn7pr</v>
    <v>268435456</v>
    <v>1</v>
    <v>Da plataforma Refinitiv</v>
    <v>6</v>
    <v>7</v>
    <v>QUALICORP CONSULTORIA E CORRETORA DE SEGUROS S.A. (BVMF:QUAL3)</v>
    <v>3</v>
    <v>8</v>
    <v>Finance</v>
    <v>5</v>
    <v>17.399999999999999</v>
    <v>4.8600000000000003</v>
    <v>BVMF</v>
    <v>284014300</v>
    <v>5.21</v>
    <v>2010</v>
    <v>5.01</v>
    <v>0.95609999999999995</v>
    <v>B3 - Brazil Stock Exchange</v>
    <v>1471194074</v>
    <v>A Qualicorp Consultoria e Corretora de Seguros SA, anteriormente Qualicorp SA, é uma empresa sediada no Brasil que atua principalmente no setor de seguros de saúde. A Companhia se concentra na administração e gerenciamento de planos de saúde, incluindo saúde em grupo e seguro odontológico. Suas atividades estão divididas em duas áreas: Afinidade e Corporativa. A divisão Affinity oferece serviços intermediários entre provedores e instituições de seguros, além de serviços administrativos adicionais, como monitoramento dos serviços médicos utilizados e faturamento mensal. A divisão Corporativa fornece consultoria de seguros, corretagem, gerenciamento de benefícios terceirizados, conectividade e risco para empresas nacionais e internacionais, além de órgãos governamentais. A Companhia opera através de várias subsidiárias, como a Qualicorp Corretora de Seguros SA, a Qualicorp Administradora de Benefícios SA e a Gama Saude Ltda.</v>
    <v>BVMF</v>
    <v>5.19</v>
    <v>2821</v>
    <v>44973.80097222222</v>
    <v>3</v>
    <v>7686900</v>
    <v>BRL</v>
    <v>QUALICORP CONSULTORIA E CORRETORA DE SEGUROS S.A.</v>
    <v>QUALICORP CONSULTORIA E CORRETORA DE SEGUROS S.A.</v>
    <v>5.15</v>
    <v>5.18</v>
    <v>Avenida Paulista, 4753 andar - parte, Bela Vista, SAO PAULO, SAO PAULO, 01.311-000 BR</v>
    <v>Insurance</v>
    <v>QUAL3</v>
    <v>Ações</v>
    <v>QUALICORP CONSULTORIA E CORRETORA DE SEGUROS S.A. (BVMF:QUAL3)</v>
    <v>-0.01</v>
    <v>-1.9270000000000001E-3</v>
    <v>2874500</v>
  </rv>
  <rv s="2">
    <v>4</v>
  </rv>
  <rv s="0">
    <v>https://www.bing.com/financeapi/forcetrigger?t=azqv9c&amp;q=BVMF%3aGNDI3&amp;form=skydnc</v>
    <v>Learn more on Bing</v>
  </rv>
  <rv s="4">
    <v>pt-BR</v>
    <v>azqv9c</v>
    <v>268435456</v>
    <v>1</v>
    <v>1</v>
    <v>Da plataforma Refinitiv</v>
    <v>9</v>
    <v>10</v>
    <v>Notre Dame Intermédica Participações S.A. (BVMF:GNDI3)</v>
    <v>3</v>
    <v>11</v>
    <v>Finance</v>
    <v>5</v>
    <v>102.68</v>
    <v>61.46</v>
    <v>BVMF</v>
    <v>615242100</v>
    <v>70.040000000000006</v>
    <v>2014</v>
    <v>67.64</v>
    <v>0.79400000000000004</v>
    <v>B3 - Brazil Stock Exchange</v>
    <v>42193303218</v>
    <v>A Notre Dame Intermedica Participações SA (Notre Dame), anteriormente conhecida como BCBH Participações SA, é uma empresa brasileira especializada no setor de saúde. A Companhia opera como holding do Grupo NotreDame Intermedica. A Notre Dame possui escritórios em São Paulo, Rio de Janeiro, Jundai, Campinas, Sorocaba e Baixada Santista e através de suas subsidiárias oferece diferentes serviços médicos no Brasil. A empresa possui mais de 15 hospitais, mais de 20 salas de emergência, mais de 10 unidades de medicina preventiva e mais de 65 centros clínicos. Notre Dame através de suas subsidiárias oferece serviços de saúde; serviços odontológicos, que incluem planos odontológicos, odontologia preventiva e contato on-line, e outros serviços especializados como cirurgia infantil ou saúde ocupacional.</v>
    <v>BVMF</v>
    <v>70.099999999999994</v>
    <v>11032</v>
    <v>44525.947916666664</v>
    <v>6</v>
    <v>BRL</v>
    <v>Notre Dame Intermédica Participações S.A.</v>
    <v>Notre Dame Intermédica Participações S.A.</v>
    <v>69.98</v>
    <v>68.58</v>
    <v>Avenida Paulista, 867, 8 andar Conjunto 82, Sala A, Bela Vista, Sao Paulo, SAO PAULO, 01.311-100 BR</v>
    <v>Healthcare Providers &amp; Services</v>
    <v>GNDI3</v>
    <v>Ações</v>
    <v>Notre Dame Intermédica Participações S.A. (BVMF:GNDI3)</v>
    <v>-1.52</v>
    <v>-2.1682999999999997E-2</v>
    <v>4730800</v>
  </rv>
  <rv s="2">
    <v>7</v>
  </rv>
</rvData>
</file>

<file path=xl/richData/rdrichvaluestructure.xml><?xml version="1.0" encoding="utf-8"?>
<rvStructures xmlns="http://schemas.microsoft.com/office/spreadsheetml/2017/richdata" count="5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ções em circulação"/>
    <k n="Alto"/>
    <k n="Ano de incorporação"/>
    <k n="Baixo"/>
    <k n="Beta"/>
    <k n="Bolsa" t="s"/>
    <k n="Capitalização de mercado"/>
    <k n="Descrição" t="s"/>
    <k n="ExchangeID" t="s"/>
    <k n="Fechamento anterior"/>
    <k n="Hora da última transação"/>
    <k n="LearnMoreOnLink" t="r"/>
    <k n="Média de volume"/>
    <k n="Moeda" t="s"/>
    <k n="Nome" t="s"/>
    <k n="Nome oficial" t="s"/>
    <k n="Pendência"/>
    <k n="Preço"/>
    <k n="Sede" t="s"/>
    <k n="Setor" t="s"/>
    <k n="Símbolo do ticker" t="s"/>
    <k n="Tipo de instrumento" t="s"/>
    <k n="UniqueName" t="s"/>
    <k n="Variação"/>
    <k n="Variação (%)"/>
    <k n="Volume"/>
  </s>
  <s t="_linkedentity">
    <k n="%cvi" t="r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ções em circulação"/>
    <k n="Alto"/>
    <k n="Ano de incorporação"/>
    <k n="Baixo"/>
    <k n="Beta"/>
    <k n="Bolsa" t="s"/>
    <k n="Capitalização de mercado"/>
    <k n="Descrição" t="s"/>
    <k n="ExchangeID" t="s"/>
    <k n="Fechamento anterior"/>
    <k n="Funcionários"/>
    <k n="Hora da última transação"/>
    <k n="LearnMoreOnLink" t="r"/>
    <k n="Média de volume"/>
    <k n="Moeda" t="s"/>
    <k n="Nome" t="s"/>
    <k n="Nome oficial" t="s"/>
    <k n="Pendência"/>
    <k n="Preço"/>
    <k n="Sede" t="s"/>
    <k n="Setor" t="s"/>
    <k n="Símbolo do ticker" t="s"/>
    <k n="Tipo de instrumento" t="s"/>
    <k n="UniqueName" t="s"/>
    <k n="Variação"/>
    <k n="Variação (%)"/>
    <k n="Volume"/>
  </s>
  <s t="_linkedentitycore">
    <k n="%EntityCulture" t="s"/>
    <k n="%EntityId" t="s"/>
    <k n="%EntityServiceId"/>
    <k n="%IsRefreshable" t="b"/>
    <k n="%OutdatedReason" t="i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ções em circulação"/>
    <k n="Alto"/>
    <k n="Ano de incorporação"/>
    <k n="Baixo"/>
    <k n="Beta"/>
    <k n="Bolsa" t="s"/>
    <k n="Capitalização de mercado"/>
    <k n="Descrição" t="s"/>
    <k n="ExchangeID" t="s"/>
    <k n="Fechamento anterior"/>
    <k n="Funcionários"/>
    <k n="Hora da última transação"/>
    <k n="LearnMoreOnLink" t="r"/>
    <k n="Moeda" t="s"/>
    <k n="Nome" t="s"/>
    <k n="Nome oficial" t="s"/>
    <k n="Pendência"/>
    <k n="Preço"/>
    <k n="Sede" t="s"/>
    <k n="Setor" t="s"/>
    <k n="Símbolo do ticker" t="s"/>
    <k n="Tipo de instrumento" t="s"/>
    <k n="UniqueName" t="s"/>
    <k n="Variação"/>
    <k n="Variação (%)"/>
    <k n="Volume"/>
  </s>
</rvStructures>
</file>

<file path=xl/richData/rdsupportingpropertybag.xml><?xml version="1.0" encoding="utf-8"?>
<supportingPropertyBags xmlns="http://schemas.microsoft.com/office/spreadsheetml/2017/richdata2">
  <spbArrays count="3">
    <a count="41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Nome oficial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Média de volume</v>
      <v t="s">Capitalização de mercado</v>
      <v t="s">Beta</v>
      <v t="s">Ações em circulação</v>
      <v t="s">Descrição</v>
      <v t="s">Sede</v>
      <v t="s">Setor</v>
      <v t="s">Tipo de instrumento</v>
      <v t="s">Ano de incorporação</v>
      <v t="s">_Flags</v>
      <v t="s">UniqueName</v>
      <v t="s">_DisplayString</v>
      <v t="s">LearnMoreOnLink</v>
      <v t="s">ExchangeID</v>
      <v t="s">%ProviderInfo</v>
    </a>
    <a count="42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Nome oficial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Média de volume</v>
      <v t="s">Capitalização de mercado</v>
      <v t="s">Beta</v>
      <v t="s">Ações em circulação</v>
      <v t="s">Descrição</v>
      <v t="s">Funcionários</v>
      <v t="s">Sede</v>
      <v t="s">Setor</v>
      <v t="s">Tipo de instrumento</v>
      <v t="s">Ano de incorporação</v>
      <v t="s">_Flags</v>
      <v t="s">UniqueName</v>
      <v t="s">_DisplayString</v>
      <v t="s">LearnMoreOnLink</v>
      <v t="s">ExchangeID</v>
      <v t="s">%ProviderInfo</v>
    </a>
    <a count="42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Nome oficial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Capitalização de mercado</v>
      <v t="s">Beta</v>
      <v t="s">Ações em circulação</v>
      <v t="s">Descrição</v>
      <v t="s">Funcionários</v>
      <v t="s">Sede</v>
      <v t="s">Setor</v>
      <v t="s">Tipo de instrumento</v>
      <v t="s">Ano de incorporação</v>
      <v t="s">_Flags</v>
      <v t="s">UniqueName</v>
      <v t="s">_DisplayString</v>
      <v t="s">LearnMoreOnLink</v>
      <v t="s">ExchangeID</v>
      <v t="s">%ProviderInfo</v>
      <v t="s">%OutdatedReason</v>
    </a>
  </spbArrays>
  <spbData count="12">
    <spb s="0">
      <v>High</v>
      <v>Beta</v>
      <v>Name</v>
      <v>Headquarters</v>
      <v>Low</v>
      <v>Exchange</v>
      <v>Currency</v>
      <v>Price</v>
      <v>Industry</v>
      <v>Volume</v>
      <v>Change</v>
      <v>Description</v>
      <v>Open</v>
      <v>ExchangeID</v>
      <v>UniqueName</v>
      <v>Official name</v>
      <v>Change (%)</v>
      <v>%ProviderInfo</v>
      <v>LearnMoreOnLink</v>
      <v>Volume average</v>
      <v>Ticker symbol</v>
      <v>52 week high</v>
      <v>52 week low</v>
      <v>Year incorporated</v>
      <v>Shares outstanding</v>
      <v>Previous close</v>
      <v>Instrument type</v>
      <v>Exchange abbreviation</v>
      <v>Market cap</v>
      <v>Last trade time</v>
    </spb>
    <spb s="1">
      <v>0</v>
      <v>Name</v>
      <v>LearnMoreOnLink</v>
    </spb>
    <spb s="2">
      <v>0</v>
      <v>0</v>
      <v>0</v>
    </spb>
    <spb s="3">
      <v>2</v>
      <v>2</v>
      <v>2</v>
      <v>2</v>
    </spb>
    <spb s="4">
      <v>1</v>
      <v>2</v>
      <v>3</v>
      <v>1</v>
      <v>1</v>
      <v>4</v>
      <v>1</v>
      <v>1</v>
      <v>5</v>
      <v>4</v>
      <v>6</v>
      <v>1</v>
      <v>1</v>
      <v>7</v>
      <v>4</v>
      <v>1</v>
      <v>8</v>
      <v>9</v>
    </spb>
    <spb s="5">
      <v>Atraso de 30 minutos</v>
      <v xml:space="preserve">do fechamento anterior </v>
      <v xml:space="preserve">do fechamento anterior </v>
      <v>GMT</v>
    </spb>
    <spb s="6">
      <v>High</v>
      <v>Beta</v>
      <v>Name</v>
      <v>Headquarters</v>
      <v>Low</v>
      <v>Exchange</v>
      <v>Currency</v>
      <v>Price</v>
      <v>Industry</v>
      <v>Volume</v>
      <v>Change</v>
      <v>Description</v>
      <v>Open</v>
      <v>ExchangeID</v>
      <v>UniqueName</v>
      <v>Employees</v>
      <v>Official name</v>
      <v>Change (%)</v>
      <v>%ProviderInfo</v>
      <v>LearnMoreOnLink</v>
      <v>Volume average</v>
      <v>Ticker symbol</v>
      <v>52 week high</v>
      <v>52 week low</v>
      <v>Year incorporated</v>
      <v>Shares outstanding</v>
      <v>Previous close</v>
      <v>Instrument type</v>
      <v>Exchange abbreviation</v>
      <v>Market cap</v>
      <v>Last trade time</v>
    </spb>
    <spb s="1">
      <v>1</v>
      <v>Name</v>
      <v>LearnMoreOnLink</v>
    </spb>
    <spb s="7">
      <v>1</v>
      <v>2</v>
      <v>3</v>
      <v>1</v>
      <v>1</v>
      <v>4</v>
      <v>1</v>
      <v>1</v>
      <v>4</v>
      <v>5</v>
      <v>4</v>
      <v>6</v>
      <v>1</v>
      <v>1</v>
      <v>7</v>
      <v>4</v>
      <v>1</v>
      <v>8</v>
      <v>9</v>
    </spb>
    <spb s="8">
      <v>High</v>
      <v>Beta</v>
      <v>Name</v>
      <v>Headquarters</v>
      <v>Low</v>
      <v>Exchange</v>
      <v>Currency</v>
      <v>Price</v>
      <v>Industry</v>
      <v>Volume</v>
      <v>Change</v>
      <v>Description</v>
      <v>Open</v>
      <v>ExchangeID</v>
      <v>UniqueName</v>
      <v>Employees</v>
      <v>Official name</v>
      <v>Change (%)</v>
      <v>%ProviderInfo</v>
      <v>LearnMoreOnLink</v>
      <v>Ticker symbol</v>
      <v>52 week high</v>
      <v>52 week low</v>
      <v>Year incorporated</v>
      <v>Shares outstanding</v>
      <v>Previous close</v>
      <v>Instrument type</v>
      <v>Exchange abbreviation</v>
      <v>Market cap</v>
      <v>Last trade time</v>
    </spb>
    <spb s="1">
      <v>2</v>
      <v>Name</v>
      <v>LearnMoreOnLink</v>
    </spb>
    <spb s="9">
      <v>10</v>
      <v>11</v>
      <v>3</v>
      <v>10</v>
      <v>10</v>
      <v>12</v>
      <v>10</v>
      <v>10</v>
      <v>12</v>
      <v>5</v>
      <v>13</v>
      <v>10</v>
      <v>10</v>
      <v>14</v>
      <v>12</v>
      <v>10</v>
      <v>15</v>
      <v>9</v>
    </spb>
  </spbData>
</supportingPropertyBags>
</file>

<file path=xl/richData/rdsupportingpropertybagstructure.xml><?xml version="1.0" encoding="utf-8"?>
<spbStructures xmlns="http://schemas.microsoft.com/office/spreadsheetml/2017/richdata2" count="10">
  <s>
    <k n="Alto" t="s"/>
    <k n="Beta" t="s"/>
    <k n="Nome" t="s"/>
    <k n="Sede" t="s"/>
    <k n="Baixo" t="s"/>
    <k n="Bolsa" t="s"/>
    <k n="Moeda" t="s"/>
    <k n="Preço" t="s"/>
    <k n="Setor" t="s"/>
    <k n="Volume" t="s"/>
    <k n="Variação" t="s"/>
    <k n="Descrição" t="s"/>
    <k n="Pendência" t="s"/>
    <k n="ExchangeID" t="s"/>
    <k n="UniqueName" t="s"/>
    <k n="Nome oficial" t="s"/>
    <k n="Variação (%)" t="s"/>
    <k n="%ProviderInfo" t="s"/>
    <k n="LearnMoreOnLink" t="s"/>
    <k n="Média de volume" t="s"/>
    <k n="Símbolo do ticker" t="s"/>
    <k n="52 semanas de alta" t="s"/>
    <k n="52 semanas de baixa" t="s"/>
    <k n="Ano de incorporação" t="s"/>
    <k n="Ações em circulação" t="s"/>
    <k n="Fechamento anterior" t="s"/>
    <k n="Tipo de instrumento" t="s"/>
    <k n="Abreviatura do câmbio" t="s"/>
    <k n="Capitalização de mercado" t="s"/>
    <k n="Hora da última transação" t="s"/>
  </s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Alto" t="i"/>
    <k n="Beta" t="i"/>
    <k n="Nome" t="i"/>
    <k n="Baixo" t="i"/>
    <k n="Preço" t="i"/>
    <k n="Volume" t="i"/>
    <k n="Variação" t="i"/>
    <k n="Pendência" t="i"/>
    <k n="Variação (%)" t="i"/>
    <k n="Média de volume" t="i"/>
    <k n="`%EntityServiceId" t="i"/>
    <k n="52 semanas de alta" t="i"/>
    <k n="52 semanas de baixa" t="i"/>
    <k n="Ano de incorporação" t="i"/>
    <k n="Ações em circulação" t="i"/>
    <k n="Fechamento anterior" t="i"/>
    <k n="Capitalização de mercado" t="i"/>
    <k n="Hora da última transação" t="i"/>
  </s>
  <s>
    <k n="Preço" t="s"/>
    <k n="Variação" t="s"/>
    <k n="Variação (%)" t="s"/>
    <k n="Hora da última transação" t="s"/>
  </s>
  <s>
    <k n="Alto" t="s"/>
    <k n="Beta" t="s"/>
    <k n="Nome" t="s"/>
    <k n="Sede" t="s"/>
    <k n="Baixo" t="s"/>
    <k n="Bolsa" t="s"/>
    <k n="Moeda" t="s"/>
    <k n="Preço" t="s"/>
    <k n="Setor" t="s"/>
    <k n="Volume" t="s"/>
    <k n="Variação" t="s"/>
    <k n="Descrição" t="s"/>
    <k n="Pendência" t="s"/>
    <k n="ExchangeID" t="s"/>
    <k n="UniqueName" t="s"/>
    <k n="Funcionários" t="s"/>
    <k n="Nome oficial" t="s"/>
    <k n="Variação (%)" t="s"/>
    <k n="%ProviderInfo" t="s"/>
    <k n="LearnMoreOnLink" t="s"/>
    <k n="Média de volume" t="s"/>
    <k n="Símbolo do ticker" t="s"/>
    <k n="52 semanas de alta" t="s"/>
    <k n="52 semanas de baixa" t="s"/>
    <k n="Ano de incorporação" t="s"/>
    <k n="Ações em circulação" t="s"/>
    <k n="Fechamento anterior" t="s"/>
    <k n="Tipo de instrumento" t="s"/>
    <k n="Abreviatura do câmbio" t="s"/>
    <k n="Capitalização de mercado" t="s"/>
    <k n="Hora da última transação" t="s"/>
  </s>
  <s>
    <k n="Alto" t="i"/>
    <k n="Beta" t="i"/>
    <k n="Nome" t="i"/>
    <k n="Baixo" t="i"/>
    <k n="Preço" t="i"/>
    <k n="Volume" t="i"/>
    <k n="Variação" t="i"/>
    <k n="Pendência" t="i"/>
    <k n="Funcionários" t="i"/>
    <k n="Variação (%)" t="i"/>
    <k n="Média de volume" t="i"/>
    <k n="`%EntityServiceId" t="i"/>
    <k n="52 semanas de alta" t="i"/>
    <k n="52 semanas de baixa" t="i"/>
    <k n="Ano de incorporação" t="i"/>
    <k n="Ações em circulação" t="i"/>
    <k n="Fechamento anterior" t="i"/>
    <k n="Capitalização de mercado" t="i"/>
    <k n="Hora da última transação" t="i"/>
  </s>
  <s>
    <k n="Alto" t="s"/>
    <k n="Beta" t="s"/>
    <k n="Nome" t="s"/>
    <k n="Sede" t="s"/>
    <k n="Baixo" t="s"/>
    <k n="Bolsa" t="s"/>
    <k n="Moeda" t="s"/>
    <k n="Preço" t="s"/>
    <k n="Setor" t="s"/>
    <k n="Volume" t="s"/>
    <k n="Variação" t="s"/>
    <k n="Descrição" t="s"/>
    <k n="Pendência" t="s"/>
    <k n="ExchangeID" t="s"/>
    <k n="UniqueName" t="s"/>
    <k n="Funcionários" t="s"/>
    <k n="Nome oficial" t="s"/>
    <k n="Variação (%)" t="s"/>
    <k n="%ProviderInfo" t="s"/>
    <k n="LearnMoreOnLink" t="s"/>
    <k n="Símbolo do ticker" t="s"/>
    <k n="52 semanas de alta" t="s"/>
    <k n="52 semanas de baixa" t="s"/>
    <k n="Ano de incorporação" t="s"/>
    <k n="Ações em circulação" t="s"/>
    <k n="Fechamento anterior" t="s"/>
    <k n="Tipo de instrumento" t="s"/>
    <k n="Abreviatura do câmbio" t="s"/>
    <k n="Capitalização de mercado" t="s"/>
    <k n="Hora da última transação" t="s"/>
  </s>
  <s>
    <k n="Alto" t="i"/>
    <k n="Beta" t="i"/>
    <k n="Nome" t="i"/>
    <k n="Baixo" t="i"/>
    <k n="Preço" t="i"/>
    <k n="Volume" t="i"/>
    <k n="Variação" t="i"/>
    <k n="Pendência" t="i"/>
    <k n="Funcionários" t="i"/>
    <k n="Variação (%)" t="i"/>
    <k n="`%EntityServiceId" t="i"/>
    <k n="52 semanas de alta" t="i"/>
    <k n="52 semanas de baixa" t="i"/>
    <k n="Ano de incorporação" t="i"/>
    <k n="Ações em circulação" t="i"/>
    <k n="Fechamento anterior" t="i"/>
    <k n="Capitalização de mercado" t="i"/>
    <k n="Hora da última transação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9">
    <x:dxf>
      <x:numFmt numFmtId="2" formatCode="0.00"/>
    </x:dxf>
    <x:dxf>
      <x:numFmt numFmtId="165" formatCode="_-[$R$-416]\ * #,##0.00_-;\-[$R$-416]\ * #,##0.00_-;_-[$R$-416]\ * &quot;-&quot;??_-;_-@_-"/>
    </x:dxf>
    <x:dxf>
      <x:numFmt numFmtId="27" formatCode="dd/mm/yyyy\ hh:mm"/>
    </x:dxf>
    <x:dxf>
      <x:numFmt numFmtId="14" formatCode="0.00%"/>
    </x:dxf>
    <x:dxf>
      <x:numFmt numFmtId="3" formatCode="#,##0"/>
    </x:dxf>
    <x:dxf>
      <x:numFmt numFmtId="164" formatCode="_-[$R$-416]\ * #,##0_-;\-[$R$-416]\ * #,##0_-;_-[$R$-416]\ * &quot;-&quot;_-;_-@_-"/>
    </x:dxf>
    <x:dxf>
      <x:numFmt numFmtId="4" formatCode="#,##0.00"/>
    </x:dxf>
    <x:dxf>
      <x:numFmt numFmtId="1" formatCode="0"/>
    </x:dxf>
    <x:dxf>
      <x:numFmt numFmtId="0" formatCode="General"/>
    </x:dxf>
  </dxfs>
  <richProperties>
    <rPr n="NumberFormat" t="s"/>
    <rPr n="IsTitleField" t="b"/>
  </richProperties>
  <richStyles>
    <rSty dxfid="8">
      <rpv i="0">_-[$R$-pt-BR] * #,##0.00_-;-[$R$-pt-BR] * #,##0.00_-;_-[$R$-pt-BR] * "-"??_-;_-@_-</rpv>
    </rSty>
    <rSty dxfid="6">
      <rpv i="0">#,##0.00</rpv>
    </rSty>
    <rSty>
      <rpv i="1">1</rpv>
    </rSty>
    <rSty dxfid="4">
      <rpv i="0">#,##0</rpv>
    </rSty>
    <rSty dxfid="3"/>
    <rSty dxfid="0">
      <rpv i="0">0.00</rpv>
    </rSty>
    <rSty dxfid="7">
      <rpv i="0">0</rpv>
    </rSty>
    <rSty dxfid="8">
      <rpv i="0">_-[$R$-pt-BR] * #,##0_-;-[$R$-pt-BR] * #,##0_-;_-[$R$-pt-BR] * "-"_-;_-@_-</rpv>
    </rSty>
    <rSty dxfid="2"/>
    <rSty dxfid="1"/>
    <rSty dxfid="6"/>
    <rSty dxfid="4"/>
    <rSty dxfid="0"/>
    <rSty dxfid="7"/>
    <rSty dxfid="5"/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1" dT="2021-11-24T20:45:41.38" personId="{C50A040A-DE2E-4D42-BDFE-5E92A1DDEB3E}" id="{F2154AF1-626A-4A70-AFBD-4EF1A2EEBA14}">
    <text>Financiamento de Curto Prazo +  Financiamento de Longo Prazo</text>
  </threadedComment>
  <threadedComment ref="A42" dT="2021-11-24T20:48:53.36" personId="{C50A040A-DE2E-4D42-BDFE-5E92A1DDEB3E}" id="{D9705566-A583-4636-AA85-EB6E801AB7DD}">
    <text>B/(B+S)</text>
  </threadedComment>
  <threadedComment ref="A43" dT="2021-11-24T20:49:02.35" personId="{C50A040A-DE2E-4D42-BDFE-5E92A1DDEB3E}" id="{501C389B-80B3-4306-AFD3-071478DA568E}">
    <text>S/(B+S)</text>
  </threadedComment>
  <threadedComment ref="A53" dT="2021-11-24T20:48:53.36" personId="{C50A040A-DE2E-4D42-BDFE-5E92A1DDEB3E}" id="{7ADCA066-02AF-4E3B-91B1-75A448CB258B}">
    <text>B/(B+S)</text>
  </threadedComment>
  <threadedComment ref="A54" dT="2021-11-24T20:49:02.35" personId="{C50A040A-DE2E-4D42-BDFE-5E92A1DDEB3E}" id="{266D66DD-FD8E-4D81-8ABC-3055F1610225}">
    <text>S/(B+S)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4" dT="2021-11-25T12:34:59.90" personId="{C50A040A-DE2E-4D42-BDFE-5E92A1DDEB3E}" id="{5F669DCD-1B0D-4C2B-99D5-11C0B4BDB330}">
    <text>Lucro Antes de Juros, Impostos, Depreciação e Amortização.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FF94-D4CC-426A-878A-828A5C98BE11}">
  <dimension ref="A1:P46"/>
  <sheetViews>
    <sheetView topLeftCell="F19" zoomScaleNormal="100" workbookViewId="0">
      <selection activeCell="E29" sqref="E29"/>
    </sheetView>
  </sheetViews>
  <sheetFormatPr defaultRowHeight="14.4" x14ac:dyDescent="0.3"/>
  <cols>
    <col min="2" max="2" width="13.6640625" style="8" customWidth="1"/>
    <col min="3" max="3" width="9.5546875" customWidth="1"/>
    <col min="4" max="4" width="13.33203125" style="8" customWidth="1"/>
    <col min="6" max="6" width="12.88671875" style="8" customWidth="1"/>
    <col min="8" max="8" width="12.88671875" style="8" customWidth="1"/>
    <col min="11" max="11" width="33.88671875" customWidth="1"/>
    <col min="12" max="12" width="17.109375" customWidth="1"/>
    <col min="13" max="13" width="17.6640625" customWidth="1"/>
    <col min="14" max="14" width="19" customWidth="1"/>
    <col min="15" max="15" width="19.33203125" bestFit="1" customWidth="1"/>
    <col min="16" max="16" width="9.44140625" bestFit="1" customWidth="1"/>
    <col min="17" max="17" width="17" customWidth="1"/>
  </cols>
  <sheetData>
    <row r="1" spans="1:9" x14ac:dyDescent="0.3">
      <c r="A1" s="37" t="s">
        <v>0</v>
      </c>
      <c r="B1" s="164" t="s">
        <v>1</v>
      </c>
      <c r="C1" s="164"/>
      <c r="D1" s="165" t="s">
        <v>2</v>
      </c>
      <c r="E1" s="165"/>
      <c r="F1" s="166" t="s">
        <v>3</v>
      </c>
      <c r="G1" s="166"/>
      <c r="H1" s="163" t="s">
        <v>4</v>
      </c>
      <c r="I1" s="163"/>
    </row>
    <row r="2" spans="1:9" x14ac:dyDescent="0.3">
      <c r="A2" s="27"/>
      <c r="B2" s="7" t="s">
        <v>5</v>
      </c>
      <c r="C2" s="38" t="s">
        <v>6</v>
      </c>
      <c r="D2" s="9" t="s">
        <v>5</v>
      </c>
      <c r="E2" s="39" t="s">
        <v>6</v>
      </c>
      <c r="F2" s="10" t="s">
        <v>5</v>
      </c>
      <c r="G2" s="36" t="s">
        <v>6</v>
      </c>
      <c r="H2" s="11" t="s">
        <v>5</v>
      </c>
      <c r="I2" s="17" t="s">
        <v>6</v>
      </c>
    </row>
    <row r="3" spans="1:9" x14ac:dyDescent="0.3">
      <c r="A3" s="40" t="s">
        <v>7</v>
      </c>
      <c r="B3" s="41">
        <v>20.165114753000001</v>
      </c>
      <c r="C3" s="38"/>
      <c r="D3" s="42">
        <v>18.385755845999999</v>
      </c>
      <c r="E3" s="39"/>
      <c r="F3" s="43">
        <v>5.4014056675999997</v>
      </c>
      <c r="G3" s="36"/>
      <c r="H3" s="44">
        <v>83.18</v>
      </c>
      <c r="I3" s="17"/>
    </row>
    <row r="4" spans="1:9" x14ac:dyDescent="0.3">
      <c r="A4" s="40" t="s">
        <v>8</v>
      </c>
      <c r="B4" s="41">
        <v>21.252449373000001</v>
      </c>
      <c r="C4" s="4">
        <f>B4/B3-1</f>
        <v>5.3921568675340037E-2</v>
      </c>
      <c r="D4" s="42">
        <v>14.383928084000001</v>
      </c>
      <c r="E4" s="45">
        <f>D4/D3-1</f>
        <v>-0.21765913762368572</v>
      </c>
      <c r="F4" s="43">
        <v>5.8604763120000003</v>
      </c>
      <c r="G4" s="5">
        <f>F4/F3-1</f>
        <v>8.4990958400645189E-2</v>
      </c>
      <c r="H4" s="44">
        <v>74.069999999999993</v>
      </c>
      <c r="I4" s="6">
        <f>H4/H3-1</f>
        <v>-0.10952151959605694</v>
      </c>
    </row>
    <row r="5" spans="1:9" x14ac:dyDescent="0.3">
      <c r="A5" s="40" t="s">
        <v>9</v>
      </c>
      <c r="B5" s="41">
        <v>21.351297974000001</v>
      </c>
      <c r="C5" s="4">
        <f t="shared" ref="C5:C45" si="0">B5/B4-1</f>
        <v>4.6511627561189872E-3</v>
      </c>
      <c r="D5" s="42">
        <v>14.231990179</v>
      </c>
      <c r="E5" s="45">
        <f t="shared" ref="E5:E45" si="1">D5/D4-1</f>
        <v>-1.0563032859501664E-2</v>
      </c>
      <c r="F5" s="43">
        <v>5.8389878989000001</v>
      </c>
      <c r="G5" s="5">
        <f t="shared" ref="G5:G45" si="2">F5/F4-1</f>
        <v>-3.6666666591588237E-3</v>
      </c>
      <c r="H5" s="44">
        <v>70.349999999999994</v>
      </c>
      <c r="I5" s="6">
        <f t="shared" ref="I5:I45" si="3">H5/H4-1</f>
        <v>-5.0222762251923792E-2</v>
      </c>
    </row>
    <row r="6" spans="1:9" x14ac:dyDescent="0.3">
      <c r="A6" s="40" t="s">
        <v>10</v>
      </c>
      <c r="B6" s="41">
        <v>24.217907425</v>
      </c>
      <c r="C6" s="4">
        <f t="shared" si="0"/>
        <v>0.13425925929612048</v>
      </c>
      <c r="D6" s="42">
        <v>15.457822486</v>
      </c>
      <c r="E6" s="45">
        <f t="shared" si="1"/>
        <v>8.6132177691407907E-2</v>
      </c>
      <c r="F6" s="43">
        <v>5.5010337648999998</v>
      </c>
      <c r="G6" s="5">
        <f t="shared" si="2"/>
        <v>-5.7878889261556266E-2</v>
      </c>
      <c r="H6" s="44">
        <v>76.45</v>
      </c>
      <c r="I6" s="6">
        <f t="shared" si="3"/>
        <v>8.6709310589907718E-2</v>
      </c>
    </row>
    <row r="7" spans="1:9" x14ac:dyDescent="0.3">
      <c r="A7" s="40" t="s">
        <v>11</v>
      </c>
      <c r="B7" s="41">
        <v>25.206393442</v>
      </c>
      <c r="C7" s="4">
        <f t="shared" si="0"/>
        <v>4.0816326516286416E-2</v>
      </c>
      <c r="D7" s="42">
        <v>12.150388147999999</v>
      </c>
      <c r="E7" s="45">
        <f t="shared" si="1"/>
        <v>-0.21396508732038499</v>
      </c>
      <c r="F7" s="43">
        <v>5.0575910572999998</v>
      </c>
      <c r="G7" s="5">
        <f t="shared" si="2"/>
        <v>-8.0610795452563666E-2</v>
      </c>
      <c r="H7" s="44">
        <v>74.12</v>
      </c>
      <c r="I7" s="6">
        <f t="shared" si="3"/>
        <v>-3.0477436232831945E-2</v>
      </c>
    </row>
    <row r="8" spans="1:9" x14ac:dyDescent="0.3">
      <c r="A8" s="40" t="s">
        <v>12</v>
      </c>
      <c r="B8" s="41">
        <v>26.066376277</v>
      </c>
      <c r="C8" s="4">
        <f t="shared" si="0"/>
        <v>3.411764705564968E-2</v>
      </c>
      <c r="D8" s="42">
        <v>12.705482023</v>
      </c>
      <c r="E8" s="45">
        <f t="shared" si="1"/>
        <v>4.5685279205781804E-2</v>
      </c>
      <c r="F8" s="43">
        <v>4.6883810496000002</v>
      </c>
      <c r="G8" s="5">
        <f t="shared" si="2"/>
        <v>-7.3001158756616169E-2</v>
      </c>
      <c r="H8" s="44">
        <v>76.61</v>
      </c>
      <c r="I8" s="6">
        <f t="shared" si="3"/>
        <v>3.3594171613599455E-2</v>
      </c>
    </row>
    <row r="9" spans="1:9" x14ac:dyDescent="0.3">
      <c r="A9" s="40" t="s">
        <v>13</v>
      </c>
      <c r="B9" s="41">
        <v>23.852167598000001</v>
      </c>
      <c r="C9" s="4">
        <f t="shared" si="0"/>
        <v>-8.4945013279568715E-2</v>
      </c>
      <c r="D9" s="42">
        <v>11.101877496</v>
      </c>
      <c r="E9" s="45">
        <f t="shared" si="1"/>
        <v>-0.12621359221925521</v>
      </c>
      <c r="F9" s="43">
        <v>4.9774978809999997</v>
      </c>
      <c r="G9" s="5">
        <f t="shared" si="2"/>
        <v>6.1666666668372949E-2</v>
      </c>
      <c r="H9" s="44">
        <v>84.08</v>
      </c>
      <c r="I9" s="6">
        <f t="shared" si="3"/>
        <v>9.7506852891267481E-2</v>
      </c>
    </row>
    <row r="10" spans="1:9" x14ac:dyDescent="0.3">
      <c r="A10" s="40" t="s">
        <v>14</v>
      </c>
      <c r="B10" s="41">
        <v>27.578759883</v>
      </c>
      <c r="C10" s="4">
        <f t="shared" si="0"/>
        <v>0.15623704930332916</v>
      </c>
      <c r="D10" s="42">
        <v>10.68555709</v>
      </c>
      <c r="E10" s="45">
        <f t="shared" si="1"/>
        <v>-3.7499999990992516E-2</v>
      </c>
      <c r="F10" s="43">
        <v>5.5303361463999998</v>
      </c>
      <c r="G10" s="5">
        <f t="shared" si="2"/>
        <v>0.11106750391803932</v>
      </c>
      <c r="H10" s="44">
        <v>86.37</v>
      </c>
      <c r="I10" s="6">
        <f t="shared" si="3"/>
        <v>2.7235965746907675E-2</v>
      </c>
    </row>
    <row r="11" spans="1:9" x14ac:dyDescent="0.3">
      <c r="A11" s="40" t="s">
        <v>15</v>
      </c>
      <c r="B11" s="41">
        <v>28.745173384000001</v>
      </c>
      <c r="C11" s="4">
        <f t="shared" si="0"/>
        <v>4.2293906830777939E-2</v>
      </c>
      <c r="D11" s="42">
        <v>9.9377222866999997</v>
      </c>
      <c r="E11" s="45">
        <f t="shared" si="1"/>
        <v>-6.9985569961518945E-2</v>
      </c>
      <c r="F11" s="43">
        <v>6.1332168820000001</v>
      </c>
      <c r="G11" s="5">
        <f t="shared" si="2"/>
        <v>0.10901339803593113</v>
      </c>
      <c r="H11" s="44">
        <v>84.6</v>
      </c>
      <c r="I11" s="6">
        <f t="shared" si="3"/>
        <v>-2.0493226814866428E-2</v>
      </c>
    </row>
    <row r="12" spans="1:9" x14ac:dyDescent="0.3">
      <c r="A12" s="40" t="s">
        <v>16</v>
      </c>
      <c r="B12" s="41">
        <v>33.193360462000001</v>
      </c>
      <c r="C12" s="4">
        <f t="shared" si="0"/>
        <v>0.15474552957387711</v>
      </c>
      <c r="D12" s="42">
        <v>12.219774882999999</v>
      </c>
      <c r="E12" s="45">
        <f t="shared" si="1"/>
        <v>0.22963537624251695</v>
      </c>
      <c r="F12" s="43">
        <v>6.730812373</v>
      </c>
      <c r="G12" s="5">
        <f t="shared" si="2"/>
        <v>9.7435897425027562E-2</v>
      </c>
      <c r="H12" s="44">
        <v>94</v>
      </c>
      <c r="I12" s="6">
        <f t="shared" si="3"/>
        <v>0.11111111111111116</v>
      </c>
    </row>
    <row r="13" spans="1:9" x14ac:dyDescent="0.3">
      <c r="A13" s="40" t="s">
        <v>17</v>
      </c>
      <c r="B13" s="41">
        <v>32.837505495999999</v>
      </c>
      <c r="C13" s="4">
        <f t="shared" si="0"/>
        <v>-1.0720667056515309E-2</v>
      </c>
      <c r="D13" s="42">
        <v>11.942227945000001</v>
      </c>
      <c r="E13" s="45">
        <f t="shared" si="1"/>
        <v>-2.2712933802579216E-2</v>
      </c>
      <c r="F13" s="43">
        <v>6.4064595571999998</v>
      </c>
      <c r="G13" s="5">
        <f t="shared" si="2"/>
        <v>-4.8189252325783194E-2</v>
      </c>
      <c r="H13" s="44">
        <v>91.85</v>
      </c>
      <c r="I13" s="6">
        <f t="shared" si="3"/>
        <v>-2.287234042553199E-2</v>
      </c>
    </row>
    <row r="14" spans="1:9" x14ac:dyDescent="0.3">
      <c r="A14" s="40" t="s">
        <v>18</v>
      </c>
      <c r="B14" s="41">
        <v>32.573278561999999</v>
      </c>
      <c r="C14" s="4">
        <f t="shared" si="0"/>
        <v>-8.0464983563439674E-3</v>
      </c>
      <c r="D14" s="42">
        <v>12.088711051000001</v>
      </c>
      <c r="E14" s="45">
        <f t="shared" si="1"/>
        <v>1.2265978063275007E-2</v>
      </c>
      <c r="F14" s="43">
        <v>6.0467227977000002</v>
      </c>
      <c r="G14" s="5">
        <f t="shared" si="2"/>
        <v>-5.6152193936150563E-2</v>
      </c>
      <c r="H14" s="44">
        <v>91.81</v>
      </c>
      <c r="I14" s="6">
        <f t="shared" si="3"/>
        <v>-4.3549265106146429E-4</v>
      </c>
    </row>
    <row r="15" spans="1:9" x14ac:dyDescent="0.3">
      <c r="A15" s="40" t="s">
        <v>19</v>
      </c>
      <c r="B15" s="41">
        <v>34.877242168000002</v>
      </c>
      <c r="C15" s="4">
        <f t="shared" si="0"/>
        <v>7.073170732920353E-2</v>
      </c>
      <c r="D15" s="42">
        <v>13.772436442</v>
      </c>
      <c r="E15" s="45">
        <f t="shared" si="1"/>
        <v>0.13928080370989737</v>
      </c>
      <c r="F15" s="43">
        <v>5.9737555500999999</v>
      </c>
      <c r="G15" s="5">
        <f t="shared" si="2"/>
        <v>-1.2067238740918418E-2</v>
      </c>
      <c r="H15" s="44">
        <v>92.88</v>
      </c>
      <c r="I15" s="6">
        <f t="shared" si="3"/>
        <v>1.1654503866681099E-2</v>
      </c>
    </row>
    <row r="16" spans="1:9" x14ac:dyDescent="0.3">
      <c r="A16" s="40" t="s">
        <v>20</v>
      </c>
      <c r="B16" s="41">
        <v>40.716598202</v>
      </c>
      <c r="C16" s="4">
        <f t="shared" si="0"/>
        <v>0.16742596808177757</v>
      </c>
      <c r="D16" s="42">
        <v>16.134569437</v>
      </c>
      <c r="E16" s="45">
        <f t="shared" si="1"/>
        <v>0.17151162794961317</v>
      </c>
      <c r="F16" s="43">
        <v>7.2608965344999996</v>
      </c>
      <c r="G16" s="5">
        <f t="shared" si="2"/>
        <v>0.21546596167271237</v>
      </c>
      <c r="H16" s="44">
        <v>93.59</v>
      </c>
      <c r="I16" s="6">
        <f t="shared" si="3"/>
        <v>7.6442721791560864E-3</v>
      </c>
    </row>
    <row r="17" spans="1:16" x14ac:dyDescent="0.3">
      <c r="A17" s="40" t="s">
        <v>21</v>
      </c>
      <c r="B17" s="41">
        <v>40.041298525000002</v>
      </c>
      <c r="C17" s="4">
        <f t="shared" si="0"/>
        <v>-1.6585365841462307E-2</v>
      </c>
      <c r="D17" s="42">
        <v>18.392608435</v>
      </c>
      <c r="E17" s="45">
        <f t="shared" si="1"/>
        <v>0.13995037220031636</v>
      </c>
      <c r="F17" s="43">
        <v>7.7840443272000002</v>
      </c>
      <c r="G17" s="5">
        <f t="shared" si="2"/>
        <v>7.2050027185248444E-2</v>
      </c>
      <c r="H17" s="44">
        <v>97.11</v>
      </c>
      <c r="I17" s="6">
        <f t="shared" si="3"/>
        <v>3.7610855860668924E-2</v>
      </c>
    </row>
    <row r="18" spans="1:16" x14ac:dyDescent="0.3">
      <c r="A18" s="40" t="s">
        <v>22</v>
      </c>
      <c r="B18" s="41">
        <v>43.397935156999999</v>
      </c>
      <c r="C18" s="4">
        <f t="shared" si="0"/>
        <v>8.3829365071771189E-2</v>
      </c>
      <c r="D18" s="42">
        <v>18.315459463</v>
      </c>
      <c r="E18" s="45">
        <f t="shared" si="1"/>
        <v>-4.1945639343460295E-3</v>
      </c>
      <c r="F18" s="43">
        <v>8.2865144405999995</v>
      </c>
      <c r="G18" s="5">
        <f t="shared" si="2"/>
        <v>6.4551291369732366E-2</v>
      </c>
      <c r="H18" s="44">
        <v>97.98</v>
      </c>
      <c r="I18" s="6">
        <f t="shared" si="3"/>
        <v>8.9589125733704478E-3</v>
      </c>
    </row>
    <row r="19" spans="1:16" x14ac:dyDescent="0.3">
      <c r="A19" s="40" t="s">
        <v>23</v>
      </c>
      <c r="B19" s="41">
        <v>55.692361638999998</v>
      </c>
      <c r="C19" s="4">
        <f t="shared" si="0"/>
        <v>0.28329519451841789</v>
      </c>
      <c r="D19" s="42">
        <v>23.566110983000002</v>
      </c>
      <c r="E19" s="45">
        <f t="shared" si="1"/>
        <v>0.28667866785472196</v>
      </c>
      <c r="F19" s="43">
        <v>10.251092385</v>
      </c>
      <c r="G19" s="5">
        <f t="shared" si="2"/>
        <v>0.23708133962507771</v>
      </c>
      <c r="H19" s="44">
        <v>97.61</v>
      </c>
      <c r="I19" s="6">
        <f t="shared" si="3"/>
        <v>-3.776280873647675E-3</v>
      </c>
    </row>
    <row r="20" spans="1:16" x14ac:dyDescent="0.3">
      <c r="A20" s="40" t="s">
        <v>24</v>
      </c>
      <c r="B20" s="41">
        <v>53.875011035999997</v>
      </c>
      <c r="C20" s="4">
        <f t="shared" si="0"/>
        <v>-3.2631954356328707E-2</v>
      </c>
      <c r="D20" s="42">
        <v>25.635049024000001</v>
      </c>
      <c r="E20" s="45">
        <f t="shared" si="1"/>
        <v>8.77929346294124E-2</v>
      </c>
      <c r="F20" s="43">
        <v>10.675330206</v>
      </c>
      <c r="G20" s="5">
        <f t="shared" si="2"/>
        <v>4.1384645174086021E-2</v>
      </c>
      <c r="H20" s="44">
        <v>101.01</v>
      </c>
      <c r="I20" s="6">
        <f t="shared" si="3"/>
        <v>3.4832496670423208E-2</v>
      </c>
    </row>
    <row r="21" spans="1:16" x14ac:dyDescent="0.3">
      <c r="A21" s="40" t="s">
        <v>25</v>
      </c>
      <c r="B21" s="41">
        <v>59.585265661999998</v>
      </c>
      <c r="C21" s="4">
        <f t="shared" si="0"/>
        <v>0.10599078341133583</v>
      </c>
      <c r="D21" s="42">
        <v>29.314394922000002</v>
      </c>
      <c r="E21" s="45">
        <f t="shared" si="1"/>
        <v>0.14352794467275376</v>
      </c>
      <c r="F21" s="43">
        <v>11.161023038</v>
      </c>
      <c r="G21" s="5">
        <f t="shared" si="2"/>
        <v>4.5496750229516936E-2</v>
      </c>
      <c r="H21" s="44">
        <v>103.23</v>
      </c>
      <c r="I21" s="6">
        <f t="shared" si="3"/>
        <v>2.19780219780219E-2</v>
      </c>
    </row>
    <row r="22" spans="1:16" x14ac:dyDescent="0.3">
      <c r="A22" s="40" t="s">
        <v>26</v>
      </c>
      <c r="B22" s="41">
        <v>56.298145173000002</v>
      </c>
      <c r="C22" s="4">
        <f t="shared" si="0"/>
        <v>-5.5166666666325304E-2</v>
      </c>
      <c r="D22" s="42">
        <v>33.817233012999999</v>
      </c>
      <c r="E22" s="45">
        <f t="shared" si="1"/>
        <v>0.15360501565804752</v>
      </c>
      <c r="F22" s="43">
        <v>11.042077855</v>
      </c>
      <c r="G22" s="5">
        <f t="shared" si="2"/>
        <v>-1.065719357401429E-2</v>
      </c>
      <c r="H22" s="44">
        <v>104.35</v>
      </c>
      <c r="I22" s="6">
        <f t="shared" si="3"/>
        <v>1.0849559236655981E-2</v>
      </c>
    </row>
    <row r="23" spans="1:16" x14ac:dyDescent="0.3">
      <c r="A23" s="40" t="s">
        <v>27</v>
      </c>
      <c r="B23" s="41">
        <v>67.778239690999996</v>
      </c>
      <c r="C23" s="4">
        <f t="shared" si="0"/>
        <v>0.20391603458200125</v>
      </c>
      <c r="D23" s="42">
        <v>34.092916977999998</v>
      </c>
      <c r="E23" s="45">
        <f t="shared" si="1"/>
        <v>8.1521739195522525E-3</v>
      </c>
      <c r="F23" s="43">
        <v>12.667662027</v>
      </c>
      <c r="G23" s="5">
        <f t="shared" si="2"/>
        <v>0.14721723513875729</v>
      </c>
      <c r="H23" s="44">
        <v>111.23</v>
      </c>
      <c r="I23" s="6">
        <f t="shared" si="3"/>
        <v>6.5931959750838542E-2</v>
      </c>
    </row>
    <row r="24" spans="1:16" x14ac:dyDescent="0.3">
      <c r="A24" s="40" t="s">
        <v>28</v>
      </c>
      <c r="B24" s="41">
        <v>69.724691702000001</v>
      </c>
      <c r="C24" s="4">
        <f t="shared" si="0"/>
        <v>2.8717948708521401E-2</v>
      </c>
      <c r="D24" s="42">
        <v>38.099523933</v>
      </c>
      <c r="E24" s="45">
        <f t="shared" si="1"/>
        <v>0.1175202156384989</v>
      </c>
      <c r="F24" s="43">
        <v>11.93591908</v>
      </c>
      <c r="G24" s="5">
        <f t="shared" si="2"/>
        <v>-5.7764640818515289E-2</v>
      </c>
      <c r="H24" s="44">
        <v>108.9</v>
      </c>
      <c r="I24" s="6">
        <f t="shared" si="3"/>
        <v>-2.0947586082891267E-2</v>
      </c>
    </row>
    <row r="25" spans="1:16" x14ac:dyDescent="0.3">
      <c r="A25" s="40" t="s">
        <v>29</v>
      </c>
      <c r="B25" s="41">
        <v>62.792939130000001</v>
      </c>
      <c r="C25" s="4">
        <f t="shared" si="0"/>
        <v>-9.9416037601513962E-2</v>
      </c>
      <c r="D25" s="42">
        <v>31.473919313</v>
      </c>
      <c r="E25" s="45">
        <f t="shared" si="1"/>
        <v>-0.17390255667371257</v>
      </c>
      <c r="F25" s="43">
        <v>10.968249263000001</v>
      </c>
      <c r="G25" s="5">
        <f t="shared" si="2"/>
        <v>-8.1072082553026115E-2</v>
      </c>
      <c r="H25" s="44">
        <v>100.6</v>
      </c>
      <c r="I25" s="6">
        <f t="shared" si="3"/>
        <v>-7.6216712580349011E-2</v>
      </c>
    </row>
    <row r="26" spans="1:16" x14ac:dyDescent="0.3">
      <c r="A26" s="40" t="s">
        <v>30</v>
      </c>
      <c r="B26" s="41">
        <v>44.803244835000001</v>
      </c>
      <c r="C26" s="4">
        <f t="shared" si="0"/>
        <v>-0.28649231178295376</v>
      </c>
      <c r="D26" s="42">
        <v>21.687138563000001</v>
      </c>
      <c r="E26" s="45">
        <f t="shared" si="1"/>
        <v>-0.31094890511324602</v>
      </c>
      <c r="F26" s="43">
        <v>8.4248871152000007</v>
      </c>
      <c r="G26" s="5">
        <f t="shared" si="2"/>
        <v>-0.23188405795806533</v>
      </c>
      <c r="H26" s="44">
        <v>69.349999999999994</v>
      </c>
      <c r="I26" s="6">
        <f t="shared" si="3"/>
        <v>-0.31063618290258455</v>
      </c>
      <c r="K26" s="14" t="s">
        <v>31</v>
      </c>
      <c r="L26" s="14" t="s">
        <v>32</v>
      </c>
      <c r="M26" s="14" t="s">
        <v>33</v>
      </c>
      <c r="N26" s="14" t="s">
        <v>34</v>
      </c>
      <c r="O26" s="14" t="s">
        <v>35</v>
      </c>
      <c r="P26" s="14" t="s">
        <v>36</v>
      </c>
    </row>
    <row r="27" spans="1:16" x14ac:dyDescent="0.3">
      <c r="A27" s="40" t="s">
        <v>37</v>
      </c>
      <c r="B27" s="41">
        <v>54.618902343999999</v>
      </c>
      <c r="C27" s="4">
        <f t="shared" si="0"/>
        <v>0.21908362988325503</v>
      </c>
      <c r="D27" s="42">
        <v>23.819094557</v>
      </c>
      <c r="E27" s="45">
        <f t="shared" si="1"/>
        <v>9.8305084730600845E-2</v>
      </c>
      <c r="F27" s="43">
        <v>10.423053125999999</v>
      </c>
      <c r="G27" s="5">
        <f t="shared" si="2"/>
        <v>0.23717421770494118</v>
      </c>
      <c r="H27" s="44">
        <v>77.209999999999994</v>
      </c>
      <c r="I27" s="6">
        <f t="shared" si="3"/>
        <v>0.11333813987022356</v>
      </c>
      <c r="K27" s="49" t="e" vm="1">
        <v>#VALUE!</v>
      </c>
      <c r="L27" s="36">
        <v>0.74060000000000004</v>
      </c>
      <c r="M27" s="50">
        <v>2042711</v>
      </c>
      <c r="N27" s="12" cm="1">
        <f t="array" ref="N27">_FV(K27,"Capitalização de mercado",TRUE)/1000</f>
        <v>36292820.479999997</v>
      </c>
      <c r="O27" s="50">
        <f>M27+N27</f>
        <v>38335531.479999997</v>
      </c>
      <c r="P27" s="133">
        <f>M27/O27</f>
        <v>5.3285057520741592E-2</v>
      </c>
    </row>
    <row r="28" spans="1:16" x14ac:dyDescent="0.3">
      <c r="A28" s="40" t="s">
        <v>38</v>
      </c>
      <c r="B28" s="41">
        <v>62.082788104999999</v>
      </c>
      <c r="C28" s="4">
        <f t="shared" si="0"/>
        <v>0.13665389527587091</v>
      </c>
      <c r="D28" s="42">
        <v>21.800955569999999</v>
      </c>
      <c r="E28" s="45">
        <f t="shared" si="1"/>
        <v>-8.4727779310440066E-2</v>
      </c>
      <c r="F28" s="43">
        <v>10.904055959000001</v>
      </c>
      <c r="G28" s="5">
        <f t="shared" si="2"/>
        <v>4.6147978637867126E-2</v>
      </c>
      <c r="H28" s="44">
        <v>84.15</v>
      </c>
      <c r="I28" s="6">
        <f t="shared" si="3"/>
        <v>8.9884729957259601E-2</v>
      </c>
      <c r="K28" s="51" t="e" vm="2">
        <v>#VALUE!</v>
      </c>
      <c r="L28" s="39">
        <v>0.91259999999999997</v>
      </c>
      <c r="M28" s="12">
        <f>1328337</f>
        <v>1328337</v>
      </c>
      <c r="N28" s="12" cm="1">
        <f t="array" ref="N28">_FV(K28,"Capitalização de mercado",TRUE)/1000</f>
        <v>1471194.074</v>
      </c>
      <c r="O28" s="50">
        <f>M28+N28</f>
        <v>2799531.074</v>
      </c>
      <c r="P28" s="133">
        <f>M28/O28</f>
        <v>0.47448553521574521</v>
      </c>
    </row>
    <row r="29" spans="1:16" x14ac:dyDescent="0.3">
      <c r="A29" s="40" t="s">
        <v>39</v>
      </c>
      <c r="B29" s="41">
        <v>67.772879919999994</v>
      </c>
      <c r="C29" s="4">
        <f t="shared" si="0"/>
        <v>9.1653290528389331E-2</v>
      </c>
      <c r="D29" s="42">
        <v>26.653782104000001</v>
      </c>
      <c r="E29" s="45">
        <f t="shared" si="1"/>
        <v>0.22259696454213729</v>
      </c>
      <c r="F29" s="43">
        <v>12.357002533999999</v>
      </c>
      <c r="G29" s="5">
        <f t="shared" si="2"/>
        <v>0.13324826839326365</v>
      </c>
      <c r="H29" s="44">
        <v>91.62</v>
      </c>
      <c r="I29" s="6">
        <f t="shared" si="3"/>
        <v>8.8770053475935917E-2</v>
      </c>
      <c r="K29" s="52" t="e" vm="3">
        <v>#VALUE!</v>
      </c>
      <c r="L29" s="38">
        <v>0.78969999999999996</v>
      </c>
      <c r="M29" s="13">
        <v>3389528</v>
      </c>
      <c r="N29" s="53" cm="1">
        <f t="array" ref="N29">_FV(K29,"Capitalização de mercado",TRUE)/1000</f>
        <v>42193303.218000002</v>
      </c>
      <c r="O29" s="50">
        <f>M29+N29</f>
        <v>45582831.218000002</v>
      </c>
      <c r="P29" s="133">
        <f>M29/O29</f>
        <v>7.4359751455313816E-2</v>
      </c>
    </row>
    <row r="30" spans="1:16" x14ac:dyDescent="0.3">
      <c r="A30" s="40" t="s">
        <v>40</v>
      </c>
      <c r="B30" s="41">
        <v>66.527238104000006</v>
      </c>
      <c r="C30" s="4">
        <f t="shared" si="0"/>
        <v>-1.837965005279929E-2</v>
      </c>
      <c r="D30" s="42">
        <v>25.73468617</v>
      </c>
      <c r="E30" s="45">
        <f t="shared" si="1"/>
        <v>-3.4482758597402574E-2</v>
      </c>
      <c r="F30" s="43">
        <v>12.947324192</v>
      </c>
      <c r="G30" s="5">
        <f t="shared" si="2"/>
        <v>4.777223735090641E-2</v>
      </c>
      <c r="H30" s="44">
        <v>99.29</v>
      </c>
      <c r="I30" s="6">
        <f t="shared" si="3"/>
        <v>8.3715345994324508E-2</v>
      </c>
      <c r="M30" s="54"/>
    </row>
    <row r="31" spans="1:16" x14ac:dyDescent="0.3">
      <c r="A31" s="40" t="s">
        <v>41</v>
      </c>
      <c r="B31" s="41">
        <v>73.841646847000007</v>
      </c>
      <c r="C31" s="4">
        <f t="shared" si="0"/>
        <v>0.1099460754941548</v>
      </c>
      <c r="D31" s="42">
        <v>28.712556998</v>
      </c>
      <c r="E31" s="45">
        <f t="shared" si="1"/>
        <v>0.11571428570484876</v>
      </c>
      <c r="F31" s="43">
        <v>12.865831976999999</v>
      </c>
      <c r="G31" s="5">
        <f t="shared" si="2"/>
        <v>-6.2941356678435367E-3</v>
      </c>
      <c r="H31" s="44">
        <v>95.7</v>
      </c>
      <c r="I31" s="6">
        <f t="shared" si="3"/>
        <v>-3.6156712659885182E-2</v>
      </c>
    </row>
    <row r="32" spans="1:16" x14ac:dyDescent="0.3">
      <c r="A32" s="40" t="s">
        <v>42</v>
      </c>
      <c r="B32" s="41">
        <v>64.833165234999996</v>
      </c>
      <c r="C32" s="4">
        <f t="shared" si="0"/>
        <v>-0.12199730093595551</v>
      </c>
      <c r="D32" s="42">
        <v>31.240070818</v>
      </c>
      <c r="E32" s="45">
        <f t="shared" si="1"/>
        <v>8.8028169005500034E-2</v>
      </c>
      <c r="F32" s="43">
        <v>12.379216474</v>
      </c>
      <c r="G32" s="5">
        <f t="shared" si="2"/>
        <v>-3.7822311364699379E-2</v>
      </c>
      <c r="H32" s="44">
        <v>91.05</v>
      </c>
      <c r="I32" s="6">
        <f t="shared" si="3"/>
        <v>-4.8589341692790056E-2</v>
      </c>
    </row>
    <row r="33" spans="1:9" x14ac:dyDescent="0.3">
      <c r="A33" s="40" t="s">
        <v>43</v>
      </c>
      <c r="B33" s="41">
        <v>65.520759517000002</v>
      </c>
      <c r="C33" s="4">
        <f t="shared" si="0"/>
        <v>1.0605594829555143E-2</v>
      </c>
      <c r="D33" s="42">
        <v>29.411373545</v>
      </c>
      <c r="E33" s="45">
        <f t="shared" si="1"/>
        <v>-5.853691189286081E-2</v>
      </c>
      <c r="F33" s="43">
        <v>12.823465793</v>
      </c>
      <c r="G33" s="5">
        <f t="shared" si="2"/>
        <v>3.5886707364157999E-2</v>
      </c>
      <c r="H33" s="44">
        <v>90.66</v>
      </c>
      <c r="I33" s="6">
        <f t="shared" si="3"/>
        <v>-4.2833607907742932E-3</v>
      </c>
    </row>
    <row r="34" spans="1:9" x14ac:dyDescent="0.3">
      <c r="A34" s="40" t="s">
        <v>44</v>
      </c>
      <c r="B34" s="41">
        <v>68.261171512000004</v>
      </c>
      <c r="C34" s="4">
        <f t="shared" si="0"/>
        <v>4.1825095056918116E-2</v>
      </c>
      <c r="D34" s="42">
        <v>30.649552638999999</v>
      </c>
      <c r="E34" s="45">
        <f t="shared" si="1"/>
        <v>4.2098649085720474E-2</v>
      </c>
      <c r="F34" s="43">
        <v>14.363397292</v>
      </c>
      <c r="G34" s="5">
        <f t="shared" si="2"/>
        <v>0.12008699706132564</v>
      </c>
      <c r="H34" s="44">
        <v>105</v>
      </c>
      <c r="I34" s="6">
        <f t="shared" si="3"/>
        <v>0.15817339510258122</v>
      </c>
    </row>
    <row r="35" spans="1:9" x14ac:dyDescent="0.3">
      <c r="A35" s="40" t="s">
        <v>45</v>
      </c>
      <c r="B35" s="41">
        <v>78.066863886999997</v>
      </c>
      <c r="C35" s="4">
        <f t="shared" si="0"/>
        <v>0.1436496350385108</v>
      </c>
      <c r="D35" s="42">
        <v>32.32201843</v>
      </c>
      <c r="E35" s="45">
        <f t="shared" si="1"/>
        <v>5.4567380173499602E-2</v>
      </c>
      <c r="F35" s="43">
        <v>15.200100046999999</v>
      </c>
      <c r="G35" s="5">
        <f t="shared" si="2"/>
        <v>5.8252427193253187E-2</v>
      </c>
      <c r="H35" s="44">
        <v>114.65</v>
      </c>
      <c r="I35" s="6">
        <f t="shared" si="3"/>
        <v>9.1904761904761934E-2</v>
      </c>
    </row>
    <row r="36" spans="1:9" x14ac:dyDescent="0.3">
      <c r="A36" s="40" t="s">
        <v>46</v>
      </c>
      <c r="B36" s="41">
        <v>94.170521282999999</v>
      </c>
      <c r="C36" s="4">
        <f t="shared" si="0"/>
        <v>0.20628031656695822</v>
      </c>
      <c r="D36" s="42">
        <v>28.844804588999999</v>
      </c>
      <c r="E36" s="45">
        <f t="shared" si="1"/>
        <v>-0.10758034336656996</v>
      </c>
      <c r="F36" s="43">
        <v>17.132754380000002</v>
      </c>
      <c r="G36" s="5">
        <f t="shared" si="2"/>
        <v>0.12714747449188302</v>
      </c>
      <c r="H36" s="44">
        <v>110.56</v>
      </c>
      <c r="I36" s="6">
        <f t="shared" si="3"/>
        <v>-3.5673789795028332E-2</v>
      </c>
    </row>
    <row r="37" spans="1:9" x14ac:dyDescent="0.3">
      <c r="A37" s="40" t="s">
        <v>47</v>
      </c>
      <c r="B37" s="41">
        <v>86.417646621000003</v>
      </c>
      <c r="C37" s="4">
        <f t="shared" si="0"/>
        <v>-8.2328042325486961E-2</v>
      </c>
      <c r="D37" s="42">
        <v>29.289854610999999</v>
      </c>
      <c r="E37" s="45">
        <f t="shared" si="1"/>
        <v>1.5429122448266552E-2</v>
      </c>
      <c r="F37" s="43">
        <v>15.466376988</v>
      </c>
      <c r="G37" s="5">
        <f t="shared" si="2"/>
        <v>-9.7262667463747343E-2</v>
      </c>
      <c r="H37" s="44">
        <v>105.59</v>
      </c>
      <c r="I37" s="6">
        <f t="shared" si="3"/>
        <v>-4.4952966714905895E-2</v>
      </c>
    </row>
    <row r="38" spans="1:9" x14ac:dyDescent="0.3">
      <c r="A38" s="40" t="s">
        <v>48</v>
      </c>
      <c r="B38" s="41">
        <v>82.511313885999996</v>
      </c>
      <c r="C38" s="4">
        <f t="shared" si="0"/>
        <v>-4.5202952032840304E-2</v>
      </c>
      <c r="D38" s="42">
        <v>28.140142053000002</v>
      </c>
      <c r="E38" s="45">
        <f t="shared" si="1"/>
        <v>-3.9252928130555365E-2</v>
      </c>
      <c r="F38" s="43">
        <v>14.847721908</v>
      </c>
      <c r="G38" s="5">
        <f t="shared" si="2"/>
        <v>-4.0000000031035099E-2</v>
      </c>
      <c r="H38" s="44">
        <v>112.02</v>
      </c>
      <c r="I38" s="6">
        <f t="shared" si="3"/>
        <v>6.0895918174069363E-2</v>
      </c>
    </row>
    <row r="39" spans="1:9" x14ac:dyDescent="0.3">
      <c r="A39" s="40" t="s">
        <v>49</v>
      </c>
      <c r="B39" s="41">
        <v>80.986648302999996</v>
      </c>
      <c r="C39" s="4">
        <f t="shared" si="0"/>
        <v>-1.8478260873490915E-2</v>
      </c>
      <c r="D39" s="42">
        <v>25.080423148000001</v>
      </c>
      <c r="E39" s="45">
        <f t="shared" si="1"/>
        <v>-0.10873146621780494</v>
      </c>
      <c r="F39" s="43">
        <v>14.408676368</v>
      </c>
      <c r="G39" s="5">
        <f t="shared" si="2"/>
        <v>-2.9569892453565005E-2</v>
      </c>
      <c r="H39" s="44">
        <v>114.4</v>
      </c>
      <c r="I39" s="6">
        <f t="shared" si="3"/>
        <v>2.1246206034636783E-2</v>
      </c>
    </row>
    <row r="40" spans="1:9" x14ac:dyDescent="0.3">
      <c r="A40" s="40" t="s">
        <v>50</v>
      </c>
      <c r="B40" s="41">
        <v>88.39</v>
      </c>
      <c r="C40" s="4">
        <f t="shared" si="0"/>
        <v>9.1414472041137174E-2</v>
      </c>
      <c r="D40" s="42">
        <v>29.152573757999999</v>
      </c>
      <c r="E40" s="45">
        <f t="shared" si="1"/>
        <v>0.16236371236522484</v>
      </c>
      <c r="F40" s="43">
        <v>15.968105357000001</v>
      </c>
      <c r="G40" s="5">
        <f t="shared" si="2"/>
        <v>0.10822846937303088</v>
      </c>
      <c r="H40" s="44">
        <v>121.25</v>
      </c>
      <c r="I40" s="6">
        <f t="shared" si="3"/>
        <v>5.9877622377622286E-2</v>
      </c>
    </row>
    <row r="41" spans="1:9" x14ac:dyDescent="0.3">
      <c r="A41" s="40" t="s">
        <v>51</v>
      </c>
      <c r="B41" s="41">
        <v>84.93</v>
      </c>
      <c r="C41" s="4">
        <f t="shared" si="0"/>
        <v>-3.9144699626654567E-2</v>
      </c>
      <c r="D41" s="42">
        <v>28.843289094999999</v>
      </c>
      <c r="E41" s="45">
        <f t="shared" si="1"/>
        <v>-1.0609171785908811E-2</v>
      </c>
      <c r="F41" s="43">
        <v>15.379281472000001</v>
      </c>
      <c r="G41" s="5">
        <f t="shared" si="2"/>
        <v>-3.6874999997534186E-2</v>
      </c>
      <c r="H41" s="44">
        <v>121.81</v>
      </c>
      <c r="I41" s="6">
        <f t="shared" si="3"/>
        <v>4.6185567010308404E-3</v>
      </c>
    </row>
    <row r="42" spans="1:9" x14ac:dyDescent="0.3">
      <c r="A42" s="40" t="s">
        <v>52</v>
      </c>
      <c r="B42" s="41">
        <v>80</v>
      </c>
      <c r="C42" s="4">
        <f t="shared" si="0"/>
        <v>-5.8047804073943277E-2</v>
      </c>
      <c r="D42" s="42">
        <v>25.75</v>
      </c>
      <c r="E42" s="45">
        <f t="shared" si="1"/>
        <v>-0.10724467257571613</v>
      </c>
      <c r="F42" s="43">
        <v>14.218430031</v>
      </c>
      <c r="G42" s="5">
        <f t="shared" si="2"/>
        <v>-7.5481513431786995E-2</v>
      </c>
      <c r="H42" s="44">
        <v>117.11</v>
      </c>
      <c r="I42" s="6">
        <f t="shared" si="3"/>
        <v>-3.8584681060668258E-2</v>
      </c>
    </row>
    <row r="43" spans="1:9" x14ac:dyDescent="0.3">
      <c r="A43" s="40" t="s">
        <v>53</v>
      </c>
      <c r="B43" s="41">
        <v>79.94</v>
      </c>
      <c r="C43" s="4">
        <f t="shared" si="0"/>
        <v>-7.5000000000002842E-4</v>
      </c>
      <c r="D43" s="42">
        <v>21.37</v>
      </c>
      <c r="E43" s="45">
        <f t="shared" si="1"/>
        <v>-0.17009708737864071</v>
      </c>
      <c r="F43" s="43">
        <v>14.708031628000001</v>
      </c>
      <c r="G43" s="5">
        <f t="shared" si="2"/>
        <v>3.4434293795625681E-2</v>
      </c>
      <c r="H43" s="44">
        <v>114.08</v>
      </c>
      <c r="I43" s="6">
        <f t="shared" si="3"/>
        <v>-2.5873110750576411E-2</v>
      </c>
    </row>
    <row r="44" spans="1:9" x14ac:dyDescent="0.3">
      <c r="A44" s="40" t="s">
        <v>54</v>
      </c>
      <c r="B44" s="41">
        <v>74.61</v>
      </c>
      <c r="C44" s="4">
        <f t="shared" si="0"/>
        <v>-6.6675006254691027E-2</v>
      </c>
      <c r="D44" s="42">
        <v>19.989999999999998</v>
      </c>
      <c r="E44" s="45">
        <f t="shared" si="1"/>
        <v>-6.4576509124941617E-2</v>
      </c>
      <c r="F44" s="43">
        <v>13.59</v>
      </c>
      <c r="G44" s="5">
        <f t="shared" si="2"/>
        <v>-7.6015041052235666E-2</v>
      </c>
      <c r="H44" s="44">
        <v>106.49</v>
      </c>
      <c r="I44" s="6">
        <f t="shared" si="3"/>
        <v>-6.6532258064516125E-2</v>
      </c>
    </row>
    <row r="45" spans="1:9" x14ac:dyDescent="0.3">
      <c r="A45" s="40" t="s">
        <v>55</v>
      </c>
      <c r="B45" s="41">
        <v>64.180000000000007</v>
      </c>
      <c r="C45" s="4">
        <f t="shared" si="0"/>
        <v>-0.13979359335209751</v>
      </c>
      <c r="D45" s="42">
        <v>17.11</v>
      </c>
      <c r="E45" s="45">
        <f t="shared" si="1"/>
        <v>-0.144072036018009</v>
      </c>
      <c r="F45" s="43">
        <v>11.54</v>
      </c>
      <c r="G45" s="5">
        <f t="shared" si="2"/>
        <v>-0.15084621044885949</v>
      </c>
      <c r="H45" s="44">
        <v>99.68</v>
      </c>
      <c r="I45" s="6">
        <f t="shared" si="3"/>
        <v>-6.3949666635364721E-2</v>
      </c>
    </row>
    <row r="46" spans="1:9" x14ac:dyDescent="0.3">
      <c r="A46" s="46"/>
      <c r="B46" s="47"/>
      <c r="C46" s="1"/>
      <c r="D46" s="47"/>
      <c r="E46" s="48"/>
      <c r="F46" s="47"/>
      <c r="G46" s="1"/>
      <c r="H46" s="47"/>
    </row>
  </sheetData>
  <mergeCells count="4">
    <mergeCell ref="H1:I1"/>
    <mergeCell ref="B1:C1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A5B7-7339-4A3E-87E9-97DBDF6F906B}">
  <dimension ref="A1:L23"/>
  <sheetViews>
    <sheetView tabSelected="1" topLeftCell="A4" workbookViewId="0">
      <selection activeCell="C22" sqref="C22"/>
    </sheetView>
  </sheetViews>
  <sheetFormatPr defaultRowHeight="14.4" x14ac:dyDescent="0.3"/>
  <cols>
    <col min="2" max="2" width="53.109375" bestFit="1" customWidth="1"/>
    <col min="3" max="3" width="16.109375" customWidth="1"/>
    <col min="4" max="11" width="13.6640625" customWidth="1"/>
    <col min="12" max="12" width="16.5546875" bestFit="1" customWidth="1"/>
  </cols>
  <sheetData>
    <row r="1" spans="1:12" s="130" customFormat="1" x14ac:dyDescent="0.3">
      <c r="A1" s="126"/>
      <c r="B1" s="21"/>
      <c r="C1" s="127">
        <v>2017</v>
      </c>
      <c r="D1" s="128">
        <v>2018</v>
      </c>
      <c r="E1" s="128">
        <v>2019</v>
      </c>
      <c r="F1" s="129">
        <v>2020</v>
      </c>
      <c r="G1" s="14" t="s">
        <v>56</v>
      </c>
      <c r="H1" s="14" t="s">
        <v>57</v>
      </c>
      <c r="I1" s="14" t="s">
        <v>58</v>
      </c>
      <c r="J1" s="14" t="s">
        <v>59</v>
      </c>
      <c r="K1" s="14" t="s">
        <v>60</v>
      </c>
      <c r="L1" s="126" t="s">
        <v>61</v>
      </c>
    </row>
    <row r="2" spans="1:12" x14ac:dyDescent="0.3">
      <c r="A2" s="56" t="s">
        <v>62</v>
      </c>
      <c r="B2" s="73" t="s">
        <v>63</v>
      </c>
      <c r="C2" s="107"/>
      <c r="D2" s="107"/>
      <c r="E2" s="107"/>
      <c r="F2" s="107"/>
      <c r="G2" s="142"/>
      <c r="H2" s="142"/>
      <c r="I2" s="142"/>
      <c r="J2" s="142"/>
      <c r="K2" s="142"/>
      <c r="L2" s="66"/>
    </row>
    <row r="3" spans="1:12" x14ac:dyDescent="0.3">
      <c r="A3" s="56" t="s">
        <v>62</v>
      </c>
      <c r="B3" s="27" t="s">
        <v>64</v>
      </c>
      <c r="C3" s="107">
        <v>783452</v>
      </c>
      <c r="D3" s="107">
        <v>870515</v>
      </c>
      <c r="E3" s="107">
        <v>1033476</v>
      </c>
      <c r="F3" s="107">
        <v>1267137</v>
      </c>
      <c r="G3" s="106">
        <v>2535383.0191861019</v>
      </c>
      <c r="H3" s="106">
        <v>3095347.9541568337</v>
      </c>
      <c r="I3" s="106">
        <v>3789118.6516419328</v>
      </c>
      <c r="J3" s="106">
        <v>4648872.6315367045</v>
      </c>
      <c r="K3" s="106">
        <v>5684995.9492357131</v>
      </c>
      <c r="L3" s="66"/>
    </row>
    <row r="4" spans="1:12" x14ac:dyDescent="0.3">
      <c r="A4" s="58" t="s">
        <v>65</v>
      </c>
      <c r="B4" s="27" t="s">
        <v>66</v>
      </c>
      <c r="C4" s="107">
        <v>244398</v>
      </c>
      <c r="D4" s="107">
        <v>254001</v>
      </c>
      <c r="E4" s="107">
        <v>277625</v>
      </c>
      <c r="F4" s="107">
        <v>347359</v>
      </c>
      <c r="G4" s="106">
        <v>440210.9361275041</v>
      </c>
      <c r="H4" s="106">
        <v>557248.69279613381</v>
      </c>
      <c r="I4" s="106">
        <v>708493.31737307936</v>
      </c>
      <c r="J4" s="106">
        <v>905324.24799056794</v>
      </c>
      <c r="K4" s="106">
        <v>1150306.1412187205</v>
      </c>
      <c r="L4" s="66"/>
    </row>
    <row r="5" spans="1:12" x14ac:dyDescent="0.3">
      <c r="A5" s="56" t="s">
        <v>67</v>
      </c>
      <c r="B5" s="27" t="s">
        <v>68</v>
      </c>
      <c r="C5" s="107">
        <v>539054</v>
      </c>
      <c r="D5" s="107">
        <v>616514</v>
      </c>
      <c r="E5" s="107">
        <v>755851</v>
      </c>
      <c r="F5" s="107">
        <v>919778</v>
      </c>
      <c r="G5" s="106">
        <v>2095172.0830585978</v>
      </c>
      <c r="H5" s="106">
        <v>2538099.2613606998</v>
      </c>
      <c r="I5" s="106">
        <v>3080625.3342688535</v>
      </c>
      <c r="J5" s="106">
        <v>3743548.3835461363</v>
      </c>
      <c r="K5" s="106">
        <v>4534689.8080169931</v>
      </c>
      <c r="L5" s="66"/>
    </row>
    <row r="6" spans="1:12" x14ac:dyDescent="0.3">
      <c r="A6" s="56" t="s">
        <v>62</v>
      </c>
      <c r="B6" s="27" t="s">
        <v>69</v>
      </c>
      <c r="C6" s="107">
        <v>0</v>
      </c>
      <c r="D6" s="107">
        <v>0</v>
      </c>
      <c r="E6" s="107">
        <v>0</v>
      </c>
      <c r="F6" s="107">
        <v>0</v>
      </c>
      <c r="G6" s="106">
        <v>0</v>
      </c>
      <c r="H6" s="106">
        <v>0</v>
      </c>
      <c r="I6" s="106">
        <v>0</v>
      </c>
      <c r="J6" s="106">
        <v>0</v>
      </c>
      <c r="K6" s="106">
        <v>0</v>
      </c>
      <c r="L6" s="66"/>
    </row>
    <row r="7" spans="1:12" x14ac:dyDescent="0.3">
      <c r="A7" s="58" t="s">
        <v>65</v>
      </c>
      <c r="B7" s="27" t="s">
        <v>70</v>
      </c>
      <c r="C7" s="107">
        <v>290622</v>
      </c>
      <c r="D7" s="107">
        <v>123906</v>
      </c>
      <c r="E7" s="107">
        <v>1976413</v>
      </c>
      <c r="F7" s="107">
        <v>265120</v>
      </c>
      <c r="G7" s="106">
        <v>1426321.3503075459</v>
      </c>
      <c r="H7" s="106">
        <v>2195181.8277833653</v>
      </c>
      <c r="I7" s="106">
        <v>1756002.691873569</v>
      </c>
      <c r="J7" s="106">
        <v>2658959.0440101312</v>
      </c>
      <c r="K7" s="106">
        <v>3275655.670460212</v>
      </c>
      <c r="L7" s="66"/>
    </row>
    <row r="8" spans="1:12" x14ac:dyDescent="0.3">
      <c r="A8" s="56"/>
      <c r="B8" s="27" t="s">
        <v>71</v>
      </c>
      <c r="C8" s="107">
        <v>-517543</v>
      </c>
      <c r="D8" s="107">
        <v>-43719</v>
      </c>
      <c r="E8" s="107">
        <v>114635</v>
      </c>
      <c r="F8" s="107">
        <v>109272</v>
      </c>
      <c r="G8" s="107">
        <v>-411477.99740690854</v>
      </c>
      <c r="H8" s="107">
        <v>-569228.09451560909</v>
      </c>
      <c r="I8" s="107">
        <v>-774791.12847886188</v>
      </c>
      <c r="J8" s="107">
        <v>-1044851.6447859698</v>
      </c>
      <c r="K8" s="107">
        <v>-1363950.273813511</v>
      </c>
      <c r="L8" s="66"/>
    </row>
    <row r="9" spans="1:12" x14ac:dyDescent="0.3">
      <c r="A9" s="58" t="s">
        <v>65</v>
      </c>
      <c r="B9" s="27" t="s">
        <v>72</v>
      </c>
      <c r="C9" s="107"/>
      <c r="D9" s="107">
        <v>473824</v>
      </c>
      <c r="E9" s="107">
        <v>158354</v>
      </c>
      <c r="F9" s="107">
        <v>-5363</v>
      </c>
      <c r="G9" s="137">
        <v>-520749.99740690854</v>
      </c>
      <c r="H9" s="137">
        <v>-157750.09710870055</v>
      </c>
      <c r="I9" s="137">
        <v>-205563.03396325279</v>
      </c>
      <c r="J9" s="137">
        <v>-270060.51630710787</v>
      </c>
      <c r="K9" s="137">
        <v>-319098.62902754126</v>
      </c>
      <c r="L9" s="66"/>
    </row>
    <row r="10" spans="1:12" x14ac:dyDescent="0.3">
      <c r="A10" s="57" t="s">
        <v>67</v>
      </c>
      <c r="B10" s="16" t="s">
        <v>73</v>
      </c>
      <c r="C10" s="108">
        <v>248432</v>
      </c>
      <c r="D10" s="108">
        <v>18784</v>
      </c>
      <c r="E10" s="108">
        <v>-1378916</v>
      </c>
      <c r="F10" s="136">
        <v>660021</v>
      </c>
      <c r="G10" s="112">
        <v>1189600.7301579604</v>
      </c>
      <c r="H10" s="112">
        <v>500667.53068603505</v>
      </c>
      <c r="I10" s="112">
        <v>1530185.6763585373</v>
      </c>
      <c r="J10" s="112">
        <v>1354649.855843113</v>
      </c>
      <c r="K10" s="112">
        <v>1578132.7665843223</v>
      </c>
      <c r="L10" s="138">
        <f>K10/(C14-C15)</f>
        <v>15242104.098200561</v>
      </c>
    </row>
    <row r="11" spans="1:12" x14ac:dyDescent="0.3">
      <c r="B11" s="131" t="s">
        <v>74</v>
      </c>
      <c r="C11" s="66"/>
      <c r="D11" s="66"/>
      <c r="E11" s="66"/>
      <c r="F11" s="66"/>
      <c r="G11" s="107">
        <f>G10/((1+$C$14)^1)</f>
        <v>1031262.9621519845</v>
      </c>
      <c r="H11" s="107">
        <f>H10/((1+$C$14)^2)</f>
        <v>376258.07039604831</v>
      </c>
      <c r="I11" s="107">
        <f>I10/((1+$C$14)^3)</f>
        <v>996893.41458942776</v>
      </c>
      <c r="J11" s="107">
        <f>J10/((1+$C$14)^4)</f>
        <v>765067.66656841873</v>
      </c>
      <c r="K11" s="107">
        <f>K10/((1+$C$14)^5)</f>
        <v>772653.05905714713</v>
      </c>
      <c r="L11" s="107">
        <f>L10/((1+$C$14)^5)</f>
        <v>7462526.9858832788</v>
      </c>
    </row>
    <row r="13" spans="1:12" x14ac:dyDescent="0.3">
      <c r="G13" s="66"/>
    </row>
    <row r="14" spans="1:12" x14ac:dyDescent="0.3">
      <c r="B14" s="16" t="s">
        <v>75</v>
      </c>
      <c r="C14" s="124">
        <f>'WACC e Estrutura de Capital'!B57</f>
        <v>0.15353772395312745</v>
      </c>
      <c r="G14" s="132"/>
    </row>
    <row r="15" spans="1:12" x14ac:dyDescent="0.3">
      <c r="B15" s="16" t="s">
        <v>76</v>
      </c>
      <c r="C15" s="125">
        <f>5%</f>
        <v>0.05</v>
      </c>
      <c r="G15" s="132"/>
    </row>
    <row r="16" spans="1:12" x14ac:dyDescent="0.3">
      <c r="B16" s="16" t="s">
        <v>77</v>
      </c>
      <c r="C16" s="107">
        <f>SUM(G11:K11)+L10</f>
        <v>19184239.270963587</v>
      </c>
    </row>
    <row r="17" spans="2:3" x14ac:dyDescent="0.3">
      <c r="B17" s="16" t="s">
        <v>78</v>
      </c>
      <c r="C17" s="135">
        <v>495267</v>
      </c>
    </row>
    <row r="18" spans="2:3" x14ac:dyDescent="0.3">
      <c r="B18" s="16" t="s">
        <v>79</v>
      </c>
      <c r="C18" s="107">
        <f>C16+C17</f>
        <v>19679506.270963587</v>
      </c>
    </row>
    <row r="19" spans="2:3" x14ac:dyDescent="0.3">
      <c r="B19" s="16" t="s">
        <v>80</v>
      </c>
      <c r="C19" s="107">
        <f>'WACC e Estrutura de Capital'!E33</f>
        <v>3714927.25</v>
      </c>
    </row>
    <row r="21" spans="2:3" x14ac:dyDescent="0.3">
      <c r="B21" s="134" t="s">
        <v>81</v>
      </c>
      <c r="C21" s="140">
        <f>C18/C19</f>
        <v>5.2974136360176605</v>
      </c>
    </row>
    <row r="22" spans="2:3" x14ac:dyDescent="0.3">
      <c r="B22" s="139" t="e" vm="1">
        <v>#VALUE!</v>
      </c>
      <c r="C22" s="141" cm="1">
        <f t="array" ref="C22">_FV(B22,"Fechamento anterior",TRUE)</f>
        <v>4.93</v>
      </c>
    </row>
    <row r="23" spans="2:3" x14ac:dyDescent="0.3">
      <c r="B23" s="143" t="s">
        <v>82</v>
      </c>
      <c r="C23" s="144">
        <f>C21/C22-1</f>
        <v>7.4526092498511387E-2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B2CA-6633-45C4-9A76-358FDF7CF5AB}">
  <dimension ref="A1:L78"/>
  <sheetViews>
    <sheetView zoomScale="90" zoomScaleNormal="90" workbookViewId="0">
      <selection activeCell="E46" sqref="E46"/>
    </sheetView>
  </sheetViews>
  <sheetFormatPr defaultRowHeight="14.4" x14ac:dyDescent="0.3"/>
  <cols>
    <col min="1" max="1" width="29.109375" style="66" customWidth="1"/>
    <col min="2" max="5" width="15.6640625" style="66" customWidth="1"/>
    <col min="6" max="6" width="16.33203125" style="66" bestFit="1" customWidth="1"/>
    <col min="7" max="10" width="15.6640625" style="66" customWidth="1"/>
    <col min="11" max="11" width="8.88671875" style="66"/>
  </cols>
  <sheetData>
    <row r="1" spans="1:10" x14ac:dyDescent="0.3">
      <c r="A1" s="167" t="s">
        <v>83</v>
      </c>
      <c r="B1" s="168"/>
      <c r="C1" s="168"/>
      <c r="D1" s="168"/>
      <c r="E1" s="169"/>
    </row>
    <row r="2" spans="1:10" ht="15.6" x14ac:dyDescent="0.3">
      <c r="A2" s="105"/>
      <c r="B2" s="70">
        <v>2017</v>
      </c>
      <c r="C2" s="70">
        <v>2018</v>
      </c>
      <c r="D2" s="70">
        <v>2019</v>
      </c>
      <c r="E2" s="70">
        <v>2020</v>
      </c>
      <c r="F2" s="68" t="s">
        <v>56</v>
      </c>
      <c r="G2" s="68" t="s">
        <v>57</v>
      </c>
      <c r="H2" s="68" t="s">
        <v>58</v>
      </c>
      <c r="I2" s="68" t="s">
        <v>59</v>
      </c>
      <c r="J2" s="68" t="s">
        <v>60</v>
      </c>
    </row>
    <row r="3" spans="1:10" x14ac:dyDescent="0.3">
      <c r="A3" s="95" t="s">
        <v>84</v>
      </c>
      <c r="B3" s="96" t="s">
        <v>85</v>
      </c>
      <c r="C3" s="96" t="s">
        <v>85</v>
      </c>
      <c r="D3" s="96" t="s">
        <v>85</v>
      </c>
      <c r="E3" s="96" t="s">
        <v>85</v>
      </c>
      <c r="F3" s="107"/>
      <c r="G3" s="107"/>
      <c r="H3" s="107"/>
      <c r="I3" s="107"/>
      <c r="J3" s="107"/>
    </row>
    <row r="4" spans="1:10" x14ac:dyDescent="0.3">
      <c r="A4" s="97" t="s">
        <v>86</v>
      </c>
      <c r="B4" s="98">
        <v>2614945</v>
      </c>
      <c r="C4" s="98">
        <v>4876674</v>
      </c>
      <c r="D4" s="98">
        <v>12453686</v>
      </c>
      <c r="E4" s="98">
        <v>13519719</v>
      </c>
      <c r="F4" s="107"/>
      <c r="G4" s="107"/>
      <c r="H4" s="107"/>
      <c r="I4" s="107"/>
      <c r="J4" s="107"/>
    </row>
    <row r="5" spans="1:10" x14ac:dyDescent="0.3">
      <c r="A5" s="99" t="s">
        <v>87</v>
      </c>
      <c r="B5" s="100">
        <v>1517775</v>
      </c>
      <c r="C5" s="100">
        <v>1275954</v>
      </c>
      <c r="D5" s="100">
        <v>2161302</v>
      </c>
      <c r="E5" s="100">
        <v>3502091</v>
      </c>
      <c r="F5" s="107"/>
      <c r="G5" s="107"/>
      <c r="H5" s="107"/>
      <c r="I5" s="107"/>
      <c r="J5" s="107"/>
    </row>
    <row r="6" spans="1:10" x14ac:dyDescent="0.3">
      <c r="A6" s="109" t="s">
        <v>88</v>
      </c>
      <c r="B6" s="110">
        <v>104209</v>
      </c>
      <c r="C6" s="110">
        <v>185484</v>
      </c>
      <c r="D6" s="110">
        <v>224229</v>
      </c>
      <c r="E6" s="110">
        <v>143212</v>
      </c>
      <c r="F6" s="111">
        <f>E6*(1+'Modelo Projetado'!G40)</f>
        <v>147024.45059329981</v>
      </c>
      <c r="G6" s="111">
        <f>F6*(1+'Modelo Projetado'!H40)</f>
        <v>150938.39253876533</v>
      </c>
      <c r="H6" s="111">
        <f>G6*(1+'Modelo Projetado'!I40)</f>
        <v>154956.52764047563</v>
      </c>
      <c r="I6" s="111">
        <f>H6*(1+'Modelo Projetado'!J40)</f>
        <v>159081.62962731061</v>
      </c>
      <c r="J6" s="111">
        <f>I6*(1+'Modelo Projetado'!K40)</f>
        <v>163316.54606766297</v>
      </c>
    </row>
    <row r="7" spans="1:10" x14ac:dyDescent="0.3">
      <c r="A7" s="101" t="s">
        <v>89</v>
      </c>
      <c r="B7" s="102">
        <v>802814</v>
      </c>
      <c r="C7" s="102">
        <v>702363</v>
      </c>
      <c r="D7" s="102">
        <v>1180418</v>
      </c>
      <c r="E7" s="102">
        <v>2334120</v>
      </c>
      <c r="F7" s="107"/>
      <c r="G7" s="107"/>
      <c r="H7" s="107"/>
      <c r="I7" s="107"/>
      <c r="J7" s="107"/>
    </row>
    <row r="8" spans="1:10" x14ac:dyDescent="0.3">
      <c r="A8" s="101" t="s">
        <v>90</v>
      </c>
      <c r="B8" s="102" t="s">
        <v>91</v>
      </c>
      <c r="C8" s="102">
        <v>702363</v>
      </c>
      <c r="D8" s="102">
        <v>1180418</v>
      </c>
      <c r="E8" s="102">
        <v>2334120</v>
      </c>
      <c r="F8" s="107"/>
      <c r="G8" s="107"/>
      <c r="H8" s="107"/>
      <c r="I8" s="107"/>
      <c r="J8" s="107"/>
    </row>
    <row r="9" spans="1:10" x14ac:dyDescent="0.3">
      <c r="A9" s="109" t="s">
        <v>92</v>
      </c>
      <c r="B9" s="110">
        <v>421845</v>
      </c>
      <c r="C9" s="110">
        <v>152747</v>
      </c>
      <c r="D9" s="110">
        <v>296987</v>
      </c>
      <c r="E9" s="110">
        <v>433426</v>
      </c>
      <c r="F9" s="111">
        <f>'Modelo Projetado'!G36*DRE!F3/365</f>
        <v>477088.67650202668</v>
      </c>
      <c r="G9" s="111">
        <f>'Modelo Projetado'!H36*DRE!G3/365</f>
        <v>631195.6052094606</v>
      </c>
      <c r="H9" s="111">
        <f>'Modelo Projetado'!I36*DRE!H3/365</f>
        <v>753637.50875267934</v>
      </c>
      <c r="I9" s="111">
        <f>'Modelo Projetado'!J36*DRE!I3/365</f>
        <v>905903.11906340707</v>
      </c>
      <c r="J9" s="111">
        <f>'Modelo Projetado'!K36*DRE!J3/365</f>
        <v>1122506.0859032616</v>
      </c>
    </row>
    <row r="10" spans="1:10" x14ac:dyDescent="0.3">
      <c r="A10" s="101" t="s">
        <v>93</v>
      </c>
      <c r="B10" s="102">
        <v>421845</v>
      </c>
      <c r="C10" s="102">
        <v>152747</v>
      </c>
      <c r="D10" s="102">
        <v>296987</v>
      </c>
      <c r="E10" s="102">
        <v>433426</v>
      </c>
      <c r="F10" s="107"/>
      <c r="G10" s="107"/>
      <c r="H10" s="107"/>
      <c r="I10" s="107"/>
      <c r="J10" s="107"/>
    </row>
    <row r="11" spans="1:10" x14ac:dyDescent="0.3">
      <c r="A11" s="109" t="s">
        <v>94</v>
      </c>
      <c r="B11" s="110">
        <v>14226</v>
      </c>
      <c r="C11" s="110">
        <v>19187</v>
      </c>
      <c r="D11" s="110">
        <v>72704</v>
      </c>
      <c r="E11" s="110">
        <v>101677</v>
      </c>
      <c r="F11" s="111">
        <f t="shared" ref="F11:J12" si="0">AVERAGE(B11:E11)</f>
        <v>51948.5</v>
      </c>
      <c r="G11" s="111">
        <f t="shared" si="0"/>
        <v>61379.125</v>
      </c>
      <c r="H11" s="111">
        <f t="shared" si="0"/>
        <v>71927.15625</v>
      </c>
      <c r="I11" s="111">
        <f t="shared" si="0"/>
        <v>71732.9453125</v>
      </c>
      <c r="J11" s="111">
        <f t="shared" si="0"/>
        <v>64246.931640625</v>
      </c>
    </row>
    <row r="12" spans="1:10" x14ac:dyDescent="0.3">
      <c r="A12" s="109" t="s">
        <v>95</v>
      </c>
      <c r="B12" s="110">
        <v>26505</v>
      </c>
      <c r="C12" s="110">
        <v>65287</v>
      </c>
      <c r="D12" s="110">
        <v>160483</v>
      </c>
      <c r="E12" s="110">
        <v>184105</v>
      </c>
      <c r="F12" s="111">
        <f t="shared" si="0"/>
        <v>109095</v>
      </c>
      <c r="G12" s="111">
        <f t="shared" si="0"/>
        <v>129742.5</v>
      </c>
      <c r="H12" s="111">
        <f t="shared" si="0"/>
        <v>145856.375</v>
      </c>
      <c r="I12" s="111">
        <f t="shared" si="0"/>
        <v>142199.71875</v>
      </c>
      <c r="J12" s="111">
        <f t="shared" si="0"/>
        <v>131723.3984375</v>
      </c>
    </row>
    <row r="13" spans="1:10" x14ac:dyDescent="0.3">
      <c r="A13" s="101" t="s">
        <v>96</v>
      </c>
      <c r="B13" s="102">
        <v>0</v>
      </c>
      <c r="C13" s="102">
        <v>103766</v>
      </c>
      <c r="D13" s="102">
        <v>145169</v>
      </c>
      <c r="E13" s="102">
        <v>164929</v>
      </c>
      <c r="F13" s="107"/>
      <c r="G13" s="107"/>
      <c r="H13" s="107"/>
      <c r="I13" s="107"/>
      <c r="J13" s="107"/>
    </row>
    <row r="14" spans="1:10" x14ac:dyDescent="0.3">
      <c r="A14" s="101" t="s">
        <v>97</v>
      </c>
      <c r="B14" s="102">
        <v>148176</v>
      </c>
      <c r="C14" s="102">
        <v>47120</v>
      </c>
      <c r="D14" s="102">
        <v>81312</v>
      </c>
      <c r="E14" s="102">
        <v>140622</v>
      </c>
      <c r="F14" s="107"/>
      <c r="G14" s="107"/>
      <c r="H14" s="107"/>
      <c r="I14" s="107"/>
      <c r="J14" s="107"/>
    </row>
    <row r="15" spans="1:10" x14ac:dyDescent="0.3">
      <c r="A15" s="101" t="s">
        <v>98</v>
      </c>
      <c r="B15" s="102">
        <v>148176</v>
      </c>
      <c r="C15" s="102">
        <v>47120</v>
      </c>
      <c r="D15" s="102">
        <v>81312</v>
      </c>
      <c r="E15" s="102">
        <v>140622</v>
      </c>
      <c r="F15" s="107"/>
      <c r="G15" s="107"/>
      <c r="H15" s="107"/>
      <c r="I15" s="107"/>
      <c r="J15" s="107"/>
    </row>
    <row r="16" spans="1:10" x14ac:dyDescent="0.3">
      <c r="A16" s="99" t="s">
        <v>99</v>
      </c>
      <c r="B16" s="100">
        <v>1097170</v>
      </c>
      <c r="C16" s="100">
        <v>3600720</v>
      </c>
      <c r="D16" s="100">
        <v>10292384</v>
      </c>
      <c r="E16" s="100">
        <v>10017628</v>
      </c>
      <c r="F16" s="107"/>
      <c r="G16" s="107"/>
      <c r="H16" s="107"/>
      <c r="I16" s="107"/>
      <c r="J16" s="107"/>
    </row>
    <row r="17" spans="1:10" x14ac:dyDescent="0.3">
      <c r="A17" s="101" t="s">
        <v>100</v>
      </c>
      <c r="B17" s="102">
        <v>760590</v>
      </c>
      <c r="C17" s="102">
        <v>3071098</v>
      </c>
      <c r="D17" s="102">
        <v>2886209</v>
      </c>
      <c r="E17" s="102">
        <v>2253792</v>
      </c>
      <c r="F17" s="107"/>
      <c r="G17" s="107"/>
      <c r="H17" s="107"/>
      <c r="I17" s="107"/>
      <c r="J17" s="107"/>
    </row>
    <row r="18" spans="1:10" ht="28.8" x14ac:dyDescent="0.3">
      <c r="A18" s="101" t="s">
        <v>101</v>
      </c>
      <c r="B18" s="102">
        <v>539314</v>
      </c>
      <c r="C18" s="102">
        <v>2685643</v>
      </c>
      <c r="D18" s="102">
        <v>2225563</v>
      </c>
      <c r="E18" s="102">
        <v>1225282</v>
      </c>
      <c r="F18" s="107"/>
      <c r="G18" s="107"/>
      <c r="H18" s="107"/>
      <c r="I18" s="107"/>
      <c r="J18" s="107"/>
    </row>
    <row r="19" spans="1:10" ht="43.2" x14ac:dyDescent="0.3">
      <c r="A19" s="101" t="s">
        <v>102</v>
      </c>
      <c r="B19" s="102">
        <v>539314</v>
      </c>
      <c r="C19" s="102">
        <v>0</v>
      </c>
      <c r="D19" s="102">
        <v>0</v>
      </c>
      <c r="E19" s="102">
        <v>0</v>
      </c>
      <c r="F19" s="107"/>
      <c r="G19" s="107"/>
      <c r="H19" s="107"/>
      <c r="I19" s="107"/>
      <c r="J19" s="107"/>
    </row>
    <row r="20" spans="1:10" x14ac:dyDescent="0.3">
      <c r="A20" s="101" t="s">
        <v>103</v>
      </c>
      <c r="B20" s="102">
        <v>539314</v>
      </c>
      <c r="C20" s="102">
        <v>0</v>
      </c>
      <c r="D20" s="102">
        <v>0</v>
      </c>
      <c r="E20" s="102">
        <v>0</v>
      </c>
      <c r="F20" s="107"/>
      <c r="G20" s="107"/>
      <c r="H20" s="107"/>
      <c r="I20" s="107"/>
      <c r="J20" s="107"/>
    </row>
    <row r="21" spans="1:10" ht="43.2" x14ac:dyDescent="0.3">
      <c r="A21" s="101" t="s">
        <v>104</v>
      </c>
      <c r="B21" s="102">
        <v>0</v>
      </c>
      <c r="C21" s="102">
        <v>2685643</v>
      </c>
      <c r="D21" s="102">
        <v>2225563</v>
      </c>
      <c r="E21" s="102">
        <v>1225282</v>
      </c>
      <c r="F21" s="107"/>
      <c r="G21" s="107"/>
      <c r="H21" s="107"/>
      <c r="I21" s="107"/>
      <c r="J21" s="107"/>
    </row>
    <row r="22" spans="1:10" x14ac:dyDescent="0.3">
      <c r="A22" s="101" t="s">
        <v>105</v>
      </c>
      <c r="B22" s="102">
        <v>153440</v>
      </c>
      <c r="C22" s="102">
        <v>0</v>
      </c>
      <c r="D22" s="102">
        <v>0</v>
      </c>
      <c r="E22" s="102">
        <v>0</v>
      </c>
      <c r="F22" s="107"/>
      <c r="G22" s="107"/>
      <c r="H22" s="107"/>
      <c r="I22" s="107"/>
      <c r="J22" s="107"/>
    </row>
    <row r="23" spans="1:10" x14ac:dyDescent="0.3">
      <c r="A23" s="101" t="s">
        <v>106</v>
      </c>
      <c r="B23" s="102">
        <v>58507</v>
      </c>
      <c r="C23" s="102">
        <v>247629</v>
      </c>
      <c r="D23" s="102">
        <v>289489</v>
      </c>
      <c r="E23" s="102">
        <v>579509</v>
      </c>
      <c r="F23" s="107"/>
      <c r="G23" s="107"/>
      <c r="H23" s="107"/>
      <c r="I23" s="107"/>
      <c r="J23" s="107"/>
    </row>
    <row r="24" spans="1:10" x14ac:dyDescent="0.3">
      <c r="A24" s="101" t="s">
        <v>107</v>
      </c>
      <c r="B24" s="102">
        <v>58507</v>
      </c>
      <c r="C24" s="102">
        <v>126005</v>
      </c>
      <c r="D24" s="102">
        <v>289489</v>
      </c>
      <c r="E24" s="102">
        <v>579509</v>
      </c>
      <c r="F24" s="107"/>
      <c r="G24" s="107"/>
      <c r="H24" s="107"/>
      <c r="I24" s="107"/>
      <c r="J24" s="107"/>
    </row>
    <row r="25" spans="1:10" x14ac:dyDescent="0.3">
      <c r="A25" s="101" t="s">
        <v>103</v>
      </c>
      <c r="B25" s="102">
        <v>0</v>
      </c>
      <c r="C25" s="102">
        <v>121624</v>
      </c>
      <c r="D25" s="102">
        <v>0</v>
      </c>
      <c r="E25" s="102">
        <v>0</v>
      </c>
      <c r="F25" s="107"/>
      <c r="G25" s="107"/>
      <c r="H25" s="107"/>
      <c r="I25" s="107"/>
      <c r="J25" s="107"/>
    </row>
    <row r="26" spans="1:10" x14ac:dyDescent="0.3">
      <c r="A26" s="101" t="s">
        <v>108</v>
      </c>
      <c r="B26" s="102">
        <v>9182</v>
      </c>
      <c r="C26" s="102">
        <v>96891</v>
      </c>
      <c r="D26" s="102">
        <v>0</v>
      </c>
      <c r="E26" s="102">
        <v>0</v>
      </c>
      <c r="F26" s="107"/>
      <c r="G26" s="107"/>
      <c r="H26" s="107"/>
      <c r="I26" s="107"/>
      <c r="J26" s="107"/>
    </row>
    <row r="27" spans="1:10" x14ac:dyDescent="0.3">
      <c r="A27" s="101" t="s">
        <v>109</v>
      </c>
      <c r="B27" s="102">
        <v>147</v>
      </c>
      <c r="C27" s="102">
        <v>3337</v>
      </c>
      <c r="D27" s="102">
        <v>8135</v>
      </c>
      <c r="E27" s="102">
        <v>3448</v>
      </c>
      <c r="F27" s="107"/>
      <c r="G27" s="107"/>
      <c r="H27" s="107"/>
      <c r="I27" s="107"/>
      <c r="J27" s="107"/>
    </row>
    <row r="28" spans="1:10" x14ac:dyDescent="0.3">
      <c r="A28" s="101" t="s">
        <v>110</v>
      </c>
      <c r="B28" s="102" t="s">
        <v>91</v>
      </c>
      <c r="C28" s="102">
        <v>3337</v>
      </c>
      <c r="D28" s="102">
        <v>8135</v>
      </c>
      <c r="E28" s="102">
        <v>3448</v>
      </c>
      <c r="F28" s="107"/>
      <c r="G28" s="107"/>
      <c r="H28" s="107"/>
      <c r="I28" s="107"/>
      <c r="J28" s="107"/>
    </row>
    <row r="29" spans="1:10" x14ac:dyDescent="0.3">
      <c r="A29" s="101" t="s">
        <v>111</v>
      </c>
      <c r="B29" s="102">
        <v>0</v>
      </c>
      <c r="C29" s="102">
        <v>37598</v>
      </c>
      <c r="D29" s="102">
        <v>363022</v>
      </c>
      <c r="E29" s="102">
        <v>445553</v>
      </c>
      <c r="F29" s="107"/>
      <c r="G29" s="107"/>
      <c r="H29" s="107"/>
      <c r="I29" s="107"/>
      <c r="J29" s="107"/>
    </row>
    <row r="30" spans="1:10" x14ac:dyDescent="0.3">
      <c r="A30" s="101" t="s">
        <v>103</v>
      </c>
      <c r="B30" s="102">
        <v>0</v>
      </c>
      <c r="C30" s="102" t="s">
        <v>91</v>
      </c>
      <c r="D30" s="102">
        <v>363022</v>
      </c>
      <c r="E30" s="102">
        <v>445553</v>
      </c>
      <c r="F30" s="107"/>
      <c r="G30" s="107"/>
      <c r="H30" s="107"/>
      <c r="I30" s="107"/>
      <c r="J30" s="107"/>
    </row>
    <row r="31" spans="1:10" x14ac:dyDescent="0.3">
      <c r="A31" s="101" t="s">
        <v>112</v>
      </c>
      <c r="B31" s="102">
        <v>290622</v>
      </c>
      <c r="C31" s="102">
        <v>414528</v>
      </c>
      <c r="D31" s="102">
        <v>2100319</v>
      </c>
      <c r="E31" s="102">
        <v>2241533</v>
      </c>
      <c r="F31" s="107"/>
      <c r="G31" s="107"/>
      <c r="H31" s="107"/>
      <c r="I31" s="107"/>
      <c r="J31" s="107"/>
    </row>
    <row r="32" spans="1:10" x14ac:dyDescent="0.3">
      <c r="A32" s="101" t="s">
        <v>113</v>
      </c>
      <c r="B32" s="102">
        <v>45958</v>
      </c>
      <c r="C32" s="102">
        <v>115094</v>
      </c>
      <c r="D32" s="102">
        <v>5305856</v>
      </c>
      <c r="E32" s="102">
        <v>3722303</v>
      </c>
      <c r="F32" s="107"/>
      <c r="G32" s="107"/>
      <c r="H32" s="107"/>
      <c r="I32" s="107"/>
      <c r="J32" s="107"/>
    </row>
    <row r="33" spans="1:12" x14ac:dyDescent="0.3">
      <c r="A33" s="103"/>
      <c r="B33" s="104"/>
      <c r="C33" s="104"/>
      <c r="D33" s="104"/>
      <c r="E33" s="104"/>
    </row>
    <row r="34" spans="1:12" x14ac:dyDescent="0.3">
      <c r="A34" s="95" t="s">
        <v>114</v>
      </c>
      <c r="B34" s="96" t="s">
        <v>85</v>
      </c>
      <c r="C34" s="96" t="s">
        <v>85</v>
      </c>
      <c r="D34" s="96" t="s">
        <v>85</v>
      </c>
      <c r="E34" s="96" t="s">
        <v>85</v>
      </c>
      <c r="F34" s="107"/>
      <c r="G34" s="107"/>
      <c r="H34" s="107"/>
      <c r="I34" s="107"/>
      <c r="J34" s="107"/>
    </row>
    <row r="35" spans="1:12" x14ac:dyDescent="0.3">
      <c r="A35" s="97" t="s">
        <v>115</v>
      </c>
      <c r="B35" s="98">
        <v>2614945</v>
      </c>
      <c r="C35" s="98">
        <v>4876674</v>
      </c>
      <c r="D35" s="98">
        <v>12453686</v>
      </c>
      <c r="E35" s="98">
        <v>13519719</v>
      </c>
      <c r="F35" s="107"/>
      <c r="G35" s="107"/>
      <c r="H35" s="107"/>
      <c r="I35" s="107"/>
      <c r="J35" s="107"/>
    </row>
    <row r="36" spans="1:12" x14ac:dyDescent="0.3">
      <c r="A36" s="99" t="s">
        <v>116</v>
      </c>
      <c r="B36" s="100">
        <v>1818793</v>
      </c>
      <c r="C36" s="100">
        <v>987496</v>
      </c>
      <c r="D36" s="100">
        <v>1745423</v>
      </c>
      <c r="E36" s="100">
        <v>2120613</v>
      </c>
      <c r="F36" s="107"/>
      <c r="G36" s="107"/>
      <c r="H36" s="107"/>
      <c r="I36" s="107"/>
      <c r="J36" s="107"/>
    </row>
    <row r="37" spans="1:12" x14ac:dyDescent="0.3">
      <c r="A37" s="101" t="s">
        <v>117</v>
      </c>
      <c r="B37" s="102">
        <v>96198</v>
      </c>
      <c r="C37" s="102">
        <v>112947</v>
      </c>
      <c r="D37" s="102">
        <v>172474</v>
      </c>
      <c r="E37" s="102">
        <v>195441</v>
      </c>
      <c r="F37" s="107"/>
      <c r="G37" s="107"/>
      <c r="H37" s="107"/>
      <c r="I37" s="107"/>
      <c r="J37" s="107"/>
    </row>
    <row r="38" spans="1:12" x14ac:dyDescent="0.3">
      <c r="A38" s="101" t="s">
        <v>118</v>
      </c>
      <c r="B38" s="102">
        <v>96198</v>
      </c>
      <c r="C38" s="102">
        <v>112947</v>
      </c>
      <c r="D38" s="102">
        <v>172474</v>
      </c>
      <c r="E38" s="102">
        <v>195441</v>
      </c>
      <c r="F38" s="107"/>
      <c r="G38" s="107"/>
      <c r="H38" s="107"/>
      <c r="I38" s="107"/>
      <c r="J38" s="107"/>
    </row>
    <row r="39" spans="1:12" x14ac:dyDescent="0.3">
      <c r="A39" s="109" t="s">
        <v>119</v>
      </c>
      <c r="B39" s="110">
        <v>56139</v>
      </c>
      <c r="C39" s="110">
        <v>61381</v>
      </c>
      <c r="D39" s="110">
        <v>95032</v>
      </c>
      <c r="E39" s="110">
        <v>120828</v>
      </c>
      <c r="F39" s="111">
        <f>'Modelo Projetado'!G37*DRE!F4/365</f>
        <v>158830.36096252484</v>
      </c>
      <c r="G39" s="111">
        <f>'Modelo Projetado'!H37*DRE!G4/365</f>
        <v>202324.76912450587</v>
      </c>
      <c r="H39" s="111">
        <f>'Modelo Projetado'!I37*DRE!H4/365</f>
        <v>242054.17329245858</v>
      </c>
      <c r="I39" s="111">
        <f>'Modelo Projetado'!J37*DRE!I4/365</f>
        <v>304996.88561561151</v>
      </c>
      <c r="J39" s="111">
        <f>'Modelo Projetado'!K37*DRE!J4/365</f>
        <v>379546.10267518752</v>
      </c>
      <c r="K39"/>
    </row>
    <row r="40" spans="1:12" x14ac:dyDescent="0.3">
      <c r="A40" s="109" t="s">
        <v>120</v>
      </c>
      <c r="B40" s="110">
        <v>113728</v>
      </c>
      <c r="C40" s="110">
        <v>89750</v>
      </c>
      <c r="D40" s="110">
        <v>214414</v>
      </c>
      <c r="E40" s="110">
        <v>244877</v>
      </c>
      <c r="F40" s="111">
        <f>'Modelo Projetado'!G38*'Modelo Projetado'!G30*'Modelo Projetado'!G3</f>
        <v>561089.3535550707</v>
      </c>
      <c r="G40" s="111">
        <f>'Modelo Projetado'!H38*'Modelo Projetado'!H30*'Modelo Projetado'!H3</f>
        <v>753602.71818637336</v>
      </c>
      <c r="H40" s="111">
        <f>'Modelo Projetado'!I38*'Modelo Projetado'!I30*'Modelo Projetado'!I3</f>
        <v>937408.10314213822</v>
      </c>
      <c r="I40" s="111">
        <f>'Modelo Projetado'!J38*'Modelo Projetado'!J30*'Modelo Projetado'!J3</f>
        <v>1130775.1997325053</v>
      </c>
      <c r="J40" s="111">
        <f>'Modelo Projetado'!K38*'Modelo Projetado'!K30*'Modelo Projetado'!K3</f>
        <v>1373594.100832423</v>
      </c>
      <c r="K40"/>
    </row>
    <row r="41" spans="1:12" x14ac:dyDescent="0.3">
      <c r="A41" s="101" t="s">
        <v>121</v>
      </c>
      <c r="B41" s="102">
        <v>113728</v>
      </c>
      <c r="C41" s="102">
        <v>89750</v>
      </c>
      <c r="D41" s="102">
        <v>214414</v>
      </c>
      <c r="E41" s="102">
        <v>244877</v>
      </c>
      <c r="F41" s="107"/>
      <c r="G41" s="107"/>
      <c r="H41" s="107"/>
      <c r="I41" s="107"/>
      <c r="J41" s="107"/>
      <c r="K41"/>
    </row>
    <row r="42" spans="1:12" x14ac:dyDescent="0.3">
      <c r="A42" s="101" t="s">
        <v>122</v>
      </c>
      <c r="B42" s="102">
        <v>54479</v>
      </c>
      <c r="C42" s="102">
        <v>33860</v>
      </c>
      <c r="D42" s="102">
        <v>61982</v>
      </c>
      <c r="E42" s="102">
        <v>85141</v>
      </c>
      <c r="F42" s="107"/>
      <c r="G42" s="107"/>
      <c r="H42" s="107"/>
      <c r="I42" s="107"/>
      <c r="J42" s="107"/>
      <c r="K42"/>
    </row>
    <row r="43" spans="1:12" x14ac:dyDescent="0.3">
      <c r="A43" s="101" t="s">
        <v>103</v>
      </c>
      <c r="B43" s="102">
        <v>59249</v>
      </c>
      <c r="C43" s="102">
        <v>55890</v>
      </c>
      <c r="D43" s="102">
        <v>152432</v>
      </c>
      <c r="E43" s="102">
        <v>159736</v>
      </c>
      <c r="F43" s="107"/>
      <c r="G43" s="107"/>
      <c r="H43" s="107"/>
      <c r="I43" s="107"/>
      <c r="J43" s="107"/>
      <c r="K43"/>
    </row>
    <row r="44" spans="1:12" x14ac:dyDescent="0.3">
      <c r="A44" s="101" t="s">
        <v>123</v>
      </c>
      <c r="B44" s="102">
        <v>0</v>
      </c>
      <c r="C44" s="102">
        <v>0</v>
      </c>
      <c r="D44" s="102">
        <v>75038</v>
      </c>
      <c r="E44" s="102">
        <v>42915</v>
      </c>
      <c r="F44" s="107"/>
      <c r="G44" s="107"/>
      <c r="H44" s="107"/>
      <c r="I44" s="107"/>
      <c r="J44" s="107"/>
    </row>
    <row r="45" spans="1:12" x14ac:dyDescent="0.3">
      <c r="A45" s="101" t="s">
        <v>124</v>
      </c>
      <c r="B45" s="102">
        <v>0</v>
      </c>
      <c r="C45" s="102">
        <v>0</v>
      </c>
      <c r="D45" s="102">
        <v>75038</v>
      </c>
      <c r="E45" s="102">
        <v>42915</v>
      </c>
      <c r="F45" s="107"/>
      <c r="G45" s="107"/>
      <c r="H45" s="107"/>
      <c r="I45" s="107"/>
      <c r="J45" s="107"/>
    </row>
    <row r="46" spans="1:12" x14ac:dyDescent="0.3">
      <c r="A46" s="109" t="s">
        <v>125</v>
      </c>
      <c r="B46" s="110">
        <v>914461</v>
      </c>
      <c r="C46" s="110">
        <v>315293</v>
      </c>
      <c r="D46" s="110">
        <v>330322</v>
      </c>
      <c r="E46" s="110">
        <v>387443</v>
      </c>
      <c r="F46" s="111">
        <f>E46*(1+'Modelo Projetado'!G41)</f>
        <v>476714.90998463967</v>
      </c>
      <c r="G46" s="111">
        <f>F46*(1+'Modelo Projetado'!H41)</f>
        <v>586556.22995295597</v>
      </c>
      <c r="H46" s="111">
        <f>G46*(1+'Modelo Projetado'!I41)</f>
        <v>721706.4196874199</v>
      </c>
      <c r="I46" s="111">
        <f>H46*(1+'Modelo Projetado'!J41)</f>
        <v>887996.97219107067</v>
      </c>
      <c r="J46" s="111">
        <f>I46*(1+'Modelo Projetado'!K41)</f>
        <v>1092603.03235495</v>
      </c>
      <c r="L46" s="65"/>
    </row>
    <row r="47" spans="1:12" ht="28.8" x14ac:dyDescent="0.3">
      <c r="A47" s="101" t="s">
        <v>126</v>
      </c>
      <c r="B47" s="102">
        <v>0</v>
      </c>
      <c r="C47" s="102">
        <v>42657</v>
      </c>
      <c r="D47" s="102">
        <v>4040</v>
      </c>
      <c r="E47" s="102">
        <v>3996</v>
      </c>
      <c r="F47" s="107"/>
      <c r="G47" s="107"/>
      <c r="H47" s="107"/>
      <c r="I47" s="107"/>
      <c r="J47" s="107"/>
    </row>
    <row r="48" spans="1:12" x14ac:dyDescent="0.3">
      <c r="A48" s="101" t="s">
        <v>127</v>
      </c>
      <c r="B48" s="102">
        <v>0</v>
      </c>
      <c r="C48" s="102">
        <v>42657</v>
      </c>
      <c r="D48" s="102">
        <v>4040</v>
      </c>
      <c r="E48" s="102">
        <v>3996</v>
      </c>
      <c r="F48" s="107"/>
      <c r="G48" s="107"/>
      <c r="H48" s="107"/>
      <c r="I48" s="107"/>
      <c r="J48" s="107"/>
    </row>
    <row r="49" spans="1:10" x14ac:dyDescent="0.3">
      <c r="A49" s="101" t="s">
        <v>128</v>
      </c>
      <c r="B49" s="102">
        <v>914461</v>
      </c>
      <c r="C49" s="102">
        <v>272636</v>
      </c>
      <c r="D49" s="102">
        <v>326282</v>
      </c>
      <c r="E49" s="102">
        <v>383447</v>
      </c>
      <c r="F49" s="107"/>
      <c r="G49" s="107"/>
      <c r="H49" s="107"/>
      <c r="I49" s="107"/>
      <c r="J49" s="107"/>
    </row>
    <row r="50" spans="1:10" x14ac:dyDescent="0.3">
      <c r="A50" s="101" t="s">
        <v>129</v>
      </c>
      <c r="B50" s="102">
        <v>836338</v>
      </c>
      <c r="C50" s="102">
        <v>184513</v>
      </c>
      <c r="D50" s="102">
        <v>220020</v>
      </c>
      <c r="E50" s="102">
        <v>201441</v>
      </c>
      <c r="F50" s="107"/>
      <c r="G50" s="107"/>
      <c r="H50" s="107"/>
      <c r="I50" s="107"/>
      <c r="J50" s="107"/>
    </row>
    <row r="51" spans="1:10" x14ac:dyDescent="0.3">
      <c r="A51" s="101" t="s">
        <v>103</v>
      </c>
      <c r="B51" s="102">
        <v>78123</v>
      </c>
      <c r="C51" s="102">
        <v>88123</v>
      </c>
      <c r="D51" s="102">
        <v>106262</v>
      </c>
      <c r="E51" s="102">
        <v>182006</v>
      </c>
      <c r="F51" s="107"/>
      <c r="G51" s="107"/>
      <c r="H51" s="107"/>
      <c r="I51" s="107"/>
      <c r="J51" s="107"/>
    </row>
    <row r="52" spans="1:10" x14ac:dyDescent="0.3">
      <c r="A52" s="101" t="s">
        <v>130</v>
      </c>
      <c r="B52" s="102">
        <v>638267</v>
      </c>
      <c r="C52" s="102">
        <v>408125</v>
      </c>
      <c r="D52" s="102">
        <v>858143</v>
      </c>
      <c r="E52" s="102">
        <v>1129109</v>
      </c>
      <c r="F52" s="107"/>
      <c r="G52" s="107"/>
      <c r="H52" s="107"/>
      <c r="I52" s="107"/>
      <c r="J52" s="107"/>
    </row>
    <row r="53" spans="1:10" x14ac:dyDescent="0.3">
      <c r="A53" s="101" t="s">
        <v>131</v>
      </c>
      <c r="B53" s="102">
        <v>638267</v>
      </c>
      <c r="C53" s="102">
        <v>408125</v>
      </c>
      <c r="D53" s="102">
        <v>858143</v>
      </c>
      <c r="E53" s="102">
        <v>1129109</v>
      </c>
      <c r="F53" s="107"/>
      <c r="G53" s="107"/>
      <c r="H53" s="107"/>
      <c r="I53" s="107"/>
      <c r="J53" s="107"/>
    </row>
    <row r="54" spans="1:10" x14ac:dyDescent="0.3">
      <c r="A54" s="101" t="s">
        <v>103</v>
      </c>
      <c r="B54" s="102">
        <v>638267</v>
      </c>
      <c r="C54" s="102">
        <v>408125</v>
      </c>
      <c r="D54" s="102">
        <v>858143</v>
      </c>
      <c r="E54" s="102">
        <v>1129109</v>
      </c>
      <c r="F54" s="107"/>
      <c r="G54" s="107"/>
      <c r="H54" s="107"/>
      <c r="I54" s="107"/>
      <c r="J54" s="107"/>
    </row>
    <row r="55" spans="1:10" x14ac:dyDescent="0.3">
      <c r="A55" s="99" t="s">
        <v>132</v>
      </c>
      <c r="B55" s="100">
        <v>324149</v>
      </c>
      <c r="C55" s="100">
        <v>283323</v>
      </c>
      <c r="D55" s="100">
        <v>3446378</v>
      </c>
      <c r="E55" s="100">
        <v>3568119</v>
      </c>
      <c r="F55" s="107"/>
      <c r="G55" s="107"/>
      <c r="H55" s="107"/>
      <c r="I55" s="107"/>
      <c r="J55" s="107"/>
    </row>
    <row r="56" spans="1:10" x14ac:dyDescent="0.3">
      <c r="A56" s="101" t="s">
        <v>133</v>
      </c>
      <c r="B56" s="102">
        <v>0</v>
      </c>
      <c r="C56" s="102">
        <v>0</v>
      </c>
      <c r="D56" s="102">
        <v>2036955</v>
      </c>
      <c r="E56" s="102">
        <v>2034312</v>
      </c>
      <c r="F56" s="107"/>
      <c r="G56" s="107"/>
      <c r="H56" s="107"/>
      <c r="I56" s="107"/>
      <c r="J56" s="107"/>
    </row>
    <row r="57" spans="1:10" x14ac:dyDescent="0.3">
      <c r="A57" s="101" t="s">
        <v>134</v>
      </c>
      <c r="B57" s="102">
        <v>0</v>
      </c>
      <c r="C57" s="102">
        <v>0</v>
      </c>
      <c r="D57" s="102">
        <v>2036955</v>
      </c>
      <c r="E57" s="102">
        <v>2034312</v>
      </c>
      <c r="F57" s="107"/>
      <c r="G57" s="107"/>
      <c r="H57" s="107"/>
      <c r="I57" s="107"/>
      <c r="J57" s="107"/>
    </row>
    <row r="58" spans="1:10" x14ac:dyDescent="0.3">
      <c r="A58" s="101" t="s">
        <v>135</v>
      </c>
      <c r="B58" s="102">
        <v>48016</v>
      </c>
      <c r="C58" s="102">
        <v>19882</v>
      </c>
      <c r="D58" s="102">
        <v>1020765</v>
      </c>
      <c r="E58" s="102">
        <v>1090532</v>
      </c>
      <c r="F58" s="107"/>
      <c r="G58" s="107"/>
      <c r="H58" s="107"/>
      <c r="I58" s="107"/>
      <c r="J58" s="107"/>
    </row>
    <row r="59" spans="1:10" ht="28.8" x14ac:dyDescent="0.3">
      <c r="A59" s="101" t="s">
        <v>136</v>
      </c>
      <c r="B59" s="102">
        <v>48016</v>
      </c>
      <c r="C59" s="102">
        <v>0</v>
      </c>
      <c r="D59" s="102">
        <v>0</v>
      </c>
      <c r="E59" s="102">
        <v>0</v>
      </c>
      <c r="F59" s="107"/>
      <c r="G59" s="107"/>
      <c r="H59" s="107"/>
      <c r="I59" s="107"/>
      <c r="J59" s="107"/>
    </row>
    <row r="60" spans="1:10" x14ac:dyDescent="0.3">
      <c r="A60" s="101" t="s">
        <v>137</v>
      </c>
      <c r="B60" s="102">
        <v>48016</v>
      </c>
      <c r="C60" s="102">
        <v>0</v>
      </c>
      <c r="D60" s="102">
        <v>0</v>
      </c>
      <c r="E60" s="102">
        <v>0</v>
      </c>
      <c r="F60" s="107"/>
      <c r="G60" s="107"/>
      <c r="H60" s="107"/>
      <c r="I60" s="107"/>
      <c r="J60" s="107"/>
    </row>
    <row r="61" spans="1:10" x14ac:dyDescent="0.3">
      <c r="A61" s="101" t="s">
        <v>138</v>
      </c>
      <c r="B61" s="102">
        <v>0</v>
      </c>
      <c r="C61" s="102">
        <v>19882</v>
      </c>
      <c r="D61" s="102">
        <v>1020765</v>
      </c>
      <c r="E61" s="102">
        <v>1090532</v>
      </c>
      <c r="F61" s="107"/>
      <c r="G61" s="107"/>
      <c r="H61" s="107"/>
      <c r="I61" s="107"/>
      <c r="J61" s="107"/>
    </row>
    <row r="62" spans="1:10" x14ac:dyDescent="0.3">
      <c r="A62" s="101" t="s">
        <v>103</v>
      </c>
      <c r="B62" s="102">
        <v>0</v>
      </c>
      <c r="C62" s="102">
        <v>19882</v>
      </c>
      <c r="D62" s="102">
        <v>1020765</v>
      </c>
      <c r="E62" s="102">
        <v>1090532</v>
      </c>
      <c r="F62" s="107"/>
      <c r="G62" s="107"/>
      <c r="H62" s="107"/>
      <c r="I62" s="107"/>
      <c r="J62" s="107"/>
    </row>
    <row r="63" spans="1:10" x14ac:dyDescent="0.3">
      <c r="A63" s="101" t="s">
        <v>139</v>
      </c>
      <c r="B63" s="102">
        <v>21653</v>
      </c>
      <c r="C63" s="102">
        <v>0</v>
      </c>
      <c r="D63" s="102">
        <v>0</v>
      </c>
      <c r="E63" s="102">
        <v>39538</v>
      </c>
      <c r="F63" s="107"/>
      <c r="G63" s="107"/>
      <c r="H63" s="107"/>
      <c r="I63" s="107"/>
      <c r="J63" s="107"/>
    </row>
    <row r="64" spans="1:10" x14ac:dyDescent="0.3">
      <c r="A64" s="101" t="s">
        <v>140</v>
      </c>
      <c r="B64" s="102">
        <v>21653</v>
      </c>
      <c r="C64" s="102">
        <v>0</v>
      </c>
      <c r="D64" s="102">
        <v>0</v>
      </c>
      <c r="E64" s="102">
        <v>39538</v>
      </c>
      <c r="F64" s="107"/>
      <c r="G64" s="107"/>
      <c r="H64" s="107"/>
      <c r="I64" s="107"/>
      <c r="J64" s="107"/>
    </row>
    <row r="65" spans="1:10" x14ac:dyDescent="0.3">
      <c r="A65" s="101" t="s">
        <v>141</v>
      </c>
      <c r="B65" s="102">
        <v>254480</v>
      </c>
      <c r="C65" s="102">
        <v>263441</v>
      </c>
      <c r="D65" s="102">
        <v>388658</v>
      </c>
      <c r="E65" s="102">
        <v>403737</v>
      </c>
      <c r="F65" s="107"/>
      <c r="G65" s="107"/>
      <c r="H65" s="107"/>
      <c r="I65" s="107"/>
      <c r="J65" s="107"/>
    </row>
    <row r="66" spans="1:10" x14ac:dyDescent="0.3">
      <c r="A66" s="101" t="s">
        <v>142</v>
      </c>
      <c r="B66" s="102">
        <v>248784</v>
      </c>
      <c r="C66" s="102">
        <v>263441</v>
      </c>
      <c r="D66" s="102">
        <v>388658</v>
      </c>
      <c r="E66" s="102">
        <v>401949</v>
      </c>
      <c r="F66" s="107"/>
      <c r="G66" s="107"/>
      <c r="H66" s="107"/>
      <c r="I66" s="107"/>
      <c r="J66" s="107"/>
    </row>
    <row r="67" spans="1:10" x14ac:dyDescent="0.3">
      <c r="A67" s="101" t="s">
        <v>143</v>
      </c>
      <c r="B67" s="102">
        <v>5696</v>
      </c>
      <c r="C67" s="102">
        <v>0</v>
      </c>
      <c r="D67" s="102">
        <v>0</v>
      </c>
      <c r="E67" s="102">
        <v>1788</v>
      </c>
      <c r="F67" s="107"/>
      <c r="G67" s="107"/>
      <c r="H67" s="107"/>
      <c r="I67" s="107"/>
      <c r="J67" s="107"/>
    </row>
    <row r="68" spans="1:10" x14ac:dyDescent="0.3">
      <c r="A68" s="101" t="s">
        <v>103</v>
      </c>
      <c r="B68" s="102">
        <v>5696</v>
      </c>
      <c r="C68" s="102">
        <v>0</v>
      </c>
      <c r="D68" s="102">
        <v>0</v>
      </c>
      <c r="E68" s="102">
        <v>1788</v>
      </c>
      <c r="F68" s="107"/>
      <c r="G68" s="107"/>
      <c r="H68" s="107"/>
      <c r="I68" s="107"/>
      <c r="J68" s="107"/>
    </row>
    <row r="69" spans="1:10" x14ac:dyDescent="0.3">
      <c r="A69" s="101" t="s">
        <v>144</v>
      </c>
      <c r="B69" s="102">
        <v>472003</v>
      </c>
      <c r="C69" s="102">
        <v>3605855</v>
      </c>
      <c r="D69" s="102">
        <v>7261885</v>
      </c>
      <c r="E69" s="102">
        <v>7830987</v>
      </c>
      <c r="F69" s="107"/>
      <c r="G69" s="107"/>
      <c r="H69" s="107"/>
      <c r="I69" s="107"/>
      <c r="J69" s="107"/>
    </row>
    <row r="70" spans="1:10" x14ac:dyDescent="0.3">
      <c r="A70" s="101" t="s">
        <v>145</v>
      </c>
      <c r="B70" s="102">
        <v>124</v>
      </c>
      <c r="C70" s="102">
        <v>3311</v>
      </c>
      <c r="D70" s="102">
        <v>2282</v>
      </c>
      <c r="E70" s="102">
        <v>1775</v>
      </c>
      <c r="F70" s="107"/>
      <c r="G70" s="107"/>
      <c r="H70" s="107"/>
      <c r="I70" s="107"/>
      <c r="J70" s="107"/>
    </row>
    <row r="71" spans="1:10" x14ac:dyDescent="0.3">
      <c r="A71" s="99" t="s">
        <v>146</v>
      </c>
      <c r="B71" s="100">
        <v>471879</v>
      </c>
      <c r="C71" s="100">
        <v>3602544</v>
      </c>
      <c r="D71" s="100">
        <v>7259603</v>
      </c>
      <c r="E71" s="100">
        <v>7829212</v>
      </c>
      <c r="F71" s="107"/>
      <c r="G71" s="107"/>
      <c r="H71" s="107"/>
      <c r="I71" s="107"/>
      <c r="J71" s="107"/>
    </row>
    <row r="72" spans="1:10" x14ac:dyDescent="0.3">
      <c r="A72" s="101" t="s">
        <v>147</v>
      </c>
      <c r="B72" s="102">
        <v>280000</v>
      </c>
      <c r="C72" s="102">
        <v>2810219</v>
      </c>
      <c r="D72" s="102">
        <v>5650526</v>
      </c>
      <c r="E72" s="102">
        <v>5650526</v>
      </c>
      <c r="F72" s="107"/>
      <c r="G72" s="107"/>
      <c r="H72" s="107"/>
      <c r="I72" s="107"/>
      <c r="J72" s="107"/>
    </row>
    <row r="73" spans="1:10" x14ac:dyDescent="0.3">
      <c r="A73" s="101" t="s">
        <v>148</v>
      </c>
      <c r="B73" s="102">
        <v>0</v>
      </c>
      <c r="C73" s="102">
        <v>0</v>
      </c>
      <c r="D73" s="102">
        <v>222915</v>
      </c>
      <c r="E73" s="102">
        <v>222915</v>
      </c>
      <c r="F73" s="107"/>
      <c r="G73" s="107"/>
      <c r="H73" s="107"/>
      <c r="I73" s="107"/>
      <c r="J73" s="107"/>
    </row>
    <row r="74" spans="1:10" x14ac:dyDescent="0.3">
      <c r="A74" s="101" t="s">
        <v>149</v>
      </c>
      <c r="B74" s="102">
        <v>0</v>
      </c>
      <c r="C74" s="102">
        <v>0</v>
      </c>
      <c r="D74" s="102">
        <v>222917</v>
      </c>
      <c r="E74" s="102">
        <v>222917</v>
      </c>
      <c r="F74" s="107"/>
      <c r="G74" s="107"/>
      <c r="H74" s="107"/>
      <c r="I74" s="107"/>
      <c r="J74" s="107"/>
    </row>
    <row r="75" spans="1:10" x14ac:dyDescent="0.3">
      <c r="A75" s="101" t="s">
        <v>150</v>
      </c>
      <c r="B75" s="102">
        <v>0</v>
      </c>
      <c r="C75" s="102">
        <v>0</v>
      </c>
      <c r="D75" s="102">
        <v>-2</v>
      </c>
      <c r="E75" s="102">
        <v>-2</v>
      </c>
      <c r="F75" s="107"/>
      <c r="G75" s="107"/>
      <c r="H75" s="107"/>
      <c r="I75" s="107"/>
      <c r="J75" s="107"/>
    </row>
    <row r="76" spans="1:10" x14ac:dyDescent="0.3">
      <c r="A76" s="101" t="s">
        <v>151</v>
      </c>
      <c r="B76" s="102">
        <v>191879</v>
      </c>
      <c r="C76" s="102">
        <v>792325</v>
      </c>
      <c r="D76" s="102">
        <v>1386162</v>
      </c>
      <c r="E76" s="102">
        <v>1955771</v>
      </c>
      <c r="F76" s="107"/>
      <c r="G76" s="107"/>
      <c r="H76" s="107"/>
      <c r="I76" s="107"/>
      <c r="J76" s="107"/>
    </row>
    <row r="77" spans="1:10" x14ac:dyDescent="0.3">
      <c r="A77" s="101" t="s">
        <v>152</v>
      </c>
      <c r="B77" s="102">
        <v>55558</v>
      </c>
      <c r="C77" s="102">
        <v>94932</v>
      </c>
      <c r="D77" s="102">
        <v>137423</v>
      </c>
      <c r="E77" s="102">
        <v>176596</v>
      </c>
      <c r="F77" s="107"/>
      <c r="G77" s="107"/>
      <c r="H77" s="107"/>
      <c r="I77" s="107"/>
      <c r="J77" s="107"/>
    </row>
    <row r="78" spans="1:10" x14ac:dyDescent="0.3">
      <c r="A78" s="101" t="s">
        <v>153</v>
      </c>
      <c r="B78" s="102">
        <v>136321</v>
      </c>
      <c r="C78" s="102">
        <v>697393</v>
      </c>
      <c r="D78" s="102">
        <v>1248739</v>
      </c>
      <c r="E78" s="102">
        <v>1779175</v>
      </c>
      <c r="F78" s="107"/>
      <c r="G78" s="107"/>
      <c r="H78" s="107"/>
      <c r="I78" s="107"/>
      <c r="J78" s="10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7ACF-2712-4890-A65F-CA445E2476EE}">
  <dimension ref="A1:L21"/>
  <sheetViews>
    <sheetView topLeftCell="A3" zoomScale="60" zoomScaleNormal="60" workbookViewId="0">
      <selection activeCell="D3" sqref="D3:J21"/>
    </sheetView>
  </sheetViews>
  <sheetFormatPr defaultRowHeight="14.4" x14ac:dyDescent="0.3"/>
  <cols>
    <col min="1" max="1" width="16.6640625" style="89" customWidth="1"/>
    <col min="2" max="2" width="16.44140625" style="90" customWidth="1"/>
    <col min="3" max="4" width="12.6640625" style="90" customWidth="1"/>
    <col min="5" max="5" width="13.33203125" style="90" customWidth="1"/>
    <col min="6" max="10" width="16.5546875" style="90" bestFit="1" customWidth="1"/>
    <col min="11" max="11" width="8.88671875" style="66"/>
    <col min="12" max="12" width="11.5546875" style="66" bestFit="1" customWidth="1"/>
  </cols>
  <sheetData>
    <row r="1" spans="1:12" s="94" customFormat="1" ht="34.950000000000003" customHeight="1" thickBot="1" x14ac:dyDescent="0.4">
      <c r="A1" s="170" t="s">
        <v>154</v>
      </c>
      <c r="B1" s="171"/>
      <c r="C1" s="171"/>
      <c r="D1" s="171"/>
      <c r="E1" s="171"/>
      <c r="F1" s="171"/>
      <c r="G1" s="171"/>
      <c r="H1" s="171"/>
      <c r="I1" s="171"/>
      <c r="J1" s="172"/>
      <c r="K1" s="93"/>
      <c r="L1" s="93"/>
    </row>
    <row r="2" spans="1:12" s="92" customFormat="1" ht="15.6" x14ac:dyDescent="0.3">
      <c r="A2" s="121"/>
      <c r="B2" s="122">
        <v>2017</v>
      </c>
      <c r="C2" s="122">
        <v>2018</v>
      </c>
      <c r="D2" s="122">
        <v>2019</v>
      </c>
      <c r="E2" s="122">
        <v>2020</v>
      </c>
      <c r="F2" s="123" t="s">
        <v>56</v>
      </c>
      <c r="G2" s="123" t="s">
        <v>57</v>
      </c>
      <c r="H2" s="123" t="s">
        <v>58</v>
      </c>
      <c r="I2" s="123" t="s">
        <v>59</v>
      </c>
      <c r="J2" s="123" t="s">
        <v>60</v>
      </c>
      <c r="K2" s="91"/>
      <c r="L2" s="91"/>
    </row>
    <row r="3" spans="1:12" ht="28.8" x14ac:dyDescent="0.3">
      <c r="A3" s="76" t="s">
        <v>155</v>
      </c>
      <c r="B3" s="79">
        <v>3847981</v>
      </c>
      <c r="C3" s="79">
        <v>4575898</v>
      </c>
      <c r="D3" s="79">
        <v>5634383</v>
      </c>
      <c r="E3" s="79">
        <v>8554961</v>
      </c>
      <c r="F3" s="80">
        <f>E3*(1+'Modelo Projetado'!G19)</f>
        <v>10465972.08676751</v>
      </c>
      <c r="G3" s="80">
        <f>F3*(1+'Modelo Projetado'!H19)</f>
        <v>12712201.506986339</v>
      </c>
      <c r="H3" s="80">
        <f>G3*(1+'Modelo Projetado'!I19)</f>
        <v>15496190.192566782</v>
      </c>
      <c r="I3" s="80">
        <f>H3*(1+'Modelo Projetado'!J19)</f>
        <v>18889876.025976449</v>
      </c>
      <c r="J3" s="80">
        <f>I3*(1+'Modelo Projetado'!K19)</f>
        <v>23026783.476620138</v>
      </c>
    </row>
    <row r="4" spans="1:12" ht="28.8" x14ac:dyDescent="0.3">
      <c r="A4" s="76" t="s">
        <v>156</v>
      </c>
      <c r="B4" s="81">
        <v>2238700</v>
      </c>
      <c r="C4" s="81">
        <v>2754662</v>
      </c>
      <c r="D4" s="81">
        <v>3400425</v>
      </c>
      <c r="E4" s="81">
        <v>5208978</v>
      </c>
      <c r="F4" s="80">
        <f>E4*(1+'Modelo Projetado'!G20)</f>
        <v>6489424.1372945225</v>
      </c>
      <c r="G4" s="80">
        <f>F4*(1+'Modelo Projetado'!H20)</f>
        <v>8026800.4314960353</v>
      </c>
      <c r="H4" s="80">
        <f>G4*(1+'Modelo Projetado'!I20)</f>
        <v>9964149.4639765527</v>
      </c>
      <c r="I4" s="80">
        <f>H4*(1+'Modelo Projetado'!J20)</f>
        <v>12369097.174870163</v>
      </c>
      <c r="J4" s="80">
        <f>I4*(1+'Modelo Projetado'!K20)</f>
        <v>15354503.20918039</v>
      </c>
    </row>
    <row r="5" spans="1:12" x14ac:dyDescent="0.3">
      <c r="A5" s="82" t="s">
        <v>157</v>
      </c>
      <c r="B5" s="83">
        <v>1609281</v>
      </c>
      <c r="C5" s="83">
        <v>1821236</v>
      </c>
      <c r="D5" s="83">
        <v>2233958</v>
      </c>
      <c r="E5" s="83">
        <v>3345983</v>
      </c>
      <c r="F5" s="84">
        <f>F3-F4</f>
        <v>3976547.9494729871</v>
      </c>
      <c r="G5" s="84">
        <f t="shared" ref="G5:J5" si="0">G3-G4</f>
        <v>4685401.0754903033</v>
      </c>
      <c r="H5" s="84">
        <f t="shared" si="0"/>
        <v>5532040.7285902295</v>
      </c>
      <c r="I5" s="84">
        <f t="shared" si="0"/>
        <v>6520778.851106286</v>
      </c>
      <c r="J5" s="84">
        <f t="shared" si="0"/>
        <v>7672280.2674397472</v>
      </c>
    </row>
    <row r="6" spans="1:12" ht="28.8" x14ac:dyDescent="0.3">
      <c r="A6" s="76" t="s">
        <v>158</v>
      </c>
      <c r="B6" s="81">
        <v>825829</v>
      </c>
      <c r="C6" s="81">
        <v>950721</v>
      </c>
      <c r="D6" s="81">
        <v>1200482</v>
      </c>
      <c r="E6" s="81">
        <v>2078846</v>
      </c>
      <c r="F6" s="80">
        <f>E6*(1+'Modelo Projetado'!G22)</f>
        <v>2535383.0191861019</v>
      </c>
      <c r="G6" s="80">
        <f>F6*(1+'Modelo Projetado'!H22)</f>
        <v>3095347.9541568337</v>
      </c>
      <c r="H6" s="80">
        <f>G6*(1+'Modelo Projetado'!I22)</f>
        <v>3789118.6516419328</v>
      </c>
      <c r="I6" s="80">
        <f>H6*(1+'Modelo Projetado'!J22)</f>
        <v>4648872.6315367045</v>
      </c>
      <c r="J6" s="80">
        <f>I6*(1+'Modelo Projetado'!K22)</f>
        <v>5684995.9492357131</v>
      </c>
    </row>
    <row r="7" spans="1:12" ht="28.8" x14ac:dyDescent="0.3">
      <c r="A7" s="76" t="s">
        <v>159</v>
      </c>
      <c r="B7" s="81">
        <v>378175</v>
      </c>
      <c r="C7" s="81">
        <v>443414</v>
      </c>
      <c r="D7" s="81">
        <v>519727</v>
      </c>
      <c r="E7" s="81">
        <v>670720</v>
      </c>
      <c r="F7" s="80">
        <f>E7*(1+'Modelo Projetado'!G21)</f>
        <v>732061.40520004753</v>
      </c>
      <c r="G7" s="80">
        <f>F7*(1+'Modelo Projetado'!D21)</f>
        <v>802999.6726014131</v>
      </c>
      <c r="H7" s="80">
        <f>G7*(1+'Modelo Projetado'!E21)</f>
        <v>877070.00307808013</v>
      </c>
      <c r="I7" s="80">
        <f>H7*(1+'Modelo Projetado'!F21)</f>
        <v>945833.42496446054</v>
      </c>
      <c r="J7" s="80">
        <f>I7*(1+'Modelo Projetado'!G21)</f>
        <v>1032335.618685378</v>
      </c>
    </row>
    <row r="8" spans="1:12" ht="28.8" x14ac:dyDescent="0.3">
      <c r="A8" s="76" t="s">
        <v>160</v>
      </c>
      <c r="B8" s="81">
        <v>449848</v>
      </c>
      <c r="C8" s="81">
        <v>507178</v>
      </c>
      <c r="D8" s="81">
        <v>676080</v>
      </c>
      <c r="E8" s="81">
        <v>1413519</v>
      </c>
      <c r="F8" s="80">
        <f>E8*(1+'Modelo Projetado'!G23)</f>
        <v>1594789.2414610197</v>
      </c>
      <c r="G8" s="80">
        <f>F8*(1+'Modelo Projetado'!H23)</f>
        <v>1803825.0671500023</v>
      </c>
      <c r="H8" s="80">
        <f>G8*(1+'Modelo Projetado'!I23)</f>
        <v>2049386.3102041073</v>
      </c>
      <c r="I8" s="80">
        <f>H8*(1+'Modelo Projetado'!J23)</f>
        <v>2336646.8813030887</v>
      </c>
      <c r="J8" s="80">
        <f>I8*(1+'Modelo Projetado'!K23)</f>
        <v>2649534.0375234513</v>
      </c>
    </row>
    <row r="9" spans="1:12" ht="28.8" x14ac:dyDescent="0.3">
      <c r="A9" s="76" t="s">
        <v>161</v>
      </c>
      <c r="B9" s="81">
        <v>2194</v>
      </c>
      <c r="C9" s="81">
        <v>-129</v>
      </c>
      <c r="D9" s="81">
        <v>-4675</v>
      </c>
      <c r="E9" s="81">
        <v>5393</v>
      </c>
      <c r="F9" s="80">
        <f>E9*(1+'Modelo Projetado'!G24)</f>
        <v>6597.6907976479579</v>
      </c>
      <c r="G9" s="80">
        <f>F9*(1+'Modelo Projetado'!H24)</f>
        <v>8013.7013748136678</v>
      </c>
      <c r="H9" s="80">
        <f>G9*(1+'Modelo Projetado'!I24)</f>
        <v>9768.7124124251004</v>
      </c>
      <c r="I9" s="80">
        <f>H9*(1+'Modelo Projetado'!J24)</f>
        <v>11908.073152886493</v>
      </c>
      <c r="J9" s="80">
        <f>I9*(1+'Modelo Projetado'!K24)</f>
        <v>14515.956681674223</v>
      </c>
    </row>
    <row r="10" spans="1:12" ht="28.8" x14ac:dyDescent="0.3">
      <c r="A10" s="82" t="s">
        <v>162</v>
      </c>
      <c r="B10" s="83">
        <v>783452</v>
      </c>
      <c r="C10" s="83">
        <v>870515</v>
      </c>
      <c r="D10" s="83">
        <v>1033476</v>
      </c>
      <c r="E10" s="83">
        <v>1267137</v>
      </c>
      <c r="F10" s="84">
        <f>F5-F6+F7+F8-F9</f>
        <v>3761417.8861503047</v>
      </c>
      <c r="G10" s="84">
        <f t="shared" ref="G10:J10" si="1">G5-G6+G7+G8-G9</f>
        <v>4188864.1597100715</v>
      </c>
      <c r="H10" s="84">
        <f t="shared" si="1"/>
        <v>4659609.677818059</v>
      </c>
      <c r="I10" s="84">
        <f t="shared" si="1"/>
        <v>5142478.4526842441</v>
      </c>
      <c r="J10" s="84">
        <f t="shared" si="1"/>
        <v>5654638.0177311888</v>
      </c>
    </row>
    <row r="11" spans="1:12" ht="28.8" x14ac:dyDescent="0.3">
      <c r="A11" s="76" t="s">
        <v>163</v>
      </c>
      <c r="B11" s="81">
        <v>111544</v>
      </c>
      <c r="C11" s="81">
        <v>171820</v>
      </c>
      <c r="D11" s="81">
        <v>95995</v>
      </c>
      <c r="E11" s="81">
        <v>-134479</v>
      </c>
      <c r="F11" s="80">
        <f>E11*(1-'Modelo Projetado'!G25)</f>
        <v>-98144.207433837772</v>
      </c>
      <c r="G11" s="80">
        <f>F11*(1-'Modelo Projetado'!H25)</f>
        <v>-71626.688574544547</v>
      </c>
      <c r="H11" s="80">
        <f>G11*(1-'Modelo Projetado'!I25)</f>
        <v>-52273.920695863279</v>
      </c>
      <c r="I11" s="80">
        <f>H11*(1-'Modelo Projetado'!J25)</f>
        <v>-38150.064442439267</v>
      </c>
      <c r="J11" s="80">
        <f>I11*(1-'Modelo Projetado'!K25)</f>
        <v>-27842.323621182772</v>
      </c>
    </row>
    <row r="12" spans="1:12" ht="28.8" x14ac:dyDescent="0.3">
      <c r="A12" s="76" t="s">
        <v>164</v>
      </c>
      <c r="B12" s="81">
        <v>139311</v>
      </c>
      <c r="C12" s="81">
        <v>213089</v>
      </c>
      <c r="D12" s="81">
        <v>310580</v>
      </c>
      <c r="E12" s="81">
        <v>152223</v>
      </c>
      <c r="F12" s="80">
        <f>E12*(1+'Modelo Projetado'!G26)</f>
        <v>176438.12993045311</v>
      </c>
      <c r="G12" s="80">
        <f>F12*(1+'Modelo Projetado'!H26)</f>
        <v>204505.32241090672</v>
      </c>
      <c r="H12" s="80">
        <f>G12*(1+'Modelo Projetado'!I26)</f>
        <v>237037.35077488137</v>
      </c>
      <c r="I12" s="80">
        <f>H12*(1+'Modelo Projetado'!J26)</f>
        <v>274744.46630528179</v>
      </c>
      <c r="J12" s="80">
        <f>I12*(1+'Modelo Projetado'!K26)</f>
        <v>318449.90470325976</v>
      </c>
    </row>
    <row r="13" spans="1:12" ht="28.8" x14ac:dyDescent="0.3">
      <c r="A13" s="76" t="s">
        <v>165</v>
      </c>
      <c r="B13" s="81">
        <v>27767</v>
      </c>
      <c r="C13" s="81">
        <v>41269</v>
      </c>
      <c r="D13" s="81">
        <v>214585</v>
      </c>
      <c r="E13" s="81">
        <v>286702</v>
      </c>
      <c r="F13" s="80">
        <f>E13*(1+'Modelo Projetado'!G27)</f>
        <v>404584.87173159333</v>
      </c>
      <c r="G13" s="80">
        <f>F13*(1+'Modelo Projetado'!H27)</f>
        <v>570937.48363830685</v>
      </c>
      <c r="H13" s="80">
        <f>G13*(1+'Modelo Projetado'!I27)</f>
        <v>805689.07292088319</v>
      </c>
      <c r="I13" s="80">
        <f>H13*(1+'Modelo Projetado'!J27)</f>
        <v>1136963.1541574243</v>
      </c>
      <c r="J13" s="80">
        <f>I13*(1+'Modelo Projetado'!K27)</f>
        <v>1604446.7491971781</v>
      </c>
    </row>
    <row r="14" spans="1:12" x14ac:dyDescent="0.3">
      <c r="A14" s="82" t="s">
        <v>166</v>
      </c>
      <c r="B14" s="83">
        <v>894996</v>
      </c>
      <c r="C14" s="83">
        <v>1042335</v>
      </c>
      <c r="D14" s="83">
        <v>1129471</v>
      </c>
      <c r="E14" s="83">
        <v>1132658</v>
      </c>
      <c r="F14" s="84">
        <f>F10-F11-F12-F13</f>
        <v>3278539.0919220964</v>
      </c>
      <c r="G14" s="84">
        <f t="shared" ref="G14:I14" si="2">G10-G11-G12-G13</f>
        <v>3485048.0422354024</v>
      </c>
      <c r="H14" s="84">
        <f t="shared" si="2"/>
        <v>3669157.1748181581</v>
      </c>
      <c r="I14" s="84">
        <f t="shared" si="2"/>
        <v>3768920.8966639768</v>
      </c>
      <c r="J14" s="84">
        <f>J10-J11-J12-J13</f>
        <v>3759583.687451934</v>
      </c>
    </row>
    <row r="15" spans="1:12" ht="28.8" x14ac:dyDescent="0.3">
      <c r="A15" s="76" t="s">
        <v>167</v>
      </c>
      <c r="B15" s="81">
        <v>244398</v>
      </c>
      <c r="C15" s="81">
        <v>254001</v>
      </c>
      <c r="D15" s="81">
        <v>277625</v>
      </c>
      <c r="E15" s="81">
        <v>347359</v>
      </c>
      <c r="F15" s="80">
        <f>E15*(1+'Modelo Projetado'!G30)</f>
        <v>440210.9361275041</v>
      </c>
      <c r="G15" s="80">
        <f>F15*(1+'Modelo Projetado'!H30)</f>
        <v>557248.69279613381</v>
      </c>
      <c r="H15" s="80">
        <f>G15*(1+'Modelo Projetado'!I30)</f>
        <v>708493.31737307936</v>
      </c>
      <c r="I15" s="80">
        <f>H15*(1+'Modelo Projetado'!J30)</f>
        <v>905324.24799056794</v>
      </c>
      <c r="J15" s="80">
        <f>I15*(1+'Modelo Projetado'!K30)</f>
        <v>1150306.1412187205</v>
      </c>
    </row>
    <row r="16" spans="1:12" ht="28.8" x14ac:dyDescent="0.3">
      <c r="A16" s="76" t="s">
        <v>168</v>
      </c>
      <c r="B16" s="81">
        <v>242067</v>
      </c>
      <c r="C16" s="81">
        <v>315089</v>
      </c>
      <c r="D16" s="81">
        <v>362818</v>
      </c>
      <c r="E16" s="81">
        <v>597283</v>
      </c>
      <c r="F16" s="80">
        <f>E16*(1+'Modelo Projetado'!G31)</f>
        <v>816161.57976206474</v>
      </c>
      <c r="G16" s="80">
        <f>F16*(1+'Modelo Projetado'!H31)</f>
        <v>1115249.7631436172</v>
      </c>
      <c r="H16" s="80">
        <f>G16*(1+'Modelo Projetado'!I31)</f>
        <v>1523940.926690636</v>
      </c>
      <c r="I16" s="80">
        <f>H16*(1+'Modelo Projetado'!J31)</f>
        <v>2082399.8576753302</v>
      </c>
      <c r="J16" s="80">
        <f>I16*(1+'Modelo Projetado'!K31)</f>
        <v>2845510.0137398792</v>
      </c>
    </row>
    <row r="17" spans="1:10" x14ac:dyDescent="0.3">
      <c r="A17" s="76" t="s">
        <v>169</v>
      </c>
      <c r="B17" s="81">
        <v>2331</v>
      </c>
      <c r="C17" s="81">
        <v>-61088</v>
      </c>
      <c r="D17" s="81">
        <v>-85193</v>
      </c>
      <c r="E17" s="81">
        <v>-249924</v>
      </c>
      <c r="F17" s="80">
        <f>E17*(1+'Modelo Projetado'!G32)</f>
        <v>-171364.98049663508</v>
      </c>
      <c r="G17" s="80">
        <f>F17*(1+'Modelo Projetado'!H32)</f>
        <v>-103624.57955205347</v>
      </c>
      <c r="H17" s="80">
        <f>G17*(1+'Modelo Projetado'!I32)</f>
        <v>-58651.722407233159</v>
      </c>
      <c r="I17" s="80">
        <f>H17*(1+'Modelo Projetado'!J32)</f>
        <v>-31332.831150191123</v>
      </c>
      <c r="J17" s="80">
        <f>I17*(1+'Modelo Projetado'!K32)</f>
        <v>-18725.987053784967</v>
      </c>
    </row>
    <row r="18" spans="1:10" ht="28.8" x14ac:dyDescent="0.3">
      <c r="A18" s="85" t="s">
        <v>170</v>
      </c>
      <c r="B18" s="86">
        <v>650598</v>
      </c>
      <c r="C18" s="86">
        <v>788334</v>
      </c>
      <c r="D18" s="86">
        <v>851846</v>
      </c>
      <c r="E18" s="86">
        <v>785299</v>
      </c>
      <c r="F18" s="87">
        <f>F14-F15-F16-F17</f>
        <v>2193531.5565291629</v>
      </c>
      <c r="G18" s="87">
        <f t="shared" ref="G18:J18" si="3">G14-G15-G16-G17</f>
        <v>1916174.1658477047</v>
      </c>
      <c r="H18" s="87">
        <f t="shared" si="3"/>
        <v>1495374.6531616761</v>
      </c>
      <c r="I18" s="87">
        <f t="shared" si="3"/>
        <v>812529.62214826955</v>
      </c>
      <c r="J18" s="87">
        <f t="shared" si="3"/>
        <v>-217506.48045288076</v>
      </c>
    </row>
    <row r="19" spans="1:10" ht="28.8" x14ac:dyDescent="0.3">
      <c r="A19" s="85" t="s">
        <v>171</v>
      </c>
      <c r="B19" s="86">
        <v>650598</v>
      </c>
      <c r="C19" s="86">
        <v>788334</v>
      </c>
      <c r="D19" s="86">
        <v>851846</v>
      </c>
      <c r="E19" s="86">
        <v>785299</v>
      </c>
      <c r="F19" s="87">
        <f>F18</f>
        <v>2193531.5565291629</v>
      </c>
      <c r="G19" s="87">
        <f t="shared" ref="G19:J19" si="4">G18</f>
        <v>1916174.1658477047</v>
      </c>
      <c r="H19" s="87">
        <f t="shared" si="4"/>
        <v>1495374.6531616761</v>
      </c>
      <c r="I19" s="87">
        <f t="shared" si="4"/>
        <v>812529.62214826955</v>
      </c>
      <c r="J19" s="87">
        <f t="shared" si="4"/>
        <v>-217506.48045288076</v>
      </c>
    </row>
    <row r="20" spans="1:10" ht="28.8" x14ac:dyDescent="0.3">
      <c r="A20" s="88" t="s">
        <v>172</v>
      </c>
      <c r="B20" s="81">
        <v>1830</v>
      </c>
      <c r="C20" s="81">
        <v>864</v>
      </c>
      <c r="D20" s="81">
        <v>2021</v>
      </c>
      <c r="E20" s="81">
        <v>1835</v>
      </c>
      <c r="F20" s="80">
        <f>E20*(1+'Modelo Projetado'!G33)</f>
        <v>1838.9534905964979</v>
      </c>
      <c r="G20" s="80">
        <f>F20*(1+'Modelo Projetado'!H33)</f>
        <v>1842.6128503980926</v>
      </c>
      <c r="H20" s="80">
        <f>G20*(1+'Modelo Projetado'!I33)</f>
        <v>1846.6912847125839</v>
      </c>
      <c r="I20" s="80">
        <f>H20*(1+'Modelo Projetado'!J33)</f>
        <v>1850.7052953438647</v>
      </c>
      <c r="J20" s="80">
        <f>I20*(1+'Modelo Projetado'!K33)</f>
        <v>1854.6525838647751</v>
      </c>
    </row>
    <row r="21" spans="1:10" x14ac:dyDescent="0.3">
      <c r="A21" s="82" t="s">
        <v>173</v>
      </c>
      <c r="B21" s="83">
        <v>648768</v>
      </c>
      <c r="C21" s="83">
        <v>787470</v>
      </c>
      <c r="D21" s="83">
        <v>849825</v>
      </c>
      <c r="E21" s="83">
        <v>783464</v>
      </c>
      <c r="F21" s="84">
        <f>F19-F20</f>
        <v>2191692.6030385662</v>
      </c>
      <c r="G21" s="84">
        <f t="shared" ref="G21:J21" si="5">G19-G20</f>
        <v>1914331.5529973067</v>
      </c>
      <c r="H21" s="84">
        <f t="shared" si="5"/>
        <v>1493527.9618769635</v>
      </c>
      <c r="I21" s="84">
        <f t="shared" si="5"/>
        <v>810678.91685292567</v>
      </c>
      <c r="J21" s="84">
        <f t="shared" si="5"/>
        <v>-219361.13303674554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A3B4-6EE9-48B4-A47C-DC0B887020C2}">
  <dimension ref="A1:O57"/>
  <sheetViews>
    <sheetView topLeftCell="A39" zoomScale="90" zoomScaleNormal="90" workbookViewId="0">
      <selection activeCell="B66" sqref="B66:B67"/>
    </sheetView>
  </sheetViews>
  <sheetFormatPr defaultRowHeight="14.4" x14ac:dyDescent="0.3"/>
  <cols>
    <col min="1" max="1" width="30.109375" customWidth="1"/>
    <col min="2" max="2" width="27.44140625" customWidth="1"/>
    <col min="3" max="3" width="18.6640625" customWidth="1"/>
    <col min="4" max="4" width="22.6640625" customWidth="1"/>
    <col min="5" max="5" width="17.6640625" customWidth="1"/>
    <col min="8" max="8" width="27" customWidth="1"/>
    <col min="9" max="9" width="13.5546875" customWidth="1"/>
  </cols>
  <sheetData>
    <row r="1" spans="1:15" ht="21" x14ac:dyDescent="0.4">
      <c r="A1" s="175" t="s">
        <v>174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</row>
    <row r="3" spans="1:15" ht="15.6" x14ac:dyDescent="0.3">
      <c r="A3" s="15" t="s">
        <v>175</v>
      </c>
      <c r="B3" s="15" t="s">
        <v>176</v>
      </c>
      <c r="C3" s="15" t="s">
        <v>177</v>
      </c>
      <c r="D3" s="15" t="s">
        <v>178</v>
      </c>
      <c r="E3" s="15" t="s">
        <v>179</v>
      </c>
      <c r="H3" s="16" t="s">
        <v>180</v>
      </c>
      <c r="I3" s="25"/>
    </row>
    <row r="4" spans="1:15" ht="15.6" x14ac:dyDescent="0.3">
      <c r="A4" s="146" t="s">
        <v>181</v>
      </c>
      <c r="B4" s="147">
        <f>235112000/1000</f>
        <v>235112</v>
      </c>
      <c r="C4" s="148">
        <v>46213</v>
      </c>
      <c r="D4" s="149" t="s">
        <v>182</v>
      </c>
      <c r="E4" s="150">
        <f>AVERAGE(B14:F14)*110.5%</f>
        <v>9.1715000000000005E-2</v>
      </c>
      <c r="H4" s="17" t="s">
        <v>183</v>
      </c>
      <c r="I4" s="17" t="s">
        <v>178</v>
      </c>
    </row>
    <row r="5" spans="1:15" ht="15.6" x14ac:dyDescent="0.3">
      <c r="A5" s="149" t="s">
        <v>184</v>
      </c>
      <c r="B5" s="147">
        <f>1764888000/1000</f>
        <v>1764888</v>
      </c>
      <c r="C5" s="148">
        <v>45483</v>
      </c>
      <c r="D5" s="151" t="s">
        <v>185</v>
      </c>
      <c r="E5" s="150">
        <f>AVERAGE(B14:F14)*109%</f>
        <v>9.0470000000000009E-2</v>
      </c>
      <c r="H5" s="17" t="s">
        <v>186</v>
      </c>
      <c r="I5" s="18">
        <v>9.4996158764444394E-2</v>
      </c>
    </row>
    <row r="6" spans="1:15" ht="15.6" x14ac:dyDescent="0.3">
      <c r="A6" s="149" t="s">
        <v>187</v>
      </c>
      <c r="B6" s="152">
        <f>1250000000/1000</f>
        <v>1250000</v>
      </c>
      <c r="C6" s="148">
        <v>47238</v>
      </c>
      <c r="D6" s="149" t="s">
        <v>188</v>
      </c>
      <c r="E6" s="150">
        <f>AVERAGE(B14:F14)+1.65%</f>
        <v>9.9500000000000005E-2</v>
      </c>
      <c r="H6" s="17" t="s">
        <v>189</v>
      </c>
      <c r="I6" s="18">
        <v>0.34</v>
      </c>
    </row>
    <row r="7" spans="1:15" ht="15.6" x14ac:dyDescent="0.3">
      <c r="A7" s="149" t="s">
        <v>190</v>
      </c>
      <c r="B7" s="152">
        <f>1250000000/1000</f>
        <v>1250000</v>
      </c>
      <c r="C7" s="153">
        <v>46507</v>
      </c>
      <c r="D7" s="149" t="s">
        <v>191</v>
      </c>
      <c r="E7" s="150">
        <f>AVERAGE(B14:F14)+1.45%</f>
        <v>9.7500000000000003E-2</v>
      </c>
      <c r="H7" s="16" t="s">
        <v>192</v>
      </c>
      <c r="I7" s="19">
        <v>6.2697464784533294E-2</v>
      </c>
    </row>
    <row r="8" spans="1:15" ht="15.6" x14ac:dyDescent="0.3">
      <c r="A8" s="92"/>
      <c r="B8" s="154"/>
      <c r="C8" s="92"/>
      <c r="D8" s="92"/>
      <c r="E8" s="92"/>
    </row>
    <row r="9" spans="1:15" ht="15.6" x14ac:dyDescent="0.3">
      <c r="A9" s="149" t="s">
        <v>193</v>
      </c>
      <c r="B9" s="155">
        <f>SUM(B4:B7)</f>
        <v>4500000</v>
      </c>
      <c r="C9" s="92"/>
      <c r="D9" s="156" t="s">
        <v>194</v>
      </c>
      <c r="E9" s="157">
        <f>SUMPRODUCT(E4:E7,B4:B7)/B9</f>
        <v>9.4996158764444449E-2</v>
      </c>
    </row>
    <row r="12" spans="1:15" ht="15.6" x14ac:dyDescent="0.3">
      <c r="A12" s="176" t="s">
        <v>195</v>
      </c>
      <c r="B12" s="177"/>
      <c r="C12" s="177"/>
      <c r="D12" s="177"/>
      <c r="E12" s="177"/>
      <c r="F12" s="178"/>
    </row>
    <row r="13" spans="1:15" ht="15.6" x14ac:dyDescent="0.3">
      <c r="A13" s="28" t="s">
        <v>196</v>
      </c>
      <c r="B13" s="29">
        <v>2021</v>
      </c>
      <c r="C13" s="29">
        <v>2022</v>
      </c>
      <c r="D13" s="29">
        <v>2023</v>
      </c>
      <c r="E13" s="29">
        <v>2024</v>
      </c>
      <c r="F13" s="29">
        <v>2025</v>
      </c>
    </row>
    <row r="14" spans="1:15" ht="15.6" x14ac:dyDescent="0.3">
      <c r="A14" s="28" t="s">
        <v>197</v>
      </c>
      <c r="B14" s="30">
        <v>9.5000000000000001E-2</v>
      </c>
      <c r="C14" s="30">
        <v>0.105</v>
      </c>
      <c r="D14" s="30">
        <v>7.4999999999999997E-2</v>
      </c>
      <c r="E14" s="30">
        <v>7.0000000000000007E-2</v>
      </c>
      <c r="F14" s="30">
        <v>7.0000000000000007E-2</v>
      </c>
    </row>
    <row r="15" spans="1:15" ht="15.6" x14ac:dyDescent="0.3">
      <c r="A15" s="28" t="s">
        <v>198</v>
      </c>
      <c r="B15" s="31">
        <v>5.5</v>
      </c>
      <c r="C15" s="31">
        <v>5.7</v>
      </c>
      <c r="D15" s="31">
        <v>5.77</v>
      </c>
      <c r="E15" s="31">
        <v>5.6</v>
      </c>
      <c r="F15" s="31">
        <v>5.55</v>
      </c>
    </row>
    <row r="16" spans="1:15" x14ac:dyDescent="0.3">
      <c r="C16" s="2"/>
      <c r="D16" s="2"/>
      <c r="E16" s="2"/>
    </row>
    <row r="17" spans="1:15" x14ac:dyDescent="0.3">
      <c r="C17" s="3"/>
      <c r="D17" s="3"/>
      <c r="E17" s="3"/>
    </row>
    <row r="19" spans="1:15" ht="21" x14ac:dyDescent="0.4">
      <c r="A19" s="175" t="s">
        <v>199</v>
      </c>
      <c r="B19" s="175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</row>
    <row r="21" spans="1:15" x14ac:dyDescent="0.3">
      <c r="A21" s="173" t="s">
        <v>200</v>
      </c>
      <c r="B21" s="174"/>
    </row>
    <row r="22" spans="1:15" x14ac:dyDescent="0.3">
      <c r="A22" s="17" t="s">
        <v>201</v>
      </c>
      <c r="B22" s="20">
        <v>0.11806</v>
      </c>
    </row>
    <row r="23" spans="1:15" x14ac:dyDescent="0.3">
      <c r="A23" s="17" t="s">
        <v>202</v>
      </c>
      <c r="B23" s="20">
        <f>'β Alavancado'!L27</f>
        <v>0.74060000000000004</v>
      </c>
    </row>
    <row r="24" spans="1:15" x14ac:dyDescent="0.3">
      <c r="A24" s="17" t="s">
        <v>203</v>
      </c>
      <c r="B24" s="20">
        <v>5.5E-2</v>
      </c>
    </row>
    <row r="25" spans="1:15" x14ac:dyDescent="0.3">
      <c r="A25" s="16" t="s">
        <v>204</v>
      </c>
      <c r="B25" s="19">
        <v>0.15879299999999999</v>
      </c>
    </row>
    <row r="28" spans="1:15" ht="21" x14ac:dyDescent="0.4">
      <c r="A28" s="175" t="s">
        <v>205</v>
      </c>
      <c r="B28" s="175"/>
      <c r="C28" s="175"/>
      <c r="D28" s="175"/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</row>
    <row r="30" spans="1:15" ht="15.6" x14ac:dyDescent="0.3">
      <c r="A30" s="15" t="s">
        <v>0</v>
      </c>
      <c r="B30" s="158">
        <v>2017</v>
      </c>
      <c r="C30" s="158">
        <v>2018</v>
      </c>
      <c r="D30" s="158">
        <v>2019</v>
      </c>
      <c r="E30" s="158">
        <v>2020</v>
      </c>
    </row>
    <row r="31" spans="1:15" ht="15.6" x14ac:dyDescent="0.3">
      <c r="A31" s="151" t="s">
        <v>206</v>
      </c>
      <c r="B31" s="159">
        <f>BP!$B$45+BP!$B$57</f>
        <v>0</v>
      </c>
      <c r="C31" s="159">
        <f>BP!$C$45+BP!$C$57</f>
        <v>0</v>
      </c>
      <c r="D31" s="159">
        <f>BP!$D$45+BP!$D$57</f>
        <v>2111993</v>
      </c>
      <c r="E31" s="159">
        <f>BP!$E$45+BP!$E$57</f>
        <v>2077227</v>
      </c>
    </row>
    <row r="32" spans="1:15" ht="15.6" x14ac:dyDescent="0.3">
      <c r="A32" s="151" t="s">
        <v>207</v>
      </c>
      <c r="B32" s="155">
        <f>'β Alavancado'!$F$3</f>
        <v>5.4014056675999997</v>
      </c>
      <c r="C32" s="155">
        <f>'β Alavancado'!$F$11</f>
        <v>6.1332168820000001</v>
      </c>
      <c r="D32" s="155">
        <f>'β Alavancado'!$F$23</f>
        <v>12.667662027</v>
      </c>
      <c r="E32" s="155">
        <f>'β Alavancado'!$F$35</f>
        <v>15.200100046999999</v>
      </c>
    </row>
    <row r="33" spans="1:6" ht="15.6" x14ac:dyDescent="0.3">
      <c r="A33" s="151" t="s">
        <v>80</v>
      </c>
      <c r="B33" s="160">
        <v>560000</v>
      </c>
      <c r="C33" s="160">
        <v>671958.57299999997</v>
      </c>
      <c r="D33" s="160">
        <v>742985.45</v>
      </c>
      <c r="E33" s="160">
        <v>3714927.25</v>
      </c>
    </row>
    <row r="34" spans="1:6" ht="15.6" x14ac:dyDescent="0.3">
      <c r="A34" s="92"/>
      <c r="B34" s="92"/>
      <c r="C34" s="92"/>
      <c r="D34" s="92"/>
      <c r="E34" s="92"/>
    </row>
    <row r="35" spans="1:6" ht="15.6" x14ac:dyDescent="0.3">
      <c r="A35" s="151" t="s">
        <v>34</v>
      </c>
      <c r="B35" s="155">
        <f>B33*B32</f>
        <v>3024787.173856</v>
      </c>
      <c r="C35" s="155">
        <f>C33*C32</f>
        <v>4121267.6639282294</v>
      </c>
      <c r="D35" s="155">
        <f>D33*D32</f>
        <v>9411888.5715785064</v>
      </c>
      <c r="E35" s="155">
        <f>E33*E32</f>
        <v>56467265.86732658</v>
      </c>
    </row>
    <row r="36" spans="1:6" ht="15.6" x14ac:dyDescent="0.3">
      <c r="A36" s="92"/>
      <c r="B36" s="92"/>
      <c r="C36" s="92"/>
      <c r="D36" s="92"/>
      <c r="E36" s="92"/>
    </row>
    <row r="37" spans="1:6" ht="15.6" x14ac:dyDescent="0.3">
      <c r="A37" s="151" t="s">
        <v>208</v>
      </c>
      <c r="B37" s="155">
        <f>B31+B35</f>
        <v>3024787.173856</v>
      </c>
      <c r="C37" s="155">
        <f>C31+C35</f>
        <v>4121267.6639282294</v>
      </c>
      <c r="D37" s="155">
        <f>D31+D35</f>
        <v>11523881.571578506</v>
      </c>
      <c r="E37" s="155">
        <f>E31+E35</f>
        <v>58544492.86732658</v>
      </c>
    </row>
    <row r="38" spans="1:6" ht="15.6" x14ac:dyDescent="0.3">
      <c r="A38" s="92"/>
      <c r="B38" s="92"/>
      <c r="C38" s="92"/>
      <c r="D38" s="92"/>
      <c r="E38" s="92"/>
    </row>
    <row r="39" spans="1:6" ht="15.6" x14ac:dyDescent="0.3">
      <c r="A39" s="151" t="s">
        <v>209</v>
      </c>
      <c r="B39" s="161">
        <f>B35/B37</f>
        <v>1</v>
      </c>
      <c r="C39" s="161">
        <f>C35/C37</f>
        <v>1</v>
      </c>
      <c r="D39" s="161">
        <f>D35/D37</f>
        <v>0.81672902598992037</v>
      </c>
      <c r="E39" s="161">
        <f>E35/E37</f>
        <v>0.96451883177624564</v>
      </c>
    </row>
    <row r="40" spans="1:6" ht="15.6" x14ac:dyDescent="0.3">
      <c r="A40" s="151" t="s">
        <v>210</v>
      </c>
      <c r="B40" s="162">
        <f>1-B39</f>
        <v>0</v>
      </c>
      <c r="C40" s="162">
        <f>1-C39</f>
        <v>0</v>
      </c>
      <c r="D40" s="162">
        <f>1-D39</f>
        <v>0.18327097401007963</v>
      </c>
      <c r="E40" s="162">
        <f>1-E39</f>
        <v>3.5481168223754356E-2</v>
      </c>
    </row>
    <row r="41" spans="1:6" x14ac:dyDescent="0.3">
      <c r="F41" s="33"/>
    </row>
    <row r="42" spans="1:6" x14ac:dyDescent="0.3">
      <c r="A42" s="24" t="s">
        <v>211</v>
      </c>
      <c r="B42" s="23">
        <f>AVERAGE(B40:E40)</f>
        <v>5.4688035558458498E-2</v>
      </c>
    </row>
    <row r="43" spans="1:6" x14ac:dyDescent="0.3">
      <c r="A43" s="24" t="s">
        <v>212</v>
      </c>
      <c r="B43" s="23">
        <f>AVERAGE(B39:E39)</f>
        <v>0.94531196444154153</v>
      </c>
    </row>
    <row r="50" spans="1:15" ht="21" x14ac:dyDescent="0.4">
      <c r="A50" s="175" t="s">
        <v>75</v>
      </c>
      <c r="B50" s="175"/>
      <c r="C50" s="175"/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O50" s="175"/>
    </row>
    <row r="52" spans="1:15" x14ac:dyDescent="0.3">
      <c r="A52" s="34" t="s">
        <v>213</v>
      </c>
      <c r="B52" s="34" t="s">
        <v>176</v>
      </c>
    </row>
    <row r="53" spans="1:15" x14ac:dyDescent="0.3">
      <c r="A53" s="35" t="s">
        <v>211</v>
      </c>
      <c r="B53" s="20">
        <f>B42</f>
        <v>5.4688035558458498E-2</v>
      </c>
    </row>
    <row r="54" spans="1:15" x14ac:dyDescent="0.3">
      <c r="A54" s="36" t="s">
        <v>212</v>
      </c>
      <c r="B54" s="20">
        <f>B43</f>
        <v>0.94531196444154153</v>
      </c>
    </row>
    <row r="55" spans="1:15" x14ac:dyDescent="0.3">
      <c r="A55" s="36" t="s">
        <v>214</v>
      </c>
      <c r="B55" s="20">
        <f>B25</f>
        <v>0.15879299999999999</v>
      </c>
    </row>
    <row r="56" spans="1:15" x14ac:dyDescent="0.3">
      <c r="A56" s="36" t="s">
        <v>192</v>
      </c>
      <c r="B56" s="20">
        <f>I7</f>
        <v>6.2697464784533294E-2</v>
      </c>
    </row>
    <row r="57" spans="1:15" x14ac:dyDescent="0.3">
      <c r="A57" s="22" t="s">
        <v>75</v>
      </c>
      <c r="B57" s="55">
        <f>(B53*B56)+(B54*B55)</f>
        <v>0.15353772395312745</v>
      </c>
    </row>
  </sheetData>
  <mergeCells count="6">
    <mergeCell ref="A21:B21"/>
    <mergeCell ref="A28:O28"/>
    <mergeCell ref="A19:O19"/>
    <mergeCell ref="A1:O1"/>
    <mergeCell ref="A50:O50"/>
    <mergeCell ref="A12:F12"/>
  </mergeCells>
  <conditionalFormatting sqref="A12">
    <cfRule type="cellIs" dxfId="0" priority="1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E8F1-6C1F-49D4-B073-855EFC5F16DE}">
  <dimension ref="A2:L41"/>
  <sheetViews>
    <sheetView topLeftCell="B18" zoomScale="98" zoomScaleNormal="98" workbookViewId="0">
      <selection activeCell="I32" sqref="I32"/>
    </sheetView>
  </sheetViews>
  <sheetFormatPr defaultRowHeight="14.4" x14ac:dyDescent="0.3"/>
  <cols>
    <col min="1" max="1" width="12.44140625" customWidth="1"/>
    <col min="2" max="2" width="43.33203125" customWidth="1"/>
    <col min="3" max="3" width="12.88671875" bestFit="1" customWidth="1"/>
    <col min="4" max="4" width="11.88671875" customWidth="1"/>
    <col min="5" max="5" width="12.5546875" bestFit="1" customWidth="1"/>
    <col min="6" max="6" width="11.6640625" bestFit="1" customWidth="1"/>
    <col min="7" max="7" width="13.6640625" customWidth="1"/>
    <col min="8" max="8" width="13.44140625" customWidth="1"/>
    <col min="9" max="10" width="12.6640625" bestFit="1" customWidth="1"/>
    <col min="11" max="11" width="13.6640625" bestFit="1" customWidth="1"/>
    <col min="12" max="12" width="95" customWidth="1"/>
    <col min="13" max="13" width="11.88671875" customWidth="1"/>
  </cols>
  <sheetData>
    <row r="2" spans="1:11" x14ac:dyDescent="0.3">
      <c r="A2" s="27"/>
      <c r="B2" s="72"/>
      <c r="C2" s="59">
        <v>2017</v>
      </c>
      <c r="D2" s="60">
        <v>2018</v>
      </c>
      <c r="E2" s="60">
        <v>2019</v>
      </c>
      <c r="F2" s="61">
        <v>2020</v>
      </c>
      <c r="G2" s="62" t="s">
        <v>56</v>
      </c>
      <c r="H2" s="62" t="s">
        <v>57</v>
      </c>
      <c r="I2" s="62" t="s">
        <v>58</v>
      </c>
      <c r="J2" s="62" t="s">
        <v>59</v>
      </c>
      <c r="K2" s="113" t="s">
        <v>60</v>
      </c>
    </row>
    <row r="3" spans="1:11" x14ac:dyDescent="0.3">
      <c r="A3" s="56" t="s">
        <v>62</v>
      </c>
      <c r="B3" s="73" t="s">
        <v>63</v>
      </c>
      <c r="C3" s="107">
        <f>DRE!B3</f>
        <v>3847981</v>
      </c>
      <c r="D3" s="107">
        <f>DRE!C3</f>
        <v>4575898</v>
      </c>
      <c r="E3" s="107">
        <f>DRE!D3</f>
        <v>5634383</v>
      </c>
      <c r="F3" s="107">
        <f>DRE!E3</f>
        <v>8554961</v>
      </c>
      <c r="G3" s="106">
        <f>F3*(1+G19)</f>
        <v>10465972.08676751</v>
      </c>
      <c r="H3" s="106">
        <f>G3*(1+H19)</f>
        <v>12712201.506986339</v>
      </c>
      <c r="I3" s="106">
        <f>H3*(1+I19)</f>
        <v>15496190.192566782</v>
      </c>
      <c r="J3" s="106">
        <f>I3*(1+J19)</f>
        <v>18889876.025976449</v>
      </c>
      <c r="K3" s="106">
        <f>J3*(1+K19)</f>
        <v>23026783.476620138</v>
      </c>
    </row>
    <row r="4" spans="1:11" x14ac:dyDescent="0.3">
      <c r="A4" s="56" t="s">
        <v>62</v>
      </c>
      <c r="B4" s="27" t="s">
        <v>64</v>
      </c>
      <c r="C4" s="107">
        <f>DRE!B10</f>
        <v>783452</v>
      </c>
      <c r="D4" s="107">
        <f>DRE!C10</f>
        <v>870515</v>
      </c>
      <c r="E4" s="107">
        <f>DRE!D10</f>
        <v>1033476</v>
      </c>
      <c r="F4" s="107">
        <f>DRE!E10</f>
        <v>1267137</v>
      </c>
      <c r="G4" s="106">
        <f>DRE!F6</f>
        <v>2535383.0191861019</v>
      </c>
      <c r="H4" s="106">
        <f>DRE!G6</f>
        <v>3095347.9541568337</v>
      </c>
      <c r="I4" s="106">
        <f>DRE!H6</f>
        <v>3789118.6516419328</v>
      </c>
      <c r="J4" s="106">
        <f>DRE!I6</f>
        <v>4648872.6315367045</v>
      </c>
      <c r="K4" s="106">
        <f>DRE!J6</f>
        <v>5684995.9492357131</v>
      </c>
    </row>
    <row r="5" spans="1:11" x14ac:dyDescent="0.3">
      <c r="A5" s="58" t="s">
        <v>65</v>
      </c>
      <c r="B5" s="27" t="s">
        <v>66</v>
      </c>
      <c r="C5" s="107">
        <f>DRE!B15</f>
        <v>244398</v>
      </c>
      <c r="D5" s="107">
        <f>DRE!C15</f>
        <v>254001</v>
      </c>
      <c r="E5" s="107">
        <f>DRE!D15</f>
        <v>277625</v>
      </c>
      <c r="F5" s="107">
        <f>DRE!E15</f>
        <v>347359</v>
      </c>
      <c r="G5" s="106">
        <f>F5*(1+G30)</f>
        <v>440210.9361275041</v>
      </c>
      <c r="H5" s="106">
        <f>G5*(1+H30)</f>
        <v>557248.69279613381</v>
      </c>
      <c r="I5" s="106">
        <f>H5*(1+I30)</f>
        <v>708493.31737307936</v>
      </c>
      <c r="J5" s="106">
        <f>I5*(1+J30)</f>
        <v>905324.24799056794</v>
      </c>
      <c r="K5" s="106">
        <f>J5*(1+K30)</f>
        <v>1150306.1412187205</v>
      </c>
    </row>
    <row r="6" spans="1:11" x14ac:dyDescent="0.3">
      <c r="A6" s="56" t="s">
        <v>67</v>
      </c>
      <c r="B6" s="27" t="s">
        <v>68</v>
      </c>
      <c r="C6" s="107">
        <f>C4-C5</f>
        <v>539054</v>
      </c>
      <c r="D6" s="107">
        <f>D4-D5</f>
        <v>616514</v>
      </c>
      <c r="E6" s="107">
        <f>E4-E5</f>
        <v>755851</v>
      </c>
      <c r="F6" s="107">
        <f>F4-F5</f>
        <v>919778</v>
      </c>
      <c r="G6" s="106">
        <f>G4-G5</f>
        <v>2095172.0830585978</v>
      </c>
      <c r="H6" s="106">
        <f t="shared" ref="H6:K6" si="0">H4-H5</f>
        <v>2538099.2613606998</v>
      </c>
      <c r="I6" s="106">
        <f t="shared" si="0"/>
        <v>3080625.3342688535</v>
      </c>
      <c r="J6" s="106">
        <f t="shared" si="0"/>
        <v>3743548.3835461363</v>
      </c>
      <c r="K6" s="106">
        <f t="shared" si="0"/>
        <v>4534689.8080169931</v>
      </c>
    </row>
    <row r="7" spans="1:11" x14ac:dyDescent="0.3">
      <c r="A7" s="56" t="s">
        <v>62</v>
      </c>
      <c r="B7" s="27" t="s">
        <v>69</v>
      </c>
      <c r="C7" s="107">
        <f>0</f>
        <v>0</v>
      </c>
      <c r="D7" s="107">
        <f>0</f>
        <v>0</v>
      </c>
      <c r="E7" s="107">
        <f>0</f>
        <v>0</v>
      </c>
      <c r="F7" s="107">
        <f>0</f>
        <v>0</v>
      </c>
      <c r="G7" s="106">
        <f>0</f>
        <v>0</v>
      </c>
      <c r="H7" s="106">
        <f>0</f>
        <v>0</v>
      </c>
      <c r="I7" s="106">
        <f>0</f>
        <v>0</v>
      </c>
      <c r="J7" s="106">
        <f>0</f>
        <v>0</v>
      </c>
      <c r="K7" s="106">
        <f>0</f>
        <v>0</v>
      </c>
    </row>
    <row r="8" spans="1:11" x14ac:dyDescent="0.3">
      <c r="A8" s="58" t="s">
        <v>65</v>
      </c>
      <c r="B8" s="27" t="s">
        <v>70</v>
      </c>
      <c r="C8" s="107">
        <f>BP!B31+C7</f>
        <v>290622</v>
      </c>
      <c r="D8" s="107">
        <f>BP!C31-C8+D7</f>
        <v>123906</v>
      </c>
      <c r="E8" s="107">
        <f>BP!D31-D8+E7</f>
        <v>1976413</v>
      </c>
      <c r="F8" s="107">
        <f>BP!E31-E8+F7</f>
        <v>265120</v>
      </c>
      <c r="G8" s="106">
        <f>G3*G35</f>
        <v>1426321.3503075459</v>
      </c>
      <c r="H8" s="106">
        <f>H3*H35</f>
        <v>2195181.8277833653</v>
      </c>
      <c r="I8" s="106">
        <f>I3*I35</f>
        <v>1756002.691873569</v>
      </c>
      <c r="J8" s="106">
        <f>J3*J35</f>
        <v>2658959.0440101312</v>
      </c>
      <c r="K8" s="106">
        <f>K3*K35</f>
        <v>3275655.670460212</v>
      </c>
    </row>
    <row r="9" spans="1:11" x14ac:dyDescent="0.3">
      <c r="A9" s="56"/>
      <c r="B9" s="27" t="s">
        <v>71</v>
      </c>
      <c r="C9" s="107">
        <f>SUM(BP!B6,BP!B9,BP!B11,BP!B12,)-SUM(BP!B39,BP!B40,BP!B46)</f>
        <v>-517543</v>
      </c>
      <c r="D9" s="107">
        <f>SUM(BP!C6,BP!C9,BP!C11,BP!C12,)-SUM(BP!C39,BP!C40,BP!C46)</f>
        <v>-43719</v>
      </c>
      <c r="E9" s="107">
        <f>SUM(BP!D6,BP!D9,BP!D11,BP!D12,)-SUM(BP!D39,BP!D40,BP!D46)</f>
        <v>114635</v>
      </c>
      <c r="F9" s="107">
        <f>SUM(BP!E6,BP!E9,BP!E11,BP!E12,)-SUM(BP!E39,BP!E40,BP!E46)</f>
        <v>109272</v>
      </c>
      <c r="G9" s="107">
        <f>SUM(BP!F6,BP!F9,BP!F11,BP!F12,)-SUM(BP!F39,BP!F40,BP!F46)</f>
        <v>-411477.99740690854</v>
      </c>
      <c r="H9" s="107">
        <f>SUM(BP!G6,BP!G9,BP!G11,BP!G12,)-SUM(BP!G39,BP!G40,BP!G46)</f>
        <v>-569228.09451560909</v>
      </c>
      <c r="I9" s="107">
        <f>SUM(BP!H6,BP!H9,BP!H11,BP!H12,)-SUM(BP!H39,BP!H40,BP!H46)</f>
        <v>-774791.12847886188</v>
      </c>
      <c r="J9" s="107">
        <f>SUM(BP!I6,BP!I9,BP!I11,BP!I12,)-SUM(BP!I39,BP!I40,BP!I46)</f>
        <v>-1044851.6447859698</v>
      </c>
      <c r="K9" s="107">
        <f>SUM(BP!J6,BP!J9,BP!J11,BP!J12,)-SUM(BP!J39,BP!J40,BP!J46)</f>
        <v>-1363950.273813511</v>
      </c>
    </row>
    <row r="10" spans="1:11" x14ac:dyDescent="0.3">
      <c r="A10" s="58" t="s">
        <v>65</v>
      </c>
      <c r="B10" s="27" t="s">
        <v>72</v>
      </c>
      <c r="C10" s="107"/>
      <c r="D10" s="107">
        <f>D9-C9</f>
        <v>473824</v>
      </c>
      <c r="E10" s="107">
        <f>E9-D9</f>
        <v>158354</v>
      </c>
      <c r="F10" s="107">
        <f>F9-E9</f>
        <v>-5363</v>
      </c>
      <c r="G10" s="107">
        <f t="shared" ref="G10:K10" si="1">G9-F9</f>
        <v>-520749.99740690854</v>
      </c>
      <c r="H10" s="107">
        <f t="shared" si="1"/>
        <v>-157750.09710870055</v>
      </c>
      <c r="I10" s="107">
        <f t="shared" si="1"/>
        <v>-205563.03396325279</v>
      </c>
      <c r="J10" s="107">
        <f t="shared" si="1"/>
        <v>-270060.51630710787</v>
      </c>
      <c r="K10" s="107">
        <f t="shared" si="1"/>
        <v>-319098.62902754126</v>
      </c>
    </row>
    <row r="11" spans="1:11" x14ac:dyDescent="0.3">
      <c r="A11" s="57" t="s">
        <v>67</v>
      </c>
      <c r="B11" s="16" t="s">
        <v>73</v>
      </c>
      <c r="C11" s="108">
        <f>C6+C7-C8-C10</f>
        <v>248432</v>
      </c>
      <c r="D11" s="108">
        <f>D6+D7-D8-D10</f>
        <v>18784</v>
      </c>
      <c r="E11" s="108">
        <f>E6+E7-E8-E10</f>
        <v>-1378916</v>
      </c>
      <c r="F11" s="108">
        <f>F6+F7-F8-F10</f>
        <v>660021</v>
      </c>
      <c r="G11" s="112">
        <f t="shared" ref="G11:K11" si="2">G6+G7-G8-G10</f>
        <v>1189600.7301579604</v>
      </c>
      <c r="H11" s="112">
        <f t="shared" si="2"/>
        <v>500667.53068603505</v>
      </c>
      <c r="I11" s="112">
        <f t="shared" si="2"/>
        <v>1530185.6763585373</v>
      </c>
      <c r="J11" s="112">
        <f t="shared" si="2"/>
        <v>1354649.855843113</v>
      </c>
      <c r="K11" s="112">
        <f t="shared" si="2"/>
        <v>1578132.7665843223</v>
      </c>
    </row>
    <row r="12" spans="1:11" x14ac:dyDescent="0.3">
      <c r="B12" s="66"/>
      <c r="C12" s="66"/>
      <c r="D12" s="66"/>
      <c r="E12" s="66"/>
      <c r="F12" s="66"/>
      <c r="G12" s="66"/>
      <c r="H12" s="66"/>
      <c r="I12" s="66"/>
    </row>
    <row r="14" spans="1:11" x14ac:dyDescent="0.3">
      <c r="B14" s="114" t="s">
        <v>215</v>
      </c>
      <c r="C14" s="115">
        <f>_xlfn.STDEV.S(D19:F19)</f>
        <v>0.17912922542636681</v>
      </c>
    </row>
    <row r="15" spans="1:11" x14ac:dyDescent="0.3">
      <c r="B15" s="115" t="s">
        <v>216</v>
      </c>
      <c r="C15" s="115">
        <f>_xlfn.STDEV.S(D20:F20)</f>
        <v>0.1728764020267152</v>
      </c>
    </row>
    <row r="16" spans="1:11" x14ac:dyDescent="0.3">
      <c r="C16" s="145"/>
    </row>
    <row r="18" spans="2:12" ht="15.6" x14ac:dyDescent="0.3">
      <c r="B18" s="74" t="s">
        <v>217</v>
      </c>
      <c r="C18" s="67">
        <v>2017</v>
      </c>
      <c r="D18" s="67">
        <v>2018</v>
      </c>
      <c r="E18" s="67">
        <v>2019</v>
      </c>
      <c r="F18" s="67">
        <v>2020</v>
      </c>
      <c r="G18" s="68" t="s">
        <v>56</v>
      </c>
      <c r="H18" s="68" t="s">
        <v>57</v>
      </c>
      <c r="I18" s="68" t="s">
        <v>58</v>
      </c>
      <c r="J18" s="68" t="s">
        <v>59</v>
      </c>
      <c r="K18" s="69" t="s">
        <v>60</v>
      </c>
      <c r="L18" s="64" t="s">
        <v>218</v>
      </c>
    </row>
    <row r="19" spans="2:12" ht="57.6" x14ac:dyDescent="0.3">
      <c r="B19" s="75" t="s">
        <v>219</v>
      </c>
      <c r="C19" s="27"/>
      <c r="D19" s="78">
        <f>D3/C3-1</f>
        <v>0.18916855358693296</v>
      </c>
      <c r="E19" s="78">
        <f>E3/D3-1</f>
        <v>0.23131743758274337</v>
      </c>
      <c r="F19" s="78">
        <f>F3/E3-1</f>
        <v>0.5183492141020587</v>
      </c>
      <c r="G19" s="78">
        <f>AVERAGE(D19:F19)-C14/2</f>
        <v>0.22338045571072829</v>
      </c>
      <c r="H19" s="78">
        <f>AVERAGE(G19,D19,E19)</f>
        <v>0.21462214896013487</v>
      </c>
      <c r="I19" s="78">
        <f>AVERAGE(G19:H19)</f>
        <v>0.21900130233543158</v>
      </c>
      <c r="J19" s="78">
        <f>AVERAGE(G19:I19)</f>
        <v>0.21900130233543158</v>
      </c>
      <c r="K19" s="78">
        <f>AVERAGE(G19:J19)</f>
        <v>0.21900130233543158</v>
      </c>
      <c r="L19" s="71" t="s">
        <v>220</v>
      </c>
    </row>
    <row r="20" spans="2:12" ht="28.8" x14ac:dyDescent="0.3">
      <c r="B20" s="27" t="s">
        <v>221</v>
      </c>
      <c r="C20" s="78"/>
      <c r="D20" s="78">
        <f>DRE!C4/DRE!B4-1</f>
        <v>0.23047393576629305</v>
      </c>
      <c r="E20" s="78">
        <f>DRE!D4/DRE!C4-1</f>
        <v>0.23442549394444767</v>
      </c>
      <c r="F20" s="78">
        <f>DRE!E4/DRE!D4-1</f>
        <v>0.53186087033238483</v>
      </c>
      <c r="G20" s="26">
        <f>AVERAGE(D20:F20)-C15/2</f>
        <v>0.24581523233435093</v>
      </c>
      <c r="H20" s="78">
        <f>AVERAGE(G20,D20,E20)</f>
        <v>0.2369048873483639</v>
      </c>
      <c r="I20" s="78">
        <f>AVERAGE(G20:H20)</f>
        <v>0.24136005984135742</v>
      </c>
      <c r="J20" s="78">
        <f>AVERAGE(G20:I20)</f>
        <v>0.24136005984135742</v>
      </c>
      <c r="K20" s="78">
        <f>AVERAGE(G20:J20)</f>
        <v>0.24136005984135742</v>
      </c>
      <c r="L20" s="71" t="s">
        <v>222</v>
      </c>
    </row>
    <row r="21" spans="2:12" x14ac:dyDescent="0.3">
      <c r="B21" s="75" t="s">
        <v>223</v>
      </c>
      <c r="C21" s="78">
        <f>DRE!B7/DRE!B3</f>
        <v>9.827881166772913E-2</v>
      </c>
      <c r="D21" s="78">
        <f>DRE!C7/DRE!C3</f>
        <v>9.6902072554938948E-2</v>
      </c>
      <c r="E21" s="78">
        <f>DRE!D7/DRE!D3</f>
        <v>9.2242043183787828E-2</v>
      </c>
      <c r="F21" s="78">
        <f>DRE!E7/DRE!E3</f>
        <v>7.8401292536576142E-2</v>
      </c>
      <c r="G21" s="26">
        <f t="shared" ref="G21:J22" si="3">AVERAGE(C21:F21)</f>
        <v>9.1456054985758012E-2</v>
      </c>
      <c r="H21" s="26">
        <f t="shared" si="3"/>
        <v>8.9750365815265243E-2</v>
      </c>
      <c r="I21" s="26">
        <f t="shared" si="3"/>
        <v>8.7962439130346806E-2</v>
      </c>
      <c r="J21" s="26">
        <f t="shared" si="3"/>
        <v>8.6892538116986551E-2</v>
      </c>
      <c r="K21" s="26">
        <f>AVERAGE(G21:J21)</f>
        <v>8.9015349512089156E-2</v>
      </c>
      <c r="L21" s="71" t="s">
        <v>224</v>
      </c>
    </row>
    <row r="22" spans="2:12" x14ac:dyDescent="0.3">
      <c r="B22" s="27" t="s">
        <v>225</v>
      </c>
      <c r="C22" s="78">
        <f>DRE!B6/DRE!B3</f>
        <v>0.21461358566999161</v>
      </c>
      <c r="D22" s="78">
        <f>DRE!C6/DRE!C3</f>
        <v>0.20776708746567341</v>
      </c>
      <c r="E22" s="78">
        <f>DRE!D6/DRE!D3</f>
        <v>0.21306361317645606</v>
      </c>
      <c r="F22" s="78">
        <f>DRE!E6/DRE!E3</f>
        <v>0.24299888684472085</v>
      </c>
      <c r="G22" s="78">
        <f t="shared" si="3"/>
        <v>0.21961079328921046</v>
      </c>
      <c r="H22" s="78">
        <f t="shared" si="3"/>
        <v>0.22086009519401517</v>
      </c>
      <c r="I22" s="78">
        <f t="shared" si="3"/>
        <v>0.22413334712610061</v>
      </c>
      <c r="J22" s="78">
        <f t="shared" si="3"/>
        <v>0.22690078061351177</v>
      </c>
      <c r="K22" s="78">
        <f>AVERAGE(G22:J22)</f>
        <v>0.22287625405570949</v>
      </c>
      <c r="L22" s="71"/>
    </row>
    <row r="23" spans="2:12" x14ac:dyDescent="0.3">
      <c r="B23" s="75" t="s">
        <v>226</v>
      </c>
      <c r="C23" s="78">
        <f>DRE!B8/DRE!B3</f>
        <v>0.116904943137713</v>
      </c>
      <c r="D23" s="78">
        <f>DRE!C8/DRE!C3</f>
        <v>0.11083682372290642</v>
      </c>
      <c r="E23" s="78">
        <f>DRE!D8/DRE!D3</f>
        <v>0.11999184294003443</v>
      </c>
      <c r="F23" s="78">
        <f>DRE!E8/DRE!E3</f>
        <v>0.16522798876581671</v>
      </c>
      <c r="G23" s="26">
        <f>AVERAGE(C23:F23)</f>
        <v>0.12824039964161763</v>
      </c>
      <c r="H23" s="26">
        <f t="shared" ref="H23:K23" si="4">AVERAGE(D23:G23)</f>
        <v>0.13107426376759379</v>
      </c>
      <c r="I23" s="26">
        <f t="shared" si="4"/>
        <v>0.13613362377876564</v>
      </c>
      <c r="J23" s="26">
        <f t="shared" si="4"/>
        <v>0.14016906898844844</v>
      </c>
      <c r="K23" s="26">
        <f t="shared" si="4"/>
        <v>0.13390433904410637</v>
      </c>
      <c r="L23" s="71" t="s">
        <v>227</v>
      </c>
    </row>
    <row r="24" spans="2:12" x14ac:dyDescent="0.3">
      <c r="B24" s="75" t="s">
        <v>228</v>
      </c>
      <c r="C24" s="116"/>
      <c r="D24" s="116">
        <f t="shared" ref="D24:K24" si="5">D19</f>
        <v>0.18916855358693296</v>
      </c>
      <c r="E24" s="116">
        <f t="shared" si="5"/>
        <v>0.23131743758274337</v>
      </c>
      <c r="F24" s="116">
        <f t="shared" si="5"/>
        <v>0.5183492141020587</v>
      </c>
      <c r="G24" s="116">
        <f t="shared" si="5"/>
        <v>0.22338045571072829</v>
      </c>
      <c r="H24" s="116">
        <f t="shared" si="5"/>
        <v>0.21462214896013487</v>
      </c>
      <c r="I24" s="116">
        <f t="shared" si="5"/>
        <v>0.21900130233543158</v>
      </c>
      <c r="J24" s="116">
        <f t="shared" si="5"/>
        <v>0.21900130233543158</v>
      </c>
      <c r="K24" s="116">
        <f t="shared" si="5"/>
        <v>0.21900130233543158</v>
      </c>
      <c r="L24" s="71" t="s">
        <v>229</v>
      </c>
    </row>
    <row r="25" spans="2:12" ht="28.8" x14ac:dyDescent="0.3">
      <c r="B25" s="75" t="s">
        <v>230</v>
      </c>
      <c r="C25" s="27"/>
      <c r="D25" s="78">
        <f>DRE!C11/DRE!B11-1</f>
        <v>0.54037868464462457</v>
      </c>
      <c r="E25" s="78">
        <f>DRE!D11/DRE!C11-1</f>
        <v>-0.44130485391688978</v>
      </c>
      <c r="F25" s="78">
        <f>DRE!E11/DRE!D11-1</f>
        <v>-2.4008958799937496</v>
      </c>
      <c r="G25" s="78">
        <f>D25/2</f>
        <v>0.27018934232231229</v>
      </c>
      <c r="H25" s="26">
        <f>G25</f>
        <v>0.27018934232231229</v>
      </c>
      <c r="I25" s="26">
        <f t="shared" ref="I25:K25" si="6">H25</f>
        <v>0.27018934232231229</v>
      </c>
      <c r="J25" s="26">
        <f t="shared" si="6"/>
        <v>0.27018934232231229</v>
      </c>
      <c r="K25" s="26">
        <f t="shared" si="6"/>
        <v>0.27018934232231229</v>
      </c>
      <c r="L25" s="71" t="s">
        <v>231</v>
      </c>
    </row>
    <row r="26" spans="2:12" x14ac:dyDescent="0.3">
      <c r="B26" s="75" t="s">
        <v>232</v>
      </c>
      <c r="C26" s="27"/>
      <c r="D26" s="78">
        <f>DRE!C12/DRE!B12-1</f>
        <v>0.52959206379970003</v>
      </c>
      <c r="E26" s="78">
        <f>DRE!D12/DRE!C12-1</f>
        <v>0.45751305792415375</v>
      </c>
      <c r="F26" s="78">
        <f>DRE!E12/DRE!D12-1</f>
        <v>-0.50987507244510266</v>
      </c>
      <c r="G26" s="26">
        <f>AVERAGE(D26:F26)</f>
        <v>0.15907668309291703</v>
      </c>
      <c r="H26" s="26">
        <f>G26</f>
        <v>0.15907668309291703</v>
      </c>
      <c r="I26" s="26">
        <f t="shared" ref="I26:J26" si="7">H26</f>
        <v>0.15907668309291703</v>
      </c>
      <c r="J26" s="26">
        <f t="shared" si="7"/>
        <v>0.15907668309291703</v>
      </c>
      <c r="K26" s="26">
        <f>J26</f>
        <v>0.15907668309291703</v>
      </c>
      <c r="L26" s="71" t="s">
        <v>233</v>
      </c>
    </row>
    <row r="27" spans="2:12" x14ac:dyDescent="0.3">
      <c r="B27" s="75" t="s">
        <v>234</v>
      </c>
      <c r="C27" s="27"/>
      <c r="D27" s="78">
        <f>DRE!C13/DRE!B13-1</f>
        <v>0.48626066913962607</v>
      </c>
      <c r="E27" s="78">
        <f>DRE!D13/DRE!C13-1</f>
        <v>4.1996656085681749</v>
      </c>
      <c r="F27" s="78">
        <f>DRE!E13/DRE!D13-1</f>
        <v>0.33607661299718061</v>
      </c>
      <c r="G27" s="26">
        <f>AVERAGE(D27,F27)</f>
        <v>0.41116864106840334</v>
      </c>
      <c r="H27" s="26">
        <f>G27</f>
        <v>0.41116864106840334</v>
      </c>
      <c r="I27" s="26">
        <f t="shared" ref="I27:K27" si="8">H27</f>
        <v>0.41116864106840334</v>
      </c>
      <c r="J27" s="26">
        <f t="shared" si="8"/>
        <v>0.41116864106840334</v>
      </c>
      <c r="K27" s="26">
        <f t="shared" si="8"/>
        <v>0.41116864106840334</v>
      </c>
      <c r="L27" s="71" t="s">
        <v>235</v>
      </c>
    </row>
    <row r="28" spans="2:12" x14ac:dyDescent="0.3">
      <c r="B28" s="75" t="s">
        <v>236</v>
      </c>
      <c r="C28" s="27"/>
      <c r="D28" s="117">
        <f>(DRE!C11)/(AVERAGE(BP!B6:C6)+AVERAGE(BP!B7:C7))</f>
        <v>0.19145676288533431</v>
      </c>
      <c r="E28" s="117">
        <f>(DRE!D11)/(AVERAGE(BP!C6:D6)+AVERAGE(BP!C7:D7))</f>
        <v>8.3747220276258083E-2</v>
      </c>
      <c r="F28" s="117">
        <f>(DRE!E11)/(AVERAGE(BP!D6:E6)+AVERAGE(BP!D7:E7))</f>
        <v>-6.9283733889338409E-2</v>
      </c>
      <c r="G28" s="118">
        <f>AVERAGE(D28:F28)</f>
        <v>6.8640083090751328E-2</v>
      </c>
      <c r="H28" s="118">
        <f>AVERAGE(E28:G28)</f>
        <v>2.7701189825890333E-2</v>
      </c>
      <c r="I28" s="118">
        <f>AVERAGE(F28:H28)</f>
        <v>9.0191796757677512E-3</v>
      </c>
      <c r="J28" s="118">
        <f t="shared" ref="J28:K28" si="9">AVERAGE(G28:I28)</f>
        <v>3.5120150864136467E-2</v>
      </c>
      <c r="K28" s="118">
        <f t="shared" si="9"/>
        <v>2.3946840121931517E-2</v>
      </c>
      <c r="L28" s="71" t="s">
        <v>237</v>
      </c>
    </row>
    <row r="29" spans="2:12" x14ac:dyDescent="0.3">
      <c r="B29" s="75" t="s">
        <v>238</v>
      </c>
      <c r="C29" s="27"/>
      <c r="D29" s="78"/>
      <c r="E29" s="78">
        <f>DRE!D13/(AVERAGE(BP!C57:D57))</f>
        <v>0.21069193968448002</v>
      </c>
      <c r="F29" s="78">
        <f>DRE!E13/(AVERAGE(BP!D57:E57))</f>
        <v>0.14084165936549972</v>
      </c>
      <c r="G29" s="26">
        <f>AVERAGE(E29:F29)</f>
        <v>0.17576679952498986</v>
      </c>
      <c r="H29" s="26">
        <f>AVERAGE(F29:G29)</f>
        <v>0.1583042294452448</v>
      </c>
      <c r="I29" s="26">
        <f t="shared" ref="I29:J29" si="10">AVERAGE(G29:H29)</f>
        <v>0.16703551448511733</v>
      </c>
      <c r="J29" s="26">
        <f t="shared" si="10"/>
        <v>0.16266987196518107</v>
      </c>
      <c r="K29" s="26">
        <f>AVERAGE(I29:J29)</f>
        <v>0.1648526932251492</v>
      </c>
      <c r="L29" s="71" t="s">
        <v>239</v>
      </c>
    </row>
    <row r="30" spans="2:12" x14ac:dyDescent="0.3">
      <c r="B30" s="75" t="s">
        <v>240</v>
      </c>
      <c r="C30" s="78">
        <f>DRE!B15/DRE!B14</f>
        <v>0.27307161149323572</v>
      </c>
      <c r="D30" s="78">
        <f>DRE!C15/DRE!C14</f>
        <v>0.24368461195297098</v>
      </c>
      <c r="E30" s="78">
        <f>DRE!D15/DRE!D14</f>
        <v>0.24580091033767135</v>
      </c>
      <c r="F30" s="78">
        <f>DRE!E15/DRE!E14</f>
        <v>0.30667597809753694</v>
      </c>
      <c r="G30" s="26">
        <f>AVERAGE(C30:F30)</f>
        <v>0.26730827797035372</v>
      </c>
      <c r="H30" s="26">
        <f>AVERAGE(D30:G30)</f>
        <v>0.26586744458963324</v>
      </c>
      <c r="I30" s="26">
        <f>AVERAGE(E30:H30)</f>
        <v>0.27141315274879879</v>
      </c>
      <c r="J30" s="26">
        <f>AVERAGE(F30:I30)</f>
        <v>0.27781621335158069</v>
      </c>
      <c r="K30" s="26">
        <f>AVERAGE(G30:J30)</f>
        <v>0.27060127216509161</v>
      </c>
      <c r="L30" s="71" t="s">
        <v>241</v>
      </c>
    </row>
    <row r="31" spans="2:12" x14ac:dyDescent="0.3">
      <c r="B31" s="76" t="s">
        <v>242</v>
      </c>
      <c r="C31" s="119"/>
      <c r="D31" s="119">
        <f>DRE!C16/DRE!B16-1</f>
        <v>0.30166028413621016</v>
      </c>
      <c r="E31" s="119">
        <f>DRE!D16/DRE!C16-1</f>
        <v>0.15147783642082069</v>
      </c>
      <c r="F31" s="119">
        <f>DRE!E16/DRE!D16-1</f>
        <v>0.64623309758611747</v>
      </c>
      <c r="G31" s="32">
        <f>AVERAGE(D31:F31)</f>
        <v>0.36645707271438277</v>
      </c>
      <c r="H31" s="32">
        <f>G31</f>
        <v>0.36645707271438277</v>
      </c>
      <c r="I31" s="32">
        <f t="shared" ref="I31:J31" si="11">H31</f>
        <v>0.36645707271438277</v>
      </c>
      <c r="J31" s="32">
        <f t="shared" si="11"/>
        <v>0.36645707271438277</v>
      </c>
      <c r="K31" s="32">
        <f>J31</f>
        <v>0.36645707271438277</v>
      </c>
      <c r="L31" s="71" t="s">
        <v>243</v>
      </c>
    </row>
    <row r="32" spans="2:12" x14ac:dyDescent="0.3">
      <c r="B32" s="77" t="s">
        <v>244</v>
      </c>
      <c r="C32" s="78">
        <f>DRE!B17/DRE!B15</f>
        <v>9.5377212579481011E-3</v>
      </c>
      <c r="D32" s="78">
        <f>DRE!C17/DRE!C15</f>
        <v>-0.24050299014570808</v>
      </c>
      <c r="E32" s="78">
        <f>DRE!D17/DRE!D15</f>
        <v>-0.3068635749662314</v>
      </c>
      <c r="F32" s="78">
        <f>DRE!E17/DRE!E15</f>
        <v>-0.71949769546780129</v>
      </c>
      <c r="G32" s="78">
        <f>AVERAGE(C32:F32)</f>
        <v>-0.31433163483044813</v>
      </c>
      <c r="H32" s="78">
        <f t="shared" ref="H32:K32" si="12">AVERAGE(D32:G32)</f>
        <v>-0.39529897385254725</v>
      </c>
      <c r="I32" s="78">
        <f t="shared" si="12"/>
        <v>-0.43399796977925698</v>
      </c>
      <c r="J32" s="78">
        <f t="shared" si="12"/>
        <v>-0.4657815684825134</v>
      </c>
      <c r="K32" s="78">
        <f t="shared" si="12"/>
        <v>-0.40235253673619142</v>
      </c>
      <c r="L32" s="71" t="s">
        <v>245</v>
      </c>
    </row>
    <row r="33" spans="2:12" ht="28.8" x14ac:dyDescent="0.3">
      <c r="B33" s="27" t="s">
        <v>246</v>
      </c>
      <c r="C33" s="78">
        <f>DRE!B20/DRE!B19</f>
        <v>2.8127968422897087E-3</v>
      </c>
      <c r="D33" s="78">
        <f>DRE!C20/DRE!C19</f>
        <v>1.0959821598459537E-3</v>
      </c>
      <c r="E33" s="78">
        <f>DRE!D20/DRE!D19</f>
        <v>2.3724945588756655E-3</v>
      </c>
      <c r="F33" s="78">
        <f>DRE!E20/DRE!E19</f>
        <v>2.3366895921171425E-3</v>
      </c>
      <c r="G33" s="26">
        <f>AVERAGE(C33:F33)</f>
        <v>2.1544907882821178E-3</v>
      </c>
      <c r="H33" s="26">
        <f>AVERAGE(D33:G33)</f>
        <v>1.98991427478022E-3</v>
      </c>
      <c r="I33" s="26">
        <f t="shared" ref="I33" si="13">AVERAGE(E33:H33)</f>
        <v>2.2133973035137868E-3</v>
      </c>
      <c r="J33" s="26">
        <f>AVERAGE(F33:I33)</f>
        <v>2.1736229896733164E-3</v>
      </c>
      <c r="K33" s="26">
        <f>AVERAGE(G33:J33)</f>
        <v>2.1328563390623605E-3</v>
      </c>
      <c r="L33" s="71" t="s">
        <v>247</v>
      </c>
    </row>
    <row r="34" spans="2:12" x14ac:dyDescent="0.3">
      <c r="B34" s="75" t="s">
        <v>248</v>
      </c>
      <c r="C34" s="27">
        <f>0</f>
        <v>0</v>
      </c>
      <c r="D34" s="27">
        <f>0</f>
        <v>0</v>
      </c>
      <c r="E34" s="27">
        <f>0</f>
        <v>0</v>
      </c>
      <c r="F34" s="27">
        <f>0</f>
        <v>0</v>
      </c>
      <c r="G34" s="27">
        <f>0</f>
        <v>0</v>
      </c>
      <c r="H34" s="27">
        <f>0</f>
        <v>0</v>
      </c>
      <c r="I34" s="27">
        <f>0</f>
        <v>0</v>
      </c>
      <c r="J34" s="27">
        <f>0</f>
        <v>0</v>
      </c>
      <c r="K34" s="27">
        <f>0</f>
        <v>0</v>
      </c>
      <c r="L34" s="71" t="s">
        <v>249</v>
      </c>
    </row>
    <row r="35" spans="2:12" x14ac:dyDescent="0.3">
      <c r="B35" s="75" t="s">
        <v>250</v>
      </c>
      <c r="C35" s="78">
        <f>C8/DRE!B3</f>
        <v>7.5525840694119856E-2</v>
      </c>
      <c r="D35" s="78">
        <f>D8/DRE!C3</f>
        <v>2.7077963713352003E-2</v>
      </c>
      <c r="E35" s="78">
        <f>E8/DRE!D3</f>
        <v>0.35077718358869109</v>
      </c>
      <c r="F35" s="78">
        <f>F8/DRE!E3</f>
        <v>3.0990205566103692E-2</v>
      </c>
      <c r="G35" s="78">
        <f>AVERAGE(D35:F35)</f>
        <v>0.13628178428938229</v>
      </c>
      <c r="H35" s="78">
        <f t="shared" ref="H35:J35" si="14">AVERAGE(E35:G35)</f>
        <v>0.1726830578147257</v>
      </c>
      <c r="I35" s="78">
        <f t="shared" si="14"/>
        <v>0.11331834922340389</v>
      </c>
      <c r="J35" s="78">
        <f t="shared" si="14"/>
        <v>0.1407610637758373</v>
      </c>
      <c r="K35" s="78">
        <f>AVERAGE(H35:J35)</f>
        <v>0.14225415693798896</v>
      </c>
      <c r="L35" s="71" t="s">
        <v>251</v>
      </c>
    </row>
    <row r="36" spans="2:12" x14ac:dyDescent="0.3">
      <c r="B36" s="63" t="s">
        <v>252</v>
      </c>
      <c r="C36" s="120">
        <f>(BP!B9/DRE!B3)*365</f>
        <v>40.014081410485133</v>
      </c>
      <c r="D36" s="120">
        <f>(BP!C9/DRE!C3)*365</f>
        <v>12.183981155174351</v>
      </c>
      <c r="E36" s="120">
        <f>(BP!D9/DRE!D3)*365</f>
        <v>19.239063975594135</v>
      </c>
      <c r="F36" s="120">
        <f>(BP!E9/DRE!E3)*365</f>
        <v>18.492251455032932</v>
      </c>
      <c r="G36" s="120">
        <f>AVERAGE(D36:F36)</f>
        <v>16.638432195267139</v>
      </c>
      <c r="H36" s="120">
        <f t="shared" ref="H36:J36" si="15">AVERAGE(E36:G36)</f>
        <v>18.123249208631403</v>
      </c>
      <c r="I36" s="120">
        <f t="shared" si="15"/>
        <v>17.75131095297716</v>
      </c>
      <c r="J36" s="120">
        <f t="shared" si="15"/>
        <v>17.504330785625232</v>
      </c>
      <c r="K36" s="120">
        <f>AVERAGE(H36:J36)</f>
        <v>17.792963649077933</v>
      </c>
      <c r="L36" s="71" t="s">
        <v>253</v>
      </c>
    </row>
    <row r="37" spans="2:12" x14ac:dyDescent="0.3">
      <c r="B37" s="63" t="s">
        <v>254</v>
      </c>
      <c r="C37" s="120">
        <f>(BP!B39/DRE!B4)*365</f>
        <v>9.1529615401795681</v>
      </c>
      <c r="D37" s="120">
        <f>(BP!C39/DRE!C4)*365</f>
        <v>8.1331448286577448</v>
      </c>
      <c r="E37" s="120">
        <f>(BP!D39/DRE!D4)*365</f>
        <v>10.200689619679892</v>
      </c>
      <c r="F37" s="120">
        <f>(BP!E39/DRE!E4)*365</f>
        <v>8.4665782808067149</v>
      </c>
      <c r="G37" s="120">
        <f>AVERAGE(D37:F37)</f>
        <v>8.9334709097147833</v>
      </c>
      <c r="H37" s="120">
        <f t="shared" ref="H37:K37" si="16">AVERAGE(E37:G37)</f>
        <v>9.2002462700671312</v>
      </c>
      <c r="I37" s="120">
        <f t="shared" si="16"/>
        <v>8.8667651535295438</v>
      </c>
      <c r="J37" s="120">
        <f t="shared" si="16"/>
        <v>9.0001607777704873</v>
      </c>
      <c r="K37" s="120">
        <f t="shared" si="16"/>
        <v>9.0223907337890541</v>
      </c>
      <c r="L37" s="71" t="s">
        <v>255</v>
      </c>
    </row>
    <row r="38" spans="2:12" x14ac:dyDescent="0.3">
      <c r="B38" s="63" t="s">
        <v>256</v>
      </c>
      <c r="C38" s="117">
        <f>BP!B42/DRE!B15</f>
        <v>0.22291098945163218</v>
      </c>
      <c r="D38" s="117">
        <f>BP!C42/DRE!C15</f>
        <v>0.13330656178518982</v>
      </c>
      <c r="E38" s="117">
        <f>BP!D42/DRE!D15</f>
        <v>0.22325799189554255</v>
      </c>
      <c r="F38" s="117">
        <f>BP!E42/DRE!E15</f>
        <v>0.24510952645533871</v>
      </c>
      <c r="G38" s="118">
        <f>AVERAGE(D38:F38)</f>
        <v>0.20055802671202369</v>
      </c>
      <c r="H38" s="118">
        <f t="shared" ref="H38:K38" si="17">AVERAGE(E38:G38)</f>
        <v>0.22297518168763497</v>
      </c>
      <c r="I38" s="118">
        <f t="shared" si="17"/>
        <v>0.22288091161833246</v>
      </c>
      <c r="J38" s="118">
        <f t="shared" si="17"/>
        <v>0.21547137333933039</v>
      </c>
      <c r="K38" s="118">
        <f t="shared" si="17"/>
        <v>0.22044248888176596</v>
      </c>
      <c r="L38" s="71" t="s">
        <v>257</v>
      </c>
    </row>
    <row r="40" spans="2:12" x14ac:dyDescent="0.3">
      <c r="B40" s="63" t="s">
        <v>258</v>
      </c>
      <c r="C40" s="78">
        <f>BP!B6/BP!B4</f>
        <v>3.9851316184470416E-2</v>
      </c>
      <c r="D40" s="78">
        <f>BP!C6/BP!C4</f>
        <v>3.8034939386967427E-2</v>
      </c>
      <c r="E40" s="78">
        <f>BP!D6/BP!D4</f>
        <v>1.8005030799716645E-2</v>
      </c>
      <c r="F40" s="78">
        <f>BP!E6/BP!E4</f>
        <v>1.0592823711794602E-2</v>
      </c>
      <c r="G40" s="26">
        <f>AVERAGE(C40:F40)</f>
        <v>2.6621027520737271E-2</v>
      </c>
      <c r="H40" s="26">
        <f>G40</f>
        <v>2.6621027520737271E-2</v>
      </c>
      <c r="I40" s="26">
        <f t="shared" ref="I40:K40" si="18">H40</f>
        <v>2.6621027520737271E-2</v>
      </c>
      <c r="J40" s="26">
        <f t="shared" si="18"/>
        <v>2.6621027520737271E-2</v>
      </c>
      <c r="K40" s="26">
        <f t="shared" si="18"/>
        <v>2.6621027520737271E-2</v>
      </c>
      <c r="L40" s="27" t="s">
        <v>259</v>
      </c>
    </row>
    <row r="41" spans="2:12" x14ac:dyDescent="0.3">
      <c r="B41" s="63" t="s">
        <v>260</v>
      </c>
      <c r="C41" s="78">
        <f>BP!B46/BP!B36</f>
        <v>0.50278453897722286</v>
      </c>
      <c r="D41" s="78">
        <f>BP!C46/BP!C36</f>
        <v>0.31928534394063368</v>
      </c>
      <c r="E41" s="78">
        <f>BP!D46/BP!D36</f>
        <v>0.18925039947336547</v>
      </c>
      <c r="F41" s="78">
        <f>BP!E46/BP!E36</f>
        <v>0.18270330324297737</v>
      </c>
      <c r="G41" s="26">
        <f>AVERAGE(D41:F41)</f>
        <v>0.23041301555232552</v>
      </c>
      <c r="H41" s="26">
        <f>G41</f>
        <v>0.23041301555232552</v>
      </c>
      <c r="I41" s="26">
        <f t="shared" ref="I41:K41" si="19">H41</f>
        <v>0.23041301555232552</v>
      </c>
      <c r="J41" s="26">
        <f t="shared" si="19"/>
        <v>0.23041301555232552</v>
      </c>
      <c r="K41" s="26">
        <f t="shared" si="19"/>
        <v>0.23041301555232552</v>
      </c>
      <c r="L41" s="27" t="s">
        <v>261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DF62E8E835D04989C1F1797695CA73" ma:contentTypeVersion="7" ma:contentTypeDescription="Create a new document." ma:contentTypeScope="" ma:versionID="1d2171de2ad325490440bfd1618539fb">
  <xsd:schema xmlns:xsd="http://www.w3.org/2001/XMLSchema" xmlns:xs="http://www.w3.org/2001/XMLSchema" xmlns:p="http://schemas.microsoft.com/office/2006/metadata/properties" xmlns:ns2="02be659c-1410-4d5a-ba8c-a1c22c11f778" targetNamespace="http://schemas.microsoft.com/office/2006/metadata/properties" ma:root="true" ma:fieldsID="f56a90b5cf4e6428aa4e4369e18d76f7" ns2:_="">
    <xsd:import namespace="02be659c-1410-4d5a-ba8c-a1c22c11f7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be659c-1410-4d5a-ba8c-a1c22c11f7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678D2E-DF11-4912-9F74-DFBBC27913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07555F7-D5F3-48A9-BA78-BD42E2368E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be659c-1410-4d5a-ba8c-a1c22c11f7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3682E3-324E-4FA4-8FBD-4C2E140DA9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β Alavancado</vt:lpstr>
      <vt:lpstr>Valuation</vt:lpstr>
      <vt:lpstr>BP</vt:lpstr>
      <vt:lpstr>DRE</vt:lpstr>
      <vt:lpstr>WACC e Estrutura de Capital</vt:lpstr>
      <vt:lpstr>Modelo Projetado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Gun</dc:creator>
  <cp:keywords/>
  <dc:description/>
  <cp:lastModifiedBy>David</cp:lastModifiedBy>
  <cp:revision/>
  <dcterms:created xsi:type="dcterms:W3CDTF">2021-11-22T13:37:24Z</dcterms:created>
  <dcterms:modified xsi:type="dcterms:W3CDTF">2023-02-16T19:28:37Z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0x010100C6DF62E8E835D04989C1F1797695CA73</vt:lpwstr>
  </property>
</Properties>
</file>