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007gc-my.sharepoint.com/personal/david_iles_ec_gc_ca/Documents/Iles/Projects/Seabirds/Petrel_Puffin_Trend/data/"/>
    </mc:Choice>
  </mc:AlternateContent>
  <xr:revisionPtr revIDLastSave="5" documentId="8_{D74AA552-E48A-48C7-AB97-05CEB3BFEE7E}" xr6:coauthVersionLast="47" xr6:coauthVersionMax="47" xr10:uidLastSave="{9A859F07-73B0-4FA1-94D7-EFDD259D4AA0}"/>
  <bookViews>
    <workbookView xWindow="10575" yWindow="2985" windowWidth="23235" windowHeight="13875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" i="2" l="1"/>
  <c r="E128" i="2"/>
  <c r="F127" i="2"/>
  <c r="E127" i="2"/>
  <c r="F126" i="2"/>
  <c r="E126" i="2"/>
  <c r="F125" i="2"/>
  <c r="E125" i="2"/>
  <c r="J124" i="2"/>
  <c r="I124" i="2"/>
  <c r="E124" i="2"/>
  <c r="F123" i="2"/>
  <c r="E123" i="2"/>
  <c r="E122" i="2"/>
  <c r="F121" i="2"/>
  <c r="E121" i="2"/>
  <c r="I120" i="2"/>
  <c r="E120" i="2"/>
  <c r="F119" i="2"/>
  <c r="E119" i="2"/>
  <c r="F118" i="2"/>
  <c r="E118" i="2"/>
  <c r="F117" i="2"/>
  <c r="E117" i="2"/>
  <c r="F116" i="2"/>
  <c r="E116" i="2"/>
  <c r="F115" i="2"/>
  <c r="E115" i="2"/>
  <c r="E114" i="2"/>
  <c r="J113" i="2"/>
  <c r="I113" i="2"/>
  <c r="E113" i="2"/>
  <c r="J112" i="2"/>
  <c r="I112" i="2"/>
  <c r="E112" i="2"/>
  <c r="J111" i="2"/>
  <c r="I111" i="2"/>
  <c r="E111" i="2"/>
  <c r="J110" i="2"/>
  <c r="I110" i="2"/>
  <c r="E110" i="2"/>
  <c r="J109" i="2"/>
  <c r="I109" i="2"/>
  <c r="E109" i="2"/>
  <c r="F108" i="2"/>
  <c r="E108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J82" i="2"/>
  <c r="I82" i="2"/>
  <c r="F82" i="2"/>
  <c r="E82" i="2"/>
  <c r="J81" i="2"/>
  <c r="I81" i="2"/>
  <c r="F81" i="2"/>
  <c r="E81" i="2"/>
  <c r="J80" i="2"/>
  <c r="I80" i="2"/>
  <c r="F80" i="2"/>
  <c r="E80" i="2"/>
  <c r="J79" i="2"/>
  <c r="I79" i="2"/>
  <c r="F79" i="2"/>
  <c r="E79" i="2"/>
  <c r="J78" i="2"/>
  <c r="I78" i="2"/>
  <c r="E78" i="2"/>
  <c r="J77" i="2"/>
  <c r="I77" i="2"/>
  <c r="F77" i="2"/>
  <c r="E77" i="2"/>
  <c r="J76" i="2"/>
  <c r="I76" i="2"/>
  <c r="F76" i="2"/>
  <c r="E76" i="2"/>
  <c r="J75" i="2"/>
  <c r="I75" i="2"/>
  <c r="F75" i="2"/>
  <c r="E75" i="2"/>
  <c r="J74" i="2"/>
  <c r="I74" i="2"/>
  <c r="F74" i="2"/>
  <c r="E74" i="2"/>
  <c r="J72" i="2"/>
  <c r="J68" i="2"/>
  <c r="E39" i="2"/>
  <c r="E38" i="2"/>
  <c r="E15" i="2"/>
  <c r="F19" i="2" l="1"/>
  <c r="G19" i="2" s="1"/>
  <c r="F20" i="2"/>
  <c r="G20" i="2" s="1"/>
  <c r="F21" i="2"/>
  <c r="G21" i="2" s="1"/>
  <c r="F48" i="2"/>
  <c r="G46" i="2" s="1"/>
  <c r="F49" i="2"/>
  <c r="G47" i="2" s="1"/>
  <c r="F50" i="2"/>
  <c r="G48" i="2" s="1"/>
  <c r="F14" i="2"/>
  <c r="G14" i="2" s="1"/>
  <c r="F53" i="2"/>
  <c r="G51" i="2" s="1"/>
  <c r="F43" i="2"/>
  <c r="G41" i="2" s="1"/>
  <c r="F44" i="2"/>
  <c r="G42" i="2" s="1"/>
  <c r="F45" i="2"/>
  <c r="G43" i="2" s="1"/>
  <c r="F24" i="2"/>
  <c r="G24" i="2" s="1"/>
  <c r="F25" i="2"/>
  <c r="G25" i="2" s="1"/>
  <c r="F26" i="2"/>
  <c r="G26" i="2" s="1"/>
  <c r="F7" i="2"/>
  <c r="G7" i="2" s="1"/>
  <c r="F8" i="2"/>
  <c r="G8" i="2" s="1"/>
  <c r="F9" i="2"/>
  <c r="G9" i="2" s="1"/>
  <c r="F10" i="2"/>
  <c r="G10" i="2" s="1"/>
  <c r="F11" i="2"/>
  <c r="G11" i="2" s="1"/>
  <c r="F36" i="2"/>
  <c r="G36" i="2" s="1"/>
  <c r="F37" i="2"/>
  <c r="G37" i="2" s="1"/>
  <c r="F30" i="2"/>
  <c r="G30" i="2" s="1"/>
  <c r="F31" i="2"/>
  <c r="G31" i="2" s="1"/>
  <c r="F32" i="2"/>
  <c r="G32" i="2" s="1"/>
  <c r="F33" i="2"/>
  <c r="G33" i="2" s="1"/>
  <c r="F29" i="2"/>
  <c r="G29" i="2" s="1"/>
  <c r="F3" i="2"/>
  <c r="G3" i="2" s="1"/>
  <c r="F4" i="2"/>
  <c r="G4" i="2" s="1"/>
  <c r="F5" i="2"/>
  <c r="G5" i="2" s="1"/>
  <c r="F2" i="2"/>
  <c r="G2" i="2" s="1"/>
  <c r="H27" i="2"/>
  <c r="F27" i="2" s="1"/>
  <c r="G27" i="2" s="1"/>
  <c r="H22" i="2"/>
  <c r="F22" i="2" s="1"/>
  <c r="G22" i="2" s="1"/>
  <c r="H34" i="2"/>
  <c r="F34" i="2" s="1"/>
  <c r="G34" i="2" s="1"/>
  <c r="H6" i="2"/>
  <c r="F6" i="2" s="1"/>
  <c r="G6" i="2" s="1"/>
  <c r="J16" i="2"/>
  <c r="I16" i="2"/>
  <c r="E16" i="2"/>
  <c r="E17" i="2"/>
  <c r="I17" i="2"/>
  <c r="J17" i="2"/>
  <c r="H17" i="2" s="1"/>
  <c r="F17" i="2" s="1"/>
  <c r="G17" i="2" s="1"/>
  <c r="H16" i="2" l="1"/>
  <c r="F16" i="2" s="1"/>
  <c r="G16" i="2" s="1"/>
</calcChain>
</file>

<file path=xl/sharedStrings.xml><?xml version="1.0" encoding="utf-8"?>
<sst xmlns="http://schemas.openxmlformats.org/spreadsheetml/2006/main" count="707" uniqueCount="74">
  <si>
    <t>Country</t>
  </si>
  <si>
    <t>Year</t>
  </si>
  <si>
    <t>SE</t>
  </si>
  <si>
    <t>CV</t>
  </si>
  <si>
    <t>Reference</t>
  </si>
  <si>
    <t>Notes</t>
  </si>
  <si>
    <t>Canada</t>
  </si>
  <si>
    <t>Sklepkovych and Montevecchi (1989)</t>
  </si>
  <si>
    <t>Wilhelm et al. (2020)</t>
  </si>
  <si>
    <t>Wilhelm et al. unpubl</t>
  </si>
  <si>
    <t>Bon Portage, NS</t>
  </si>
  <si>
    <t>Pollet and Shutler (2018)</t>
  </si>
  <si>
    <t>Cairns and Verspoor (1980)</t>
  </si>
  <si>
    <t>Cairns et al. (1989)</t>
  </si>
  <si>
    <t>Jenkins et al. (2018)</t>
  </si>
  <si>
    <t>Country Island, NS</t>
  </si>
  <si>
    <t>Rock and Wilhelm, unpubl</t>
  </si>
  <si>
    <t>Brown et al. (1975)</t>
  </si>
  <si>
    <t>Wilhelm et al. (2015)</t>
  </si>
  <si>
    <t>Robertson et al. (2002)</t>
  </si>
  <si>
    <t>Russell (2008)</t>
  </si>
  <si>
    <t>Wilhelm (2017)</t>
  </si>
  <si>
    <t>Kent Island, NB</t>
  </si>
  <si>
    <t>Cannell and Maddox (1983)</t>
  </si>
  <si>
    <t>d'Entremont (2020)</t>
  </si>
  <si>
    <t>Little White Island, NS</t>
  </si>
  <si>
    <t>Robertson and Elliot (2002)</t>
  </si>
  <si>
    <t>Nettleship (1980)</t>
  </si>
  <si>
    <t>Machias Seal Island, NB</t>
  </si>
  <si>
    <t>assuming complete hole count</t>
  </si>
  <si>
    <t>Baccalieu Island, NF</t>
  </si>
  <si>
    <t>Coleman Island, NF</t>
  </si>
  <si>
    <t>Great Island, NF</t>
  </si>
  <si>
    <t>Green Island, NF</t>
  </si>
  <si>
    <t>Gull Island, NF</t>
  </si>
  <si>
    <t>Middle Lawn Island, NF</t>
  </si>
  <si>
    <t>Small Island, NF</t>
  </si>
  <si>
    <t>South Penguin Island, NF</t>
  </si>
  <si>
    <t>Colony_Name_For_Trends</t>
  </si>
  <si>
    <t>Species</t>
  </si>
  <si>
    <t>LESP</t>
  </si>
  <si>
    <t>ATPU</t>
  </si>
  <si>
    <t>Bacalhao, LB</t>
  </si>
  <si>
    <t>Robertson et al. 2002</t>
  </si>
  <si>
    <t>S. Wilhelm, unpubl. Data</t>
  </si>
  <si>
    <t>Tinker, LB</t>
  </si>
  <si>
    <t>Herring Island 1, LB</t>
  </si>
  <si>
    <t>R. Elliot, unpubl. Report</t>
  </si>
  <si>
    <t>Herring Island 2, LB</t>
  </si>
  <si>
    <t>Herring Island 3, LB</t>
  </si>
  <si>
    <t>North Green, LB</t>
  </si>
  <si>
    <t>Gannet Clusters 2, LB</t>
  </si>
  <si>
    <t>Robertson and Elliot 2002a</t>
  </si>
  <si>
    <t>Gannet Clusters 3, LB</t>
  </si>
  <si>
    <t>Gannet Clusters 4, LB</t>
  </si>
  <si>
    <t>Gannet Clusters 5, LB</t>
  </si>
  <si>
    <t>No SE or other variance provided</t>
  </si>
  <si>
    <t>Gannet Clusters 6, LB</t>
  </si>
  <si>
    <t>Pee Pee Island, NF</t>
  </si>
  <si>
    <t>Cairns and Verspoor 1980</t>
  </si>
  <si>
    <t>Wilhelm et al. 2015</t>
  </si>
  <si>
    <t>Robertson et al. 2004</t>
  </si>
  <si>
    <t>Jenkins et al. 2018</t>
  </si>
  <si>
    <t>Robertson and Elliot 2002b</t>
  </si>
  <si>
    <t>NorthShore MB Sanctuaries , QC</t>
  </si>
  <si>
    <t>Jean-François Rail</t>
  </si>
  <si>
    <t>S. Wilhelm, ?</t>
  </si>
  <si>
    <t>assuming complete hole count but still no SE</t>
  </si>
  <si>
    <t>North Bird Island, NF</t>
  </si>
  <si>
    <t>Puffin Islands, LB</t>
  </si>
  <si>
    <t>Mature_Individuals</t>
  </si>
  <si>
    <t>CI_Width_95</t>
  </si>
  <si>
    <t>Lower_CI_95</t>
  </si>
  <si>
    <t>Upper_CI_95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</si>
</sst>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9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3" max="3" width="29.85546875" bestFit="1" customWidth="1"/>
    <col min="5" max="7" width="13.7109375" customWidth="1"/>
    <col min="8" max="10" width="16.5703125" customWidth="1"/>
    <col min="11" max="11" width="83.140625" bestFit="1" customWidth="1"/>
  </cols>
  <sheetData>
    <row r="1" spans="1:12" s="3" customFormat="1" ht="30" x14ac:dyDescent="0.25">
      <c r="A1" s="3" t="s">
        <v>0</v>
      </c>
      <c r="B1" s="3" t="s">
        <v>39</v>
      </c>
      <c r="C1" s="3" t="s">
        <v>38</v>
      </c>
      <c r="D1" s="3" t="s">
        <v>1</v>
      </c>
      <c r="E1" s="2" t="s">
        <v>70</v>
      </c>
      <c r="F1" s="2" t="s">
        <v>2</v>
      </c>
      <c r="G1" s="2" t="s">
        <v>3</v>
      </c>
      <c r="H1" s="3" t="s">
        <v>71</v>
      </c>
      <c r="I1" s="3" t="s">
        <v>72</v>
      </c>
      <c r="J1" s="3" t="s">
        <v>73</v>
      </c>
      <c r="K1" s="3" t="s">
        <v>4</v>
      </c>
      <c r="L1" s="3" t="s">
        <v>5</v>
      </c>
    </row>
    <row r="2" spans="1:12" x14ac:dyDescent="0.25">
      <c r="A2" t="s">
        <v>6</v>
      </c>
      <c r="B2" t="s">
        <v>40</v>
      </c>
      <c r="C2" t="s">
        <v>30</v>
      </c>
      <c r="D2">
        <v>1984</v>
      </c>
      <c r="E2" s="1">
        <v>6720000</v>
      </c>
      <c r="F2" s="1">
        <f t="shared" ref="F2:F11" si="0">H2/(2*1.96)</f>
        <v>117346.93877551021</v>
      </c>
      <c r="G2">
        <f t="shared" ref="G2:G11" si="1">F2/E2</f>
        <v>1.7462342079689018E-2</v>
      </c>
      <c r="H2" s="1">
        <v>460000</v>
      </c>
      <c r="I2" s="1"/>
      <c r="J2" s="1"/>
      <c r="K2" t="s">
        <v>7</v>
      </c>
    </row>
    <row r="3" spans="1:12" x14ac:dyDescent="0.25">
      <c r="A3" t="s">
        <v>6</v>
      </c>
      <c r="B3" t="s">
        <v>40</v>
      </c>
      <c r="C3" t="s">
        <v>30</v>
      </c>
      <c r="D3">
        <v>1984</v>
      </c>
      <c r="E3" s="1">
        <v>10243466</v>
      </c>
      <c r="F3" s="1">
        <f t="shared" si="0"/>
        <v>729922.95918367349</v>
      </c>
      <c r="G3">
        <f t="shared" si="1"/>
        <v>7.1257420016200917E-2</v>
      </c>
      <c r="H3" s="1">
        <v>2861298</v>
      </c>
      <c r="I3" s="1"/>
      <c r="J3" s="1"/>
      <c r="K3" t="s">
        <v>8</v>
      </c>
    </row>
    <row r="4" spans="1:12" x14ac:dyDescent="0.25">
      <c r="A4" t="s">
        <v>6</v>
      </c>
      <c r="B4" t="s">
        <v>40</v>
      </c>
      <c r="C4" t="s">
        <v>30</v>
      </c>
      <c r="D4">
        <v>1985</v>
      </c>
      <c r="E4" s="1">
        <v>9205208</v>
      </c>
      <c r="F4" s="1">
        <f t="shared" si="0"/>
        <v>417800</v>
      </c>
      <c r="G4">
        <f t="shared" si="1"/>
        <v>4.5387350291269897E-2</v>
      </c>
      <c r="H4" s="1">
        <v>1637776</v>
      </c>
      <c r="I4" s="1"/>
      <c r="J4" s="1"/>
      <c r="K4" t="s">
        <v>8</v>
      </c>
    </row>
    <row r="5" spans="1:12" x14ac:dyDescent="0.25">
      <c r="A5" t="s">
        <v>6</v>
      </c>
      <c r="B5" t="s">
        <v>40</v>
      </c>
      <c r="C5" t="s">
        <v>30</v>
      </c>
      <c r="D5">
        <v>2013</v>
      </c>
      <c r="E5" s="1">
        <v>3909786</v>
      </c>
      <c r="F5" s="1">
        <f t="shared" si="0"/>
        <v>143779.08163265308</v>
      </c>
      <c r="G5">
        <f t="shared" si="1"/>
        <v>3.6774156343250777E-2</v>
      </c>
      <c r="H5" s="1">
        <v>563614</v>
      </c>
      <c r="I5" s="1"/>
      <c r="J5" s="1"/>
      <c r="K5" t="s">
        <v>8</v>
      </c>
    </row>
    <row r="6" spans="1:12" x14ac:dyDescent="0.25">
      <c r="A6" t="s">
        <v>6</v>
      </c>
      <c r="B6" t="s">
        <v>40</v>
      </c>
      <c r="C6" t="s">
        <v>30</v>
      </c>
      <c r="D6">
        <v>2023</v>
      </c>
      <c r="E6" s="1">
        <v>3858181.2732000002</v>
      </c>
      <c r="F6" s="1">
        <f t="shared" si="0"/>
        <v>319220.0382653061</v>
      </c>
      <c r="G6">
        <f t="shared" si="1"/>
        <v>8.2738475893472718E-2</v>
      </c>
      <c r="H6" s="1">
        <f>J6-I6</f>
        <v>1251342.5499999998</v>
      </c>
      <c r="I6" s="1">
        <v>3272280</v>
      </c>
      <c r="J6" s="1">
        <v>4523622.55</v>
      </c>
      <c r="K6" t="s">
        <v>9</v>
      </c>
    </row>
    <row r="7" spans="1:12" x14ac:dyDescent="0.25">
      <c r="A7" t="s">
        <v>6</v>
      </c>
      <c r="B7" t="s">
        <v>40</v>
      </c>
      <c r="C7" t="s">
        <v>10</v>
      </c>
      <c r="D7">
        <v>1983</v>
      </c>
      <c r="E7" s="1">
        <v>108000</v>
      </c>
      <c r="F7" s="1">
        <f t="shared" si="0"/>
        <v>14330.612244897959</v>
      </c>
      <c r="G7">
        <f t="shared" si="1"/>
        <v>0.13269085411942555</v>
      </c>
      <c r="H7" s="1">
        <v>56176</v>
      </c>
      <c r="I7" s="1"/>
      <c r="J7" s="1"/>
      <c r="K7" t="s">
        <v>11</v>
      </c>
    </row>
    <row r="8" spans="1:12" x14ac:dyDescent="0.25">
      <c r="A8" t="s">
        <v>6</v>
      </c>
      <c r="B8" t="s">
        <v>40</v>
      </c>
      <c r="C8" t="s">
        <v>10</v>
      </c>
      <c r="D8">
        <v>1997</v>
      </c>
      <c r="E8" s="1">
        <v>94758</v>
      </c>
      <c r="F8" s="1">
        <f t="shared" si="0"/>
        <v>5698.4693877551017</v>
      </c>
      <c r="G8">
        <f t="shared" si="1"/>
        <v>6.0137079589639944E-2</v>
      </c>
      <c r="H8" s="1">
        <v>22338</v>
      </c>
      <c r="I8" s="1"/>
      <c r="J8" s="1"/>
      <c r="K8" t="s">
        <v>11</v>
      </c>
    </row>
    <row r="9" spans="1:12" x14ac:dyDescent="0.25">
      <c r="A9" t="s">
        <v>6</v>
      </c>
      <c r="B9" t="s">
        <v>40</v>
      </c>
      <c r="C9" t="s">
        <v>10</v>
      </c>
      <c r="D9">
        <v>1998</v>
      </c>
      <c r="E9" s="1">
        <v>115206</v>
      </c>
      <c r="F9" s="1">
        <f t="shared" si="0"/>
        <v>6343.8775510204086</v>
      </c>
      <c r="G9">
        <f t="shared" si="1"/>
        <v>5.5065513523778351E-2</v>
      </c>
      <c r="H9" s="1">
        <v>24868</v>
      </c>
      <c r="I9" s="1"/>
      <c r="J9" s="1"/>
      <c r="K9" t="s">
        <v>11</v>
      </c>
    </row>
    <row r="10" spans="1:12" x14ac:dyDescent="0.25">
      <c r="A10" t="s">
        <v>6</v>
      </c>
      <c r="B10" t="s">
        <v>40</v>
      </c>
      <c r="C10" t="s">
        <v>10</v>
      </c>
      <c r="D10">
        <v>2001</v>
      </c>
      <c r="E10" s="1">
        <v>96486</v>
      </c>
      <c r="F10" s="1">
        <f t="shared" si="0"/>
        <v>5459.6938775510207</v>
      </c>
      <c r="G10">
        <f t="shared" si="1"/>
        <v>5.6585347900742294E-2</v>
      </c>
      <c r="H10" s="1">
        <v>21402</v>
      </c>
      <c r="I10" s="1"/>
      <c r="J10" s="1"/>
      <c r="K10" t="s">
        <v>11</v>
      </c>
    </row>
    <row r="11" spans="1:12" x14ac:dyDescent="0.25">
      <c r="A11" t="s">
        <v>6</v>
      </c>
      <c r="B11" t="s">
        <v>40</v>
      </c>
      <c r="C11" t="s">
        <v>10</v>
      </c>
      <c r="D11">
        <v>2017</v>
      </c>
      <c r="E11" s="1">
        <v>77832</v>
      </c>
      <c r="F11" s="1">
        <f t="shared" si="0"/>
        <v>4463.7755102040819</v>
      </c>
      <c r="G11">
        <f t="shared" si="1"/>
        <v>5.7351417286001669E-2</v>
      </c>
      <c r="H11" s="1">
        <v>17498</v>
      </c>
      <c r="I11" s="1"/>
      <c r="J11" s="1"/>
      <c r="K11" t="s">
        <v>11</v>
      </c>
    </row>
    <row r="12" spans="1:12" x14ac:dyDescent="0.25">
      <c r="A12" t="s">
        <v>6</v>
      </c>
      <c r="B12" t="s">
        <v>40</v>
      </c>
      <c r="C12" t="s">
        <v>31</v>
      </c>
      <c r="D12">
        <v>1979</v>
      </c>
      <c r="E12" s="1">
        <v>7000</v>
      </c>
      <c r="F12" s="1"/>
      <c r="I12" s="1"/>
      <c r="J12" s="1"/>
      <c r="K12" t="s">
        <v>12</v>
      </c>
    </row>
    <row r="13" spans="1:12" x14ac:dyDescent="0.25">
      <c r="A13" t="s">
        <v>6</v>
      </c>
      <c r="B13" t="s">
        <v>40</v>
      </c>
      <c r="C13" t="s">
        <v>31</v>
      </c>
      <c r="D13">
        <v>1984</v>
      </c>
      <c r="E13" s="1">
        <v>10000</v>
      </c>
      <c r="F13" s="1"/>
      <c r="I13" s="1"/>
      <c r="J13" s="1"/>
      <c r="K13" t="s">
        <v>13</v>
      </c>
    </row>
    <row r="14" spans="1:12" x14ac:dyDescent="0.25">
      <c r="A14" t="s">
        <v>6</v>
      </c>
      <c r="B14" t="s">
        <v>40</v>
      </c>
      <c r="C14" t="s">
        <v>31</v>
      </c>
      <c r="D14">
        <v>2018</v>
      </c>
      <c r="E14" s="1">
        <v>5812</v>
      </c>
      <c r="F14" s="1">
        <f>H14/(2*1.96)</f>
        <v>689.79591836734699</v>
      </c>
      <c r="G14">
        <f>F14/E14</f>
        <v>0.11868477604393445</v>
      </c>
      <c r="H14" s="1">
        <v>2704</v>
      </c>
      <c r="I14" s="1"/>
      <c r="J14" s="1"/>
      <c r="K14" t="s">
        <v>14</v>
      </c>
    </row>
    <row r="15" spans="1:12" s="4" customFormat="1" x14ac:dyDescent="0.25">
      <c r="A15" s="4" t="s">
        <v>6</v>
      </c>
      <c r="B15" t="s">
        <v>40</v>
      </c>
      <c r="C15" s="4" t="s">
        <v>15</v>
      </c>
      <c r="D15" s="5">
        <v>1997</v>
      </c>
      <c r="E15" s="5">
        <f>38237*2</f>
        <v>76474</v>
      </c>
      <c r="F15" s="6"/>
      <c r="H15" s="6"/>
      <c r="I15" s="6"/>
      <c r="J15" s="6"/>
    </row>
    <row r="16" spans="1:12" x14ac:dyDescent="0.25">
      <c r="A16" t="s">
        <v>6</v>
      </c>
      <c r="B16" t="s">
        <v>40</v>
      </c>
      <c r="C16" t="s">
        <v>15</v>
      </c>
      <c r="D16">
        <v>2013</v>
      </c>
      <c r="E16" s="1">
        <f>31430*2</f>
        <v>62860</v>
      </c>
      <c r="F16" s="1">
        <f>H16/(2*1.96)</f>
        <v>7404.0816326530612</v>
      </c>
      <c r="G16">
        <f>F16/E16</f>
        <v>0.11778685384430577</v>
      </c>
      <c r="H16" s="1">
        <f>J16-I16</f>
        <v>29024</v>
      </c>
      <c r="I16" s="1">
        <f>24387*2</f>
        <v>48774</v>
      </c>
      <c r="J16" s="1">
        <f>38899*2</f>
        <v>77798</v>
      </c>
      <c r="K16" t="s">
        <v>16</v>
      </c>
    </row>
    <row r="17" spans="1:11" x14ac:dyDescent="0.25">
      <c r="A17" t="s">
        <v>6</v>
      </c>
      <c r="B17" t="s">
        <v>40</v>
      </c>
      <c r="C17" t="s">
        <v>15</v>
      </c>
      <c r="D17">
        <v>2023</v>
      </c>
      <c r="E17" s="1">
        <f>36307*2</f>
        <v>72614</v>
      </c>
      <c r="F17" s="1">
        <f>H17/(2*1.96)</f>
        <v>9548.9795918367345</v>
      </c>
      <c r="G17">
        <f>F17/E17</f>
        <v>0.131503285755319</v>
      </c>
      <c r="H17" s="1">
        <f>J17-I17</f>
        <v>37432</v>
      </c>
      <c r="I17" s="1">
        <f>27222*2</f>
        <v>54444</v>
      </c>
      <c r="J17" s="1">
        <f>45938*2</f>
        <v>91876</v>
      </c>
      <c r="K17" t="s">
        <v>16</v>
      </c>
    </row>
    <row r="18" spans="1:11" x14ac:dyDescent="0.25">
      <c r="A18" t="s">
        <v>6</v>
      </c>
      <c r="B18" t="s">
        <v>40</v>
      </c>
      <c r="C18" t="s">
        <v>32</v>
      </c>
      <c r="D18">
        <v>1973</v>
      </c>
      <c r="E18" s="1">
        <v>340000</v>
      </c>
      <c r="F18" s="1"/>
      <c r="I18" s="1"/>
      <c r="J18" s="1"/>
      <c r="K18" t="s">
        <v>17</v>
      </c>
    </row>
    <row r="19" spans="1:11" x14ac:dyDescent="0.25">
      <c r="A19" t="s">
        <v>6</v>
      </c>
      <c r="B19" t="s">
        <v>40</v>
      </c>
      <c r="C19" t="s">
        <v>32</v>
      </c>
      <c r="D19">
        <v>1979</v>
      </c>
      <c r="E19" s="1">
        <v>599168</v>
      </c>
      <c r="F19" s="1">
        <f>H19/(2*1.96)</f>
        <v>38859.693877551021</v>
      </c>
      <c r="G19">
        <f>F19/E19</f>
        <v>6.4856090241052627E-2</v>
      </c>
      <c r="H19" s="1">
        <v>152330</v>
      </c>
      <c r="I19" s="1"/>
      <c r="J19" s="1"/>
      <c r="K19" t="s">
        <v>18</v>
      </c>
    </row>
    <row r="20" spans="1:11" x14ac:dyDescent="0.25">
      <c r="A20" t="s">
        <v>6</v>
      </c>
      <c r="B20" t="s">
        <v>40</v>
      </c>
      <c r="C20" t="s">
        <v>32</v>
      </c>
      <c r="D20">
        <v>1997</v>
      </c>
      <c r="E20" s="1">
        <v>694032</v>
      </c>
      <c r="F20" s="1">
        <f>H20/(2*1.96)</f>
        <v>45201.020408163269</v>
      </c>
      <c r="G20">
        <f>F20/E20</f>
        <v>6.5128150298780565E-2</v>
      </c>
      <c r="H20" s="1">
        <v>177188</v>
      </c>
      <c r="I20" s="1"/>
      <c r="J20" s="1"/>
      <c r="K20" t="s">
        <v>18</v>
      </c>
    </row>
    <row r="21" spans="1:11" x14ac:dyDescent="0.25">
      <c r="A21" t="s">
        <v>6</v>
      </c>
      <c r="B21" t="s">
        <v>40</v>
      </c>
      <c r="C21" t="s">
        <v>32</v>
      </c>
      <c r="D21">
        <v>2011</v>
      </c>
      <c r="E21" s="1">
        <v>268278</v>
      </c>
      <c r="F21" s="1">
        <f>H21/(2*1.96)</f>
        <v>29245.408163265307</v>
      </c>
      <c r="G21">
        <f>F21/E21</f>
        <v>0.10901157815126587</v>
      </c>
      <c r="H21" s="1">
        <v>114642</v>
      </c>
      <c r="I21" s="1"/>
      <c r="J21" s="1"/>
      <c r="K21" t="s">
        <v>18</v>
      </c>
    </row>
    <row r="22" spans="1:11" x14ac:dyDescent="0.25">
      <c r="A22" t="s">
        <v>6</v>
      </c>
      <c r="B22" t="s">
        <v>40</v>
      </c>
      <c r="C22" t="s">
        <v>32</v>
      </c>
      <c r="D22">
        <v>2022</v>
      </c>
      <c r="E22" s="1">
        <v>283496</v>
      </c>
      <c r="F22" s="1">
        <f>H22/(2*1.96)</f>
        <v>53058.163265306124</v>
      </c>
      <c r="G22">
        <f>F22/E22</f>
        <v>0.18715665570345305</v>
      </c>
      <c r="H22" s="1">
        <f>J22-I22</f>
        <v>207988</v>
      </c>
      <c r="I22" s="1">
        <v>179502</v>
      </c>
      <c r="J22" s="1">
        <v>387490</v>
      </c>
      <c r="K22" t="s">
        <v>9</v>
      </c>
    </row>
    <row r="23" spans="1:11" x14ac:dyDescent="0.25">
      <c r="A23" t="s">
        <v>6</v>
      </c>
      <c r="B23" t="s">
        <v>40</v>
      </c>
      <c r="C23" t="s">
        <v>33</v>
      </c>
      <c r="D23">
        <v>1978</v>
      </c>
      <c r="E23" s="1">
        <v>144000</v>
      </c>
      <c r="F23" s="1"/>
      <c r="I23" s="1"/>
      <c r="J23" s="1"/>
      <c r="K23" t="s">
        <v>13</v>
      </c>
    </row>
    <row r="24" spans="1:11" x14ac:dyDescent="0.25">
      <c r="A24" t="s">
        <v>6</v>
      </c>
      <c r="B24" t="s">
        <v>40</v>
      </c>
      <c r="C24" t="s">
        <v>33</v>
      </c>
      <c r="D24">
        <v>2001</v>
      </c>
      <c r="E24" s="1">
        <v>130560</v>
      </c>
      <c r="F24" s="1">
        <f>H24/(2*1.96)</f>
        <v>9106.1224489795914</v>
      </c>
      <c r="G24">
        <f>F24/E24</f>
        <v>6.9746648659463784E-2</v>
      </c>
      <c r="H24" s="1">
        <v>35696</v>
      </c>
      <c r="I24" s="1"/>
      <c r="J24" s="1"/>
      <c r="K24" t="s">
        <v>19</v>
      </c>
    </row>
    <row r="25" spans="1:11" x14ac:dyDescent="0.25">
      <c r="A25" t="s">
        <v>6</v>
      </c>
      <c r="B25" t="s">
        <v>40</v>
      </c>
      <c r="C25" t="s">
        <v>33</v>
      </c>
      <c r="D25">
        <v>2008</v>
      </c>
      <c r="E25" s="1">
        <v>207766</v>
      </c>
      <c r="F25" s="1">
        <f>H25/(2*1.96)</f>
        <v>12403.571428571429</v>
      </c>
      <c r="G25">
        <f>F25/E25</f>
        <v>5.9699717126822621E-2</v>
      </c>
      <c r="H25" s="1">
        <v>48622</v>
      </c>
      <c r="I25" s="1"/>
      <c r="J25" s="1"/>
      <c r="K25" t="s">
        <v>20</v>
      </c>
    </row>
    <row r="26" spans="1:11" x14ac:dyDescent="0.25">
      <c r="A26" t="s">
        <v>6</v>
      </c>
      <c r="B26" t="s">
        <v>40</v>
      </c>
      <c r="C26" t="s">
        <v>33</v>
      </c>
      <c r="D26">
        <v>2015</v>
      </c>
      <c r="E26" s="1">
        <v>98810</v>
      </c>
      <c r="F26" s="1">
        <f>H26/(2*1.96)</f>
        <v>6666.3265306122448</v>
      </c>
      <c r="G26">
        <f>F26/E26</f>
        <v>6.7466112039391207E-2</v>
      </c>
      <c r="H26" s="1">
        <v>26132</v>
      </c>
      <c r="I26" s="1"/>
      <c r="J26" s="1"/>
      <c r="K26" t="s">
        <v>21</v>
      </c>
    </row>
    <row r="27" spans="1:11" x14ac:dyDescent="0.25">
      <c r="A27" t="s">
        <v>6</v>
      </c>
      <c r="B27" t="s">
        <v>40</v>
      </c>
      <c r="C27" t="s">
        <v>33</v>
      </c>
      <c r="D27">
        <v>2022</v>
      </c>
      <c r="E27" s="1">
        <v>87708</v>
      </c>
      <c r="F27" s="1">
        <f>H27/(2*1.96)</f>
        <v>14267.857142857143</v>
      </c>
      <c r="G27">
        <f>F27/E27</f>
        <v>0.16267452390725068</v>
      </c>
      <c r="H27" s="1">
        <f>J27-I27</f>
        <v>55930</v>
      </c>
      <c r="I27" s="1">
        <v>59742</v>
      </c>
      <c r="J27" s="1">
        <v>115672</v>
      </c>
      <c r="K27" t="s">
        <v>9</v>
      </c>
    </row>
    <row r="28" spans="1:11" x14ac:dyDescent="0.25">
      <c r="A28" t="s">
        <v>6</v>
      </c>
      <c r="B28" t="s">
        <v>40</v>
      </c>
      <c r="C28" t="s">
        <v>34</v>
      </c>
      <c r="D28">
        <v>1973</v>
      </c>
      <c r="E28" s="1">
        <v>420000</v>
      </c>
      <c r="F28" s="1"/>
      <c r="I28" s="1"/>
      <c r="J28" s="1"/>
      <c r="K28" t="s">
        <v>17</v>
      </c>
    </row>
    <row r="29" spans="1:11" x14ac:dyDescent="0.25">
      <c r="A29" t="s">
        <v>6</v>
      </c>
      <c r="B29" t="s">
        <v>40</v>
      </c>
      <c r="C29" t="s">
        <v>34</v>
      </c>
      <c r="D29">
        <v>1979</v>
      </c>
      <c r="E29" s="1">
        <v>1060000</v>
      </c>
      <c r="F29" s="1">
        <f t="shared" ref="F29:F34" si="2">H29/(2*1.96)</f>
        <v>91836.734693877559</v>
      </c>
      <c r="G29">
        <f t="shared" ref="G29:G34" si="3">F29/E29</f>
        <v>8.6638428956488267E-2</v>
      </c>
      <c r="H29" s="1">
        <v>360000</v>
      </c>
      <c r="I29" s="1"/>
      <c r="J29" s="1"/>
      <c r="K29" t="s">
        <v>12</v>
      </c>
    </row>
    <row r="30" spans="1:11" x14ac:dyDescent="0.25">
      <c r="A30" t="s">
        <v>6</v>
      </c>
      <c r="B30" t="s">
        <v>40</v>
      </c>
      <c r="C30" t="s">
        <v>34</v>
      </c>
      <c r="D30">
        <v>1984</v>
      </c>
      <c r="E30" s="1">
        <v>703610</v>
      </c>
      <c r="F30" s="1">
        <f t="shared" si="2"/>
        <v>25757.142857142859</v>
      </c>
      <c r="G30">
        <f t="shared" si="3"/>
        <v>3.6607130167483209E-2</v>
      </c>
      <c r="H30" s="1">
        <v>100968</v>
      </c>
      <c r="I30" s="1"/>
      <c r="J30" s="1"/>
      <c r="K30" t="s">
        <v>19</v>
      </c>
    </row>
    <row r="31" spans="1:11" x14ac:dyDescent="0.25">
      <c r="A31" t="s">
        <v>6</v>
      </c>
      <c r="B31" t="s">
        <v>40</v>
      </c>
      <c r="C31" t="s">
        <v>34</v>
      </c>
      <c r="D31">
        <v>1985</v>
      </c>
      <c r="E31" s="1">
        <v>611452</v>
      </c>
      <c r="F31" s="1">
        <f t="shared" si="2"/>
        <v>21220.918367346938</v>
      </c>
      <c r="G31">
        <f t="shared" si="3"/>
        <v>3.4705779631674996E-2</v>
      </c>
      <c r="H31" s="1">
        <v>83186</v>
      </c>
      <c r="I31" s="1"/>
      <c r="J31" s="1"/>
      <c r="K31" t="s">
        <v>19</v>
      </c>
    </row>
    <row r="32" spans="1:11" x14ac:dyDescent="0.25">
      <c r="A32" t="s">
        <v>6</v>
      </c>
      <c r="B32" t="s">
        <v>40</v>
      </c>
      <c r="C32" t="s">
        <v>34</v>
      </c>
      <c r="D32">
        <v>2001</v>
      </c>
      <c r="E32" s="1">
        <v>703732</v>
      </c>
      <c r="F32" s="1">
        <f t="shared" si="2"/>
        <v>22777.551020408162</v>
      </c>
      <c r="G32">
        <f t="shared" si="3"/>
        <v>3.2366797332518862E-2</v>
      </c>
      <c r="H32" s="1">
        <v>89288</v>
      </c>
      <c r="I32" s="1"/>
      <c r="J32" s="1"/>
      <c r="K32" t="s">
        <v>19</v>
      </c>
    </row>
    <row r="33" spans="1:11" x14ac:dyDescent="0.25">
      <c r="A33" t="s">
        <v>6</v>
      </c>
      <c r="B33" t="s">
        <v>40</v>
      </c>
      <c r="C33" t="s">
        <v>34</v>
      </c>
      <c r="D33">
        <v>2012</v>
      </c>
      <c r="E33" s="1">
        <v>359484</v>
      </c>
      <c r="F33" s="1">
        <f t="shared" si="2"/>
        <v>25338.775510204083</v>
      </c>
      <c r="G33">
        <f t="shared" si="3"/>
        <v>7.0486518204437701E-2</v>
      </c>
      <c r="H33" s="1">
        <v>99328</v>
      </c>
      <c r="I33" s="1"/>
      <c r="J33" s="1"/>
      <c r="K33" t="s">
        <v>18</v>
      </c>
    </row>
    <row r="34" spans="1:11" x14ac:dyDescent="0.25">
      <c r="A34" t="s">
        <v>6</v>
      </c>
      <c r="B34" t="s">
        <v>40</v>
      </c>
      <c r="C34" t="s">
        <v>34</v>
      </c>
      <c r="D34">
        <v>2022</v>
      </c>
      <c r="E34" s="1">
        <v>577080</v>
      </c>
      <c r="F34" s="1">
        <f t="shared" si="2"/>
        <v>50303.0612244898</v>
      </c>
      <c r="G34">
        <f t="shared" si="3"/>
        <v>8.716826302157378E-2</v>
      </c>
      <c r="H34" s="1">
        <f>J34-I34</f>
        <v>197188</v>
      </c>
      <c r="I34" s="1">
        <v>478486</v>
      </c>
      <c r="J34" s="1">
        <v>675674</v>
      </c>
      <c r="K34" t="s">
        <v>9</v>
      </c>
    </row>
    <row r="35" spans="1:11" x14ac:dyDescent="0.25">
      <c r="A35" t="s">
        <v>6</v>
      </c>
      <c r="B35" t="s">
        <v>40</v>
      </c>
      <c r="C35" t="s">
        <v>22</v>
      </c>
      <c r="D35">
        <v>1966</v>
      </c>
      <c r="E35" s="1">
        <v>30000</v>
      </c>
      <c r="F35" s="1"/>
      <c r="I35" s="1"/>
      <c r="J35" s="1"/>
      <c r="K35" t="s">
        <v>23</v>
      </c>
    </row>
    <row r="36" spans="1:11" x14ac:dyDescent="0.25">
      <c r="A36" t="s">
        <v>6</v>
      </c>
      <c r="B36" t="s">
        <v>40</v>
      </c>
      <c r="C36" t="s">
        <v>22</v>
      </c>
      <c r="D36">
        <v>2000</v>
      </c>
      <c r="E36" s="1">
        <v>58832</v>
      </c>
      <c r="F36" s="1">
        <f>H36/(2*1.96)</f>
        <v>3265.8163265306125</v>
      </c>
      <c r="G36">
        <f>F36/E36</f>
        <v>5.5510883983726757E-2</v>
      </c>
      <c r="H36" s="1">
        <v>12802</v>
      </c>
      <c r="I36" s="1"/>
      <c r="J36" s="1"/>
      <c r="K36" t="s">
        <v>24</v>
      </c>
    </row>
    <row r="37" spans="1:11" x14ac:dyDescent="0.25">
      <c r="A37" t="s">
        <v>6</v>
      </c>
      <c r="B37" t="s">
        <v>40</v>
      </c>
      <c r="C37" t="s">
        <v>22</v>
      </c>
      <c r="D37">
        <v>2018</v>
      </c>
      <c r="E37" s="1">
        <v>43286</v>
      </c>
      <c r="F37" s="1">
        <f>H37/(2*1.96)</f>
        <v>2397.9591836734694</v>
      </c>
      <c r="G37">
        <f>F37/E37</f>
        <v>5.5398031318982334E-2</v>
      </c>
      <c r="H37" s="1">
        <v>9400</v>
      </c>
      <c r="I37" s="1"/>
      <c r="J37" s="1"/>
      <c r="K37" t="s">
        <v>24</v>
      </c>
    </row>
    <row r="38" spans="1:11" s="4" customFormat="1" x14ac:dyDescent="0.25">
      <c r="A38" s="4" t="s">
        <v>6</v>
      </c>
      <c r="B38" t="s">
        <v>40</v>
      </c>
      <c r="C38" s="5" t="s">
        <v>25</v>
      </c>
      <c r="D38" s="5">
        <v>1971</v>
      </c>
      <c r="E38" s="5">
        <f>2642*2</f>
        <v>5284</v>
      </c>
      <c r="I38" s="6"/>
      <c r="J38" s="6"/>
      <c r="K38" s="4" t="s">
        <v>19</v>
      </c>
    </row>
    <row r="39" spans="1:11" s="4" customFormat="1" x14ac:dyDescent="0.25">
      <c r="A39" s="4" t="s">
        <v>6</v>
      </c>
      <c r="B39" t="s">
        <v>40</v>
      </c>
      <c r="C39" s="5" t="s">
        <v>25</v>
      </c>
      <c r="D39" s="5">
        <v>2017</v>
      </c>
      <c r="E39" s="5">
        <f>5559*2</f>
        <v>11118</v>
      </c>
      <c r="I39" s="6"/>
      <c r="J39" s="6"/>
      <c r="K39" s="4" t="s">
        <v>19</v>
      </c>
    </row>
    <row r="40" spans="1:11" x14ac:dyDescent="0.25">
      <c r="A40" t="s">
        <v>6</v>
      </c>
      <c r="B40" t="s">
        <v>40</v>
      </c>
      <c r="C40" t="s">
        <v>35</v>
      </c>
      <c r="D40">
        <v>1974</v>
      </c>
      <c r="E40" s="1">
        <v>22380</v>
      </c>
      <c r="F40" s="1"/>
      <c r="I40" s="1"/>
      <c r="J40" s="1"/>
      <c r="K40" t="s">
        <v>19</v>
      </c>
    </row>
    <row r="41" spans="1:11" x14ac:dyDescent="0.25">
      <c r="A41" t="s">
        <v>6</v>
      </c>
      <c r="B41" t="s">
        <v>40</v>
      </c>
      <c r="C41" t="s">
        <v>35</v>
      </c>
      <c r="D41">
        <v>1975</v>
      </c>
      <c r="E41" s="1">
        <v>32100</v>
      </c>
      <c r="F41" s="1"/>
      <c r="G41">
        <f>F43/E43</f>
        <v>7.0783050593246882E-2</v>
      </c>
      <c r="H41" s="1">
        <v>7702</v>
      </c>
      <c r="I41" s="1"/>
      <c r="J41" s="1"/>
      <c r="K41" t="s">
        <v>19</v>
      </c>
    </row>
    <row r="42" spans="1:11" x14ac:dyDescent="0.25">
      <c r="A42" t="s">
        <v>6</v>
      </c>
      <c r="B42" t="s">
        <v>40</v>
      </c>
      <c r="C42" t="s">
        <v>35</v>
      </c>
      <c r="D42">
        <v>1977</v>
      </c>
      <c r="E42" s="1">
        <v>38954</v>
      </c>
      <c r="F42" s="1"/>
      <c r="G42">
        <f>F44/E44</f>
        <v>7.2084573029029236E-2</v>
      </c>
      <c r="H42" s="1">
        <v>4958</v>
      </c>
      <c r="I42" s="1"/>
      <c r="J42" s="1"/>
      <c r="K42" t="s">
        <v>21</v>
      </c>
    </row>
    <row r="43" spans="1:11" x14ac:dyDescent="0.25">
      <c r="A43" t="s">
        <v>6</v>
      </c>
      <c r="B43" t="s">
        <v>40</v>
      </c>
      <c r="C43" t="s">
        <v>35</v>
      </c>
      <c r="D43">
        <v>2001</v>
      </c>
      <c r="E43" s="1">
        <v>27758</v>
      </c>
      <c r="F43" s="1">
        <f>H41/(2*1.96)</f>
        <v>1964.795918367347</v>
      </c>
      <c r="G43">
        <f>F45/E45</f>
        <v>8.6294944298386633E-2</v>
      </c>
      <c r="H43" s="1">
        <v>7300</v>
      </c>
      <c r="I43" s="1"/>
      <c r="J43" s="1"/>
      <c r="K43" t="s">
        <v>21</v>
      </c>
    </row>
    <row r="44" spans="1:11" x14ac:dyDescent="0.25">
      <c r="A44" t="s">
        <v>6</v>
      </c>
      <c r="B44" t="s">
        <v>40</v>
      </c>
      <c r="C44" t="s">
        <v>35</v>
      </c>
      <c r="D44">
        <v>2006</v>
      </c>
      <c r="E44" s="1">
        <v>17546</v>
      </c>
      <c r="F44" s="1">
        <f>H42/(2*1.96)</f>
        <v>1264.795918367347</v>
      </c>
      <c r="I44" s="1"/>
      <c r="J44" s="1"/>
      <c r="K44" t="s">
        <v>26</v>
      </c>
    </row>
    <row r="45" spans="1:11" x14ac:dyDescent="0.25">
      <c r="A45" t="s">
        <v>6</v>
      </c>
      <c r="B45" t="s">
        <v>40</v>
      </c>
      <c r="C45" t="s">
        <v>35</v>
      </c>
      <c r="D45">
        <v>2016</v>
      </c>
      <c r="E45" s="1">
        <v>21580</v>
      </c>
      <c r="F45" s="1">
        <f>H43/(2*1.96)</f>
        <v>1862.2448979591836</v>
      </c>
      <c r="I45" s="1"/>
      <c r="J45" s="1"/>
      <c r="K45" t="s">
        <v>12</v>
      </c>
    </row>
    <row r="46" spans="1:11" x14ac:dyDescent="0.25">
      <c r="A46" t="s">
        <v>6</v>
      </c>
      <c r="B46" t="s">
        <v>40</v>
      </c>
      <c r="C46" t="s">
        <v>36</v>
      </c>
      <c r="D46">
        <v>1973</v>
      </c>
      <c r="E46" s="1">
        <v>3950</v>
      </c>
      <c r="F46" s="1"/>
      <c r="G46">
        <f>F48/E48</f>
        <v>0.12000779537816132</v>
      </c>
      <c r="H46" s="1">
        <v>11232</v>
      </c>
      <c r="I46" s="1"/>
      <c r="J46" s="1"/>
      <c r="K46" t="s">
        <v>26</v>
      </c>
    </row>
    <row r="47" spans="1:11" x14ac:dyDescent="0.25">
      <c r="A47" t="s">
        <v>6</v>
      </c>
      <c r="B47" t="s">
        <v>40</v>
      </c>
      <c r="C47" t="s">
        <v>36</v>
      </c>
      <c r="D47">
        <v>1979</v>
      </c>
      <c r="E47" s="1">
        <v>13112</v>
      </c>
      <c r="F47" s="1"/>
      <c r="G47">
        <f>F49/E49</f>
        <v>0.13074593999449491</v>
      </c>
      <c r="H47" s="1">
        <v>1064</v>
      </c>
      <c r="I47" s="1"/>
      <c r="J47" s="1"/>
      <c r="K47" t="s">
        <v>26</v>
      </c>
    </row>
    <row r="48" spans="1:11" x14ac:dyDescent="0.25">
      <c r="A48" t="s">
        <v>6</v>
      </c>
      <c r="B48" t="s">
        <v>40</v>
      </c>
      <c r="C48" t="s">
        <v>36</v>
      </c>
      <c r="D48">
        <v>1984</v>
      </c>
      <c r="E48" s="1">
        <v>23876</v>
      </c>
      <c r="F48" s="1">
        <f>H46/(2*1.96)</f>
        <v>2865.3061224489797</v>
      </c>
      <c r="G48">
        <f>F50/E50</f>
        <v>0.14598044541010322</v>
      </c>
      <c r="H48" s="1">
        <v>1806</v>
      </c>
      <c r="I48" s="1"/>
      <c r="J48" s="1"/>
      <c r="K48" t="s">
        <v>14</v>
      </c>
    </row>
    <row r="49" spans="1:11" x14ac:dyDescent="0.25">
      <c r="A49" t="s">
        <v>6</v>
      </c>
      <c r="B49" t="s">
        <v>40</v>
      </c>
      <c r="C49" t="s">
        <v>36</v>
      </c>
      <c r="D49">
        <v>2001</v>
      </c>
      <c r="E49" s="1">
        <v>2076</v>
      </c>
      <c r="F49" s="1">
        <f>H47/(2*1.96)</f>
        <v>271.42857142857144</v>
      </c>
      <c r="I49" s="1"/>
      <c r="J49" s="1"/>
      <c r="K49" t="s">
        <v>27</v>
      </c>
    </row>
    <row r="50" spans="1:11" x14ac:dyDescent="0.25">
      <c r="A50" t="s">
        <v>6</v>
      </c>
      <c r="B50" t="s">
        <v>40</v>
      </c>
      <c r="C50" t="s">
        <v>36</v>
      </c>
      <c r="D50">
        <v>2018</v>
      </c>
      <c r="E50" s="1">
        <v>3156</v>
      </c>
      <c r="F50" s="1">
        <f>H48/(2*1.96)</f>
        <v>460.71428571428572</v>
      </c>
      <c r="I50" s="1"/>
      <c r="J50" s="1"/>
      <c r="K50" t="s">
        <v>13</v>
      </c>
    </row>
    <row r="51" spans="1:11" x14ac:dyDescent="0.25">
      <c r="A51" t="s">
        <v>6</v>
      </c>
      <c r="B51" t="s">
        <v>40</v>
      </c>
      <c r="C51" t="s">
        <v>37</v>
      </c>
      <c r="D51">
        <v>1979</v>
      </c>
      <c r="E51" s="1">
        <v>15600</v>
      </c>
      <c r="F51" s="1"/>
      <c r="G51">
        <f>F53/E53</f>
        <v>0.12114134631245024</v>
      </c>
      <c r="H51" s="1">
        <v>8108</v>
      </c>
      <c r="I51" s="1"/>
      <c r="J51" s="1"/>
      <c r="K51" t="s">
        <v>14</v>
      </c>
    </row>
    <row r="52" spans="1:11" x14ac:dyDescent="0.25">
      <c r="A52" t="s">
        <v>6</v>
      </c>
      <c r="B52" t="s">
        <v>40</v>
      </c>
      <c r="C52" t="s">
        <v>37</v>
      </c>
      <c r="D52">
        <v>1984</v>
      </c>
      <c r="E52" s="1">
        <v>18000</v>
      </c>
      <c r="F52" s="1"/>
      <c r="I52" s="1"/>
    </row>
    <row r="53" spans="1:11" x14ac:dyDescent="0.25">
      <c r="A53" t="s">
        <v>6</v>
      </c>
      <c r="B53" t="s">
        <v>40</v>
      </c>
      <c r="C53" t="s">
        <v>37</v>
      </c>
      <c r="D53">
        <v>2018</v>
      </c>
      <c r="E53" s="1">
        <v>17074</v>
      </c>
      <c r="F53" s="1">
        <f>H51/(2*1.96)</f>
        <v>2068.3673469387754</v>
      </c>
      <c r="I53" s="1"/>
    </row>
    <row r="54" spans="1:11" s="4" customFormat="1" x14ac:dyDescent="0.25">
      <c r="A54" s="4" t="s">
        <v>6</v>
      </c>
      <c r="B54" t="s">
        <v>40</v>
      </c>
      <c r="C54" s="4" t="s">
        <v>28</v>
      </c>
      <c r="D54" s="5">
        <v>1966</v>
      </c>
      <c r="E54" s="5">
        <v>700</v>
      </c>
      <c r="F54" s="4">
        <v>0</v>
      </c>
      <c r="I54" s="6"/>
      <c r="K54" t="s">
        <v>29</v>
      </c>
    </row>
    <row r="55" spans="1:11" s="4" customFormat="1" x14ac:dyDescent="0.25">
      <c r="A55" s="4" t="s">
        <v>6</v>
      </c>
      <c r="B55" t="s">
        <v>40</v>
      </c>
      <c r="C55" s="4" t="s">
        <v>28</v>
      </c>
      <c r="D55" s="5">
        <v>1971</v>
      </c>
      <c r="E55" s="5">
        <v>400</v>
      </c>
      <c r="F55" s="4">
        <v>0</v>
      </c>
      <c r="I55" s="6"/>
      <c r="K55" t="s">
        <v>29</v>
      </c>
    </row>
    <row r="56" spans="1:11" s="4" customFormat="1" x14ac:dyDescent="0.25">
      <c r="A56" s="4" t="s">
        <v>6</v>
      </c>
      <c r="B56" t="s">
        <v>40</v>
      </c>
      <c r="C56" s="4" t="s">
        <v>28</v>
      </c>
      <c r="D56" s="5">
        <v>1973</v>
      </c>
      <c r="E56" s="5">
        <v>400</v>
      </c>
      <c r="F56" s="4">
        <v>0</v>
      </c>
      <c r="I56" s="6"/>
      <c r="K56" t="s">
        <v>29</v>
      </c>
    </row>
    <row r="57" spans="1:11" s="4" customFormat="1" x14ac:dyDescent="0.25">
      <c r="A57" s="4" t="s">
        <v>6</v>
      </c>
      <c r="B57" t="s">
        <v>40</v>
      </c>
      <c r="C57" s="4" t="s">
        <v>28</v>
      </c>
      <c r="D57" s="5">
        <v>1974</v>
      </c>
      <c r="E57" s="5">
        <v>100</v>
      </c>
      <c r="F57" s="4">
        <v>0</v>
      </c>
      <c r="I57" s="6"/>
      <c r="K57" t="s">
        <v>29</v>
      </c>
    </row>
    <row r="58" spans="1:11" s="4" customFormat="1" x14ac:dyDescent="0.25">
      <c r="A58" s="4" t="s">
        <v>6</v>
      </c>
      <c r="B58" t="s">
        <v>40</v>
      </c>
      <c r="C58" s="4" t="s">
        <v>28</v>
      </c>
      <c r="D58" s="5">
        <v>1975</v>
      </c>
      <c r="E58" s="5">
        <v>230</v>
      </c>
      <c r="F58" s="4">
        <v>0</v>
      </c>
      <c r="I58" s="6"/>
      <c r="K58" t="s">
        <v>29</v>
      </c>
    </row>
    <row r="59" spans="1:11" s="4" customFormat="1" x14ac:dyDescent="0.25">
      <c r="A59" s="4" t="s">
        <v>6</v>
      </c>
      <c r="B59" t="s">
        <v>40</v>
      </c>
      <c r="C59" s="4" t="s">
        <v>28</v>
      </c>
      <c r="D59" s="5">
        <v>1976</v>
      </c>
      <c r="E59" s="5">
        <v>124</v>
      </c>
      <c r="F59" s="4">
        <v>0</v>
      </c>
      <c r="I59" s="6"/>
      <c r="K59" t="s">
        <v>29</v>
      </c>
    </row>
    <row r="60" spans="1:11" s="4" customFormat="1" x14ac:dyDescent="0.25">
      <c r="A60" s="4" t="s">
        <v>6</v>
      </c>
      <c r="B60" t="s">
        <v>40</v>
      </c>
      <c r="C60" s="4" t="s">
        <v>28</v>
      </c>
      <c r="D60" s="5">
        <v>1980</v>
      </c>
      <c r="E60" s="5">
        <v>200</v>
      </c>
      <c r="F60" s="4">
        <v>0</v>
      </c>
      <c r="I60" s="6"/>
      <c r="K60" t="s">
        <v>29</v>
      </c>
    </row>
    <row r="61" spans="1:11" s="4" customFormat="1" x14ac:dyDescent="0.25">
      <c r="A61" s="4" t="s">
        <v>6</v>
      </c>
      <c r="B61" t="s">
        <v>40</v>
      </c>
      <c r="C61" s="4" t="s">
        <v>28</v>
      </c>
      <c r="D61" s="5">
        <v>1981</v>
      </c>
      <c r="E61" s="5">
        <v>110</v>
      </c>
      <c r="F61" s="4">
        <v>0</v>
      </c>
      <c r="I61" s="6"/>
      <c r="K61" t="s">
        <v>29</v>
      </c>
    </row>
    <row r="62" spans="1:11" s="4" customFormat="1" x14ac:dyDescent="0.25">
      <c r="A62" s="4" t="s">
        <v>6</v>
      </c>
      <c r="B62" t="s">
        <v>40</v>
      </c>
      <c r="C62" s="4" t="s">
        <v>28</v>
      </c>
      <c r="D62" s="5">
        <v>1987</v>
      </c>
      <c r="E62" s="5">
        <v>120</v>
      </c>
      <c r="F62" s="4">
        <v>0</v>
      </c>
      <c r="I62" s="6"/>
      <c r="K62" t="s">
        <v>29</v>
      </c>
    </row>
    <row r="63" spans="1:11" s="4" customFormat="1" x14ac:dyDescent="0.25">
      <c r="A63" s="4" t="s">
        <v>6</v>
      </c>
      <c r="B63" t="s">
        <v>40</v>
      </c>
      <c r="C63" s="4" t="s">
        <v>28</v>
      </c>
      <c r="D63" s="5">
        <v>1992</v>
      </c>
      <c r="E63" s="5">
        <v>40</v>
      </c>
      <c r="F63" s="4">
        <v>0</v>
      </c>
      <c r="I63" s="6"/>
      <c r="K63" t="s">
        <v>29</v>
      </c>
    </row>
    <row r="64" spans="1:11" s="4" customFormat="1" x14ac:dyDescent="0.25">
      <c r="A64" s="4" t="s">
        <v>6</v>
      </c>
      <c r="B64" t="s">
        <v>40</v>
      </c>
      <c r="C64" s="4" t="s">
        <v>28</v>
      </c>
      <c r="D64" s="5">
        <v>1998</v>
      </c>
      <c r="E64" s="5">
        <v>300</v>
      </c>
      <c r="F64" s="4">
        <v>0</v>
      </c>
      <c r="I64" s="6"/>
      <c r="K64" t="s">
        <v>29</v>
      </c>
    </row>
    <row r="65" spans="1:11" s="4" customFormat="1" x14ac:dyDescent="0.25">
      <c r="A65" s="4" t="s">
        <v>6</v>
      </c>
      <c r="B65" t="s">
        <v>40</v>
      </c>
      <c r="C65" s="4" t="s">
        <v>28</v>
      </c>
      <c r="D65" s="5">
        <v>1999</v>
      </c>
      <c r="E65" s="5">
        <v>300</v>
      </c>
      <c r="F65" s="4">
        <v>0</v>
      </c>
      <c r="I65" s="6"/>
      <c r="K65" t="s">
        <v>29</v>
      </c>
    </row>
    <row r="66" spans="1:11" s="4" customFormat="1" x14ac:dyDescent="0.25">
      <c r="A66" s="4" t="s">
        <v>6</v>
      </c>
      <c r="B66" t="s">
        <v>40</v>
      </c>
      <c r="C66" s="4" t="s">
        <v>28</v>
      </c>
      <c r="D66" s="5">
        <v>2006</v>
      </c>
      <c r="E66" s="5">
        <v>270</v>
      </c>
      <c r="F66" s="4">
        <v>0</v>
      </c>
      <c r="I66" s="6"/>
      <c r="K66" t="s">
        <v>29</v>
      </c>
    </row>
    <row r="67" spans="1:11" s="4" customFormat="1" x14ac:dyDescent="0.25">
      <c r="A67" s="4" t="s">
        <v>6</v>
      </c>
      <c r="B67" t="s">
        <v>40</v>
      </c>
      <c r="C67" s="4" t="s">
        <v>28</v>
      </c>
      <c r="D67" s="5">
        <v>2017</v>
      </c>
      <c r="E67" s="5">
        <v>300</v>
      </c>
      <c r="F67" s="4">
        <v>0</v>
      </c>
      <c r="I67" s="6"/>
      <c r="K67" t="s">
        <v>29</v>
      </c>
    </row>
    <row r="68" spans="1:11" x14ac:dyDescent="0.25">
      <c r="A68" t="s">
        <v>6</v>
      </c>
      <c r="B68" t="s">
        <v>41</v>
      </c>
      <c r="C68" t="s">
        <v>42</v>
      </c>
      <c r="D68">
        <v>1978</v>
      </c>
      <c r="E68" s="1">
        <v>112</v>
      </c>
      <c r="F68" s="1">
        <v>36</v>
      </c>
      <c r="H68" s="1"/>
      <c r="I68" s="1">
        <v>60</v>
      </c>
      <c r="J68" s="1">
        <f>83*2</f>
        <v>166</v>
      </c>
      <c r="K68" t="s">
        <v>43</v>
      </c>
    </row>
    <row r="69" spans="1:11" x14ac:dyDescent="0.25">
      <c r="A69" t="s">
        <v>6</v>
      </c>
      <c r="B69" t="s">
        <v>41</v>
      </c>
      <c r="C69" t="s">
        <v>42</v>
      </c>
      <c r="D69">
        <v>2002</v>
      </c>
      <c r="E69" s="1">
        <v>90</v>
      </c>
      <c r="F69" s="1">
        <v>24</v>
      </c>
      <c r="H69" s="1"/>
      <c r="I69" s="1">
        <v>50</v>
      </c>
      <c r="J69" s="1">
        <v>130</v>
      </c>
      <c r="K69" t="s">
        <v>43</v>
      </c>
    </row>
    <row r="70" spans="1:11" x14ac:dyDescent="0.25">
      <c r="A70" t="s">
        <v>6</v>
      </c>
      <c r="B70" t="s">
        <v>41</v>
      </c>
      <c r="C70" t="s">
        <v>42</v>
      </c>
      <c r="D70">
        <v>2010</v>
      </c>
      <c r="E70" s="1">
        <v>66</v>
      </c>
      <c r="F70" s="1">
        <v>12</v>
      </c>
      <c r="H70" s="1"/>
      <c r="I70" s="1">
        <v>44</v>
      </c>
      <c r="J70" s="1">
        <v>88</v>
      </c>
      <c r="K70" t="s">
        <v>44</v>
      </c>
    </row>
    <row r="71" spans="1:11" x14ac:dyDescent="0.25">
      <c r="A71" t="s">
        <v>6</v>
      </c>
      <c r="B71" t="s">
        <v>41</v>
      </c>
      <c r="C71" t="s">
        <v>45</v>
      </c>
      <c r="D71">
        <v>1978</v>
      </c>
      <c r="E71" s="1">
        <v>62</v>
      </c>
      <c r="F71" s="1">
        <v>8</v>
      </c>
      <c r="H71" s="1"/>
      <c r="I71" s="1">
        <v>44</v>
      </c>
      <c r="J71" s="1">
        <v>80</v>
      </c>
      <c r="K71" t="s">
        <v>43</v>
      </c>
    </row>
    <row r="72" spans="1:11" x14ac:dyDescent="0.25">
      <c r="A72" t="s">
        <v>6</v>
      </c>
      <c r="B72" t="s">
        <v>41</v>
      </c>
      <c r="C72" t="s">
        <v>45</v>
      </c>
      <c r="D72">
        <v>2002</v>
      </c>
      <c r="E72" s="1">
        <v>58</v>
      </c>
      <c r="F72" s="1">
        <v>8</v>
      </c>
      <c r="H72" s="1"/>
      <c r="I72" s="1">
        <v>44</v>
      </c>
      <c r="J72" s="1">
        <f>36*2</f>
        <v>72</v>
      </c>
      <c r="K72" t="s">
        <v>43</v>
      </c>
    </row>
    <row r="73" spans="1:11" x14ac:dyDescent="0.25">
      <c r="A73" t="s">
        <v>6</v>
      </c>
      <c r="B73" t="s">
        <v>41</v>
      </c>
      <c r="C73" t="s">
        <v>45</v>
      </c>
      <c r="D73">
        <v>2010</v>
      </c>
      <c r="E73" s="1">
        <v>10</v>
      </c>
      <c r="F73" s="1">
        <v>4</v>
      </c>
      <c r="H73" s="1"/>
      <c r="I73" s="1">
        <v>4</v>
      </c>
      <c r="J73" s="1">
        <v>18</v>
      </c>
      <c r="K73" t="s">
        <v>44</v>
      </c>
    </row>
    <row r="74" spans="1:11" x14ac:dyDescent="0.25">
      <c r="A74" t="s">
        <v>6</v>
      </c>
      <c r="B74" t="s">
        <v>41</v>
      </c>
      <c r="C74" t="s">
        <v>46</v>
      </c>
      <c r="D74">
        <v>1978</v>
      </c>
      <c r="E74" s="1">
        <f>4482*2</f>
        <v>8964</v>
      </c>
      <c r="F74" s="1">
        <f>248*2</f>
        <v>496</v>
      </c>
      <c r="H74" s="1"/>
      <c r="I74" s="1">
        <f>3936*2</f>
        <v>7872</v>
      </c>
      <c r="J74" s="1">
        <f>4907*2</f>
        <v>9814</v>
      </c>
      <c r="K74" t="s">
        <v>47</v>
      </c>
    </row>
    <row r="75" spans="1:11" x14ac:dyDescent="0.25">
      <c r="A75" t="s">
        <v>6</v>
      </c>
      <c r="B75" t="s">
        <v>41</v>
      </c>
      <c r="C75" t="s">
        <v>46</v>
      </c>
      <c r="D75">
        <v>2010</v>
      </c>
      <c r="E75" s="1">
        <f>1972*2</f>
        <v>3944</v>
      </c>
      <c r="F75" s="1">
        <f>246*2</f>
        <v>492</v>
      </c>
      <c r="H75" s="1"/>
      <c r="I75" s="1">
        <f>1489*2</f>
        <v>2978</v>
      </c>
      <c r="J75" s="1">
        <f>2455*2</f>
        <v>4910</v>
      </c>
      <c r="K75" t="s">
        <v>44</v>
      </c>
    </row>
    <row r="76" spans="1:11" x14ac:dyDescent="0.25">
      <c r="A76" t="s">
        <v>6</v>
      </c>
      <c r="B76" t="s">
        <v>41</v>
      </c>
      <c r="C76" t="s">
        <v>48</v>
      </c>
      <c r="D76">
        <v>1978</v>
      </c>
      <c r="E76" s="1">
        <f>8426*2</f>
        <v>16852</v>
      </c>
      <c r="F76" s="1">
        <f>462*2</f>
        <v>924</v>
      </c>
      <c r="H76" s="1"/>
      <c r="I76" s="1">
        <f>7514*2</f>
        <v>15028</v>
      </c>
      <c r="J76" s="1">
        <f>9326*2</f>
        <v>18652</v>
      </c>
      <c r="K76" t="s">
        <v>47</v>
      </c>
    </row>
    <row r="77" spans="1:11" x14ac:dyDescent="0.25">
      <c r="A77" t="s">
        <v>6</v>
      </c>
      <c r="B77" t="s">
        <v>41</v>
      </c>
      <c r="C77" t="s">
        <v>48</v>
      </c>
      <c r="D77">
        <v>2010</v>
      </c>
      <c r="E77" s="1">
        <f>8983*2</f>
        <v>17966</v>
      </c>
      <c r="F77" s="1">
        <f>506*2</f>
        <v>1012</v>
      </c>
      <c r="H77" s="1"/>
      <c r="I77" s="1">
        <f>7990*2</f>
        <v>15980</v>
      </c>
      <c r="J77" s="1">
        <f>9976*2</f>
        <v>19952</v>
      </c>
      <c r="K77" t="s">
        <v>44</v>
      </c>
    </row>
    <row r="78" spans="1:11" x14ac:dyDescent="0.25">
      <c r="A78" t="s">
        <v>6</v>
      </c>
      <c r="B78" t="s">
        <v>41</v>
      </c>
      <c r="C78" t="s">
        <v>49</v>
      </c>
      <c r="D78">
        <v>1978</v>
      </c>
      <c r="E78" s="1">
        <f>4007*2</f>
        <v>8014</v>
      </c>
      <c r="F78" s="1">
        <v>614</v>
      </c>
      <c r="I78" s="1">
        <f>3407*2</f>
        <v>6814</v>
      </c>
      <c r="J78" s="1">
        <f>4609*2</f>
        <v>9218</v>
      </c>
      <c r="K78" t="s">
        <v>47</v>
      </c>
    </row>
    <row r="79" spans="1:11" x14ac:dyDescent="0.25">
      <c r="A79" t="s">
        <v>6</v>
      </c>
      <c r="B79" t="s">
        <v>41</v>
      </c>
      <c r="C79" t="s">
        <v>49</v>
      </c>
      <c r="D79">
        <v>2010</v>
      </c>
      <c r="E79" s="1">
        <f>2245*2</f>
        <v>4490</v>
      </c>
      <c r="F79" s="1">
        <f>263*2</f>
        <v>526</v>
      </c>
      <c r="I79" s="1">
        <f>1730*2</f>
        <v>3460</v>
      </c>
      <c r="J79" s="1">
        <f>2760*2</f>
        <v>5520</v>
      </c>
      <c r="K79" t="s">
        <v>44</v>
      </c>
    </row>
    <row r="80" spans="1:11" x14ac:dyDescent="0.25">
      <c r="A80" t="s">
        <v>6</v>
      </c>
      <c r="B80" t="s">
        <v>41</v>
      </c>
      <c r="C80" t="s">
        <v>50</v>
      </c>
      <c r="D80">
        <v>1978</v>
      </c>
      <c r="E80" s="1">
        <f>2184*2</f>
        <v>4368</v>
      </c>
      <c r="F80" s="1">
        <f>358*2</f>
        <v>716</v>
      </c>
      <c r="H80" s="1"/>
      <c r="I80" s="1">
        <f>1041*2</f>
        <v>2082</v>
      </c>
      <c r="J80" s="1">
        <f>3326*2</f>
        <v>6652</v>
      </c>
      <c r="K80" t="s">
        <v>43</v>
      </c>
    </row>
    <row r="81" spans="1:11" x14ac:dyDescent="0.25">
      <c r="A81" t="s">
        <v>6</v>
      </c>
      <c r="B81" t="s">
        <v>41</v>
      </c>
      <c r="C81" t="s">
        <v>50</v>
      </c>
      <c r="D81" s="7">
        <v>2002</v>
      </c>
      <c r="E81" s="8">
        <f>2581*2</f>
        <v>5162</v>
      </c>
      <c r="F81" s="1">
        <f>383*2</f>
        <v>766</v>
      </c>
      <c r="H81" s="1"/>
      <c r="I81" s="1">
        <f>1601*2</f>
        <v>3202</v>
      </c>
      <c r="J81" s="1">
        <f>3560*2</f>
        <v>7120</v>
      </c>
      <c r="K81" t="s">
        <v>43</v>
      </c>
    </row>
    <row r="82" spans="1:11" x14ac:dyDescent="0.25">
      <c r="A82" t="s">
        <v>6</v>
      </c>
      <c r="B82" t="s">
        <v>41</v>
      </c>
      <c r="C82" t="s">
        <v>50</v>
      </c>
      <c r="D82">
        <v>2010</v>
      </c>
      <c r="E82" s="1">
        <f>4169*2</f>
        <v>8338</v>
      </c>
      <c r="F82" s="1">
        <f>350*2</f>
        <v>700</v>
      </c>
      <c r="H82" s="1"/>
      <c r="I82" s="1">
        <f>3483*2</f>
        <v>6966</v>
      </c>
      <c r="J82" s="1">
        <f>4855*2</f>
        <v>9710</v>
      </c>
      <c r="K82" t="s">
        <v>44</v>
      </c>
    </row>
    <row r="83" spans="1:11" x14ac:dyDescent="0.25">
      <c r="A83" t="s">
        <v>6</v>
      </c>
      <c r="B83" t="s">
        <v>41</v>
      </c>
      <c r="C83" t="s">
        <v>51</v>
      </c>
      <c r="D83">
        <v>1978</v>
      </c>
      <c r="E83" s="1">
        <f>6466*2</f>
        <v>12932</v>
      </c>
      <c r="F83" s="1">
        <f>840*2</f>
        <v>1680</v>
      </c>
      <c r="H83" s="1"/>
      <c r="I83" s="1"/>
      <c r="J83" s="1"/>
      <c r="K83" t="s">
        <v>52</v>
      </c>
    </row>
    <row r="84" spans="1:11" x14ac:dyDescent="0.25">
      <c r="A84" t="s">
        <v>6</v>
      </c>
      <c r="B84" t="s">
        <v>41</v>
      </c>
      <c r="C84" t="s">
        <v>51</v>
      </c>
      <c r="D84">
        <v>1983</v>
      </c>
      <c r="E84" s="1">
        <f>6318*2</f>
        <v>12636</v>
      </c>
      <c r="F84" s="1">
        <f>408*2</f>
        <v>816</v>
      </c>
      <c r="I84" s="1"/>
      <c r="J84" s="1"/>
      <c r="K84" t="s">
        <v>52</v>
      </c>
    </row>
    <row r="85" spans="1:11" x14ac:dyDescent="0.25">
      <c r="A85" t="s">
        <v>6</v>
      </c>
      <c r="B85" t="s">
        <v>41</v>
      </c>
      <c r="C85" t="s">
        <v>51</v>
      </c>
      <c r="D85">
        <v>1984</v>
      </c>
      <c r="E85" s="1">
        <f>6909*2</f>
        <v>13818</v>
      </c>
      <c r="F85" s="1">
        <f>380*2</f>
        <v>760</v>
      </c>
      <c r="H85" s="1"/>
      <c r="I85" s="1"/>
      <c r="J85" s="1"/>
      <c r="K85" t="s">
        <v>52</v>
      </c>
    </row>
    <row r="86" spans="1:11" x14ac:dyDescent="0.25">
      <c r="A86" t="s">
        <v>6</v>
      </c>
      <c r="B86" t="s">
        <v>41</v>
      </c>
      <c r="C86" t="s">
        <v>51</v>
      </c>
      <c r="D86">
        <v>1999</v>
      </c>
      <c r="E86" s="1">
        <f>4888*2</f>
        <v>9776</v>
      </c>
      <c r="F86" s="1">
        <f>399*2</f>
        <v>798</v>
      </c>
      <c r="H86" s="1"/>
      <c r="I86" s="1"/>
      <c r="J86" s="1"/>
      <c r="K86" t="s">
        <v>52</v>
      </c>
    </row>
    <row r="87" spans="1:11" x14ac:dyDescent="0.25">
      <c r="A87" t="s">
        <v>6</v>
      </c>
      <c r="B87" t="s">
        <v>41</v>
      </c>
      <c r="C87" t="s">
        <v>51</v>
      </c>
      <c r="D87">
        <v>2015</v>
      </c>
      <c r="E87" s="1">
        <f>7066*2</f>
        <v>14132</v>
      </c>
      <c r="F87" s="1">
        <f>979*2</f>
        <v>1958</v>
      </c>
      <c r="H87" s="1"/>
      <c r="I87" s="1"/>
      <c r="J87" s="1"/>
      <c r="K87" t="s">
        <v>44</v>
      </c>
    </row>
    <row r="88" spans="1:11" x14ac:dyDescent="0.25">
      <c r="A88" t="s">
        <v>6</v>
      </c>
      <c r="B88" t="s">
        <v>41</v>
      </c>
      <c r="C88" t="s">
        <v>53</v>
      </c>
      <c r="D88">
        <v>1978</v>
      </c>
      <c r="E88" s="1">
        <f>5873*2</f>
        <v>11746</v>
      </c>
      <c r="F88" s="1">
        <f>345*2</f>
        <v>690</v>
      </c>
      <c r="H88" s="1"/>
      <c r="I88" s="1"/>
      <c r="J88" s="1"/>
      <c r="K88" t="s">
        <v>52</v>
      </c>
    </row>
    <row r="89" spans="1:11" x14ac:dyDescent="0.25">
      <c r="A89" t="s">
        <v>6</v>
      </c>
      <c r="B89" t="s">
        <v>41</v>
      </c>
      <c r="C89" t="s">
        <v>53</v>
      </c>
      <c r="D89">
        <v>1983</v>
      </c>
      <c r="E89" s="1">
        <f>5694*2</f>
        <v>11388</v>
      </c>
      <c r="F89" s="1">
        <f>465*2</f>
        <v>930</v>
      </c>
      <c r="I89" s="1"/>
      <c r="J89" s="1"/>
      <c r="K89" t="s">
        <v>52</v>
      </c>
    </row>
    <row r="90" spans="1:11" x14ac:dyDescent="0.25">
      <c r="A90" t="s">
        <v>6</v>
      </c>
      <c r="B90" t="s">
        <v>41</v>
      </c>
      <c r="C90" t="s">
        <v>53</v>
      </c>
      <c r="D90">
        <v>1984</v>
      </c>
      <c r="E90" s="1">
        <f>5640*2</f>
        <v>11280</v>
      </c>
      <c r="F90" s="1">
        <f>802</f>
        <v>802</v>
      </c>
      <c r="H90" s="1"/>
      <c r="I90" s="1"/>
      <c r="J90" s="1"/>
      <c r="K90" t="s">
        <v>52</v>
      </c>
    </row>
    <row r="91" spans="1:11" x14ac:dyDescent="0.25">
      <c r="A91" t="s">
        <v>6</v>
      </c>
      <c r="B91" t="s">
        <v>41</v>
      </c>
      <c r="C91" t="s">
        <v>53</v>
      </c>
      <c r="D91">
        <v>1999</v>
      </c>
      <c r="E91" s="1">
        <f>6522*2</f>
        <v>13044</v>
      </c>
      <c r="F91" s="1">
        <f>492*2</f>
        <v>984</v>
      </c>
      <c r="H91" s="1"/>
      <c r="I91" s="1"/>
      <c r="J91" s="1"/>
      <c r="K91" t="s">
        <v>52</v>
      </c>
    </row>
    <row r="92" spans="1:11" x14ac:dyDescent="0.25">
      <c r="A92" t="s">
        <v>6</v>
      </c>
      <c r="B92" t="s">
        <v>41</v>
      </c>
      <c r="C92" t="s">
        <v>53</v>
      </c>
      <c r="D92">
        <v>2018</v>
      </c>
      <c r="E92" s="1">
        <f>422*2</f>
        <v>844</v>
      </c>
      <c r="F92" s="1">
        <f>211*2</f>
        <v>422</v>
      </c>
      <c r="H92" s="1"/>
      <c r="I92" s="1"/>
      <c r="J92" s="1"/>
      <c r="K92" t="s">
        <v>44</v>
      </c>
    </row>
    <row r="93" spans="1:11" x14ac:dyDescent="0.25">
      <c r="A93" t="s">
        <v>6</v>
      </c>
      <c r="B93" t="s">
        <v>41</v>
      </c>
      <c r="C93" t="s">
        <v>54</v>
      </c>
      <c r="D93">
        <v>1978</v>
      </c>
      <c r="E93" s="1">
        <f>10251*2</f>
        <v>20502</v>
      </c>
      <c r="F93" s="1">
        <f>1061*2</f>
        <v>2122</v>
      </c>
      <c r="H93" s="1"/>
      <c r="I93" s="1"/>
      <c r="J93" s="1"/>
      <c r="K93" t="s">
        <v>52</v>
      </c>
    </row>
    <row r="94" spans="1:11" x14ac:dyDescent="0.25">
      <c r="A94" t="s">
        <v>6</v>
      </c>
      <c r="B94" t="s">
        <v>41</v>
      </c>
      <c r="C94" t="s">
        <v>54</v>
      </c>
      <c r="D94">
        <v>1983</v>
      </c>
      <c r="E94" s="1">
        <f>9398*2</f>
        <v>18796</v>
      </c>
      <c r="F94" s="1">
        <f>546*2</f>
        <v>1092</v>
      </c>
      <c r="I94" s="1"/>
      <c r="J94" s="1"/>
      <c r="K94" t="s">
        <v>52</v>
      </c>
    </row>
    <row r="95" spans="1:11" x14ac:dyDescent="0.25">
      <c r="A95" t="s">
        <v>6</v>
      </c>
      <c r="B95" t="s">
        <v>41</v>
      </c>
      <c r="C95" t="s">
        <v>54</v>
      </c>
      <c r="D95">
        <v>1984</v>
      </c>
      <c r="E95" s="1">
        <f>9367*2</f>
        <v>18734</v>
      </c>
      <c r="F95" s="1">
        <f>500*2</f>
        <v>1000</v>
      </c>
      <c r="H95" s="1"/>
      <c r="I95" s="1"/>
      <c r="J95" s="1"/>
      <c r="K95" t="s">
        <v>52</v>
      </c>
    </row>
    <row r="96" spans="1:11" x14ac:dyDescent="0.25">
      <c r="A96" t="s">
        <v>6</v>
      </c>
      <c r="B96" t="s">
        <v>41</v>
      </c>
      <c r="C96" t="s">
        <v>54</v>
      </c>
      <c r="D96">
        <v>1999</v>
      </c>
      <c r="E96" s="1">
        <f>7381*2</f>
        <v>14762</v>
      </c>
      <c r="F96" s="1">
        <f>519*2</f>
        <v>1038</v>
      </c>
      <c r="H96" s="1"/>
      <c r="I96" s="1"/>
      <c r="J96" s="1"/>
      <c r="K96" t="s">
        <v>52</v>
      </c>
    </row>
    <row r="97" spans="1:12" x14ac:dyDescent="0.25">
      <c r="A97" t="s">
        <v>6</v>
      </c>
      <c r="B97" t="s">
        <v>41</v>
      </c>
      <c r="C97" t="s">
        <v>54</v>
      </c>
      <c r="D97">
        <v>2015</v>
      </c>
      <c r="E97" s="1">
        <f>6280*2</f>
        <v>12560</v>
      </c>
      <c r="F97" s="1">
        <f>946*2</f>
        <v>1892</v>
      </c>
      <c r="H97" s="1"/>
      <c r="I97" s="1"/>
      <c r="J97" s="1"/>
      <c r="K97" t="s">
        <v>44</v>
      </c>
    </row>
    <row r="98" spans="1:12" x14ac:dyDescent="0.25">
      <c r="A98" t="s">
        <v>6</v>
      </c>
      <c r="B98" t="s">
        <v>41</v>
      </c>
      <c r="C98" t="s">
        <v>55</v>
      </c>
      <c r="D98">
        <v>1978</v>
      </c>
      <c r="E98" s="1">
        <f>4702*2</f>
        <v>9404</v>
      </c>
      <c r="F98" s="1"/>
      <c r="H98" s="1"/>
      <c r="I98" s="1"/>
      <c r="J98" s="1"/>
      <c r="K98" t="s">
        <v>52</v>
      </c>
      <c r="L98" t="s">
        <v>56</v>
      </c>
    </row>
    <row r="99" spans="1:12" x14ac:dyDescent="0.25">
      <c r="A99" t="s">
        <v>6</v>
      </c>
      <c r="B99" t="s">
        <v>41</v>
      </c>
      <c r="C99" t="s">
        <v>55</v>
      </c>
      <c r="D99">
        <v>1983</v>
      </c>
      <c r="E99" s="1">
        <f>8575*2</f>
        <v>17150</v>
      </c>
      <c r="F99" s="1">
        <f>497*2</f>
        <v>994</v>
      </c>
      <c r="H99" s="1"/>
      <c r="I99" s="1"/>
      <c r="J99" s="1"/>
      <c r="K99" t="s">
        <v>52</v>
      </c>
    </row>
    <row r="100" spans="1:12" x14ac:dyDescent="0.25">
      <c r="A100" t="s">
        <v>6</v>
      </c>
      <c r="B100" t="s">
        <v>41</v>
      </c>
      <c r="C100" t="s">
        <v>55</v>
      </c>
      <c r="D100">
        <v>1984</v>
      </c>
      <c r="E100" s="1">
        <f>6561*2</f>
        <v>13122</v>
      </c>
      <c r="F100" s="1">
        <f>596*2</f>
        <v>1192</v>
      </c>
      <c r="H100" s="1"/>
      <c r="I100" s="1"/>
      <c r="J100" s="1"/>
      <c r="K100" t="s">
        <v>52</v>
      </c>
    </row>
    <row r="101" spans="1:12" x14ac:dyDescent="0.25">
      <c r="A101" t="s">
        <v>6</v>
      </c>
      <c r="B101" t="s">
        <v>41</v>
      </c>
      <c r="C101" t="s">
        <v>55</v>
      </c>
      <c r="D101">
        <v>1999</v>
      </c>
      <c r="E101" s="1">
        <f>6963*2</f>
        <v>13926</v>
      </c>
      <c r="F101" s="1">
        <f>690*2</f>
        <v>1380</v>
      </c>
      <c r="I101" s="1"/>
      <c r="J101" s="1"/>
      <c r="K101" t="s">
        <v>52</v>
      </c>
    </row>
    <row r="102" spans="1:12" x14ac:dyDescent="0.25">
      <c r="A102" t="s">
        <v>6</v>
      </c>
      <c r="B102" t="s">
        <v>41</v>
      </c>
      <c r="C102" t="s">
        <v>55</v>
      </c>
      <c r="D102">
        <v>2018</v>
      </c>
      <c r="E102" s="1">
        <f>4582*2</f>
        <v>9164</v>
      </c>
      <c r="F102" s="1">
        <f>897*2</f>
        <v>1794</v>
      </c>
      <c r="H102" s="1"/>
      <c r="I102" s="1"/>
      <c r="J102" s="1"/>
      <c r="K102" t="s">
        <v>44</v>
      </c>
    </row>
    <row r="103" spans="1:12" x14ac:dyDescent="0.25">
      <c r="A103" t="s">
        <v>6</v>
      </c>
      <c r="B103" t="s">
        <v>41</v>
      </c>
      <c r="C103" t="s">
        <v>57</v>
      </c>
      <c r="D103">
        <v>1983</v>
      </c>
      <c r="E103" s="1">
        <f>797*2</f>
        <v>1594</v>
      </c>
      <c r="F103" s="1">
        <f>46*2</f>
        <v>92</v>
      </c>
      <c r="H103" s="1"/>
      <c r="I103" s="1"/>
      <c r="J103" s="1"/>
      <c r="K103" t="s">
        <v>52</v>
      </c>
    </row>
    <row r="104" spans="1:12" x14ac:dyDescent="0.25">
      <c r="A104" t="s">
        <v>6</v>
      </c>
      <c r="B104" t="s">
        <v>41</v>
      </c>
      <c r="C104" t="s">
        <v>57</v>
      </c>
      <c r="D104" s="7">
        <v>1984</v>
      </c>
      <c r="E104" s="8">
        <f>610*2</f>
        <v>1220</v>
      </c>
      <c r="F104">
        <f>55*2</f>
        <v>110</v>
      </c>
      <c r="I104" s="1"/>
      <c r="J104" s="1"/>
      <c r="K104" t="s">
        <v>52</v>
      </c>
    </row>
    <row r="105" spans="1:12" x14ac:dyDescent="0.25">
      <c r="A105" t="s">
        <v>6</v>
      </c>
      <c r="B105" t="s">
        <v>41</v>
      </c>
      <c r="C105" t="s">
        <v>57</v>
      </c>
      <c r="D105" s="7">
        <v>1999</v>
      </c>
      <c r="E105" s="8">
        <f>1043*2</f>
        <v>2086</v>
      </c>
      <c r="F105">
        <f>206</f>
        <v>206</v>
      </c>
      <c r="I105" s="1"/>
      <c r="J105" s="1"/>
      <c r="K105" t="s">
        <v>52</v>
      </c>
    </row>
    <row r="106" spans="1:12" x14ac:dyDescent="0.25">
      <c r="A106" t="s">
        <v>6</v>
      </c>
      <c r="B106" t="s">
        <v>41</v>
      </c>
      <c r="C106" t="s">
        <v>57</v>
      </c>
      <c r="D106">
        <v>2018</v>
      </c>
      <c r="E106" s="1">
        <f>199*2</f>
        <v>398</v>
      </c>
      <c r="F106" s="1">
        <f>304*2</f>
        <v>608</v>
      </c>
      <c r="I106" s="1"/>
      <c r="J106" s="1"/>
      <c r="K106" t="s">
        <v>44</v>
      </c>
    </row>
    <row r="107" spans="1:12" x14ac:dyDescent="0.25">
      <c r="A107" t="s">
        <v>6</v>
      </c>
      <c r="B107" t="s">
        <v>41</v>
      </c>
      <c r="C107" t="s">
        <v>58</v>
      </c>
      <c r="D107">
        <v>1979</v>
      </c>
      <c r="E107" s="1">
        <v>2600</v>
      </c>
      <c r="F107" s="1"/>
      <c r="H107" s="1"/>
      <c r="I107" s="1">
        <v>1200</v>
      </c>
      <c r="J107" s="1">
        <v>5000</v>
      </c>
      <c r="K107" t="s">
        <v>59</v>
      </c>
    </row>
    <row r="108" spans="1:12" x14ac:dyDescent="0.25">
      <c r="A108" t="s">
        <v>6</v>
      </c>
      <c r="B108" t="s">
        <v>41</v>
      </c>
      <c r="C108" t="s">
        <v>58</v>
      </c>
      <c r="D108">
        <v>2010</v>
      </c>
      <c r="E108" s="1">
        <f>1850*2</f>
        <v>3700</v>
      </c>
      <c r="F108" s="1">
        <f>175*2</f>
        <v>350</v>
      </c>
      <c r="H108" s="1"/>
      <c r="I108" s="1"/>
      <c r="J108" s="1"/>
      <c r="K108" t="s">
        <v>44</v>
      </c>
    </row>
    <row r="109" spans="1:12" x14ac:dyDescent="0.25">
      <c r="A109" t="s">
        <v>6</v>
      </c>
      <c r="B109" t="s">
        <v>41</v>
      </c>
      <c r="C109" t="s">
        <v>32</v>
      </c>
      <c r="D109">
        <v>1979</v>
      </c>
      <c r="E109" s="1">
        <f>117104*2</f>
        <v>234208</v>
      </c>
      <c r="F109" s="1"/>
      <c r="H109" s="1"/>
      <c r="I109" s="1">
        <f>108096*2</f>
        <v>216192</v>
      </c>
      <c r="J109" s="1">
        <f>126112*2</f>
        <v>252224</v>
      </c>
      <c r="K109" t="s">
        <v>60</v>
      </c>
    </row>
    <row r="110" spans="1:12" x14ac:dyDescent="0.25">
      <c r="A110" t="s">
        <v>6</v>
      </c>
      <c r="B110" t="s">
        <v>41</v>
      </c>
      <c r="C110" t="s">
        <v>32</v>
      </c>
      <c r="D110">
        <v>1984</v>
      </c>
      <c r="E110" s="1">
        <f>159427*2</f>
        <v>318854</v>
      </c>
      <c r="F110" s="1"/>
      <c r="I110" s="1">
        <f>129877*2</f>
        <v>259754</v>
      </c>
      <c r="J110" s="1">
        <f>188977*2</f>
        <v>377954</v>
      </c>
      <c r="K110" t="s">
        <v>60</v>
      </c>
    </row>
    <row r="111" spans="1:12" x14ac:dyDescent="0.25">
      <c r="A111" t="s">
        <v>6</v>
      </c>
      <c r="B111" t="s">
        <v>41</v>
      </c>
      <c r="C111" t="s">
        <v>32</v>
      </c>
      <c r="D111">
        <v>1985</v>
      </c>
      <c r="E111" s="1">
        <f>151086*2</f>
        <v>302172</v>
      </c>
      <c r="F111" s="1"/>
      <c r="I111" s="1">
        <f>127017*2</f>
        <v>254034</v>
      </c>
      <c r="J111" s="1">
        <f>174917*2</f>
        <v>349834</v>
      </c>
      <c r="K111" t="s">
        <v>60</v>
      </c>
    </row>
    <row r="112" spans="1:12" x14ac:dyDescent="0.25">
      <c r="A112" t="s">
        <v>6</v>
      </c>
      <c r="B112" t="s">
        <v>41</v>
      </c>
      <c r="C112" t="s">
        <v>32</v>
      </c>
      <c r="D112">
        <v>1993</v>
      </c>
      <c r="E112" s="1">
        <f>206604*2</f>
        <v>413208</v>
      </c>
      <c r="F112" s="1"/>
      <c r="H112" s="1"/>
      <c r="I112" s="1">
        <f>182687*2</f>
        <v>365374</v>
      </c>
      <c r="J112" s="1">
        <f>230520*2</f>
        <v>461040</v>
      </c>
      <c r="K112" t="s">
        <v>60</v>
      </c>
    </row>
    <row r="113" spans="1:11" x14ac:dyDescent="0.25">
      <c r="A113" t="s">
        <v>6</v>
      </c>
      <c r="B113" t="s">
        <v>41</v>
      </c>
      <c r="C113" t="s">
        <v>32</v>
      </c>
      <c r="D113">
        <v>2011</v>
      </c>
      <c r="E113" s="1">
        <f>174491*2</f>
        <v>348982</v>
      </c>
      <c r="F113" s="1"/>
      <c r="H113" s="1"/>
      <c r="I113" s="1">
        <f>147559*2</f>
        <v>295118</v>
      </c>
      <c r="J113" s="1">
        <f>201423*2</f>
        <v>402846</v>
      </c>
      <c r="K113" t="s">
        <v>60</v>
      </c>
    </row>
    <row r="114" spans="1:11" x14ac:dyDescent="0.25">
      <c r="A114" t="s">
        <v>6</v>
      </c>
      <c r="B114" t="s">
        <v>41</v>
      </c>
      <c r="C114" t="s">
        <v>34</v>
      </c>
      <c r="D114">
        <v>1979</v>
      </c>
      <c r="E114" s="1">
        <f>29726*2</f>
        <v>59452</v>
      </c>
      <c r="F114" s="1"/>
      <c r="H114" s="1"/>
      <c r="I114" s="1">
        <v>30000</v>
      </c>
      <c r="J114" s="1">
        <v>90000</v>
      </c>
      <c r="K114" t="s">
        <v>59</v>
      </c>
    </row>
    <row r="115" spans="1:11" x14ac:dyDescent="0.25">
      <c r="A115" t="s">
        <v>6</v>
      </c>
      <c r="B115" t="s">
        <v>41</v>
      </c>
      <c r="C115" t="s">
        <v>34</v>
      </c>
      <c r="D115">
        <v>1984</v>
      </c>
      <c r="E115" s="1">
        <f>31454*2</f>
        <v>62908</v>
      </c>
      <c r="F115" s="1">
        <f>2799*2</f>
        <v>5598</v>
      </c>
      <c r="I115" s="1"/>
      <c r="J115" s="1"/>
      <c r="K115" t="s">
        <v>61</v>
      </c>
    </row>
    <row r="116" spans="1:11" x14ac:dyDescent="0.25">
      <c r="A116" t="s">
        <v>6</v>
      </c>
      <c r="B116" t="s">
        <v>41</v>
      </c>
      <c r="C116" t="s">
        <v>34</v>
      </c>
      <c r="D116">
        <v>1985</v>
      </c>
      <c r="E116" s="1">
        <f>30832*2</f>
        <v>61664</v>
      </c>
      <c r="F116" s="1">
        <f>3417*2</f>
        <v>6834</v>
      </c>
      <c r="I116" s="1"/>
      <c r="J116" s="1"/>
      <c r="K116" t="s">
        <v>61</v>
      </c>
    </row>
    <row r="117" spans="1:11" x14ac:dyDescent="0.25">
      <c r="A117" t="s">
        <v>6</v>
      </c>
      <c r="B117" t="s">
        <v>41</v>
      </c>
      <c r="C117" t="s">
        <v>34</v>
      </c>
      <c r="D117">
        <v>2003</v>
      </c>
      <c r="E117" s="1">
        <f>140429*2</f>
        <v>280858</v>
      </c>
      <c r="F117" s="1">
        <f>5088*2</f>
        <v>10176</v>
      </c>
      <c r="H117" s="1"/>
      <c r="I117" s="1"/>
      <c r="J117" s="1"/>
      <c r="K117" t="s">
        <v>61</v>
      </c>
    </row>
    <row r="118" spans="1:11" x14ac:dyDescent="0.25">
      <c r="A118" t="s">
        <v>6</v>
      </c>
      <c r="B118" t="s">
        <v>41</v>
      </c>
      <c r="C118" t="s">
        <v>34</v>
      </c>
      <c r="D118">
        <v>2012</v>
      </c>
      <c r="E118" s="1">
        <f>118401*2</f>
        <v>236802</v>
      </c>
      <c r="F118" s="1">
        <f>8987*2</f>
        <v>17974</v>
      </c>
      <c r="I118" s="1"/>
      <c r="K118" t="s">
        <v>44</v>
      </c>
    </row>
    <row r="119" spans="1:11" x14ac:dyDescent="0.25">
      <c r="A119" t="s">
        <v>6</v>
      </c>
      <c r="B119" t="s">
        <v>41</v>
      </c>
      <c r="C119" t="s">
        <v>34</v>
      </c>
      <c r="D119">
        <v>2023</v>
      </c>
      <c r="E119" s="1">
        <f>168095*2</f>
        <v>336190</v>
      </c>
      <c r="F119" s="1">
        <f>10226*2</f>
        <v>20452</v>
      </c>
      <c r="I119" s="1"/>
      <c r="K119" t="s">
        <v>44</v>
      </c>
    </row>
    <row r="120" spans="1:11" x14ac:dyDescent="0.25">
      <c r="A120" t="s">
        <v>6</v>
      </c>
      <c r="B120" t="s">
        <v>41</v>
      </c>
      <c r="C120" t="s">
        <v>31</v>
      </c>
      <c r="D120" s="7">
        <v>1979</v>
      </c>
      <c r="E120" s="8">
        <f>265*2</f>
        <v>530</v>
      </c>
      <c r="F120" s="1"/>
      <c r="I120" s="1">
        <f>1287*0.08*2</f>
        <v>205.92000000000002</v>
      </c>
      <c r="J120">
        <v>978</v>
      </c>
      <c r="K120" t="s">
        <v>59</v>
      </c>
    </row>
    <row r="121" spans="1:11" x14ac:dyDescent="0.25">
      <c r="A121" t="s">
        <v>6</v>
      </c>
      <c r="B121" t="s">
        <v>41</v>
      </c>
      <c r="C121" t="s">
        <v>31</v>
      </c>
      <c r="D121" s="7">
        <v>2018</v>
      </c>
      <c r="E121" s="8">
        <f>12649*2</f>
        <v>25298</v>
      </c>
      <c r="F121" s="1">
        <f>4520*2</f>
        <v>9040</v>
      </c>
      <c r="I121" s="1"/>
      <c r="K121" t="s">
        <v>62</v>
      </c>
    </row>
    <row r="122" spans="1:11" x14ac:dyDescent="0.25">
      <c r="A122" t="s">
        <v>6</v>
      </c>
      <c r="B122" t="s">
        <v>41</v>
      </c>
      <c r="C122" t="s">
        <v>37</v>
      </c>
      <c r="D122" s="7">
        <v>1979</v>
      </c>
      <c r="E122" s="8">
        <f>1505*2</f>
        <v>3010</v>
      </c>
      <c r="F122" s="1"/>
      <c r="I122" s="1"/>
      <c r="K122" t="s">
        <v>59</v>
      </c>
    </row>
    <row r="123" spans="1:11" x14ac:dyDescent="0.25">
      <c r="A123" t="s">
        <v>6</v>
      </c>
      <c r="B123" t="s">
        <v>41</v>
      </c>
      <c r="C123" t="s">
        <v>37</v>
      </c>
      <c r="D123" s="7">
        <v>2018</v>
      </c>
      <c r="E123" s="8">
        <f>8881*2</f>
        <v>17762</v>
      </c>
      <c r="F123" s="1">
        <f>1539*2</f>
        <v>3078</v>
      </c>
      <c r="I123" s="1"/>
      <c r="K123" t="s">
        <v>62</v>
      </c>
    </row>
    <row r="124" spans="1:11" x14ac:dyDescent="0.25">
      <c r="A124" t="s">
        <v>6</v>
      </c>
      <c r="B124" t="s">
        <v>41</v>
      </c>
      <c r="C124" t="s">
        <v>36</v>
      </c>
      <c r="D124" s="7">
        <v>1979</v>
      </c>
      <c r="E124" s="8">
        <f>31520*0.797*2</f>
        <v>50242.880000000005</v>
      </c>
      <c r="F124" s="1"/>
      <c r="I124" s="1">
        <f>31520*0.72*2</f>
        <v>45388.799999999996</v>
      </c>
      <c r="J124" s="1">
        <f>31520*0.87*2</f>
        <v>54844.800000000003</v>
      </c>
      <c r="K124" t="s">
        <v>59</v>
      </c>
    </row>
    <row r="125" spans="1:11" x14ac:dyDescent="0.25">
      <c r="A125" t="s">
        <v>6</v>
      </c>
      <c r="B125" t="s">
        <v>41</v>
      </c>
      <c r="C125" t="s">
        <v>36</v>
      </c>
      <c r="D125" s="7">
        <v>1980</v>
      </c>
      <c r="E125" s="8">
        <f>34158*0.594*2</f>
        <v>40579.703999999998</v>
      </c>
      <c r="F125" s="1">
        <f>34158*0.073*2</f>
        <v>4987.0679999999993</v>
      </c>
      <c r="I125" s="1"/>
      <c r="J125" s="1"/>
      <c r="K125" t="s">
        <v>63</v>
      </c>
    </row>
    <row r="126" spans="1:11" x14ac:dyDescent="0.25">
      <c r="A126" t="s">
        <v>6</v>
      </c>
      <c r="B126" t="s">
        <v>41</v>
      </c>
      <c r="C126" t="s">
        <v>36</v>
      </c>
      <c r="D126" s="7">
        <v>1984</v>
      </c>
      <c r="E126" s="8">
        <f>0.693*21600*2</f>
        <v>29937.599999999999</v>
      </c>
      <c r="F126" s="1">
        <f>0.031*21600*2</f>
        <v>1339.2</v>
      </c>
      <c r="I126" s="1"/>
      <c r="J126" s="1"/>
      <c r="K126" t="s">
        <v>63</v>
      </c>
    </row>
    <row r="127" spans="1:11" x14ac:dyDescent="0.25">
      <c r="A127" t="s">
        <v>6</v>
      </c>
      <c r="B127" t="s">
        <v>41</v>
      </c>
      <c r="C127" t="s">
        <v>36</v>
      </c>
      <c r="D127" s="7">
        <v>2001</v>
      </c>
      <c r="E127" s="8">
        <f>6190*2</f>
        <v>12380</v>
      </c>
      <c r="F127" s="1">
        <f>355*2</f>
        <v>710</v>
      </c>
      <c r="I127" s="1"/>
      <c r="J127" s="1"/>
      <c r="K127" t="s">
        <v>63</v>
      </c>
    </row>
    <row r="128" spans="1:11" x14ac:dyDescent="0.25">
      <c r="A128" t="s">
        <v>6</v>
      </c>
      <c r="B128" t="s">
        <v>41</v>
      </c>
      <c r="C128" t="s">
        <v>36</v>
      </c>
      <c r="D128" s="7">
        <v>2018</v>
      </c>
      <c r="E128" s="8">
        <f>16859*2</f>
        <v>33718</v>
      </c>
      <c r="F128" s="1">
        <f>3506*2</f>
        <v>7012</v>
      </c>
      <c r="I128" s="1"/>
      <c r="J128" s="1"/>
      <c r="K128" t="s">
        <v>62</v>
      </c>
    </row>
    <row r="129" spans="1:12" x14ac:dyDescent="0.25">
      <c r="A129" t="s">
        <v>6</v>
      </c>
      <c r="B129" t="s">
        <v>41</v>
      </c>
      <c r="C129" t="s">
        <v>64</v>
      </c>
      <c r="D129">
        <v>1965</v>
      </c>
      <c r="E129">
        <v>35273</v>
      </c>
      <c r="F129" s="1"/>
      <c r="I129" s="1"/>
      <c r="J129" s="1"/>
      <c r="K129" t="s">
        <v>65</v>
      </c>
      <c r="L129" t="s">
        <v>56</v>
      </c>
    </row>
    <row r="130" spans="1:12" x14ac:dyDescent="0.25">
      <c r="A130" t="s">
        <v>6</v>
      </c>
      <c r="B130" t="s">
        <v>41</v>
      </c>
      <c r="C130" t="s">
        <v>64</v>
      </c>
      <c r="D130">
        <v>1972</v>
      </c>
      <c r="E130">
        <v>24842</v>
      </c>
      <c r="F130" s="1"/>
      <c r="I130" s="1"/>
      <c r="J130" s="1"/>
      <c r="K130" t="s">
        <v>65</v>
      </c>
      <c r="L130" t="s">
        <v>56</v>
      </c>
    </row>
    <row r="131" spans="1:12" x14ac:dyDescent="0.25">
      <c r="A131" t="s">
        <v>6</v>
      </c>
      <c r="B131" t="s">
        <v>41</v>
      </c>
      <c r="C131" t="s">
        <v>64</v>
      </c>
      <c r="D131">
        <v>1977</v>
      </c>
      <c r="E131">
        <v>14716</v>
      </c>
      <c r="F131" s="1"/>
      <c r="I131" s="1"/>
      <c r="K131" t="s">
        <v>65</v>
      </c>
      <c r="L131" t="s">
        <v>56</v>
      </c>
    </row>
    <row r="132" spans="1:12" x14ac:dyDescent="0.25">
      <c r="A132" t="s">
        <v>6</v>
      </c>
      <c r="B132" t="s">
        <v>41</v>
      </c>
      <c r="C132" t="s">
        <v>64</v>
      </c>
      <c r="D132">
        <v>1982</v>
      </c>
      <c r="E132">
        <v>30466</v>
      </c>
      <c r="F132" s="1"/>
      <c r="I132" s="1"/>
      <c r="K132" t="s">
        <v>65</v>
      </c>
      <c r="L132" t="s">
        <v>56</v>
      </c>
    </row>
    <row r="133" spans="1:12" x14ac:dyDescent="0.25">
      <c r="A133" t="s">
        <v>6</v>
      </c>
      <c r="B133" t="s">
        <v>41</v>
      </c>
      <c r="C133" t="s">
        <v>64</v>
      </c>
      <c r="D133">
        <v>1988</v>
      </c>
      <c r="E133">
        <v>35142</v>
      </c>
      <c r="I133" s="1"/>
      <c r="K133" t="s">
        <v>65</v>
      </c>
      <c r="L133" t="s">
        <v>56</v>
      </c>
    </row>
    <row r="134" spans="1:12" x14ac:dyDescent="0.25">
      <c r="A134" t="s">
        <v>6</v>
      </c>
      <c r="B134" t="s">
        <v>41</v>
      </c>
      <c r="C134" t="s">
        <v>64</v>
      </c>
      <c r="D134">
        <v>1993</v>
      </c>
      <c r="E134">
        <v>46684</v>
      </c>
      <c r="I134" s="1"/>
      <c r="K134" t="s">
        <v>65</v>
      </c>
      <c r="L134" t="s">
        <v>56</v>
      </c>
    </row>
    <row r="135" spans="1:12" x14ac:dyDescent="0.25">
      <c r="A135" t="s">
        <v>6</v>
      </c>
      <c r="B135" t="s">
        <v>41</v>
      </c>
      <c r="C135" t="s">
        <v>64</v>
      </c>
      <c r="D135">
        <v>1998</v>
      </c>
      <c r="E135">
        <v>29133</v>
      </c>
      <c r="I135" s="1"/>
      <c r="K135" t="s">
        <v>65</v>
      </c>
      <c r="L135" t="s">
        <v>56</v>
      </c>
    </row>
    <row r="136" spans="1:12" x14ac:dyDescent="0.25">
      <c r="A136" t="s">
        <v>6</v>
      </c>
      <c r="B136" t="s">
        <v>41</v>
      </c>
      <c r="C136" t="s">
        <v>64</v>
      </c>
      <c r="D136">
        <v>2005</v>
      </c>
      <c r="E136">
        <v>25335</v>
      </c>
      <c r="I136" s="1"/>
      <c r="K136" t="s">
        <v>65</v>
      </c>
      <c r="L136" t="s">
        <v>56</v>
      </c>
    </row>
    <row r="137" spans="1:12" x14ac:dyDescent="0.25">
      <c r="A137" t="s">
        <v>6</v>
      </c>
      <c r="B137" t="s">
        <v>41</v>
      </c>
      <c r="C137" t="s">
        <v>64</v>
      </c>
      <c r="D137">
        <v>2010</v>
      </c>
      <c r="E137">
        <v>21585</v>
      </c>
      <c r="I137" s="1"/>
      <c r="K137" t="s">
        <v>65</v>
      </c>
      <c r="L137" t="s">
        <v>56</v>
      </c>
    </row>
    <row r="138" spans="1:12" x14ac:dyDescent="0.25">
      <c r="A138" t="s">
        <v>6</v>
      </c>
      <c r="B138" t="s">
        <v>41</v>
      </c>
      <c r="C138" t="s">
        <v>64</v>
      </c>
      <c r="D138">
        <v>2015</v>
      </c>
      <c r="E138">
        <v>24547</v>
      </c>
      <c r="I138" s="1"/>
      <c r="K138" t="s">
        <v>65</v>
      </c>
      <c r="L138" t="s">
        <v>56</v>
      </c>
    </row>
    <row r="139" spans="1:12" x14ac:dyDescent="0.25">
      <c r="A139" t="s">
        <v>6</v>
      </c>
      <c r="B139" t="s">
        <v>41</v>
      </c>
      <c r="C139" t="s">
        <v>64</v>
      </c>
      <c r="D139">
        <v>2022</v>
      </c>
      <c r="E139">
        <v>34441</v>
      </c>
      <c r="I139" s="1"/>
      <c r="K139" t="s">
        <v>65</v>
      </c>
      <c r="L139" t="s">
        <v>56</v>
      </c>
    </row>
    <row r="140" spans="1:12" x14ac:dyDescent="0.25">
      <c r="A140" t="s">
        <v>6</v>
      </c>
      <c r="B140" t="s">
        <v>41</v>
      </c>
      <c r="C140" t="s">
        <v>28</v>
      </c>
      <c r="D140">
        <v>1965</v>
      </c>
      <c r="E140">
        <v>3000</v>
      </c>
      <c r="I140" s="1"/>
      <c r="K140" t="s">
        <v>66</v>
      </c>
    </row>
    <row r="141" spans="1:12" x14ac:dyDescent="0.25">
      <c r="A141" t="s">
        <v>6</v>
      </c>
      <c r="B141" t="s">
        <v>41</v>
      </c>
      <c r="C141" t="s">
        <v>28</v>
      </c>
      <c r="D141">
        <v>1971</v>
      </c>
      <c r="E141">
        <v>3000</v>
      </c>
      <c r="I141" s="1"/>
      <c r="K141" t="s">
        <v>66</v>
      </c>
    </row>
    <row r="142" spans="1:12" x14ac:dyDescent="0.25">
      <c r="A142" t="s">
        <v>6</v>
      </c>
      <c r="B142" t="s">
        <v>41</v>
      </c>
      <c r="C142" t="s">
        <v>28</v>
      </c>
      <c r="D142">
        <v>1974</v>
      </c>
      <c r="E142">
        <v>1780</v>
      </c>
      <c r="I142" s="1"/>
      <c r="K142" t="s">
        <v>66</v>
      </c>
    </row>
    <row r="143" spans="1:12" x14ac:dyDescent="0.25">
      <c r="A143" t="s">
        <v>6</v>
      </c>
      <c r="B143" t="s">
        <v>41</v>
      </c>
      <c r="C143" t="s">
        <v>28</v>
      </c>
      <c r="D143">
        <v>1975</v>
      </c>
      <c r="E143">
        <v>1500</v>
      </c>
      <c r="I143" s="1"/>
      <c r="J143" s="1"/>
      <c r="K143" t="s">
        <v>66</v>
      </c>
    </row>
    <row r="144" spans="1:12" x14ac:dyDescent="0.25">
      <c r="A144" t="s">
        <v>6</v>
      </c>
      <c r="B144" t="s">
        <v>41</v>
      </c>
      <c r="C144" t="s">
        <v>28</v>
      </c>
      <c r="D144">
        <v>1976</v>
      </c>
      <c r="E144">
        <v>4600</v>
      </c>
      <c r="I144" s="1"/>
      <c r="J144" s="1"/>
      <c r="K144" t="s">
        <v>66</v>
      </c>
    </row>
    <row r="145" spans="1:12" x14ac:dyDescent="0.25">
      <c r="A145" t="s">
        <v>6</v>
      </c>
      <c r="B145" t="s">
        <v>41</v>
      </c>
      <c r="C145" t="s">
        <v>28</v>
      </c>
      <c r="D145">
        <v>1977</v>
      </c>
      <c r="E145">
        <v>1200</v>
      </c>
      <c r="K145" t="s">
        <v>66</v>
      </c>
    </row>
    <row r="146" spans="1:12" x14ac:dyDescent="0.25">
      <c r="A146" t="s">
        <v>6</v>
      </c>
      <c r="B146" t="s">
        <v>41</v>
      </c>
      <c r="C146" t="s">
        <v>28</v>
      </c>
      <c r="D146">
        <v>1978</v>
      </c>
      <c r="E146">
        <v>1100</v>
      </c>
      <c r="K146" t="s">
        <v>66</v>
      </c>
    </row>
    <row r="147" spans="1:12" x14ac:dyDescent="0.25">
      <c r="A147" t="s">
        <v>6</v>
      </c>
      <c r="B147" t="s">
        <v>41</v>
      </c>
      <c r="C147" t="s">
        <v>28</v>
      </c>
      <c r="D147">
        <v>1978</v>
      </c>
      <c r="E147">
        <v>3000</v>
      </c>
      <c r="K147" t="s">
        <v>66</v>
      </c>
    </row>
    <row r="148" spans="1:12" x14ac:dyDescent="0.25">
      <c r="A148" t="s">
        <v>6</v>
      </c>
      <c r="B148" t="s">
        <v>41</v>
      </c>
      <c r="C148" t="s">
        <v>28</v>
      </c>
      <c r="D148">
        <v>1979</v>
      </c>
      <c r="E148">
        <v>1300</v>
      </c>
      <c r="K148" t="s">
        <v>66</v>
      </c>
    </row>
    <row r="149" spans="1:12" x14ac:dyDescent="0.25">
      <c r="A149" t="s">
        <v>6</v>
      </c>
      <c r="B149" t="s">
        <v>41</v>
      </c>
      <c r="C149" t="s">
        <v>28</v>
      </c>
      <c r="D149">
        <v>1979</v>
      </c>
      <c r="E149">
        <v>1626</v>
      </c>
      <c r="K149" t="s">
        <v>66</v>
      </c>
    </row>
    <row r="150" spans="1:12" x14ac:dyDescent="0.25">
      <c r="A150" t="s">
        <v>6</v>
      </c>
      <c r="B150" t="s">
        <v>41</v>
      </c>
      <c r="C150" t="s">
        <v>28</v>
      </c>
      <c r="D150">
        <v>1980</v>
      </c>
      <c r="E150">
        <v>1500</v>
      </c>
      <c r="K150" t="s">
        <v>66</v>
      </c>
    </row>
    <row r="151" spans="1:12" x14ac:dyDescent="0.25">
      <c r="A151" t="s">
        <v>6</v>
      </c>
      <c r="B151" t="s">
        <v>41</v>
      </c>
      <c r="C151" t="s">
        <v>28</v>
      </c>
      <c r="D151">
        <v>1981</v>
      </c>
      <c r="E151">
        <v>1600</v>
      </c>
      <c r="K151" t="s">
        <v>66</v>
      </c>
    </row>
    <row r="152" spans="1:12" x14ac:dyDescent="0.25">
      <c r="A152" t="s">
        <v>6</v>
      </c>
      <c r="B152" t="s">
        <v>41</v>
      </c>
      <c r="C152" t="s">
        <v>28</v>
      </c>
      <c r="D152">
        <v>1982</v>
      </c>
      <c r="E152">
        <v>1600</v>
      </c>
      <c r="K152" t="s">
        <v>66</v>
      </c>
    </row>
    <row r="153" spans="1:12" x14ac:dyDescent="0.25">
      <c r="A153" t="s">
        <v>6</v>
      </c>
      <c r="B153" t="s">
        <v>41</v>
      </c>
      <c r="C153" t="s">
        <v>28</v>
      </c>
      <c r="D153">
        <v>1983</v>
      </c>
      <c r="E153">
        <v>1500</v>
      </c>
      <c r="K153" t="s">
        <v>66</v>
      </c>
    </row>
    <row r="154" spans="1:12" x14ac:dyDescent="0.25">
      <c r="A154" t="s">
        <v>6</v>
      </c>
      <c r="B154" t="s">
        <v>41</v>
      </c>
      <c r="C154" t="s">
        <v>28</v>
      </c>
      <c r="D154">
        <v>1987</v>
      </c>
      <c r="E154">
        <v>1700</v>
      </c>
      <c r="K154" t="s">
        <v>66</v>
      </c>
    </row>
    <row r="155" spans="1:12" x14ac:dyDescent="0.25">
      <c r="A155" t="s">
        <v>6</v>
      </c>
      <c r="B155" t="s">
        <v>41</v>
      </c>
      <c r="C155" t="s">
        <v>28</v>
      </c>
      <c r="D155">
        <v>1998</v>
      </c>
      <c r="E155">
        <v>2000</v>
      </c>
      <c r="K155" t="s">
        <v>66</v>
      </c>
    </row>
    <row r="156" spans="1:12" x14ac:dyDescent="0.25">
      <c r="A156" t="s">
        <v>6</v>
      </c>
      <c r="B156" t="s">
        <v>41</v>
      </c>
      <c r="C156" t="s">
        <v>28</v>
      </c>
      <c r="D156">
        <v>2000</v>
      </c>
      <c r="E156">
        <v>16048</v>
      </c>
      <c r="K156" t="s">
        <v>66</v>
      </c>
      <c r="L156" t="s">
        <v>67</v>
      </c>
    </row>
    <row r="157" spans="1:12" x14ac:dyDescent="0.25">
      <c r="A157" t="s">
        <v>6</v>
      </c>
      <c r="B157" t="s">
        <v>41</v>
      </c>
      <c r="C157" t="s">
        <v>28</v>
      </c>
      <c r="D157">
        <v>2003</v>
      </c>
      <c r="E157">
        <v>14668</v>
      </c>
      <c r="K157" t="s">
        <v>66</v>
      </c>
      <c r="L157" t="s">
        <v>67</v>
      </c>
    </row>
    <row r="158" spans="1:12" x14ac:dyDescent="0.25">
      <c r="A158" t="s">
        <v>6</v>
      </c>
      <c r="B158" t="s">
        <v>41</v>
      </c>
      <c r="C158" t="s">
        <v>28</v>
      </c>
      <c r="D158">
        <v>2011</v>
      </c>
      <c r="E158">
        <v>15676</v>
      </c>
      <c r="K158" t="s">
        <v>66</v>
      </c>
      <c r="L158" t="s">
        <v>67</v>
      </c>
    </row>
    <row r="159" spans="1:12" x14ac:dyDescent="0.25">
      <c r="A159" t="s">
        <v>6</v>
      </c>
      <c r="B159" t="s">
        <v>41</v>
      </c>
      <c r="C159" t="s">
        <v>28</v>
      </c>
      <c r="D159">
        <v>2015</v>
      </c>
      <c r="E159">
        <v>10350</v>
      </c>
      <c r="K159" t="s">
        <v>66</v>
      </c>
      <c r="L159" t="s">
        <v>67</v>
      </c>
    </row>
    <row r="160" spans="1:12" x14ac:dyDescent="0.25">
      <c r="A160" t="s">
        <v>6</v>
      </c>
      <c r="B160" t="s">
        <v>41</v>
      </c>
      <c r="C160" t="s">
        <v>28</v>
      </c>
      <c r="D160">
        <v>2016</v>
      </c>
      <c r="E160">
        <v>9592</v>
      </c>
      <c r="K160" t="s">
        <v>66</v>
      </c>
      <c r="L160" t="s">
        <v>67</v>
      </c>
    </row>
    <row r="161" spans="1:12" x14ac:dyDescent="0.25">
      <c r="A161" t="s">
        <v>6</v>
      </c>
      <c r="B161" t="s">
        <v>41</v>
      </c>
      <c r="C161" t="s">
        <v>28</v>
      </c>
      <c r="D161">
        <v>2019</v>
      </c>
      <c r="E161">
        <v>17270</v>
      </c>
      <c r="K161" t="s">
        <v>66</v>
      </c>
      <c r="L161" t="s">
        <v>67</v>
      </c>
    </row>
    <row r="162" spans="1:12" x14ac:dyDescent="0.25">
      <c r="A162" t="s">
        <v>6</v>
      </c>
      <c r="B162" t="s">
        <v>41</v>
      </c>
      <c r="C162" t="s">
        <v>30</v>
      </c>
      <c r="D162">
        <v>1979</v>
      </c>
      <c r="E162">
        <v>58748</v>
      </c>
      <c r="K162" s="4" t="s">
        <v>43</v>
      </c>
      <c r="L162" t="s">
        <v>56</v>
      </c>
    </row>
    <row r="163" spans="1:12" x14ac:dyDescent="0.25">
      <c r="A163" t="s">
        <v>6</v>
      </c>
      <c r="B163" t="s">
        <v>41</v>
      </c>
      <c r="C163" t="s">
        <v>30</v>
      </c>
      <c r="D163">
        <v>1984</v>
      </c>
      <c r="E163">
        <v>60000</v>
      </c>
      <c r="K163" t="s">
        <v>66</v>
      </c>
      <c r="L163" t="s">
        <v>56</v>
      </c>
    </row>
    <row r="164" spans="1:12" x14ac:dyDescent="0.25">
      <c r="A164" t="s">
        <v>6</v>
      </c>
      <c r="B164" t="s">
        <v>41</v>
      </c>
      <c r="C164" t="s">
        <v>30</v>
      </c>
      <c r="D164">
        <v>1996</v>
      </c>
      <c r="E164">
        <v>90600</v>
      </c>
      <c r="K164" t="s">
        <v>66</v>
      </c>
      <c r="L164" t="s">
        <v>56</v>
      </c>
    </row>
    <row r="165" spans="1:12" x14ac:dyDescent="0.25">
      <c r="A165" t="s">
        <v>6</v>
      </c>
      <c r="B165" t="s">
        <v>41</v>
      </c>
      <c r="C165" t="s">
        <v>30</v>
      </c>
      <c r="D165">
        <v>2005</v>
      </c>
      <c r="E165">
        <v>150000</v>
      </c>
      <c r="K165" t="s">
        <v>66</v>
      </c>
      <c r="L165" t="s">
        <v>56</v>
      </c>
    </row>
    <row r="166" spans="1:12" x14ac:dyDescent="0.25">
      <c r="A166" t="s">
        <v>6</v>
      </c>
      <c r="B166" t="s">
        <v>41</v>
      </c>
      <c r="C166" s="7" t="s">
        <v>68</v>
      </c>
      <c r="D166" s="7">
        <v>1985</v>
      </c>
      <c r="E166" s="7">
        <v>2000</v>
      </c>
      <c r="K166" t="s">
        <v>66</v>
      </c>
      <c r="L166" t="s">
        <v>56</v>
      </c>
    </row>
    <row r="167" spans="1:12" x14ac:dyDescent="0.25">
      <c r="A167" t="s">
        <v>6</v>
      </c>
      <c r="B167" t="s">
        <v>41</v>
      </c>
      <c r="C167" s="7" t="s">
        <v>68</v>
      </c>
      <c r="D167" s="7">
        <v>2019</v>
      </c>
      <c r="E167" s="7">
        <v>18782</v>
      </c>
      <c r="K167" t="s">
        <v>66</v>
      </c>
      <c r="L167" t="s">
        <v>56</v>
      </c>
    </row>
    <row r="168" spans="1:12" x14ac:dyDescent="0.25">
      <c r="A168" t="s">
        <v>6</v>
      </c>
      <c r="B168" t="s">
        <v>41</v>
      </c>
      <c r="C168" s="7" t="s">
        <v>69</v>
      </c>
      <c r="D168" s="7">
        <v>1978</v>
      </c>
      <c r="E168">
        <v>3894</v>
      </c>
      <c r="K168" t="s">
        <v>66</v>
      </c>
      <c r="L168" t="s">
        <v>56</v>
      </c>
    </row>
    <row r="169" spans="1:12" x14ac:dyDescent="0.25">
      <c r="A169" t="s">
        <v>6</v>
      </c>
      <c r="B169" t="s">
        <v>41</v>
      </c>
      <c r="C169" s="7" t="s">
        <v>69</v>
      </c>
      <c r="D169" s="7">
        <v>2002</v>
      </c>
      <c r="E169">
        <v>1238</v>
      </c>
      <c r="K169" t="s">
        <v>66</v>
      </c>
      <c r="L169" t="s">
        <v>56</v>
      </c>
    </row>
  </sheetData>
  <sortState xmlns:xlrd2="http://schemas.microsoft.com/office/spreadsheetml/2017/richdata2" ref="A2:L79">
    <sortCondition ref="C2:C79"/>
    <sortCondition ref="D2:D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Environment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Iles,David (ECCC)</cp:lastModifiedBy>
  <cp:revision/>
  <dcterms:created xsi:type="dcterms:W3CDTF">2022-12-07T17:59:49Z</dcterms:created>
  <dcterms:modified xsi:type="dcterms:W3CDTF">2024-07-17T19:16:06Z</dcterms:modified>
  <cp:category/>
  <cp:contentStatus/>
</cp:coreProperties>
</file>