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"/>
    </mc:Choice>
  </mc:AlternateContent>
  <xr:revisionPtr revIDLastSave="153" documentId="8_{D74AA552-E48A-48C7-AB97-05CEB3BFEE7E}" xr6:coauthVersionLast="47" xr6:coauthVersionMax="47" xr10:uidLastSave="{674E1FE3-099E-421A-AB30-602E33D5A61C}"/>
  <bookViews>
    <workbookView xWindow="-32145" yWindow="4890" windowWidth="17280" windowHeight="999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E62" i="2"/>
  <c r="F120" i="2"/>
  <c r="F119" i="2"/>
  <c r="F117" i="2"/>
  <c r="F111" i="2"/>
  <c r="E120" i="2"/>
  <c r="E119" i="2"/>
  <c r="E118" i="2"/>
  <c r="E117" i="2"/>
  <c r="E200" i="2"/>
  <c r="F135" i="2" l="1"/>
  <c r="E135" i="2"/>
  <c r="F134" i="2"/>
  <c r="E134" i="2"/>
  <c r="F133" i="2"/>
  <c r="E133" i="2"/>
  <c r="F132" i="2"/>
  <c r="E132" i="2"/>
  <c r="J131" i="2"/>
  <c r="I131" i="2"/>
  <c r="E131" i="2"/>
  <c r="F130" i="2"/>
  <c r="E130" i="2"/>
  <c r="E129" i="2"/>
  <c r="F128" i="2"/>
  <c r="E128" i="2"/>
  <c r="I127" i="2"/>
  <c r="E127" i="2"/>
  <c r="F126" i="2"/>
  <c r="E126" i="2"/>
  <c r="F125" i="2"/>
  <c r="E125" i="2"/>
  <c r="F124" i="2"/>
  <c r="E124" i="2"/>
  <c r="F123" i="2"/>
  <c r="E123" i="2"/>
  <c r="F122" i="2"/>
  <c r="E122" i="2"/>
  <c r="E121" i="2"/>
  <c r="J116" i="2"/>
  <c r="I116" i="2"/>
  <c r="E116" i="2"/>
  <c r="J115" i="2"/>
  <c r="I115" i="2"/>
  <c r="E115" i="2"/>
  <c r="J114" i="2"/>
  <c r="I114" i="2"/>
  <c r="E114" i="2"/>
  <c r="J113" i="2"/>
  <c r="I113" i="2"/>
  <c r="E113" i="2"/>
  <c r="J112" i="2"/>
  <c r="I112" i="2"/>
  <c r="E112" i="2"/>
  <c r="F110" i="2"/>
  <c r="E110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J84" i="2"/>
  <c r="I84" i="2"/>
  <c r="F84" i="2"/>
  <c r="E84" i="2"/>
  <c r="J83" i="2"/>
  <c r="I83" i="2"/>
  <c r="F83" i="2"/>
  <c r="E83" i="2"/>
  <c r="J82" i="2"/>
  <c r="I82" i="2"/>
  <c r="F82" i="2"/>
  <c r="E82" i="2"/>
  <c r="J81" i="2"/>
  <c r="I81" i="2"/>
  <c r="F81" i="2"/>
  <c r="E81" i="2"/>
  <c r="J80" i="2"/>
  <c r="I80" i="2"/>
  <c r="E80" i="2"/>
  <c r="J79" i="2"/>
  <c r="I79" i="2"/>
  <c r="F79" i="2"/>
  <c r="E79" i="2"/>
  <c r="J78" i="2"/>
  <c r="I78" i="2"/>
  <c r="F78" i="2"/>
  <c r="E78" i="2"/>
  <c r="J77" i="2"/>
  <c r="I77" i="2"/>
  <c r="F77" i="2"/>
  <c r="E77" i="2"/>
  <c r="J76" i="2"/>
  <c r="I76" i="2"/>
  <c r="F76" i="2"/>
  <c r="E76" i="2"/>
  <c r="J74" i="2"/>
  <c r="J70" i="2"/>
  <c r="E39" i="2"/>
  <c r="E38" i="2"/>
  <c r="E15" i="2"/>
  <c r="F19" i="2" l="1"/>
  <c r="G19" i="2" s="1"/>
  <c r="F20" i="2"/>
  <c r="G20" i="2" s="1"/>
  <c r="F21" i="2"/>
  <c r="G21" i="2" s="1"/>
  <c r="F48" i="2"/>
  <c r="G46" i="2" s="1"/>
  <c r="F49" i="2"/>
  <c r="G47" i="2" s="1"/>
  <c r="F50" i="2"/>
  <c r="G48" i="2" s="1"/>
  <c r="F14" i="2"/>
  <c r="G14" i="2" s="1"/>
  <c r="F53" i="2"/>
  <c r="G51" i="2" s="1"/>
  <c r="F43" i="2"/>
  <c r="G41" i="2" s="1"/>
  <c r="F44" i="2"/>
  <c r="G42" i="2" s="1"/>
  <c r="F45" i="2"/>
  <c r="G43" i="2" s="1"/>
  <c r="F24" i="2"/>
  <c r="G24" i="2" s="1"/>
  <c r="F25" i="2"/>
  <c r="G25" i="2" s="1"/>
  <c r="F26" i="2"/>
  <c r="G26" i="2" s="1"/>
  <c r="F7" i="2"/>
  <c r="G7" i="2" s="1"/>
  <c r="F8" i="2"/>
  <c r="G8" i="2" s="1"/>
  <c r="F9" i="2"/>
  <c r="G9" i="2" s="1"/>
  <c r="F10" i="2"/>
  <c r="G10" i="2" s="1"/>
  <c r="F11" i="2"/>
  <c r="G11" i="2" s="1"/>
  <c r="F36" i="2"/>
  <c r="G36" i="2" s="1"/>
  <c r="F37" i="2"/>
  <c r="G37" i="2" s="1"/>
  <c r="F30" i="2"/>
  <c r="G30" i="2" s="1"/>
  <c r="F31" i="2"/>
  <c r="G31" i="2" s="1"/>
  <c r="F32" i="2"/>
  <c r="G32" i="2" s="1"/>
  <c r="F33" i="2"/>
  <c r="G33" i="2" s="1"/>
  <c r="F29" i="2"/>
  <c r="G29" i="2" s="1"/>
  <c r="F3" i="2"/>
  <c r="G3" i="2" s="1"/>
  <c r="F4" i="2"/>
  <c r="G4" i="2" s="1"/>
  <c r="F5" i="2"/>
  <c r="G5" i="2" s="1"/>
  <c r="F2" i="2"/>
  <c r="G2" i="2" s="1"/>
  <c r="H27" i="2"/>
  <c r="F27" i="2" s="1"/>
  <c r="G27" i="2" s="1"/>
  <c r="H22" i="2"/>
  <c r="F22" i="2" s="1"/>
  <c r="G22" i="2" s="1"/>
  <c r="H34" i="2"/>
  <c r="F34" i="2" s="1"/>
  <c r="G34" i="2" s="1"/>
  <c r="H6" i="2"/>
  <c r="F6" i="2" s="1"/>
  <c r="G6" i="2" s="1"/>
  <c r="J16" i="2"/>
  <c r="I16" i="2"/>
  <c r="E16" i="2"/>
  <c r="E17" i="2"/>
  <c r="I17" i="2"/>
  <c r="J17" i="2"/>
  <c r="H17" i="2" s="1"/>
  <c r="F17" i="2" s="1"/>
  <c r="G17" i="2" l="1"/>
  <c r="H16" i="2"/>
  <c r="F16" i="2" s="1"/>
  <c r="G16" i="2" s="1"/>
</calcChain>
</file>

<file path=xl/sharedStrings.xml><?xml version="1.0" encoding="utf-8"?>
<sst xmlns="http://schemas.openxmlformats.org/spreadsheetml/2006/main" count="1145" uniqueCount="80">
  <si>
    <t>Country</t>
  </si>
  <si>
    <t>Year</t>
  </si>
  <si>
    <t>SE</t>
  </si>
  <si>
    <t>CV</t>
  </si>
  <si>
    <t>Reference</t>
  </si>
  <si>
    <t>Notes</t>
  </si>
  <si>
    <t>Canada</t>
  </si>
  <si>
    <t>Sklepkovych and Montevecchi (1989)</t>
  </si>
  <si>
    <t>Wilhelm et al. (2020)</t>
  </si>
  <si>
    <t>Wilhelm et al. unpubl</t>
  </si>
  <si>
    <t>Bon Portage, NS</t>
  </si>
  <si>
    <t>Pollet and Shutler (2018)</t>
  </si>
  <si>
    <t>Cairns and Verspoor (1980)</t>
  </si>
  <si>
    <t>Cairns et al. (1989)</t>
  </si>
  <si>
    <t>Jenkins et al. (2018)</t>
  </si>
  <si>
    <t>Country Island, NS</t>
  </si>
  <si>
    <t>Rock and Wilhelm, unpubl</t>
  </si>
  <si>
    <t>Brown et al. (1975)</t>
  </si>
  <si>
    <t>Wilhelm et al. (2015)</t>
  </si>
  <si>
    <t>Robertson et al. (2002)</t>
  </si>
  <si>
    <t>Russell (2008)</t>
  </si>
  <si>
    <t>Wilhelm (2017)</t>
  </si>
  <si>
    <t>Kent Island, NB</t>
  </si>
  <si>
    <t>Cannell and Maddox (1983)</t>
  </si>
  <si>
    <t>d'Entremont (2020)</t>
  </si>
  <si>
    <t>Little White Island, NS</t>
  </si>
  <si>
    <t>Robertson and Elliot (2002)</t>
  </si>
  <si>
    <t>Nettleship (1980)</t>
  </si>
  <si>
    <t>Machias Seal Island, NB</t>
  </si>
  <si>
    <t>assuming complete hole count</t>
  </si>
  <si>
    <t>Baccalieu Island, NF</t>
  </si>
  <si>
    <t>Coleman Island, NF</t>
  </si>
  <si>
    <t>Great Island, NF</t>
  </si>
  <si>
    <t>Green Island, NF</t>
  </si>
  <si>
    <t>Gull Island, NF</t>
  </si>
  <si>
    <t>Middle Lawn Island, NF</t>
  </si>
  <si>
    <t>Small Island, NF</t>
  </si>
  <si>
    <t>South Penguin Island, NF</t>
  </si>
  <si>
    <t>Colony_Name_For_Trends</t>
  </si>
  <si>
    <t>Species</t>
  </si>
  <si>
    <t>LESP</t>
  </si>
  <si>
    <t>ATPU</t>
  </si>
  <si>
    <t>Bacalhao, LB</t>
  </si>
  <si>
    <t>Robertson et al. 2002</t>
  </si>
  <si>
    <t>S. Wilhelm, unpubl. Data</t>
  </si>
  <si>
    <t>Tinker, LB</t>
  </si>
  <si>
    <t>Herring Island 1, LB</t>
  </si>
  <si>
    <t>R. Elliot, unpubl. Report</t>
  </si>
  <si>
    <t>Herring Island 2, LB</t>
  </si>
  <si>
    <t>Herring Island 3, LB</t>
  </si>
  <si>
    <t>North Green, LB</t>
  </si>
  <si>
    <t>Gannet Clusters 2, LB</t>
  </si>
  <si>
    <t>Robertson and Elliot 2002a</t>
  </si>
  <si>
    <t>Gannet Clusters 3, LB</t>
  </si>
  <si>
    <t>Gannet Clusters 4, LB</t>
  </si>
  <si>
    <t>Gannet Clusters 5, LB</t>
  </si>
  <si>
    <t>No SE or other variance provided</t>
  </si>
  <si>
    <t>Gannet Clusters 6, LB</t>
  </si>
  <si>
    <t>Pee Pee Island, NF</t>
  </si>
  <si>
    <t>Cairns and Verspoor 1980</t>
  </si>
  <si>
    <t>Wilhelm et al. 2015</t>
  </si>
  <si>
    <t>Robertson et al. 2004</t>
  </si>
  <si>
    <t>Jenkins et al. 2018</t>
  </si>
  <si>
    <t>Robertson and Elliot 2002b</t>
  </si>
  <si>
    <t>Jean-François Rail</t>
  </si>
  <si>
    <t>S. Wilhelm, ?</t>
  </si>
  <si>
    <t>assuming complete hole count but still no SE</t>
  </si>
  <si>
    <t>North Bird Island, NF</t>
  </si>
  <si>
    <t>Puffin Islands, LB</t>
  </si>
  <si>
    <t>Mature_Individuals</t>
  </si>
  <si>
    <t>CI_Width_95</t>
  </si>
  <si>
    <t>Lower_CI_95</t>
  </si>
  <si>
    <t>Upper_CI_95</t>
  </si>
  <si>
    <t>Refuge de Betchouane, QC</t>
  </si>
  <si>
    <t>Refuge de baie des Loups, QC</t>
  </si>
  <si>
    <t>Refuge des iles Sainte-Marie, QC</t>
  </si>
  <si>
    <t>Refuge de Gros Mecatina, QC</t>
  </si>
  <si>
    <t>Refuge de la baie de Brador, QC</t>
  </si>
  <si>
    <t>Ile du Corossol, QC</t>
  </si>
  <si>
    <t>Refuge des iles aux Perroquets,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</si>
</sst>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3" fontId="0" fillId="2" borderId="0" xfId="0" applyNumberFormat="1" applyFill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9"/>
  <sheetViews>
    <sheetView tabSelected="1" workbookViewId="0">
      <pane ySplit="1" topLeftCell="A59" activePane="bottomLeft" state="frozen"/>
      <selection pane="bottomLeft" activeCell="F69" sqref="F69"/>
    </sheetView>
  </sheetViews>
  <sheetFormatPr defaultRowHeight="14.4" x14ac:dyDescent="0.55000000000000004"/>
  <cols>
    <col min="3" max="3" width="29.83984375" bestFit="1" customWidth="1"/>
    <col min="5" max="7" width="13.68359375" customWidth="1"/>
    <col min="8" max="10" width="16.578125" customWidth="1"/>
    <col min="11" max="11" width="83.15625" bestFit="1" customWidth="1"/>
  </cols>
  <sheetData>
    <row r="1" spans="1:12" s="3" customFormat="1" ht="28.8" x14ac:dyDescent="0.55000000000000004">
      <c r="A1" s="3" t="s">
        <v>0</v>
      </c>
      <c r="B1" s="3" t="s">
        <v>39</v>
      </c>
      <c r="C1" s="3" t="s">
        <v>38</v>
      </c>
      <c r="D1" s="3" t="s">
        <v>1</v>
      </c>
      <c r="E1" s="2" t="s">
        <v>69</v>
      </c>
      <c r="F1" s="2" t="s">
        <v>2</v>
      </c>
      <c r="G1" s="2" t="s">
        <v>3</v>
      </c>
      <c r="H1" s="3" t="s">
        <v>70</v>
      </c>
      <c r="I1" s="3" t="s">
        <v>71</v>
      </c>
      <c r="J1" s="3" t="s">
        <v>72</v>
      </c>
      <c r="K1" s="3" t="s">
        <v>4</v>
      </c>
      <c r="L1" s="3" t="s">
        <v>5</v>
      </c>
    </row>
    <row r="2" spans="1:12" x14ac:dyDescent="0.55000000000000004">
      <c r="A2" s="8" t="s">
        <v>6</v>
      </c>
      <c r="B2" s="8" t="s">
        <v>40</v>
      </c>
      <c r="C2" s="8" t="s">
        <v>30</v>
      </c>
      <c r="D2" s="8">
        <v>1984</v>
      </c>
      <c r="E2" s="13">
        <v>6720000</v>
      </c>
      <c r="F2" s="1">
        <f t="shared" ref="F2:F11" si="0">H2/(2*1.96)</f>
        <v>117346.93877551021</v>
      </c>
      <c r="G2">
        <f t="shared" ref="G2:G11" si="1">F2/E2</f>
        <v>1.7462342079689018E-2</v>
      </c>
      <c r="H2" s="1">
        <v>460000</v>
      </c>
      <c r="I2" s="1"/>
      <c r="J2" s="1"/>
      <c r="K2" t="s">
        <v>7</v>
      </c>
    </row>
    <row r="3" spans="1:12" x14ac:dyDescent="0.55000000000000004">
      <c r="A3" s="8" t="s">
        <v>6</v>
      </c>
      <c r="B3" s="8" t="s">
        <v>40</v>
      </c>
      <c r="C3" s="8" t="s">
        <v>30</v>
      </c>
      <c r="D3" s="8">
        <v>1984</v>
      </c>
      <c r="E3" s="13">
        <v>10243466</v>
      </c>
      <c r="F3" s="1">
        <f t="shared" si="0"/>
        <v>729922.95918367349</v>
      </c>
      <c r="G3">
        <f t="shared" si="1"/>
        <v>7.1257420016200917E-2</v>
      </c>
      <c r="H3" s="1">
        <v>2861298</v>
      </c>
      <c r="I3" s="1"/>
      <c r="J3" s="1"/>
      <c r="K3" t="s">
        <v>8</v>
      </c>
    </row>
    <row r="4" spans="1:12" x14ac:dyDescent="0.55000000000000004">
      <c r="A4" s="8" t="s">
        <v>6</v>
      </c>
      <c r="B4" s="8" t="s">
        <v>40</v>
      </c>
      <c r="C4" s="8" t="s">
        <v>30</v>
      </c>
      <c r="D4" s="8">
        <v>1985</v>
      </c>
      <c r="E4" s="13">
        <v>9205208</v>
      </c>
      <c r="F4" s="1">
        <f t="shared" si="0"/>
        <v>417800</v>
      </c>
      <c r="G4">
        <f t="shared" si="1"/>
        <v>4.5387350291269897E-2</v>
      </c>
      <c r="H4" s="1">
        <v>1637776</v>
      </c>
      <c r="I4" s="1"/>
      <c r="J4" s="1"/>
      <c r="K4" t="s">
        <v>8</v>
      </c>
    </row>
    <row r="5" spans="1:12" x14ac:dyDescent="0.55000000000000004">
      <c r="A5" s="8" t="s">
        <v>6</v>
      </c>
      <c r="B5" s="8" t="s">
        <v>40</v>
      </c>
      <c r="C5" s="8" t="s">
        <v>30</v>
      </c>
      <c r="D5" s="8">
        <v>2013</v>
      </c>
      <c r="E5" s="13">
        <v>3909786</v>
      </c>
      <c r="F5" s="1">
        <f t="shared" si="0"/>
        <v>143779.08163265308</v>
      </c>
      <c r="G5">
        <f t="shared" si="1"/>
        <v>3.6774156343250777E-2</v>
      </c>
      <c r="H5" s="1">
        <v>563614</v>
      </c>
      <c r="I5" s="1"/>
      <c r="J5" s="1"/>
      <c r="K5" t="s">
        <v>8</v>
      </c>
    </row>
    <row r="6" spans="1:12" x14ac:dyDescent="0.55000000000000004">
      <c r="A6" s="8" t="s">
        <v>6</v>
      </c>
      <c r="B6" s="8" t="s">
        <v>40</v>
      </c>
      <c r="C6" s="8" t="s">
        <v>30</v>
      </c>
      <c r="D6" s="8">
        <v>2023</v>
      </c>
      <c r="E6" s="13">
        <v>3858181.2732000002</v>
      </c>
      <c r="F6" s="1">
        <f t="shared" si="0"/>
        <v>319220.0382653061</v>
      </c>
      <c r="G6">
        <f t="shared" si="1"/>
        <v>8.2738475893472718E-2</v>
      </c>
      <c r="H6" s="1">
        <f>J6-I6</f>
        <v>1251342.5499999998</v>
      </c>
      <c r="I6" s="1">
        <v>3272280</v>
      </c>
      <c r="J6" s="1">
        <v>4523622.55</v>
      </c>
      <c r="K6" t="s">
        <v>9</v>
      </c>
    </row>
    <row r="7" spans="1:12" x14ac:dyDescent="0.55000000000000004">
      <c r="A7" s="8" t="s">
        <v>6</v>
      </c>
      <c r="B7" s="8" t="s">
        <v>40</v>
      </c>
      <c r="C7" s="8" t="s">
        <v>10</v>
      </c>
      <c r="D7" s="8">
        <v>1983</v>
      </c>
      <c r="E7" s="13">
        <v>108000</v>
      </c>
      <c r="F7" s="1">
        <f t="shared" si="0"/>
        <v>14330.612244897959</v>
      </c>
      <c r="G7">
        <f t="shared" si="1"/>
        <v>0.13269085411942555</v>
      </c>
      <c r="H7" s="1">
        <v>56176</v>
      </c>
      <c r="I7" s="1"/>
      <c r="J7" s="1"/>
      <c r="K7" t="s">
        <v>11</v>
      </c>
    </row>
    <row r="8" spans="1:12" x14ac:dyDescent="0.55000000000000004">
      <c r="A8" s="8" t="s">
        <v>6</v>
      </c>
      <c r="B8" s="8" t="s">
        <v>40</v>
      </c>
      <c r="C8" s="8" t="s">
        <v>10</v>
      </c>
      <c r="D8" s="8">
        <v>1997</v>
      </c>
      <c r="E8" s="13">
        <v>94758</v>
      </c>
      <c r="F8" s="1">
        <f t="shared" si="0"/>
        <v>5698.4693877551017</v>
      </c>
      <c r="G8">
        <f t="shared" si="1"/>
        <v>6.0137079589639944E-2</v>
      </c>
      <c r="H8" s="1">
        <v>22338</v>
      </c>
      <c r="I8" s="1"/>
      <c r="J8" s="1"/>
      <c r="K8" t="s">
        <v>11</v>
      </c>
    </row>
    <row r="9" spans="1:12" x14ac:dyDescent="0.55000000000000004">
      <c r="A9" s="8" t="s">
        <v>6</v>
      </c>
      <c r="B9" s="8" t="s">
        <v>40</v>
      </c>
      <c r="C9" s="8" t="s">
        <v>10</v>
      </c>
      <c r="D9" s="8">
        <v>1998</v>
      </c>
      <c r="E9" s="13">
        <v>115206</v>
      </c>
      <c r="F9" s="1">
        <f t="shared" si="0"/>
        <v>6343.8775510204086</v>
      </c>
      <c r="G9">
        <f t="shared" si="1"/>
        <v>5.5065513523778351E-2</v>
      </c>
      <c r="H9" s="1">
        <v>24868</v>
      </c>
      <c r="I9" s="1"/>
      <c r="J9" s="1"/>
      <c r="K9" t="s">
        <v>11</v>
      </c>
    </row>
    <row r="10" spans="1:12" x14ac:dyDescent="0.55000000000000004">
      <c r="A10" s="8" t="s">
        <v>6</v>
      </c>
      <c r="B10" s="8" t="s">
        <v>40</v>
      </c>
      <c r="C10" s="8" t="s">
        <v>10</v>
      </c>
      <c r="D10" s="8">
        <v>2001</v>
      </c>
      <c r="E10" s="13">
        <v>96486</v>
      </c>
      <c r="F10" s="1">
        <f t="shared" si="0"/>
        <v>5459.6938775510207</v>
      </c>
      <c r="G10">
        <f t="shared" si="1"/>
        <v>5.6585347900742294E-2</v>
      </c>
      <c r="H10" s="1">
        <v>21402</v>
      </c>
      <c r="I10" s="1"/>
      <c r="J10" s="1"/>
      <c r="K10" t="s">
        <v>11</v>
      </c>
    </row>
    <row r="11" spans="1:12" x14ac:dyDescent="0.55000000000000004">
      <c r="A11" s="8" t="s">
        <v>6</v>
      </c>
      <c r="B11" s="8" t="s">
        <v>40</v>
      </c>
      <c r="C11" s="8" t="s">
        <v>10</v>
      </c>
      <c r="D11" s="8">
        <v>2017</v>
      </c>
      <c r="E11" s="13">
        <v>77832</v>
      </c>
      <c r="F11" s="1">
        <f t="shared" si="0"/>
        <v>4463.7755102040819</v>
      </c>
      <c r="G11">
        <f t="shared" si="1"/>
        <v>5.7351417286001669E-2</v>
      </c>
      <c r="H11" s="1">
        <v>17498</v>
      </c>
      <c r="I11" s="1"/>
      <c r="J11" s="1"/>
      <c r="K11" t="s">
        <v>11</v>
      </c>
    </row>
    <row r="12" spans="1:12" x14ac:dyDescent="0.55000000000000004">
      <c r="A12" s="8" t="s">
        <v>6</v>
      </c>
      <c r="B12" s="8" t="s">
        <v>40</v>
      </c>
      <c r="C12" s="8" t="s">
        <v>31</v>
      </c>
      <c r="D12" s="8">
        <v>1979</v>
      </c>
      <c r="E12" s="13">
        <v>7000</v>
      </c>
      <c r="F12" s="1"/>
      <c r="I12" s="1"/>
      <c r="J12" s="1"/>
      <c r="K12" t="s">
        <v>12</v>
      </c>
    </row>
    <row r="13" spans="1:12" x14ac:dyDescent="0.55000000000000004">
      <c r="A13" s="8" t="s">
        <v>6</v>
      </c>
      <c r="B13" s="8" t="s">
        <v>40</v>
      </c>
      <c r="C13" s="8" t="s">
        <v>31</v>
      </c>
      <c r="D13" s="8">
        <v>1984</v>
      </c>
      <c r="E13" s="13">
        <v>10000</v>
      </c>
      <c r="F13" s="1"/>
      <c r="I13" s="1"/>
      <c r="J13" s="1"/>
      <c r="K13" t="s">
        <v>13</v>
      </c>
    </row>
    <row r="14" spans="1:12" x14ac:dyDescent="0.55000000000000004">
      <c r="A14" s="8" t="s">
        <v>6</v>
      </c>
      <c r="B14" s="8" t="s">
        <v>40</v>
      </c>
      <c r="C14" s="8" t="s">
        <v>31</v>
      </c>
      <c r="D14" s="8">
        <v>2018</v>
      </c>
      <c r="E14" s="13">
        <v>5812</v>
      </c>
      <c r="F14" s="1">
        <f>H14/(2*1.96)</f>
        <v>689.79591836734699</v>
      </c>
      <c r="G14">
        <f>F14/E14</f>
        <v>0.11868477604393445</v>
      </c>
      <c r="H14" s="1">
        <v>2704</v>
      </c>
      <c r="I14" s="1"/>
      <c r="J14" s="1"/>
      <c r="K14" t="s">
        <v>14</v>
      </c>
    </row>
    <row r="15" spans="1:12" s="4" customFormat="1" x14ac:dyDescent="0.55000000000000004">
      <c r="A15" s="9" t="s">
        <v>6</v>
      </c>
      <c r="B15" s="8" t="s">
        <v>40</v>
      </c>
      <c r="C15" s="9" t="s">
        <v>15</v>
      </c>
      <c r="D15" s="10">
        <v>1997</v>
      </c>
      <c r="E15" s="14">
        <f>38237*2</f>
        <v>76474</v>
      </c>
      <c r="F15" s="5"/>
      <c r="H15" s="5"/>
      <c r="I15" s="5"/>
      <c r="J15" s="5"/>
    </row>
    <row r="16" spans="1:12" x14ac:dyDescent="0.55000000000000004">
      <c r="A16" s="8" t="s">
        <v>6</v>
      </c>
      <c r="B16" s="8" t="s">
        <v>40</v>
      </c>
      <c r="C16" s="8" t="s">
        <v>15</v>
      </c>
      <c r="D16" s="8">
        <v>2013</v>
      </c>
      <c r="E16" s="13">
        <f>31430*2</f>
        <v>62860</v>
      </c>
      <c r="F16" s="1">
        <f>H16/(2*1.96)</f>
        <v>7404.0816326530612</v>
      </c>
      <c r="G16">
        <f>F16/E16</f>
        <v>0.11778685384430577</v>
      </c>
      <c r="H16" s="1">
        <f>J16-I16</f>
        <v>29024</v>
      </c>
      <c r="I16" s="1">
        <f>24387*2</f>
        <v>48774</v>
      </c>
      <c r="J16" s="1">
        <f>38899*2</f>
        <v>77798</v>
      </c>
      <c r="K16" t="s">
        <v>16</v>
      </c>
    </row>
    <row r="17" spans="1:11" x14ac:dyDescent="0.55000000000000004">
      <c r="A17" s="8" t="s">
        <v>6</v>
      </c>
      <c r="B17" s="8" t="s">
        <v>40</v>
      </c>
      <c r="C17" s="8" t="s">
        <v>15</v>
      </c>
      <c r="D17" s="8">
        <v>2023</v>
      </c>
      <c r="E17" s="13">
        <f>36307*2</f>
        <v>72614</v>
      </c>
      <c r="F17" s="1">
        <f>H17/(2*1.96)</f>
        <v>9548.9795918367345</v>
      </c>
      <c r="G17">
        <f>F17/E17</f>
        <v>0.131503285755319</v>
      </c>
      <c r="H17" s="1">
        <f>J17-I17</f>
        <v>37432</v>
      </c>
      <c r="I17" s="1">
        <f>27222*2</f>
        <v>54444</v>
      </c>
      <c r="J17" s="1">
        <f>45938*2</f>
        <v>91876</v>
      </c>
      <c r="K17" t="s">
        <v>16</v>
      </c>
    </row>
    <row r="18" spans="1:11" x14ac:dyDescent="0.55000000000000004">
      <c r="A18" s="8" t="s">
        <v>6</v>
      </c>
      <c r="B18" s="8" t="s">
        <v>40</v>
      </c>
      <c r="C18" s="8" t="s">
        <v>32</v>
      </c>
      <c r="D18" s="8">
        <v>1973</v>
      </c>
      <c r="E18" s="13">
        <v>340000</v>
      </c>
      <c r="F18" s="1"/>
      <c r="I18" s="1"/>
      <c r="J18" s="1"/>
      <c r="K18" t="s">
        <v>17</v>
      </c>
    </row>
    <row r="19" spans="1:11" x14ac:dyDescent="0.55000000000000004">
      <c r="A19" s="8" t="s">
        <v>6</v>
      </c>
      <c r="B19" s="8" t="s">
        <v>40</v>
      </c>
      <c r="C19" s="8" t="s">
        <v>32</v>
      </c>
      <c r="D19" s="8">
        <v>1979</v>
      </c>
      <c r="E19" s="13">
        <v>599168</v>
      </c>
      <c r="F19" s="1">
        <f>H19/(2*1.96)</f>
        <v>38859.693877551021</v>
      </c>
      <c r="G19">
        <f>F19/E19</f>
        <v>6.4856090241052627E-2</v>
      </c>
      <c r="H19" s="1">
        <v>152330</v>
      </c>
      <c r="I19" s="1"/>
      <c r="J19" s="1"/>
      <c r="K19" t="s">
        <v>18</v>
      </c>
    </row>
    <row r="20" spans="1:11" x14ac:dyDescent="0.55000000000000004">
      <c r="A20" s="8" t="s">
        <v>6</v>
      </c>
      <c r="B20" s="8" t="s">
        <v>40</v>
      </c>
      <c r="C20" s="8" t="s">
        <v>32</v>
      </c>
      <c r="D20" s="8">
        <v>1997</v>
      </c>
      <c r="E20" s="13">
        <v>694032</v>
      </c>
      <c r="F20" s="1">
        <f>H20/(2*1.96)</f>
        <v>45201.020408163269</v>
      </c>
      <c r="G20">
        <f>F20/E20</f>
        <v>6.5128150298780565E-2</v>
      </c>
      <c r="H20" s="1">
        <v>177188</v>
      </c>
      <c r="I20" s="1"/>
      <c r="J20" s="1"/>
      <c r="K20" t="s">
        <v>18</v>
      </c>
    </row>
    <row r="21" spans="1:11" x14ac:dyDescent="0.55000000000000004">
      <c r="A21" s="8" t="s">
        <v>6</v>
      </c>
      <c r="B21" s="8" t="s">
        <v>40</v>
      </c>
      <c r="C21" s="8" t="s">
        <v>32</v>
      </c>
      <c r="D21" s="8">
        <v>2011</v>
      </c>
      <c r="E21" s="13">
        <v>268278</v>
      </c>
      <c r="F21" s="1">
        <f>H21/(2*1.96)</f>
        <v>29245.408163265307</v>
      </c>
      <c r="G21">
        <f>F21/E21</f>
        <v>0.10901157815126587</v>
      </c>
      <c r="H21" s="1">
        <v>114642</v>
      </c>
      <c r="I21" s="1"/>
      <c r="J21" s="1"/>
      <c r="K21" t="s">
        <v>18</v>
      </c>
    </row>
    <row r="22" spans="1:11" x14ac:dyDescent="0.55000000000000004">
      <c r="A22" s="8" t="s">
        <v>6</v>
      </c>
      <c r="B22" s="8" t="s">
        <v>40</v>
      </c>
      <c r="C22" s="8" t="s">
        <v>32</v>
      </c>
      <c r="D22" s="8">
        <v>2022</v>
      </c>
      <c r="E22" s="13">
        <v>283496</v>
      </c>
      <c r="F22" s="1">
        <f>H22/(2*1.96)</f>
        <v>53058.163265306124</v>
      </c>
      <c r="G22">
        <f>F22/E22</f>
        <v>0.18715665570345305</v>
      </c>
      <c r="H22" s="1">
        <f>J22-I22</f>
        <v>207988</v>
      </c>
      <c r="I22" s="1">
        <v>179502</v>
      </c>
      <c r="J22" s="1">
        <v>387490</v>
      </c>
      <c r="K22" t="s">
        <v>9</v>
      </c>
    </row>
    <row r="23" spans="1:11" x14ac:dyDescent="0.55000000000000004">
      <c r="A23" s="8" t="s">
        <v>6</v>
      </c>
      <c r="B23" s="8" t="s">
        <v>40</v>
      </c>
      <c r="C23" s="8" t="s">
        <v>33</v>
      </c>
      <c r="D23" s="8">
        <v>1978</v>
      </c>
      <c r="E23" s="13">
        <v>144000</v>
      </c>
      <c r="F23" s="1"/>
      <c r="I23" s="1"/>
      <c r="J23" s="1"/>
      <c r="K23" t="s">
        <v>13</v>
      </c>
    </row>
    <row r="24" spans="1:11" x14ac:dyDescent="0.55000000000000004">
      <c r="A24" s="8" t="s">
        <v>6</v>
      </c>
      <c r="B24" s="8" t="s">
        <v>40</v>
      </c>
      <c r="C24" s="8" t="s">
        <v>33</v>
      </c>
      <c r="D24" s="8">
        <v>2001</v>
      </c>
      <c r="E24" s="13">
        <v>130560</v>
      </c>
      <c r="F24" s="1">
        <f>H24/(2*1.96)</f>
        <v>9106.1224489795914</v>
      </c>
      <c r="G24">
        <f>F24/E24</f>
        <v>6.9746648659463784E-2</v>
      </c>
      <c r="H24" s="1">
        <v>35696</v>
      </c>
      <c r="I24" s="1"/>
      <c r="J24" s="1"/>
      <c r="K24" t="s">
        <v>19</v>
      </c>
    </row>
    <row r="25" spans="1:11" x14ac:dyDescent="0.55000000000000004">
      <c r="A25" s="8" t="s">
        <v>6</v>
      </c>
      <c r="B25" s="8" t="s">
        <v>40</v>
      </c>
      <c r="C25" s="8" t="s">
        <v>33</v>
      </c>
      <c r="D25" s="8">
        <v>2008</v>
      </c>
      <c r="E25" s="13">
        <v>207766</v>
      </c>
      <c r="F25" s="1">
        <f>H25/(2*1.96)</f>
        <v>12403.571428571429</v>
      </c>
      <c r="G25">
        <f>F25/E25</f>
        <v>5.9699717126822621E-2</v>
      </c>
      <c r="H25" s="1">
        <v>48622</v>
      </c>
      <c r="I25" s="1"/>
      <c r="J25" s="1"/>
      <c r="K25" t="s">
        <v>20</v>
      </c>
    </row>
    <row r="26" spans="1:11" x14ac:dyDescent="0.55000000000000004">
      <c r="A26" s="8" t="s">
        <v>6</v>
      </c>
      <c r="B26" s="8" t="s">
        <v>40</v>
      </c>
      <c r="C26" s="8" t="s">
        <v>33</v>
      </c>
      <c r="D26" s="8">
        <v>2015</v>
      </c>
      <c r="E26" s="13">
        <v>98810</v>
      </c>
      <c r="F26" s="1">
        <f>H26/(2*1.96)</f>
        <v>6666.3265306122448</v>
      </c>
      <c r="G26">
        <f>F26/E26</f>
        <v>6.7466112039391207E-2</v>
      </c>
      <c r="H26" s="1">
        <v>26132</v>
      </c>
      <c r="I26" s="1"/>
      <c r="J26" s="1"/>
      <c r="K26" t="s">
        <v>21</v>
      </c>
    </row>
    <row r="27" spans="1:11" x14ac:dyDescent="0.55000000000000004">
      <c r="A27" s="8" t="s">
        <v>6</v>
      </c>
      <c r="B27" s="8" t="s">
        <v>40</v>
      </c>
      <c r="C27" s="8" t="s">
        <v>33</v>
      </c>
      <c r="D27" s="8">
        <v>2022</v>
      </c>
      <c r="E27" s="13">
        <v>87708</v>
      </c>
      <c r="F27" s="1">
        <f>H27/(2*1.96)</f>
        <v>14267.857142857143</v>
      </c>
      <c r="G27">
        <f>F27/E27</f>
        <v>0.16267452390725068</v>
      </c>
      <c r="H27" s="1">
        <f>J27-I27</f>
        <v>55930</v>
      </c>
      <c r="I27" s="1">
        <v>59742</v>
      </c>
      <c r="J27" s="1">
        <v>115672</v>
      </c>
      <c r="K27" t="s">
        <v>9</v>
      </c>
    </row>
    <row r="28" spans="1:11" x14ac:dyDescent="0.55000000000000004">
      <c r="A28" s="8" t="s">
        <v>6</v>
      </c>
      <c r="B28" s="8" t="s">
        <v>40</v>
      </c>
      <c r="C28" s="8" t="s">
        <v>34</v>
      </c>
      <c r="D28" s="8">
        <v>1973</v>
      </c>
      <c r="E28" s="13">
        <v>420000</v>
      </c>
      <c r="F28" s="1"/>
      <c r="I28" s="1"/>
      <c r="J28" s="1"/>
      <c r="K28" t="s">
        <v>17</v>
      </c>
    </row>
    <row r="29" spans="1:11" x14ac:dyDescent="0.55000000000000004">
      <c r="A29" s="8" t="s">
        <v>6</v>
      </c>
      <c r="B29" s="8" t="s">
        <v>40</v>
      </c>
      <c r="C29" s="8" t="s">
        <v>34</v>
      </c>
      <c r="D29" s="8">
        <v>1979</v>
      </c>
      <c r="E29" s="13">
        <v>1060000</v>
      </c>
      <c r="F29" s="1">
        <f t="shared" ref="F29:F34" si="2">H29/(2*1.96)</f>
        <v>91836.734693877559</v>
      </c>
      <c r="G29">
        <f t="shared" ref="G29:G34" si="3">F29/E29</f>
        <v>8.6638428956488267E-2</v>
      </c>
      <c r="H29" s="1">
        <v>360000</v>
      </c>
      <c r="I29" s="1"/>
      <c r="J29" s="1"/>
      <c r="K29" t="s">
        <v>12</v>
      </c>
    </row>
    <row r="30" spans="1:11" x14ac:dyDescent="0.55000000000000004">
      <c r="A30" s="8" t="s">
        <v>6</v>
      </c>
      <c r="B30" s="8" t="s">
        <v>40</v>
      </c>
      <c r="C30" s="8" t="s">
        <v>34</v>
      </c>
      <c r="D30" s="8">
        <v>1984</v>
      </c>
      <c r="E30" s="13">
        <v>703610</v>
      </c>
      <c r="F30" s="1">
        <f t="shared" si="2"/>
        <v>25757.142857142859</v>
      </c>
      <c r="G30">
        <f t="shared" si="3"/>
        <v>3.6607130167483209E-2</v>
      </c>
      <c r="H30" s="1">
        <v>100968</v>
      </c>
      <c r="I30" s="1"/>
      <c r="J30" s="1"/>
      <c r="K30" t="s">
        <v>19</v>
      </c>
    </row>
    <row r="31" spans="1:11" x14ac:dyDescent="0.55000000000000004">
      <c r="A31" s="8" t="s">
        <v>6</v>
      </c>
      <c r="B31" s="8" t="s">
        <v>40</v>
      </c>
      <c r="C31" s="8" t="s">
        <v>34</v>
      </c>
      <c r="D31" s="8">
        <v>1985</v>
      </c>
      <c r="E31" s="13">
        <v>611452</v>
      </c>
      <c r="F31" s="1">
        <f t="shared" si="2"/>
        <v>21220.918367346938</v>
      </c>
      <c r="G31">
        <f t="shared" si="3"/>
        <v>3.4705779631674996E-2</v>
      </c>
      <c r="H31" s="1">
        <v>83186</v>
      </c>
      <c r="I31" s="1"/>
      <c r="J31" s="1"/>
      <c r="K31" t="s">
        <v>19</v>
      </c>
    </row>
    <row r="32" spans="1:11" x14ac:dyDescent="0.55000000000000004">
      <c r="A32" s="8" t="s">
        <v>6</v>
      </c>
      <c r="B32" s="8" t="s">
        <v>40</v>
      </c>
      <c r="C32" s="8" t="s">
        <v>34</v>
      </c>
      <c r="D32" s="8">
        <v>2001</v>
      </c>
      <c r="E32" s="13">
        <v>703732</v>
      </c>
      <c r="F32" s="1">
        <f t="shared" si="2"/>
        <v>22777.551020408162</v>
      </c>
      <c r="G32">
        <f t="shared" si="3"/>
        <v>3.2366797332518862E-2</v>
      </c>
      <c r="H32" s="1">
        <v>89288</v>
      </c>
      <c r="I32" s="1"/>
      <c r="J32" s="1"/>
      <c r="K32" t="s">
        <v>19</v>
      </c>
    </row>
    <row r="33" spans="1:11" x14ac:dyDescent="0.55000000000000004">
      <c r="A33" s="8" t="s">
        <v>6</v>
      </c>
      <c r="B33" s="8" t="s">
        <v>40</v>
      </c>
      <c r="C33" s="8" t="s">
        <v>34</v>
      </c>
      <c r="D33" s="8">
        <v>2012</v>
      </c>
      <c r="E33" s="13">
        <v>359484</v>
      </c>
      <c r="F33" s="1">
        <f t="shared" si="2"/>
        <v>25338.775510204083</v>
      </c>
      <c r="G33">
        <f t="shared" si="3"/>
        <v>7.0486518204437701E-2</v>
      </c>
      <c r="H33" s="1">
        <v>99328</v>
      </c>
      <c r="I33" s="1"/>
      <c r="J33" s="1"/>
      <c r="K33" t="s">
        <v>18</v>
      </c>
    </row>
    <row r="34" spans="1:11" x14ac:dyDescent="0.55000000000000004">
      <c r="A34" s="8" t="s">
        <v>6</v>
      </c>
      <c r="B34" s="8" t="s">
        <v>40</v>
      </c>
      <c r="C34" s="8" t="s">
        <v>34</v>
      </c>
      <c r="D34" s="8">
        <v>2022</v>
      </c>
      <c r="E34" s="13">
        <v>577080</v>
      </c>
      <c r="F34" s="1">
        <f t="shared" si="2"/>
        <v>50303.0612244898</v>
      </c>
      <c r="G34">
        <f t="shared" si="3"/>
        <v>8.716826302157378E-2</v>
      </c>
      <c r="H34" s="1">
        <f>J34-I34</f>
        <v>197188</v>
      </c>
      <c r="I34" s="1">
        <v>478486</v>
      </c>
      <c r="J34" s="1">
        <v>675674</v>
      </c>
      <c r="K34" t="s">
        <v>9</v>
      </c>
    </row>
    <row r="35" spans="1:11" x14ac:dyDescent="0.55000000000000004">
      <c r="A35" s="8" t="s">
        <v>6</v>
      </c>
      <c r="B35" s="8" t="s">
        <v>40</v>
      </c>
      <c r="C35" s="8" t="s">
        <v>22</v>
      </c>
      <c r="D35" s="8">
        <v>1966</v>
      </c>
      <c r="E35" s="13">
        <v>30000</v>
      </c>
      <c r="F35" s="1"/>
      <c r="I35" s="1"/>
      <c r="J35" s="1"/>
      <c r="K35" t="s">
        <v>23</v>
      </c>
    </row>
    <row r="36" spans="1:11" x14ac:dyDescent="0.55000000000000004">
      <c r="A36" s="8" t="s">
        <v>6</v>
      </c>
      <c r="B36" s="8" t="s">
        <v>40</v>
      </c>
      <c r="C36" s="8" t="s">
        <v>22</v>
      </c>
      <c r="D36" s="8">
        <v>2000</v>
      </c>
      <c r="E36" s="13">
        <v>58832</v>
      </c>
      <c r="F36" s="1">
        <f>H36/(2*1.96)</f>
        <v>3265.8163265306125</v>
      </c>
      <c r="G36">
        <f>F36/E36</f>
        <v>5.5510883983726757E-2</v>
      </c>
      <c r="H36" s="1">
        <v>12802</v>
      </c>
      <c r="I36" s="1"/>
      <c r="J36" s="1"/>
      <c r="K36" t="s">
        <v>24</v>
      </c>
    </row>
    <row r="37" spans="1:11" x14ac:dyDescent="0.55000000000000004">
      <c r="A37" s="8" t="s">
        <v>6</v>
      </c>
      <c r="B37" s="8" t="s">
        <v>40</v>
      </c>
      <c r="C37" s="8" t="s">
        <v>22</v>
      </c>
      <c r="D37" s="8">
        <v>2018</v>
      </c>
      <c r="E37" s="13">
        <v>43286</v>
      </c>
      <c r="F37" s="1">
        <f>H37/(2*1.96)</f>
        <v>2397.9591836734694</v>
      </c>
      <c r="G37">
        <f>F37/E37</f>
        <v>5.5398031318982334E-2</v>
      </c>
      <c r="H37" s="1">
        <v>9400</v>
      </c>
      <c r="I37" s="1"/>
      <c r="J37" s="1"/>
      <c r="K37" t="s">
        <v>24</v>
      </c>
    </row>
    <row r="38" spans="1:11" s="4" customFormat="1" x14ac:dyDescent="0.55000000000000004">
      <c r="A38" s="9" t="s">
        <v>6</v>
      </c>
      <c r="B38" s="8" t="s">
        <v>40</v>
      </c>
      <c r="C38" s="10" t="s">
        <v>25</v>
      </c>
      <c r="D38" s="10">
        <v>1971</v>
      </c>
      <c r="E38" s="14">
        <f>2642*2</f>
        <v>5284</v>
      </c>
      <c r="I38" s="5"/>
      <c r="J38" s="5"/>
      <c r="K38" s="4" t="s">
        <v>19</v>
      </c>
    </row>
    <row r="39" spans="1:11" s="4" customFormat="1" x14ac:dyDescent="0.55000000000000004">
      <c r="A39" s="9" t="s">
        <v>6</v>
      </c>
      <c r="B39" s="8" t="s">
        <v>40</v>
      </c>
      <c r="C39" s="10" t="s">
        <v>25</v>
      </c>
      <c r="D39" s="10">
        <v>2017</v>
      </c>
      <c r="E39" s="14">
        <f>5559*2</f>
        <v>11118</v>
      </c>
      <c r="I39" s="5"/>
      <c r="J39" s="5"/>
      <c r="K39" s="4" t="s">
        <v>19</v>
      </c>
    </row>
    <row r="40" spans="1:11" x14ac:dyDescent="0.55000000000000004">
      <c r="A40" s="8" t="s">
        <v>6</v>
      </c>
      <c r="B40" s="8" t="s">
        <v>40</v>
      </c>
      <c r="C40" s="8" t="s">
        <v>35</v>
      </c>
      <c r="D40" s="8">
        <v>1974</v>
      </c>
      <c r="E40" s="13">
        <v>22380</v>
      </c>
      <c r="F40" s="1"/>
      <c r="I40" s="1"/>
      <c r="J40" s="1"/>
      <c r="K40" t="s">
        <v>19</v>
      </c>
    </row>
    <row r="41" spans="1:11" x14ac:dyDescent="0.55000000000000004">
      <c r="A41" s="8" t="s">
        <v>6</v>
      </c>
      <c r="B41" s="8" t="s">
        <v>40</v>
      </c>
      <c r="C41" s="8" t="s">
        <v>35</v>
      </c>
      <c r="D41" s="8">
        <v>1975</v>
      </c>
      <c r="E41" s="13">
        <v>32100</v>
      </c>
      <c r="F41" s="1"/>
      <c r="G41">
        <f>F43/E43</f>
        <v>7.0783050593246882E-2</v>
      </c>
      <c r="H41" s="1">
        <v>7702</v>
      </c>
      <c r="I41" s="1"/>
      <c r="J41" s="1"/>
      <c r="K41" t="s">
        <v>19</v>
      </c>
    </row>
    <row r="42" spans="1:11" x14ac:dyDescent="0.55000000000000004">
      <c r="A42" s="8" t="s">
        <v>6</v>
      </c>
      <c r="B42" s="8" t="s">
        <v>40</v>
      </c>
      <c r="C42" s="8" t="s">
        <v>35</v>
      </c>
      <c r="D42" s="8">
        <v>1977</v>
      </c>
      <c r="E42" s="13">
        <v>38954</v>
      </c>
      <c r="F42" s="1"/>
      <c r="G42">
        <f>F44/E44</f>
        <v>7.2084573029029236E-2</v>
      </c>
      <c r="H42" s="1">
        <v>4958</v>
      </c>
      <c r="I42" s="1"/>
      <c r="J42" s="1"/>
      <c r="K42" t="s">
        <v>21</v>
      </c>
    </row>
    <row r="43" spans="1:11" x14ac:dyDescent="0.55000000000000004">
      <c r="A43" s="8" t="s">
        <v>6</v>
      </c>
      <c r="B43" s="8" t="s">
        <v>40</v>
      </c>
      <c r="C43" s="8" t="s">
        <v>35</v>
      </c>
      <c r="D43" s="8">
        <v>2001</v>
      </c>
      <c r="E43" s="13">
        <v>27758</v>
      </c>
      <c r="F43" s="1">
        <f>H41/(2*1.96)</f>
        <v>1964.795918367347</v>
      </c>
      <c r="G43">
        <f>F45/E45</f>
        <v>8.6294944298386633E-2</v>
      </c>
      <c r="H43" s="1">
        <v>7300</v>
      </c>
      <c r="I43" s="1"/>
      <c r="J43" s="1"/>
      <c r="K43" t="s">
        <v>21</v>
      </c>
    </row>
    <row r="44" spans="1:11" x14ac:dyDescent="0.55000000000000004">
      <c r="A44" s="8" t="s">
        <v>6</v>
      </c>
      <c r="B44" s="8" t="s">
        <v>40</v>
      </c>
      <c r="C44" s="8" t="s">
        <v>35</v>
      </c>
      <c r="D44" s="8">
        <v>2006</v>
      </c>
      <c r="E44" s="13">
        <v>17546</v>
      </c>
      <c r="F44" s="1">
        <f>H42/(2*1.96)</f>
        <v>1264.795918367347</v>
      </c>
      <c r="I44" s="1"/>
      <c r="J44" s="1"/>
      <c r="K44" t="s">
        <v>26</v>
      </c>
    </row>
    <row r="45" spans="1:11" x14ac:dyDescent="0.55000000000000004">
      <c r="A45" s="8" t="s">
        <v>6</v>
      </c>
      <c r="B45" s="8" t="s">
        <v>40</v>
      </c>
      <c r="C45" s="8" t="s">
        <v>35</v>
      </c>
      <c r="D45" s="8">
        <v>2016</v>
      </c>
      <c r="E45" s="13">
        <v>21580</v>
      </c>
      <c r="F45" s="1">
        <f>H43/(2*1.96)</f>
        <v>1862.2448979591836</v>
      </c>
      <c r="I45" s="1"/>
      <c r="J45" s="1"/>
      <c r="K45" t="s">
        <v>12</v>
      </c>
    </row>
    <row r="46" spans="1:11" x14ac:dyDescent="0.55000000000000004">
      <c r="A46" s="8" t="s">
        <v>6</v>
      </c>
      <c r="B46" s="8" t="s">
        <v>40</v>
      </c>
      <c r="C46" s="8" t="s">
        <v>36</v>
      </c>
      <c r="D46" s="8">
        <v>1973</v>
      </c>
      <c r="E46" s="13">
        <v>3950</v>
      </c>
      <c r="F46" s="1"/>
      <c r="G46">
        <f>F48/E48</f>
        <v>0.12000779537816132</v>
      </c>
      <c r="H46" s="1">
        <v>11232</v>
      </c>
      <c r="I46" s="1"/>
      <c r="J46" s="1"/>
      <c r="K46" t="s">
        <v>26</v>
      </c>
    </row>
    <row r="47" spans="1:11" x14ac:dyDescent="0.55000000000000004">
      <c r="A47" s="8" t="s">
        <v>6</v>
      </c>
      <c r="B47" s="8" t="s">
        <v>40</v>
      </c>
      <c r="C47" s="8" t="s">
        <v>36</v>
      </c>
      <c r="D47" s="8">
        <v>1979</v>
      </c>
      <c r="E47" s="13">
        <v>13112</v>
      </c>
      <c r="F47" s="1"/>
      <c r="G47">
        <f>F49/E49</f>
        <v>0.13074593999449491</v>
      </c>
      <c r="H47" s="1">
        <v>1064</v>
      </c>
      <c r="I47" s="1"/>
      <c r="J47" s="1"/>
      <c r="K47" t="s">
        <v>26</v>
      </c>
    </row>
    <row r="48" spans="1:11" x14ac:dyDescent="0.55000000000000004">
      <c r="A48" s="8" t="s">
        <v>6</v>
      </c>
      <c r="B48" s="8" t="s">
        <v>40</v>
      </c>
      <c r="C48" s="8" t="s">
        <v>36</v>
      </c>
      <c r="D48" s="8">
        <v>1984</v>
      </c>
      <c r="E48" s="13">
        <v>23876</v>
      </c>
      <c r="F48" s="1">
        <f>H46/(2*1.96)</f>
        <v>2865.3061224489797</v>
      </c>
      <c r="G48">
        <f>F50/E50</f>
        <v>0.14598044541010322</v>
      </c>
      <c r="H48" s="1">
        <v>1806</v>
      </c>
      <c r="I48" s="1"/>
      <c r="J48" s="1"/>
      <c r="K48" t="s">
        <v>14</v>
      </c>
    </row>
    <row r="49" spans="1:11" x14ac:dyDescent="0.55000000000000004">
      <c r="A49" s="8" t="s">
        <v>6</v>
      </c>
      <c r="B49" s="8" t="s">
        <v>40</v>
      </c>
      <c r="C49" s="8" t="s">
        <v>36</v>
      </c>
      <c r="D49" s="8">
        <v>2001</v>
      </c>
      <c r="E49" s="13">
        <v>2076</v>
      </c>
      <c r="F49" s="1">
        <f>H47/(2*1.96)</f>
        <v>271.42857142857144</v>
      </c>
      <c r="I49" s="1"/>
      <c r="J49" s="1"/>
      <c r="K49" t="s">
        <v>27</v>
      </c>
    </row>
    <row r="50" spans="1:11" x14ac:dyDescent="0.55000000000000004">
      <c r="A50" s="8" t="s">
        <v>6</v>
      </c>
      <c r="B50" s="8" t="s">
        <v>40</v>
      </c>
      <c r="C50" s="8" t="s">
        <v>36</v>
      </c>
      <c r="D50" s="8">
        <v>2018</v>
      </c>
      <c r="E50" s="13">
        <v>3156</v>
      </c>
      <c r="F50" s="1">
        <f>H48/(2*1.96)</f>
        <v>460.71428571428572</v>
      </c>
      <c r="I50" s="1"/>
      <c r="J50" s="1"/>
      <c r="K50" t="s">
        <v>13</v>
      </c>
    </row>
    <row r="51" spans="1:11" x14ac:dyDescent="0.55000000000000004">
      <c r="A51" s="8" t="s">
        <v>6</v>
      </c>
      <c r="B51" s="8" t="s">
        <v>40</v>
      </c>
      <c r="C51" s="8" t="s">
        <v>37</v>
      </c>
      <c r="D51" s="8">
        <v>1979</v>
      </c>
      <c r="E51" s="13">
        <v>15600</v>
      </c>
      <c r="F51" s="1"/>
      <c r="G51">
        <f>F53/E53</f>
        <v>0.12114134631245024</v>
      </c>
      <c r="H51" s="1">
        <v>8108</v>
      </c>
      <c r="I51" s="1"/>
      <c r="J51" s="1"/>
      <c r="K51" t="s">
        <v>14</v>
      </c>
    </row>
    <row r="52" spans="1:11" x14ac:dyDescent="0.55000000000000004">
      <c r="A52" s="8" t="s">
        <v>6</v>
      </c>
      <c r="B52" s="8" t="s">
        <v>40</v>
      </c>
      <c r="C52" s="8" t="s">
        <v>37</v>
      </c>
      <c r="D52" s="8">
        <v>1984</v>
      </c>
      <c r="E52" s="13">
        <v>18000</v>
      </c>
      <c r="F52" s="1"/>
      <c r="I52" s="1"/>
    </row>
    <row r="53" spans="1:11" x14ac:dyDescent="0.55000000000000004">
      <c r="A53" s="8" t="s">
        <v>6</v>
      </c>
      <c r="B53" s="8" t="s">
        <v>40</v>
      </c>
      <c r="C53" s="8" t="s">
        <v>37</v>
      </c>
      <c r="D53" s="8">
        <v>2018</v>
      </c>
      <c r="E53" s="13">
        <v>17074</v>
      </c>
      <c r="F53" s="1">
        <f>H51/(2*1.96)</f>
        <v>2068.3673469387754</v>
      </c>
      <c r="I53" s="1"/>
    </row>
    <row r="54" spans="1:11" s="4" customFormat="1" x14ac:dyDescent="0.55000000000000004">
      <c r="A54" s="9" t="s">
        <v>6</v>
      </c>
      <c r="B54" s="8" t="s">
        <v>40</v>
      </c>
      <c r="C54" s="9" t="s">
        <v>28</v>
      </c>
      <c r="D54" s="10">
        <v>1966</v>
      </c>
      <c r="E54" s="14">
        <v>700</v>
      </c>
      <c r="I54" s="5"/>
      <c r="K54" t="s">
        <v>29</v>
      </c>
    </row>
    <row r="55" spans="1:11" s="4" customFormat="1" x14ac:dyDescent="0.55000000000000004">
      <c r="A55" s="9" t="s">
        <v>6</v>
      </c>
      <c r="B55" s="8" t="s">
        <v>40</v>
      </c>
      <c r="C55" s="9" t="s">
        <v>28</v>
      </c>
      <c r="D55" s="10">
        <v>1971</v>
      </c>
      <c r="E55" s="14">
        <v>400</v>
      </c>
      <c r="I55" s="5"/>
      <c r="K55" t="s">
        <v>29</v>
      </c>
    </row>
    <row r="56" spans="1:11" s="4" customFormat="1" x14ac:dyDescent="0.55000000000000004">
      <c r="A56" s="9" t="s">
        <v>6</v>
      </c>
      <c r="B56" s="8" t="s">
        <v>40</v>
      </c>
      <c r="C56" s="9" t="s">
        <v>28</v>
      </c>
      <c r="D56" s="10">
        <v>1973</v>
      </c>
      <c r="E56" s="14">
        <v>400</v>
      </c>
      <c r="I56" s="5"/>
      <c r="K56" t="s">
        <v>29</v>
      </c>
    </row>
    <row r="57" spans="1:11" s="4" customFormat="1" x14ac:dyDescent="0.55000000000000004">
      <c r="A57" s="9" t="s">
        <v>6</v>
      </c>
      <c r="B57" s="8" t="s">
        <v>40</v>
      </c>
      <c r="C57" s="9" t="s">
        <v>28</v>
      </c>
      <c r="D57" s="10">
        <v>1974</v>
      </c>
      <c r="E57" s="14">
        <v>100</v>
      </c>
      <c r="I57" s="5"/>
      <c r="K57" t="s">
        <v>29</v>
      </c>
    </row>
    <row r="58" spans="1:11" s="4" customFormat="1" x14ac:dyDescent="0.55000000000000004">
      <c r="A58" s="9" t="s">
        <v>6</v>
      </c>
      <c r="B58" s="8" t="s">
        <v>40</v>
      </c>
      <c r="C58" s="9" t="s">
        <v>28</v>
      </c>
      <c r="D58" s="10">
        <v>1975</v>
      </c>
      <c r="E58" s="14">
        <v>230</v>
      </c>
      <c r="I58" s="5"/>
      <c r="K58" t="s">
        <v>29</v>
      </c>
    </row>
    <row r="59" spans="1:11" s="4" customFormat="1" x14ac:dyDescent="0.55000000000000004">
      <c r="A59" s="9" t="s">
        <v>6</v>
      </c>
      <c r="B59" s="8" t="s">
        <v>40</v>
      </c>
      <c r="C59" s="9" t="s">
        <v>28</v>
      </c>
      <c r="D59" s="10">
        <v>1976</v>
      </c>
      <c r="E59" s="14">
        <v>120</v>
      </c>
      <c r="I59" s="5"/>
      <c r="K59" t="s">
        <v>29</v>
      </c>
    </row>
    <row r="60" spans="1:11" s="4" customFormat="1" x14ac:dyDescent="0.55000000000000004">
      <c r="A60" s="9" t="s">
        <v>6</v>
      </c>
      <c r="B60" s="8" t="s">
        <v>40</v>
      </c>
      <c r="C60" s="9" t="s">
        <v>28</v>
      </c>
      <c r="D60" s="10">
        <v>1980</v>
      </c>
      <c r="E60" s="14"/>
      <c r="I60" s="5"/>
      <c r="K60" t="s">
        <v>29</v>
      </c>
    </row>
    <row r="61" spans="1:11" s="4" customFormat="1" x14ac:dyDescent="0.55000000000000004">
      <c r="A61" s="9" t="s">
        <v>6</v>
      </c>
      <c r="B61" s="8" t="s">
        <v>40</v>
      </c>
      <c r="C61" s="9" t="s">
        <v>28</v>
      </c>
      <c r="D61" s="10">
        <v>1981</v>
      </c>
      <c r="E61" s="14">
        <v>110</v>
      </c>
      <c r="I61" s="5"/>
      <c r="K61" t="s">
        <v>29</v>
      </c>
    </row>
    <row r="62" spans="1:11" s="4" customFormat="1" x14ac:dyDescent="0.55000000000000004">
      <c r="A62" s="9" t="s">
        <v>6</v>
      </c>
      <c r="B62" s="8" t="s">
        <v>40</v>
      </c>
      <c r="C62" s="9" t="s">
        <v>28</v>
      </c>
      <c r="D62" s="10">
        <v>1982</v>
      </c>
      <c r="E62" s="14">
        <f>58*2</f>
        <v>116</v>
      </c>
      <c r="I62" s="5"/>
      <c r="K62"/>
    </row>
    <row r="63" spans="1:11" s="4" customFormat="1" x14ac:dyDescent="0.55000000000000004">
      <c r="A63" s="9" t="s">
        <v>6</v>
      </c>
      <c r="B63" s="8" t="s">
        <v>40</v>
      </c>
      <c r="C63" s="9" t="s">
        <v>28</v>
      </c>
      <c r="D63" s="10">
        <v>1987</v>
      </c>
      <c r="E63" s="14">
        <v>120</v>
      </c>
      <c r="I63" s="5"/>
      <c r="K63" t="s">
        <v>29</v>
      </c>
    </row>
    <row r="64" spans="1:11" s="4" customFormat="1" x14ac:dyDescent="0.55000000000000004">
      <c r="A64" s="9" t="s">
        <v>6</v>
      </c>
      <c r="B64" s="8" t="s">
        <v>40</v>
      </c>
      <c r="C64" s="9" t="s">
        <v>28</v>
      </c>
      <c r="D64" s="10">
        <v>1992</v>
      </c>
      <c r="E64" s="14">
        <v>40</v>
      </c>
      <c r="I64" s="5"/>
      <c r="K64" t="s">
        <v>29</v>
      </c>
    </row>
    <row r="65" spans="1:11" s="4" customFormat="1" x14ac:dyDescent="0.55000000000000004">
      <c r="A65" s="9" t="s">
        <v>6</v>
      </c>
      <c r="B65" s="8" t="s">
        <v>40</v>
      </c>
      <c r="C65" s="9" t="s">
        <v>28</v>
      </c>
      <c r="D65" s="10">
        <v>1998</v>
      </c>
      <c r="E65" s="14">
        <v>300</v>
      </c>
      <c r="I65" s="5"/>
      <c r="K65" t="s">
        <v>29</v>
      </c>
    </row>
    <row r="66" spans="1:11" s="4" customFormat="1" x14ac:dyDescent="0.55000000000000004">
      <c r="A66" s="9" t="s">
        <v>6</v>
      </c>
      <c r="B66" s="8" t="s">
        <v>40</v>
      </c>
      <c r="C66" s="9" t="s">
        <v>28</v>
      </c>
      <c r="D66" s="10">
        <v>1999</v>
      </c>
      <c r="E66" s="14">
        <v>300</v>
      </c>
      <c r="I66" s="5"/>
      <c r="K66" t="s">
        <v>29</v>
      </c>
    </row>
    <row r="67" spans="1:11" s="4" customFormat="1" x14ac:dyDescent="0.55000000000000004">
      <c r="A67" s="9" t="s">
        <v>6</v>
      </c>
      <c r="B67" s="8" t="s">
        <v>40</v>
      </c>
      <c r="C67" s="9" t="s">
        <v>28</v>
      </c>
      <c r="D67" s="10">
        <v>2006</v>
      </c>
      <c r="E67" s="14">
        <v>270</v>
      </c>
      <c r="I67" s="5"/>
      <c r="K67" t="s">
        <v>29</v>
      </c>
    </row>
    <row r="68" spans="1:11" s="4" customFormat="1" x14ac:dyDescent="0.55000000000000004">
      <c r="A68" s="9" t="s">
        <v>6</v>
      </c>
      <c r="B68" s="8" t="s">
        <v>40</v>
      </c>
      <c r="C68" s="9" t="s">
        <v>28</v>
      </c>
      <c r="D68" s="10">
        <v>2017</v>
      </c>
      <c r="E68" s="14">
        <v>300</v>
      </c>
      <c r="I68" s="5"/>
      <c r="K68" t="s">
        <v>29</v>
      </c>
    </row>
    <row r="69" spans="1:11" s="4" customFormat="1" x14ac:dyDescent="0.55000000000000004">
      <c r="A69" s="9" t="s">
        <v>6</v>
      </c>
      <c r="B69" s="8" t="s">
        <v>40</v>
      </c>
      <c r="C69" s="9" t="s">
        <v>28</v>
      </c>
      <c r="D69" s="10">
        <v>2024</v>
      </c>
      <c r="E69" s="14">
        <f>74*2</f>
        <v>148</v>
      </c>
      <c r="I69" s="5"/>
      <c r="K69"/>
    </row>
    <row r="70" spans="1:11" x14ac:dyDescent="0.55000000000000004">
      <c r="A70" s="8" t="s">
        <v>6</v>
      </c>
      <c r="B70" s="8" t="s">
        <v>41</v>
      </c>
      <c r="C70" s="8" t="s">
        <v>42</v>
      </c>
      <c r="D70" s="8">
        <v>1978</v>
      </c>
      <c r="E70" s="13">
        <v>112</v>
      </c>
      <c r="F70" s="1">
        <v>36</v>
      </c>
      <c r="H70" s="1"/>
      <c r="I70" s="1">
        <v>60</v>
      </c>
      <c r="J70" s="1">
        <f>83*2</f>
        <v>166</v>
      </c>
      <c r="K70" t="s">
        <v>43</v>
      </c>
    </row>
    <row r="71" spans="1:11" x14ac:dyDescent="0.55000000000000004">
      <c r="A71" s="8" t="s">
        <v>6</v>
      </c>
      <c r="B71" s="8" t="s">
        <v>41</v>
      </c>
      <c r="C71" s="8" t="s">
        <v>42</v>
      </c>
      <c r="D71" s="8">
        <v>2002</v>
      </c>
      <c r="E71" s="13">
        <v>90</v>
      </c>
      <c r="F71" s="1">
        <v>24</v>
      </c>
      <c r="H71" s="1"/>
      <c r="I71" s="1">
        <v>50</v>
      </c>
      <c r="J71" s="1">
        <v>130</v>
      </c>
      <c r="K71" t="s">
        <v>43</v>
      </c>
    </row>
    <row r="72" spans="1:11" x14ac:dyDescent="0.55000000000000004">
      <c r="A72" s="8" t="s">
        <v>6</v>
      </c>
      <c r="B72" s="8" t="s">
        <v>41</v>
      </c>
      <c r="C72" s="8" t="s">
        <v>42</v>
      </c>
      <c r="D72" s="8">
        <v>2010</v>
      </c>
      <c r="E72" s="13">
        <v>66</v>
      </c>
      <c r="F72" s="1">
        <v>12</v>
      </c>
      <c r="H72" s="1"/>
      <c r="I72" s="1">
        <v>44</v>
      </c>
      <c r="J72" s="1">
        <v>88</v>
      </c>
      <c r="K72" t="s">
        <v>44</v>
      </c>
    </row>
    <row r="73" spans="1:11" x14ac:dyDescent="0.55000000000000004">
      <c r="A73" s="8" t="s">
        <v>6</v>
      </c>
      <c r="B73" s="8" t="s">
        <v>41</v>
      </c>
      <c r="C73" s="8" t="s">
        <v>45</v>
      </c>
      <c r="D73" s="8">
        <v>1978</v>
      </c>
      <c r="E73" s="13">
        <v>62</v>
      </c>
      <c r="F73" s="1">
        <v>8</v>
      </c>
      <c r="H73" s="1"/>
      <c r="I73" s="1">
        <v>44</v>
      </c>
      <c r="J73" s="1">
        <v>80</v>
      </c>
      <c r="K73" t="s">
        <v>43</v>
      </c>
    </row>
    <row r="74" spans="1:11" x14ac:dyDescent="0.55000000000000004">
      <c r="A74" s="8" t="s">
        <v>6</v>
      </c>
      <c r="B74" s="8" t="s">
        <v>41</v>
      </c>
      <c r="C74" s="8" t="s">
        <v>45</v>
      </c>
      <c r="D74" s="8">
        <v>2002</v>
      </c>
      <c r="E74" s="13">
        <v>58</v>
      </c>
      <c r="F74" s="1">
        <v>8</v>
      </c>
      <c r="H74" s="1"/>
      <c r="I74" s="1">
        <v>44</v>
      </c>
      <c r="J74" s="1">
        <f>36*2</f>
        <v>72</v>
      </c>
      <c r="K74" t="s">
        <v>43</v>
      </c>
    </row>
    <row r="75" spans="1:11" x14ac:dyDescent="0.55000000000000004">
      <c r="A75" s="8" t="s">
        <v>6</v>
      </c>
      <c r="B75" s="8" t="s">
        <v>41</v>
      </c>
      <c r="C75" s="8" t="s">
        <v>45</v>
      </c>
      <c r="D75" s="8">
        <v>2010</v>
      </c>
      <c r="E75" s="13">
        <v>10</v>
      </c>
      <c r="F75" s="1">
        <v>4</v>
      </c>
      <c r="H75" s="1"/>
      <c r="I75" s="1">
        <v>4</v>
      </c>
      <c r="J75" s="1">
        <v>18</v>
      </c>
      <c r="K75" t="s">
        <v>44</v>
      </c>
    </row>
    <row r="76" spans="1:11" x14ac:dyDescent="0.55000000000000004">
      <c r="A76" s="8" t="s">
        <v>6</v>
      </c>
      <c r="B76" s="8" t="s">
        <v>41</v>
      </c>
      <c r="C76" s="8" t="s">
        <v>46</v>
      </c>
      <c r="D76" s="8">
        <v>1978</v>
      </c>
      <c r="E76" s="13">
        <f>4482*2</f>
        <v>8964</v>
      </c>
      <c r="F76" s="1">
        <f>248*2</f>
        <v>496</v>
      </c>
      <c r="H76" s="1"/>
      <c r="I76" s="1">
        <f>3936*2</f>
        <v>7872</v>
      </c>
      <c r="J76" s="1">
        <f>4907*2</f>
        <v>9814</v>
      </c>
      <c r="K76" t="s">
        <v>47</v>
      </c>
    </row>
    <row r="77" spans="1:11" x14ac:dyDescent="0.55000000000000004">
      <c r="A77" s="8" t="s">
        <v>6</v>
      </c>
      <c r="B77" s="8" t="s">
        <v>41</v>
      </c>
      <c r="C77" s="8" t="s">
        <v>46</v>
      </c>
      <c r="D77" s="8">
        <v>2010</v>
      </c>
      <c r="E77" s="13">
        <f>1972*2</f>
        <v>3944</v>
      </c>
      <c r="F77" s="1">
        <f>246*2</f>
        <v>492</v>
      </c>
      <c r="H77" s="1"/>
      <c r="I77" s="1">
        <f>1489*2</f>
        <v>2978</v>
      </c>
      <c r="J77" s="1">
        <f>2455*2</f>
        <v>4910</v>
      </c>
      <c r="K77" t="s">
        <v>44</v>
      </c>
    </row>
    <row r="78" spans="1:11" x14ac:dyDescent="0.55000000000000004">
      <c r="A78" s="8" t="s">
        <v>6</v>
      </c>
      <c r="B78" s="8" t="s">
        <v>41</v>
      </c>
      <c r="C78" s="8" t="s">
        <v>48</v>
      </c>
      <c r="D78" s="8">
        <v>1978</v>
      </c>
      <c r="E78" s="13">
        <f>8426*2</f>
        <v>16852</v>
      </c>
      <c r="F78" s="1">
        <f>462*2</f>
        <v>924</v>
      </c>
      <c r="H78" s="1"/>
      <c r="I78" s="1">
        <f>7514*2</f>
        <v>15028</v>
      </c>
      <c r="J78" s="1">
        <f>9326*2</f>
        <v>18652</v>
      </c>
      <c r="K78" t="s">
        <v>47</v>
      </c>
    </row>
    <row r="79" spans="1:11" x14ac:dyDescent="0.55000000000000004">
      <c r="A79" s="8" t="s">
        <v>6</v>
      </c>
      <c r="B79" s="8" t="s">
        <v>41</v>
      </c>
      <c r="C79" s="8" t="s">
        <v>48</v>
      </c>
      <c r="D79" s="8">
        <v>2010</v>
      </c>
      <c r="E79" s="13">
        <f>8983*2</f>
        <v>17966</v>
      </c>
      <c r="F79" s="1">
        <f>506*2</f>
        <v>1012</v>
      </c>
      <c r="H79" s="1"/>
      <c r="I79" s="1">
        <f>7990*2</f>
        <v>15980</v>
      </c>
      <c r="J79" s="1">
        <f>9976*2</f>
        <v>19952</v>
      </c>
      <c r="K79" t="s">
        <v>44</v>
      </c>
    </row>
    <row r="80" spans="1:11" x14ac:dyDescent="0.55000000000000004">
      <c r="A80" s="8" t="s">
        <v>6</v>
      </c>
      <c r="B80" s="8" t="s">
        <v>41</v>
      </c>
      <c r="C80" s="8" t="s">
        <v>49</v>
      </c>
      <c r="D80" s="8">
        <v>1978</v>
      </c>
      <c r="E80" s="13">
        <f>4007*2</f>
        <v>8014</v>
      </c>
      <c r="F80" s="1">
        <v>614</v>
      </c>
      <c r="I80" s="1">
        <f>3407*2</f>
        <v>6814</v>
      </c>
      <c r="J80" s="1">
        <f>4609*2</f>
        <v>9218</v>
      </c>
      <c r="K80" t="s">
        <v>47</v>
      </c>
    </row>
    <row r="81" spans="1:11" x14ac:dyDescent="0.55000000000000004">
      <c r="A81" s="8" t="s">
        <v>6</v>
      </c>
      <c r="B81" s="8" t="s">
        <v>41</v>
      </c>
      <c r="C81" s="8" t="s">
        <v>49</v>
      </c>
      <c r="D81" s="8">
        <v>2010</v>
      </c>
      <c r="E81" s="13">
        <f>2245*2</f>
        <v>4490</v>
      </c>
      <c r="F81" s="1">
        <f>263*2</f>
        <v>526</v>
      </c>
      <c r="I81" s="1">
        <f>1730*2</f>
        <v>3460</v>
      </c>
      <c r="J81" s="1">
        <f>2760*2</f>
        <v>5520</v>
      </c>
      <c r="K81" t="s">
        <v>44</v>
      </c>
    </row>
    <row r="82" spans="1:11" x14ac:dyDescent="0.55000000000000004">
      <c r="A82" s="8" t="s">
        <v>6</v>
      </c>
      <c r="B82" s="8" t="s">
        <v>41</v>
      </c>
      <c r="C82" s="8" t="s">
        <v>50</v>
      </c>
      <c r="D82" s="8">
        <v>1978</v>
      </c>
      <c r="E82" s="13">
        <f>2184*2</f>
        <v>4368</v>
      </c>
      <c r="F82" s="1">
        <f>358*2</f>
        <v>716</v>
      </c>
      <c r="H82" s="1"/>
      <c r="I82" s="1">
        <f>1041*2</f>
        <v>2082</v>
      </c>
      <c r="J82" s="1">
        <f>3326*2</f>
        <v>6652</v>
      </c>
      <c r="K82" t="s">
        <v>43</v>
      </c>
    </row>
    <row r="83" spans="1:11" x14ac:dyDescent="0.55000000000000004">
      <c r="A83" s="8" t="s">
        <v>6</v>
      </c>
      <c r="B83" s="8" t="s">
        <v>41</v>
      </c>
      <c r="C83" s="8" t="s">
        <v>50</v>
      </c>
      <c r="D83" s="7">
        <v>2002</v>
      </c>
      <c r="E83" s="15">
        <f>2581*2</f>
        <v>5162</v>
      </c>
      <c r="F83" s="1">
        <f>383*2</f>
        <v>766</v>
      </c>
      <c r="H83" s="1"/>
      <c r="I83" s="1">
        <f>1601*2</f>
        <v>3202</v>
      </c>
      <c r="J83" s="1">
        <f>3560*2</f>
        <v>7120</v>
      </c>
      <c r="K83" t="s">
        <v>43</v>
      </c>
    </row>
    <row r="84" spans="1:11" x14ac:dyDescent="0.55000000000000004">
      <c r="A84" s="8" t="s">
        <v>6</v>
      </c>
      <c r="B84" s="8" t="s">
        <v>41</v>
      </c>
      <c r="C84" s="8" t="s">
        <v>50</v>
      </c>
      <c r="D84" s="8">
        <v>2010</v>
      </c>
      <c r="E84" s="13">
        <f>4169*2</f>
        <v>8338</v>
      </c>
      <c r="F84" s="1">
        <f>350*2</f>
        <v>700</v>
      </c>
      <c r="H84" s="1"/>
      <c r="I84" s="1">
        <f>3483*2</f>
        <v>6966</v>
      </c>
      <c r="J84" s="1">
        <f>4855*2</f>
        <v>9710</v>
      </c>
      <c r="K84" t="s">
        <v>44</v>
      </c>
    </row>
    <row r="85" spans="1:11" x14ac:dyDescent="0.55000000000000004">
      <c r="A85" s="8" t="s">
        <v>6</v>
      </c>
      <c r="B85" s="8" t="s">
        <v>41</v>
      </c>
      <c r="C85" s="8" t="s">
        <v>51</v>
      </c>
      <c r="D85" s="8">
        <v>1978</v>
      </c>
      <c r="E85" s="13">
        <f>6466*2</f>
        <v>12932</v>
      </c>
      <c r="F85" s="1">
        <f>840*2</f>
        <v>1680</v>
      </c>
      <c r="H85" s="1"/>
      <c r="I85" s="1"/>
      <c r="J85" s="1"/>
      <c r="K85" t="s">
        <v>52</v>
      </c>
    </row>
    <row r="86" spans="1:11" x14ac:dyDescent="0.55000000000000004">
      <c r="A86" s="8" t="s">
        <v>6</v>
      </c>
      <c r="B86" s="8" t="s">
        <v>41</v>
      </c>
      <c r="C86" s="8" t="s">
        <v>51</v>
      </c>
      <c r="D86" s="8">
        <v>1983</v>
      </c>
      <c r="E86" s="13">
        <f>6318*2</f>
        <v>12636</v>
      </c>
      <c r="F86" s="1">
        <f>408*2</f>
        <v>816</v>
      </c>
      <c r="I86" s="1"/>
      <c r="J86" s="1"/>
      <c r="K86" t="s">
        <v>52</v>
      </c>
    </row>
    <row r="87" spans="1:11" x14ac:dyDescent="0.55000000000000004">
      <c r="A87" s="8" t="s">
        <v>6</v>
      </c>
      <c r="B87" s="8" t="s">
        <v>41</v>
      </c>
      <c r="C87" s="8" t="s">
        <v>51</v>
      </c>
      <c r="D87" s="8">
        <v>1984</v>
      </c>
      <c r="E87" s="13">
        <f>6909*2</f>
        <v>13818</v>
      </c>
      <c r="F87" s="1">
        <f>380*2</f>
        <v>760</v>
      </c>
      <c r="H87" s="1"/>
      <c r="I87" s="1"/>
      <c r="J87" s="1"/>
      <c r="K87" t="s">
        <v>52</v>
      </c>
    </row>
    <row r="88" spans="1:11" x14ac:dyDescent="0.55000000000000004">
      <c r="A88" s="8" t="s">
        <v>6</v>
      </c>
      <c r="B88" s="8" t="s">
        <v>41</v>
      </c>
      <c r="C88" s="8" t="s">
        <v>51</v>
      </c>
      <c r="D88" s="8">
        <v>1999</v>
      </c>
      <c r="E88" s="13">
        <f>4888*2</f>
        <v>9776</v>
      </c>
      <c r="F88" s="1">
        <f>399*2</f>
        <v>798</v>
      </c>
      <c r="H88" s="1"/>
      <c r="I88" s="1"/>
      <c r="J88" s="1"/>
      <c r="K88" t="s">
        <v>52</v>
      </c>
    </row>
    <row r="89" spans="1:11" x14ac:dyDescent="0.55000000000000004">
      <c r="A89" s="8" t="s">
        <v>6</v>
      </c>
      <c r="B89" s="8" t="s">
        <v>41</v>
      </c>
      <c r="C89" s="8" t="s">
        <v>51</v>
      </c>
      <c r="D89" s="8">
        <v>2015</v>
      </c>
      <c r="E89" s="13">
        <f>7066*2</f>
        <v>14132</v>
      </c>
      <c r="F89" s="1">
        <f>979*2</f>
        <v>1958</v>
      </c>
      <c r="H89" s="1"/>
      <c r="I89" s="1"/>
      <c r="J89" s="1"/>
      <c r="K89" t="s">
        <v>44</v>
      </c>
    </row>
    <row r="90" spans="1:11" x14ac:dyDescent="0.55000000000000004">
      <c r="A90" s="8" t="s">
        <v>6</v>
      </c>
      <c r="B90" s="8" t="s">
        <v>41</v>
      </c>
      <c r="C90" s="8" t="s">
        <v>53</v>
      </c>
      <c r="D90" s="8">
        <v>1978</v>
      </c>
      <c r="E90" s="13">
        <f>5873*2</f>
        <v>11746</v>
      </c>
      <c r="F90" s="1">
        <f>345*2</f>
        <v>690</v>
      </c>
      <c r="H90" s="1"/>
      <c r="I90" s="1"/>
      <c r="J90" s="1"/>
      <c r="K90" t="s">
        <v>52</v>
      </c>
    </row>
    <row r="91" spans="1:11" x14ac:dyDescent="0.55000000000000004">
      <c r="A91" s="8" t="s">
        <v>6</v>
      </c>
      <c r="B91" s="8" t="s">
        <v>41</v>
      </c>
      <c r="C91" s="8" t="s">
        <v>53</v>
      </c>
      <c r="D91" s="8">
        <v>1983</v>
      </c>
      <c r="E91" s="13">
        <f>5694*2</f>
        <v>11388</v>
      </c>
      <c r="F91" s="1">
        <f>465*2</f>
        <v>930</v>
      </c>
      <c r="I91" s="1"/>
      <c r="J91" s="1"/>
      <c r="K91" t="s">
        <v>52</v>
      </c>
    </row>
    <row r="92" spans="1:11" x14ac:dyDescent="0.55000000000000004">
      <c r="A92" s="8" t="s">
        <v>6</v>
      </c>
      <c r="B92" s="8" t="s">
        <v>41</v>
      </c>
      <c r="C92" s="8" t="s">
        <v>53</v>
      </c>
      <c r="D92" s="8">
        <v>1984</v>
      </c>
      <c r="E92" s="13">
        <f>5640*2</f>
        <v>11280</v>
      </c>
      <c r="F92" s="1">
        <f>802</f>
        <v>802</v>
      </c>
      <c r="H92" s="1"/>
      <c r="I92" s="1"/>
      <c r="J92" s="1"/>
      <c r="K92" t="s">
        <v>52</v>
      </c>
    </row>
    <row r="93" spans="1:11" x14ac:dyDescent="0.55000000000000004">
      <c r="A93" s="8" t="s">
        <v>6</v>
      </c>
      <c r="B93" s="8" t="s">
        <v>41</v>
      </c>
      <c r="C93" s="8" t="s">
        <v>53</v>
      </c>
      <c r="D93" s="8">
        <v>1999</v>
      </c>
      <c r="E93" s="13">
        <f>6522*2</f>
        <v>13044</v>
      </c>
      <c r="F93" s="1">
        <f>492*2</f>
        <v>984</v>
      </c>
      <c r="H93" s="1"/>
      <c r="I93" s="1"/>
      <c r="J93" s="1"/>
      <c r="K93" t="s">
        <v>52</v>
      </c>
    </row>
    <row r="94" spans="1:11" x14ac:dyDescent="0.55000000000000004">
      <c r="A94" s="8" t="s">
        <v>6</v>
      </c>
      <c r="B94" s="8" t="s">
        <v>41</v>
      </c>
      <c r="C94" s="8" t="s">
        <v>53</v>
      </c>
      <c r="D94" s="8">
        <v>2018</v>
      </c>
      <c r="E94" s="13">
        <f>422*2</f>
        <v>844</v>
      </c>
      <c r="F94" s="1">
        <f>211*2</f>
        <v>422</v>
      </c>
      <c r="H94" s="1"/>
      <c r="I94" s="1"/>
      <c r="J94" s="1"/>
      <c r="K94" t="s">
        <v>44</v>
      </c>
    </row>
    <row r="95" spans="1:11" x14ac:dyDescent="0.55000000000000004">
      <c r="A95" s="8" t="s">
        <v>6</v>
      </c>
      <c r="B95" s="8" t="s">
        <v>41</v>
      </c>
      <c r="C95" s="8" t="s">
        <v>54</v>
      </c>
      <c r="D95" s="8">
        <v>1978</v>
      </c>
      <c r="E95" s="13">
        <f>10251*2</f>
        <v>20502</v>
      </c>
      <c r="F95" s="1">
        <f>1061*2</f>
        <v>2122</v>
      </c>
      <c r="H95" s="1"/>
      <c r="I95" s="1"/>
      <c r="J95" s="1"/>
      <c r="K95" t="s">
        <v>52</v>
      </c>
    </row>
    <row r="96" spans="1:11" x14ac:dyDescent="0.55000000000000004">
      <c r="A96" s="8" t="s">
        <v>6</v>
      </c>
      <c r="B96" s="8" t="s">
        <v>41</v>
      </c>
      <c r="C96" s="8" t="s">
        <v>54</v>
      </c>
      <c r="D96" s="8">
        <v>1983</v>
      </c>
      <c r="E96" s="13">
        <f>9398*2</f>
        <v>18796</v>
      </c>
      <c r="F96" s="1">
        <f>546*2</f>
        <v>1092</v>
      </c>
      <c r="I96" s="1"/>
      <c r="J96" s="1"/>
      <c r="K96" t="s">
        <v>52</v>
      </c>
    </row>
    <row r="97" spans="1:12" x14ac:dyDescent="0.55000000000000004">
      <c r="A97" s="8" t="s">
        <v>6</v>
      </c>
      <c r="B97" s="8" t="s">
        <v>41</v>
      </c>
      <c r="C97" s="8" t="s">
        <v>54</v>
      </c>
      <c r="D97" s="8">
        <v>1984</v>
      </c>
      <c r="E97" s="13">
        <f>9367*2</f>
        <v>18734</v>
      </c>
      <c r="F97" s="1">
        <f>500*2</f>
        <v>1000</v>
      </c>
      <c r="H97" s="1"/>
      <c r="I97" s="1"/>
      <c r="J97" s="1"/>
      <c r="K97" t="s">
        <v>52</v>
      </c>
    </row>
    <row r="98" spans="1:12" x14ac:dyDescent="0.55000000000000004">
      <c r="A98" s="8" t="s">
        <v>6</v>
      </c>
      <c r="B98" s="8" t="s">
        <v>41</v>
      </c>
      <c r="C98" s="8" t="s">
        <v>54</v>
      </c>
      <c r="D98" s="8">
        <v>1999</v>
      </c>
      <c r="E98" s="13">
        <f>7381*2</f>
        <v>14762</v>
      </c>
      <c r="F98" s="1">
        <f>519*2</f>
        <v>1038</v>
      </c>
      <c r="H98" s="1"/>
      <c r="I98" s="1"/>
      <c r="J98" s="1"/>
      <c r="K98" t="s">
        <v>52</v>
      </c>
    </row>
    <row r="99" spans="1:12" x14ac:dyDescent="0.55000000000000004">
      <c r="A99" s="8" t="s">
        <v>6</v>
      </c>
      <c r="B99" s="8" t="s">
        <v>41</v>
      </c>
      <c r="C99" s="8" t="s">
        <v>54</v>
      </c>
      <c r="D99" s="8">
        <v>2015</v>
      </c>
      <c r="E99" s="13">
        <f>6280*2</f>
        <v>12560</v>
      </c>
      <c r="F99" s="1">
        <f>946*2</f>
        <v>1892</v>
      </c>
      <c r="H99" s="1"/>
      <c r="I99" s="1"/>
      <c r="J99" s="1"/>
      <c r="K99" t="s">
        <v>44</v>
      </c>
    </row>
    <row r="100" spans="1:12" x14ac:dyDescent="0.55000000000000004">
      <c r="A100" s="8" t="s">
        <v>6</v>
      </c>
      <c r="B100" s="8" t="s">
        <v>41</v>
      </c>
      <c r="C100" s="8" t="s">
        <v>55</v>
      </c>
      <c r="D100" s="8">
        <v>1978</v>
      </c>
      <c r="E100" s="13">
        <f>4702*2</f>
        <v>9404</v>
      </c>
      <c r="F100" s="1"/>
      <c r="H100" s="1"/>
      <c r="I100" s="1"/>
      <c r="J100" s="1"/>
      <c r="K100" t="s">
        <v>52</v>
      </c>
      <c r="L100" t="s">
        <v>56</v>
      </c>
    </row>
    <row r="101" spans="1:12" x14ac:dyDescent="0.55000000000000004">
      <c r="A101" s="8" t="s">
        <v>6</v>
      </c>
      <c r="B101" s="8" t="s">
        <v>41</v>
      </c>
      <c r="C101" s="8" t="s">
        <v>55</v>
      </c>
      <c r="D101" s="8">
        <v>1983</v>
      </c>
      <c r="E101" s="13">
        <f>8575*2</f>
        <v>17150</v>
      </c>
      <c r="F101" s="1">
        <f>497*2</f>
        <v>994</v>
      </c>
      <c r="H101" s="1"/>
      <c r="I101" s="1"/>
      <c r="J101" s="1"/>
      <c r="K101" t="s">
        <v>52</v>
      </c>
    </row>
    <row r="102" spans="1:12" x14ac:dyDescent="0.55000000000000004">
      <c r="A102" s="8" t="s">
        <v>6</v>
      </c>
      <c r="B102" s="8" t="s">
        <v>41</v>
      </c>
      <c r="C102" s="8" t="s">
        <v>55</v>
      </c>
      <c r="D102" s="8">
        <v>1984</v>
      </c>
      <c r="E102" s="13">
        <f>6561*2</f>
        <v>13122</v>
      </c>
      <c r="F102" s="1">
        <f>596*2</f>
        <v>1192</v>
      </c>
      <c r="H102" s="1"/>
      <c r="I102" s="1"/>
      <c r="J102" s="1"/>
      <c r="K102" t="s">
        <v>52</v>
      </c>
    </row>
    <row r="103" spans="1:12" x14ac:dyDescent="0.55000000000000004">
      <c r="A103" s="8" t="s">
        <v>6</v>
      </c>
      <c r="B103" s="8" t="s">
        <v>41</v>
      </c>
      <c r="C103" s="8" t="s">
        <v>55</v>
      </c>
      <c r="D103" s="8">
        <v>1999</v>
      </c>
      <c r="E103" s="13">
        <f>6963*2</f>
        <v>13926</v>
      </c>
      <c r="F103" s="1">
        <f>690*2</f>
        <v>1380</v>
      </c>
      <c r="I103" s="1"/>
      <c r="J103" s="1"/>
      <c r="K103" t="s">
        <v>52</v>
      </c>
    </row>
    <row r="104" spans="1:12" x14ac:dyDescent="0.55000000000000004">
      <c r="A104" s="8" t="s">
        <v>6</v>
      </c>
      <c r="B104" s="8" t="s">
        <v>41</v>
      </c>
      <c r="C104" s="8" t="s">
        <v>55</v>
      </c>
      <c r="D104" s="8">
        <v>2018</v>
      </c>
      <c r="E104" s="13">
        <f>4582*2</f>
        <v>9164</v>
      </c>
      <c r="F104" s="1">
        <f>897*2</f>
        <v>1794</v>
      </c>
      <c r="H104" s="1"/>
      <c r="I104" s="1"/>
      <c r="J104" s="1"/>
      <c r="K104" t="s">
        <v>44</v>
      </c>
    </row>
    <row r="105" spans="1:12" x14ac:dyDescent="0.55000000000000004">
      <c r="A105" s="8" t="s">
        <v>6</v>
      </c>
      <c r="B105" s="8" t="s">
        <v>41</v>
      </c>
      <c r="C105" s="8" t="s">
        <v>57</v>
      </c>
      <c r="D105" s="8">
        <v>1983</v>
      </c>
      <c r="E105" s="13">
        <f>797*2</f>
        <v>1594</v>
      </c>
      <c r="F105" s="1">
        <f>46*2</f>
        <v>92</v>
      </c>
      <c r="H105" s="1"/>
      <c r="I105" s="1"/>
      <c r="J105" s="1"/>
      <c r="K105" t="s">
        <v>52</v>
      </c>
    </row>
    <row r="106" spans="1:12" x14ac:dyDescent="0.55000000000000004">
      <c r="A106" s="8" t="s">
        <v>6</v>
      </c>
      <c r="B106" s="8" t="s">
        <v>41</v>
      </c>
      <c r="C106" s="8" t="s">
        <v>57</v>
      </c>
      <c r="D106" s="7">
        <v>1984</v>
      </c>
      <c r="E106" s="15">
        <f>610*2</f>
        <v>1220</v>
      </c>
      <c r="F106">
        <f>55*2</f>
        <v>110</v>
      </c>
      <c r="I106" s="1"/>
      <c r="J106" s="1"/>
      <c r="K106" t="s">
        <v>52</v>
      </c>
    </row>
    <row r="107" spans="1:12" x14ac:dyDescent="0.55000000000000004">
      <c r="A107" s="8" t="s">
        <v>6</v>
      </c>
      <c r="B107" s="8" t="s">
        <v>41</v>
      </c>
      <c r="C107" s="8" t="s">
        <v>57</v>
      </c>
      <c r="D107" s="7">
        <v>1999</v>
      </c>
      <c r="E107" s="15">
        <f>1043*2</f>
        <v>2086</v>
      </c>
      <c r="F107">
        <f>206</f>
        <v>206</v>
      </c>
      <c r="I107" s="1"/>
      <c r="J107" s="1"/>
      <c r="K107" t="s">
        <v>52</v>
      </c>
    </row>
    <row r="108" spans="1:12" x14ac:dyDescent="0.55000000000000004">
      <c r="A108" s="8" t="s">
        <v>6</v>
      </c>
      <c r="B108" s="8" t="s">
        <v>41</v>
      </c>
      <c r="C108" s="8" t="s">
        <v>57</v>
      </c>
      <c r="D108" s="8">
        <v>2018</v>
      </c>
      <c r="E108" s="13">
        <f>199*2</f>
        <v>398</v>
      </c>
      <c r="F108" s="1">
        <f>304*2</f>
        <v>608</v>
      </c>
      <c r="I108" s="1"/>
      <c r="J108" s="1"/>
      <c r="K108" t="s">
        <v>44</v>
      </c>
    </row>
    <row r="109" spans="1:12" x14ac:dyDescent="0.55000000000000004">
      <c r="A109" s="8" t="s">
        <v>6</v>
      </c>
      <c r="B109" s="8" t="s">
        <v>41</v>
      </c>
      <c r="C109" s="8" t="s">
        <v>58</v>
      </c>
      <c r="D109" s="8">
        <v>1979</v>
      </c>
      <c r="E109" s="13">
        <v>2600</v>
      </c>
      <c r="F109" s="1"/>
      <c r="H109" s="1"/>
      <c r="I109" s="1">
        <v>1200</v>
      </c>
      <c r="J109" s="1">
        <v>5000</v>
      </c>
      <c r="K109" t="s">
        <v>59</v>
      </c>
    </row>
    <row r="110" spans="1:12" x14ac:dyDescent="0.55000000000000004">
      <c r="A110" s="8" t="s">
        <v>6</v>
      </c>
      <c r="B110" s="8" t="s">
        <v>41</v>
      </c>
      <c r="C110" s="8" t="s">
        <v>58</v>
      </c>
      <c r="D110" s="8">
        <v>2010</v>
      </c>
      <c r="E110" s="13">
        <f>1850*2</f>
        <v>3700</v>
      </c>
      <c r="F110" s="1">
        <f>175*2</f>
        <v>350</v>
      </c>
      <c r="H110" s="1"/>
      <c r="I110" s="1"/>
      <c r="J110" s="1"/>
      <c r="K110" t="s">
        <v>44</v>
      </c>
    </row>
    <row r="111" spans="1:12" x14ac:dyDescent="0.55000000000000004">
      <c r="A111" s="8" t="s">
        <v>6</v>
      </c>
      <c r="B111" s="8" t="s">
        <v>41</v>
      </c>
      <c r="C111" s="8" t="s">
        <v>58</v>
      </c>
      <c r="D111" s="8">
        <v>2024</v>
      </c>
      <c r="E111" s="13">
        <v>5340</v>
      </c>
      <c r="F111" s="1">
        <f>622*2</f>
        <v>1244</v>
      </c>
      <c r="H111" s="1"/>
      <c r="I111" s="1"/>
      <c r="J111" s="1"/>
      <c r="K111" t="s">
        <v>44</v>
      </c>
    </row>
    <row r="112" spans="1:12" x14ac:dyDescent="0.55000000000000004">
      <c r="A112" s="8" t="s">
        <v>6</v>
      </c>
      <c r="B112" s="8" t="s">
        <v>41</v>
      </c>
      <c r="C112" s="8" t="s">
        <v>32</v>
      </c>
      <c r="D112" s="8">
        <v>1979</v>
      </c>
      <c r="E112" s="13">
        <f>117104*2</f>
        <v>234208</v>
      </c>
      <c r="F112" s="1"/>
      <c r="H112" s="1"/>
      <c r="I112" s="1">
        <f>108096*2</f>
        <v>216192</v>
      </c>
      <c r="J112" s="1">
        <f>126112*2</f>
        <v>252224</v>
      </c>
      <c r="K112" t="s">
        <v>60</v>
      </c>
    </row>
    <row r="113" spans="1:11" x14ac:dyDescent="0.55000000000000004">
      <c r="A113" s="8" t="s">
        <v>6</v>
      </c>
      <c r="B113" s="8" t="s">
        <v>41</v>
      </c>
      <c r="C113" s="8" t="s">
        <v>32</v>
      </c>
      <c r="D113" s="8">
        <v>1984</v>
      </c>
      <c r="E113" s="13">
        <f>159427*2</f>
        <v>318854</v>
      </c>
      <c r="F113" s="1"/>
      <c r="I113" s="1">
        <f>129877*2</f>
        <v>259754</v>
      </c>
      <c r="J113" s="1">
        <f>188977*2</f>
        <v>377954</v>
      </c>
      <c r="K113" t="s">
        <v>60</v>
      </c>
    </row>
    <row r="114" spans="1:11" x14ac:dyDescent="0.55000000000000004">
      <c r="A114" s="8" t="s">
        <v>6</v>
      </c>
      <c r="B114" s="8" t="s">
        <v>41</v>
      </c>
      <c r="C114" s="8" t="s">
        <v>32</v>
      </c>
      <c r="D114" s="8">
        <v>1985</v>
      </c>
      <c r="E114" s="13">
        <f>151086*2</f>
        <v>302172</v>
      </c>
      <c r="F114" s="1"/>
      <c r="I114" s="1">
        <f>127017*2</f>
        <v>254034</v>
      </c>
      <c r="J114" s="1">
        <f>174917*2</f>
        <v>349834</v>
      </c>
      <c r="K114" t="s">
        <v>60</v>
      </c>
    </row>
    <row r="115" spans="1:11" x14ac:dyDescent="0.55000000000000004">
      <c r="A115" s="8" t="s">
        <v>6</v>
      </c>
      <c r="B115" s="8" t="s">
        <v>41</v>
      </c>
      <c r="C115" s="8" t="s">
        <v>32</v>
      </c>
      <c r="D115" s="8">
        <v>1993</v>
      </c>
      <c r="E115" s="13">
        <f>206604*2</f>
        <v>413208</v>
      </c>
      <c r="F115" s="1"/>
      <c r="H115" s="1"/>
      <c r="I115" s="1">
        <f>182687*2</f>
        <v>365374</v>
      </c>
      <c r="J115" s="1">
        <f>230520*2</f>
        <v>461040</v>
      </c>
      <c r="K115" t="s">
        <v>60</v>
      </c>
    </row>
    <row r="116" spans="1:11" x14ac:dyDescent="0.55000000000000004">
      <c r="A116" s="8" t="s">
        <v>6</v>
      </c>
      <c r="B116" s="8" t="s">
        <v>41</v>
      </c>
      <c r="C116" s="8" t="s">
        <v>32</v>
      </c>
      <c r="D116" s="8">
        <v>2011</v>
      </c>
      <c r="E116" s="13">
        <f>174491*2</f>
        <v>348982</v>
      </c>
      <c r="F116" s="1"/>
      <c r="H116" s="1"/>
      <c r="I116" s="1">
        <f>147559*2</f>
        <v>295118</v>
      </c>
      <c r="J116" s="1">
        <f>201423*2</f>
        <v>402846</v>
      </c>
      <c r="K116" t="s">
        <v>60</v>
      </c>
    </row>
    <row r="117" spans="1:11" x14ac:dyDescent="0.55000000000000004">
      <c r="A117" s="8" t="s">
        <v>6</v>
      </c>
      <c r="B117" s="8" t="s">
        <v>41</v>
      </c>
      <c r="C117" s="8" t="s">
        <v>32</v>
      </c>
      <c r="D117" s="8">
        <v>2024</v>
      </c>
      <c r="E117" s="13">
        <f>204921*2</f>
        <v>409842</v>
      </c>
      <c r="F117">
        <f>9118*2</f>
        <v>18236</v>
      </c>
      <c r="H117" s="1"/>
      <c r="I117" s="1"/>
      <c r="J117" s="1"/>
      <c r="K117" t="s">
        <v>60</v>
      </c>
    </row>
    <row r="118" spans="1:11" x14ac:dyDescent="0.55000000000000004">
      <c r="A118" s="8" t="s">
        <v>6</v>
      </c>
      <c r="B118" s="8" t="s">
        <v>41</v>
      </c>
      <c r="C118" s="8" t="s">
        <v>33</v>
      </c>
      <c r="D118" s="8">
        <v>1973</v>
      </c>
      <c r="E118" s="13">
        <f>17000*2</f>
        <v>34000</v>
      </c>
      <c r="F118" s="1"/>
      <c r="H118" s="1"/>
      <c r="I118" s="1"/>
      <c r="J118" s="1"/>
    </row>
    <row r="119" spans="1:11" x14ac:dyDescent="0.55000000000000004">
      <c r="A119" s="8" t="s">
        <v>6</v>
      </c>
      <c r="B119" s="8" t="s">
        <v>41</v>
      </c>
      <c r="C119" s="8" t="s">
        <v>33</v>
      </c>
      <c r="D119" s="8">
        <v>1979</v>
      </c>
      <c r="E119" s="13">
        <f>9266*2</f>
        <v>18532</v>
      </c>
      <c r="F119" s="1">
        <f>447*2</f>
        <v>894</v>
      </c>
      <c r="H119" s="1"/>
      <c r="I119" s="1"/>
      <c r="J119" s="1"/>
    </row>
    <row r="120" spans="1:11" x14ac:dyDescent="0.55000000000000004">
      <c r="A120" s="8" t="s">
        <v>6</v>
      </c>
      <c r="B120" s="8" t="s">
        <v>41</v>
      </c>
      <c r="C120" s="8" t="s">
        <v>33</v>
      </c>
      <c r="D120" s="8">
        <v>2024</v>
      </c>
      <c r="E120" s="13">
        <f>20700*2</f>
        <v>41400</v>
      </c>
      <c r="F120" s="1">
        <f>2023*2</f>
        <v>4046</v>
      </c>
      <c r="H120" s="1"/>
      <c r="I120" s="1"/>
      <c r="J120" s="1"/>
    </row>
    <row r="121" spans="1:11" x14ac:dyDescent="0.55000000000000004">
      <c r="A121" s="8" t="s">
        <v>6</v>
      </c>
      <c r="B121" s="8" t="s">
        <v>41</v>
      </c>
      <c r="C121" s="8" t="s">
        <v>34</v>
      </c>
      <c r="D121" s="8">
        <v>1979</v>
      </c>
      <c r="E121" s="13">
        <f>29726*2</f>
        <v>59452</v>
      </c>
      <c r="F121" s="1"/>
      <c r="H121" s="1"/>
      <c r="I121" s="1">
        <v>30000</v>
      </c>
      <c r="J121" s="1">
        <v>90000</v>
      </c>
      <c r="K121" t="s">
        <v>59</v>
      </c>
    </row>
    <row r="122" spans="1:11" x14ac:dyDescent="0.55000000000000004">
      <c r="A122" s="8" t="s">
        <v>6</v>
      </c>
      <c r="B122" s="8" t="s">
        <v>41</v>
      </c>
      <c r="C122" s="8" t="s">
        <v>34</v>
      </c>
      <c r="D122" s="8">
        <v>1984</v>
      </c>
      <c r="E122" s="13">
        <f>31454*2</f>
        <v>62908</v>
      </c>
      <c r="F122" s="1">
        <f>2799*2</f>
        <v>5598</v>
      </c>
      <c r="I122" s="1"/>
      <c r="J122" s="1"/>
      <c r="K122" t="s">
        <v>61</v>
      </c>
    </row>
    <row r="123" spans="1:11" x14ac:dyDescent="0.55000000000000004">
      <c r="A123" s="8" t="s">
        <v>6</v>
      </c>
      <c r="B123" s="8" t="s">
        <v>41</v>
      </c>
      <c r="C123" s="8" t="s">
        <v>34</v>
      </c>
      <c r="D123" s="8">
        <v>1985</v>
      </c>
      <c r="E123" s="13">
        <f>30832*2</f>
        <v>61664</v>
      </c>
      <c r="F123" s="1">
        <f>3417*2</f>
        <v>6834</v>
      </c>
      <c r="I123" s="1"/>
      <c r="J123" s="1"/>
      <c r="K123" t="s">
        <v>61</v>
      </c>
    </row>
    <row r="124" spans="1:11" x14ac:dyDescent="0.55000000000000004">
      <c r="A124" s="8" t="s">
        <v>6</v>
      </c>
      <c r="B124" s="8" t="s">
        <v>41</v>
      </c>
      <c r="C124" s="8" t="s">
        <v>34</v>
      </c>
      <c r="D124" s="8">
        <v>2003</v>
      </c>
      <c r="E124" s="13">
        <f>140429*2</f>
        <v>280858</v>
      </c>
      <c r="F124" s="1">
        <f>5088*2</f>
        <v>10176</v>
      </c>
      <c r="H124" s="1"/>
      <c r="I124" s="1"/>
      <c r="J124" s="1"/>
      <c r="K124" t="s">
        <v>61</v>
      </c>
    </row>
    <row r="125" spans="1:11" x14ac:dyDescent="0.55000000000000004">
      <c r="A125" s="8" t="s">
        <v>6</v>
      </c>
      <c r="B125" s="8" t="s">
        <v>41</v>
      </c>
      <c r="C125" s="8" t="s">
        <v>34</v>
      </c>
      <c r="D125" s="8">
        <v>2012</v>
      </c>
      <c r="E125" s="13">
        <f>118401*2</f>
        <v>236802</v>
      </c>
      <c r="F125" s="1">
        <f>8987*2</f>
        <v>17974</v>
      </c>
      <c r="I125" s="1"/>
      <c r="K125" t="s">
        <v>44</v>
      </c>
    </row>
    <row r="126" spans="1:11" x14ac:dyDescent="0.55000000000000004">
      <c r="A126" s="8" t="s">
        <v>6</v>
      </c>
      <c r="B126" s="8" t="s">
        <v>41</v>
      </c>
      <c r="C126" s="8" t="s">
        <v>34</v>
      </c>
      <c r="D126" s="8">
        <v>2023</v>
      </c>
      <c r="E126" s="13">
        <f>168095*2</f>
        <v>336190</v>
      </c>
      <c r="F126" s="1">
        <f>10226*2</f>
        <v>20452</v>
      </c>
      <c r="I126" s="1"/>
      <c r="K126" t="s">
        <v>44</v>
      </c>
    </row>
    <row r="127" spans="1:11" x14ac:dyDescent="0.55000000000000004">
      <c r="A127" s="8" t="s">
        <v>6</v>
      </c>
      <c r="B127" s="8" t="s">
        <v>41</v>
      </c>
      <c r="C127" s="8" t="s">
        <v>31</v>
      </c>
      <c r="D127" s="7">
        <v>1979</v>
      </c>
      <c r="E127" s="15">
        <f>265*2</f>
        <v>530</v>
      </c>
      <c r="F127" s="1"/>
      <c r="I127" s="1">
        <f>1287*0.08*2</f>
        <v>205.92000000000002</v>
      </c>
      <c r="J127">
        <v>978</v>
      </c>
      <c r="K127" t="s">
        <v>59</v>
      </c>
    </row>
    <row r="128" spans="1:11" x14ac:dyDescent="0.55000000000000004">
      <c r="A128" s="8" t="s">
        <v>6</v>
      </c>
      <c r="B128" s="8" t="s">
        <v>41</v>
      </c>
      <c r="C128" s="8" t="s">
        <v>31</v>
      </c>
      <c r="D128" s="7">
        <v>2018</v>
      </c>
      <c r="E128" s="15">
        <f>12649*2</f>
        <v>25298</v>
      </c>
      <c r="F128" s="1">
        <f>4520*2</f>
        <v>9040</v>
      </c>
      <c r="I128" s="1"/>
      <c r="K128" t="s">
        <v>62</v>
      </c>
    </row>
    <row r="129" spans="1:11" x14ac:dyDescent="0.55000000000000004">
      <c r="A129" s="8" t="s">
        <v>6</v>
      </c>
      <c r="B129" s="8" t="s">
        <v>41</v>
      </c>
      <c r="C129" s="8" t="s">
        <v>37</v>
      </c>
      <c r="D129" s="7">
        <v>1979</v>
      </c>
      <c r="E129" s="15">
        <f>1505*2</f>
        <v>3010</v>
      </c>
      <c r="F129" s="1"/>
      <c r="I129" s="1"/>
      <c r="K129" t="s">
        <v>59</v>
      </c>
    </row>
    <row r="130" spans="1:11" x14ac:dyDescent="0.55000000000000004">
      <c r="A130" s="8" t="s">
        <v>6</v>
      </c>
      <c r="B130" s="8" t="s">
        <v>41</v>
      </c>
      <c r="C130" s="8" t="s">
        <v>37</v>
      </c>
      <c r="D130" s="7">
        <v>2018</v>
      </c>
      <c r="E130" s="15">
        <f>8881*2</f>
        <v>17762</v>
      </c>
      <c r="F130" s="1">
        <f>1539*2</f>
        <v>3078</v>
      </c>
      <c r="I130" s="1"/>
      <c r="K130" t="s">
        <v>62</v>
      </c>
    </row>
    <row r="131" spans="1:11" x14ac:dyDescent="0.55000000000000004">
      <c r="A131" s="8" t="s">
        <v>6</v>
      </c>
      <c r="B131" s="8" t="s">
        <v>41</v>
      </c>
      <c r="C131" s="8" t="s">
        <v>36</v>
      </c>
      <c r="D131" s="7">
        <v>1979</v>
      </c>
      <c r="E131" s="15">
        <f>31520*0.797*2</f>
        <v>50242.880000000005</v>
      </c>
      <c r="F131" s="1"/>
      <c r="I131" s="1">
        <f>31520*0.72*2</f>
        <v>45388.799999999996</v>
      </c>
      <c r="J131" s="1">
        <f>31520*0.87*2</f>
        <v>54844.800000000003</v>
      </c>
      <c r="K131" t="s">
        <v>59</v>
      </c>
    </row>
    <row r="132" spans="1:11" x14ac:dyDescent="0.55000000000000004">
      <c r="A132" s="8" t="s">
        <v>6</v>
      </c>
      <c r="B132" s="8" t="s">
        <v>41</v>
      </c>
      <c r="C132" s="8" t="s">
        <v>36</v>
      </c>
      <c r="D132" s="7">
        <v>1980</v>
      </c>
      <c r="E132" s="15">
        <f>34158*0.594*2</f>
        <v>40579.703999999998</v>
      </c>
      <c r="F132" s="1">
        <f>34158*0.073*2</f>
        <v>4987.0679999999993</v>
      </c>
      <c r="I132" s="1"/>
      <c r="J132" s="1"/>
      <c r="K132" t="s">
        <v>63</v>
      </c>
    </row>
    <row r="133" spans="1:11" x14ac:dyDescent="0.55000000000000004">
      <c r="A133" s="8" t="s">
        <v>6</v>
      </c>
      <c r="B133" s="8" t="s">
        <v>41</v>
      </c>
      <c r="C133" s="8" t="s">
        <v>36</v>
      </c>
      <c r="D133" s="7">
        <v>1984</v>
      </c>
      <c r="E133" s="15">
        <f>0.693*21600*2</f>
        <v>29937.599999999999</v>
      </c>
      <c r="F133" s="1">
        <f>0.031*21600*2</f>
        <v>1339.2</v>
      </c>
      <c r="I133" s="1"/>
      <c r="J133" s="1"/>
      <c r="K133" t="s">
        <v>63</v>
      </c>
    </row>
    <row r="134" spans="1:11" x14ac:dyDescent="0.55000000000000004">
      <c r="A134" s="8" t="s">
        <v>6</v>
      </c>
      <c r="B134" s="8" t="s">
        <v>41</v>
      </c>
      <c r="C134" s="8" t="s">
        <v>36</v>
      </c>
      <c r="D134" s="7">
        <v>2001</v>
      </c>
      <c r="E134" s="15">
        <f>6190*2</f>
        <v>12380</v>
      </c>
      <c r="F134" s="1">
        <f>355*2</f>
        <v>710</v>
      </c>
      <c r="I134" s="1"/>
      <c r="J134" s="1"/>
      <c r="K134" t="s">
        <v>63</v>
      </c>
    </row>
    <row r="135" spans="1:11" x14ac:dyDescent="0.55000000000000004">
      <c r="A135" s="8" t="s">
        <v>6</v>
      </c>
      <c r="B135" s="8" t="s">
        <v>41</v>
      </c>
      <c r="C135" s="8" t="s">
        <v>36</v>
      </c>
      <c r="D135" s="7">
        <v>2018</v>
      </c>
      <c r="E135" s="15">
        <f>16859*2</f>
        <v>33718</v>
      </c>
      <c r="F135" s="1">
        <f>3506*2</f>
        <v>7012</v>
      </c>
      <c r="I135" s="1"/>
      <c r="J135" s="1"/>
      <c r="K135" t="s">
        <v>62</v>
      </c>
    </row>
    <row r="136" spans="1:11" x14ac:dyDescent="0.55000000000000004">
      <c r="A136" s="8" t="s">
        <v>6</v>
      </c>
      <c r="B136" s="8" t="s">
        <v>41</v>
      </c>
      <c r="C136" s="8" t="s">
        <v>28</v>
      </c>
      <c r="D136" s="8">
        <v>1965</v>
      </c>
      <c r="E136" s="6">
        <v>3000</v>
      </c>
      <c r="I136" s="1"/>
      <c r="K136" t="s">
        <v>65</v>
      </c>
    </row>
    <row r="137" spans="1:11" x14ac:dyDescent="0.55000000000000004">
      <c r="A137" s="8" t="s">
        <v>6</v>
      </c>
      <c r="B137" s="8" t="s">
        <v>41</v>
      </c>
      <c r="C137" s="8" t="s">
        <v>28</v>
      </c>
      <c r="D137" s="8">
        <v>1971</v>
      </c>
      <c r="E137" s="6">
        <v>3000</v>
      </c>
      <c r="I137" s="1"/>
      <c r="K137" t="s">
        <v>65</v>
      </c>
    </row>
    <row r="138" spans="1:11" x14ac:dyDescent="0.55000000000000004">
      <c r="A138" s="8" t="s">
        <v>6</v>
      </c>
      <c r="B138" s="8" t="s">
        <v>41</v>
      </c>
      <c r="C138" s="8" t="s">
        <v>28</v>
      </c>
      <c r="D138" s="8">
        <v>1974</v>
      </c>
      <c r="E138" s="6">
        <v>1780</v>
      </c>
      <c r="I138" s="1"/>
      <c r="K138" t="s">
        <v>65</v>
      </c>
    </row>
    <row r="139" spans="1:11" x14ac:dyDescent="0.55000000000000004">
      <c r="A139" s="8" t="s">
        <v>6</v>
      </c>
      <c r="B139" s="8" t="s">
        <v>41</v>
      </c>
      <c r="C139" s="8" t="s">
        <v>28</v>
      </c>
      <c r="D139" s="8">
        <v>1975</v>
      </c>
      <c r="E139" s="6">
        <v>1500</v>
      </c>
      <c r="I139" s="1"/>
      <c r="J139" s="1"/>
      <c r="K139" t="s">
        <v>65</v>
      </c>
    </row>
    <row r="140" spans="1:11" x14ac:dyDescent="0.55000000000000004">
      <c r="A140" s="8" t="s">
        <v>6</v>
      </c>
      <c r="B140" s="8" t="s">
        <v>41</v>
      </c>
      <c r="C140" s="8" t="s">
        <v>28</v>
      </c>
      <c r="D140" s="8">
        <v>1976</v>
      </c>
      <c r="E140" s="6">
        <v>4600</v>
      </c>
      <c r="I140" s="1"/>
      <c r="J140" s="1"/>
      <c r="K140" t="s">
        <v>65</v>
      </c>
    </row>
    <row r="141" spans="1:11" x14ac:dyDescent="0.55000000000000004">
      <c r="A141" s="8" t="s">
        <v>6</v>
      </c>
      <c r="B141" s="8" t="s">
        <v>41</v>
      </c>
      <c r="C141" s="8" t="s">
        <v>28</v>
      </c>
      <c r="D141" s="8">
        <v>1977</v>
      </c>
      <c r="E141" s="6">
        <v>1200</v>
      </c>
      <c r="K141" t="s">
        <v>65</v>
      </c>
    </row>
    <row r="142" spans="1:11" x14ac:dyDescent="0.55000000000000004">
      <c r="A142" s="8" t="s">
        <v>6</v>
      </c>
      <c r="B142" s="8" t="s">
        <v>41</v>
      </c>
      <c r="C142" s="8" t="s">
        <v>28</v>
      </c>
      <c r="D142" s="8">
        <v>1978</v>
      </c>
      <c r="E142" s="6">
        <v>1100</v>
      </c>
      <c r="K142" t="s">
        <v>65</v>
      </c>
    </row>
    <row r="143" spans="1:11" x14ac:dyDescent="0.55000000000000004">
      <c r="A143" s="8" t="s">
        <v>6</v>
      </c>
      <c r="B143" s="8" t="s">
        <v>41</v>
      </c>
      <c r="C143" s="8" t="s">
        <v>28</v>
      </c>
      <c r="D143" s="8">
        <v>1978</v>
      </c>
      <c r="E143" s="6">
        <v>3000</v>
      </c>
      <c r="K143" t="s">
        <v>65</v>
      </c>
    </row>
    <row r="144" spans="1:11" x14ac:dyDescent="0.55000000000000004">
      <c r="A144" s="8" t="s">
        <v>6</v>
      </c>
      <c r="B144" s="8" t="s">
        <v>41</v>
      </c>
      <c r="C144" s="8" t="s">
        <v>28</v>
      </c>
      <c r="D144" s="8">
        <v>1979</v>
      </c>
      <c r="E144" s="6">
        <v>1300</v>
      </c>
      <c r="K144" t="s">
        <v>65</v>
      </c>
    </row>
    <row r="145" spans="1:12" x14ac:dyDescent="0.55000000000000004">
      <c r="A145" s="8" t="s">
        <v>6</v>
      </c>
      <c r="B145" s="8" t="s">
        <v>41</v>
      </c>
      <c r="C145" s="8" t="s">
        <v>28</v>
      </c>
      <c r="D145" s="8">
        <v>1979</v>
      </c>
      <c r="E145" s="6">
        <v>1626</v>
      </c>
      <c r="K145" t="s">
        <v>65</v>
      </c>
    </row>
    <row r="146" spans="1:12" x14ac:dyDescent="0.55000000000000004">
      <c r="A146" s="8" t="s">
        <v>6</v>
      </c>
      <c r="B146" s="8" t="s">
        <v>41</v>
      </c>
      <c r="C146" s="8" t="s">
        <v>28</v>
      </c>
      <c r="D146" s="8">
        <v>1980</v>
      </c>
      <c r="E146" s="6">
        <v>1500</v>
      </c>
      <c r="K146" t="s">
        <v>65</v>
      </c>
    </row>
    <row r="147" spans="1:12" x14ac:dyDescent="0.55000000000000004">
      <c r="A147" s="8" t="s">
        <v>6</v>
      </c>
      <c r="B147" s="8" t="s">
        <v>41</v>
      </c>
      <c r="C147" s="8" t="s">
        <v>28</v>
      </c>
      <c r="D147" s="8">
        <v>1981</v>
      </c>
      <c r="E147" s="6">
        <v>1600</v>
      </c>
      <c r="K147" t="s">
        <v>65</v>
      </c>
    </row>
    <row r="148" spans="1:12" x14ac:dyDescent="0.55000000000000004">
      <c r="A148" s="8" t="s">
        <v>6</v>
      </c>
      <c r="B148" s="8" t="s">
        <v>41</v>
      </c>
      <c r="C148" s="8" t="s">
        <v>28</v>
      </c>
      <c r="D148" s="8">
        <v>1982</v>
      </c>
      <c r="E148" s="6">
        <v>1600</v>
      </c>
      <c r="K148" t="s">
        <v>65</v>
      </c>
    </row>
    <row r="149" spans="1:12" x14ac:dyDescent="0.55000000000000004">
      <c r="A149" s="8" t="s">
        <v>6</v>
      </c>
      <c r="B149" s="8" t="s">
        <v>41</v>
      </c>
      <c r="C149" s="8" t="s">
        <v>28</v>
      </c>
      <c r="D149" s="8">
        <v>1983</v>
      </c>
      <c r="E149" s="6">
        <v>1500</v>
      </c>
      <c r="K149" t="s">
        <v>65</v>
      </c>
    </row>
    <row r="150" spans="1:12" x14ac:dyDescent="0.55000000000000004">
      <c r="A150" s="8" t="s">
        <v>6</v>
      </c>
      <c r="B150" s="8" t="s">
        <v>41</v>
      </c>
      <c r="C150" s="8" t="s">
        <v>28</v>
      </c>
      <c r="D150" s="8">
        <v>1987</v>
      </c>
      <c r="E150" s="6">
        <v>1700</v>
      </c>
      <c r="K150" t="s">
        <v>65</v>
      </c>
    </row>
    <row r="151" spans="1:12" x14ac:dyDescent="0.55000000000000004">
      <c r="A151" s="8" t="s">
        <v>6</v>
      </c>
      <c r="B151" s="8" t="s">
        <v>41</v>
      </c>
      <c r="C151" s="8" t="s">
        <v>28</v>
      </c>
      <c r="D151" s="8">
        <v>1998</v>
      </c>
      <c r="E151" s="6">
        <v>2000</v>
      </c>
      <c r="K151" t="s">
        <v>65</v>
      </c>
    </row>
    <row r="152" spans="1:12" x14ac:dyDescent="0.55000000000000004">
      <c r="A152" s="8" t="s">
        <v>6</v>
      </c>
      <c r="B152" s="8" t="s">
        <v>41</v>
      </c>
      <c r="C152" s="8" t="s">
        <v>28</v>
      </c>
      <c r="D152" s="8">
        <v>2000</v>
      </c>
      <c r="E152" s="6">
        <v>16048</v>
      </c>
      <c r="K152" t="s">
        <v>65</v>
      </c>
      <c r="L152" t="s">
        <v>66</v>
      </c>
    </row>
    <row r="153" spans="1:12" x14ac:dyDescent="0.55000000000000004">
      <c r="A153" s="8" t="s">
        <v>6</v>
      </c>
      <c r="B153" s="8" t="s">
        <v>41</v>
      </c>
      <c r="C153" s="8" t="s">
        <v>28</v>
      </c>
      <c r="D153" s="8">
        <v>2003</v>
      </c>
      <c r="E153" s="6">
        <v>14668</v>
      </c>
      <c r="K153" t="s">
        <v>65</v>
      </c>
      <c r="L153" t="s">
        <v>66</v>
      </c>
    </row>
    <row r="154" spans="1:12" x14ac:dyDescent="0.55000000000000004">
      <c r="A154" s="8" t="s">
        <v>6</v>
      </c>
      <c r="B154" s="8" t="s">
        <v>41</v>
      </c>
      <c r="C154" s="8" t="s">
        <v>28</v>
      </c>
      <c r="D154" s="8">
        <v>2011</v>
      </c>
      <c r="E154" s="6">
        <v>15676</v>
      </c>
      <c r="K154" t="s">
        <v>65</v>
      </c>
      <c r="L154" t="s">
        <v>66</v>
      </c>
    </row>
    <row r="155" spans="1:12" x14ac:dyDescent="0.55000000000000004">
      <c r="A155" s="8" t="s">
        <v>6</v>
      </c>
      <c r="B155" s="8" t="s">
        <v>41</v>
      </c>
      <c r="C155" s="8" t="s">
        <v>28</v>
      </c>
      <c r="D155" s="8">
        <v>2015</v>
      </c>
      <c r="E155" s="6">
        <v>10350</v>
      </c>
      <c r="K155" t="s">
        <v>65</v>
      </c>
      <c r="L155" t="s">
        <v>66</v>
      </c>
    </row>
    <row r="156" spans="1:12" x14ac:dyDescent="0.55000000000000004">
      <c r="A156" s="8" t="s">
        <v>6</v>
      </c>
      <c r="B156" s="8" t="s">
        <v>41</v>
      </c>
      <c r="C156" s="8" t="s">
        <v>28</v>
      </c>
      <c r="D156" s="8">
        <v>2016</v>
      </c>
      <c r="E156" s="6">
        <v>9592</v>
      </c>
      <c r="K156" t="s">
        <v>65</v>
      </c>
      <c r="L156" t="s">
        <v>66</v>
      </c>
    </row>
    <row r="157" spans="1:12" x14ac:dyDescent="0.55000000000000004">
      <c r="A157" s="8" t="s">
        <v>6</v>
      </c>
      <c r="B157" s="8" t="s">
        <v>41</v>
      </c>
      <c r="C157" s="8" t="s">
        <v>28</v>
      </c>
      <c r="D157" s="8">
        <v>2019</v>
      </c>
      <c r="E157" s="6">
        <v>17270</v>
      </c>
      <c r="K157" t="s">
        <v>65</v>
      </c>
      <c r="L157" t="s">
        <v>66</v>
      </c>
    </row>
    <row r="158" spans="1:12" x14ac:dyDescent="0.55000000000000004">
      <c r="A158" s="8" t="s">
        <v>6</v>
      </c>
      <c r="B158" s="8" t="s">
        <v>41</v>
      </c>
      <c r="C158" s="8" t="s">
        <v>30</v>
      </c>
      <c r="D158" s="8">
        <v>1979</v>
      </c>
      <c r="E158" s="6">
        <v>58748</v>
      </c>
      <c r="K158" s="4" t="s">
        <v>43</v>
      </c>
      <c r="L158" t="s">
        <v>56</v>
      </c>
    </row>
    <row r="159" spans="1:12" x14ac:dyDescent="0.55000000000000004">
      <c r="A159" s="8" t="s">
        <v>6</v>
      </c>
      <c r="B159" s="8" t="s">
        <v>41</v>
      </c>
      <c r="C159" s="8" t="s">
        <v>30</v>
      </c>
      <c r="D159" s="8">
        <v>1984</v>
      </c>
      <c r="E159" s="6">
        <v>60000</v>
      </c>
      <c r="K159" t="s">
        <v>65</v>
      </c>
      <c r="L159" t="s">
        <v>56</v>
      </c>
    </row>
    <row r="160" spans="1:12" x14ac:dyDescent="0.55000000000000004">
      <c r="A160" s="8" t="s">
        <v>6</v>
      </c>
      <c r="B160" s="8" t="s">
        <v>41</v>
      </c>
      <c r="C160" s="8" t="s">
        <v>30</v>
      </c>
      <c r="D160" s="8">
        <v>1996</v>
      </c>
      <c r="E160" s="6">
        <v>90600</v>
      </c>
      <c r="K160" t="s">
        <v>65</v>
      </c>
      <c r="L160" t="s">
        <v>56</v>
      </c>
    </row>
    <row r="161" spans="1:12" x14ac:dyDescent="0.55000000000000004">
      <c r="A161" s="8" t="s">
        <v>6</v>
      </c>
      <c r="B161" s="8" t="s">
        <v>41</v>
      </c>
      <c r="C161" s="8" t="s">
        <v>30</v>
      </c>
      <c r="D161" s="8">
        <v>2005</v>
      </c>
      <c r="E161" s="6">
        <v>150000</v>
      </c>
      <c r="K161" t="s">
        <v>65</v>
      </c>
      <c r="L161" t="s">
        <v>56</v>
      </c>
    </row>
    <row r="162" spans="1:12" x14ac:dyDescent="0.55000000000000004">
      <c r="A162" s="8" t="s">
        <v>6</v>
      </c>
      <c r="B162" s="8" t="s">
        <v>41</v>
      </c>
      <c r="C162" s="7" t="s">
        <v>67</v>
      </c>
      <c r="D162" s="7">
        <v>1985</v>
      </c>
      <c r="E162" s="16">
        <v>2000</v>
      </c>
      <c r="K162" t="s">
        <v>65</v>
      </c>
      <c r="L162" t="s">
        <v>56</v>
      </c>
    </row>
    <row r="163" spans="1:12" x14ac:dyDescent="0.55000000000000004">
      <c r="A163" s="8" t="s">
        <v>6</v>
      </c>
      <c r="B163" s="8" t="s">
        <v>41</v>
      </c>
      <c r="C163" s="7" t="s">
        <v>67</v>
      </c>
      <c r="D163" s="7">
        <v>2019</v>
      </c>
      <c r="E163" s="16">
        <v>18782</v>
      </c>
      <c r="K163" t="s">
        <v>65</v>
      </c>
      <c r="L163" t="s">
        <v>56</v>
      </c>
    </row>
    <row r="164" spans="1:12" x14ac:dyDescent="0.55000000000000004">
      <c r="A164" s="8" t="s">
        <v>6</v>
      </c>
      <c r="B164" s="8" t="s">
        <v>41</v>
      </c>
      <c r="C164" s="7" t="s">
        <v>68</v>
      </c>
      <c r="D164" s="7">
        <v>1978</v>
      </c>
      <c r="E164" s="6">
        <v>3894</v>
      </c>
      <c r="K164" t="s">
        <v>65</v>
      </c>
      <c r="L164" t="s">
        <v>56</v>
      </c>
    </row>
    <row r="165" spans="1:12" x14ac:dyDescent="0.55000000000000004">
      <c r="A165" s="8" t="s">
        <v>6</v>
      </c>
      <c r="B165" s="8" t="s">
        <v>41</v>
      </c>
      <c r="C165" s="7" t="s">
        <v>68</v>
      </c>
      <c r="D165" s="7">
        <v>2002</v>
      </c>
      <c r="E165" s="6">
        <v>1238</v>
      </c>
      <c r="K165" t="s">
        <v>65</v>
      </c>
      <c r="L165" t="s">
        <v>56</v>
      </c>
    </row>
    <row r="166" spans="1:12" x14ac:dyDescent="0.55000000000000004">
      <c r="A166" s="8" t="s">
        <v>6</v>
      </c>
      <c r="B166" s="8" t="s">
        <v>41</v>
      </c>
      <c r="C166" s="11" t="s">
        <v>73</v>
      </c>
      <c r="D166" s="7">
        <v>1925</v>
      </c>
      <c r="E166" s="6">
        <v>300</v>
      </c>
      <c r="K166" t="s">
        <v>64</v>
      </c>
      <c r="L166" t="s">
        <v>56</v>
      </c>
    </row>
    <row r="167" spans="1:12" x14ac:dyDescent="0.55000000000000004">
      <c r="A167" s="6" t="s">
        <v>6</v>
      </c>
      <c r="B167" s="6" t="s">
        <v>41</v>
      </c>
      <c r="C167" s="11" t="s">
        <v>73</v>
      </c>
      <c r="D167" s="6">
        <v>1930</v>
      </c>
      <c r="E167" s="6">
        <v>516</v>
      </c>
      <c r="K167" t="s">
        <v>64</v>
      </c>
      <c r="L167" t="s">
        <v>56</v>
      </c>
    </row>
    <row r="168" spans="1:12" x14ac:dyDescent="0.55000000000000004">
      <c r="A168" s="6" t="s">
        <v>6</v>
      </c>
      <c r="B168" s="6" t="s">
        <v>41</v>
      </c>
      <c r="C168" s="11" t="s">
        <v>73</v>
      </c>
      <c r="D168" s="6">
        <v>1935</v>
      </c>
      <c r="E168" s="6">
        <v>600</v>
      </c>
      <c r="K168" t="s">
        <v>64</v>
      </c>
      <c r="L168" t="s">
        <v>56</v>
      </c>
    </row>
    <row r="169" spans="1:12" x14ac:dyDescent="0.55000000000000004">
      <c r="A169" s="6" t="s">
        <v>6</v>
      </c>
      <c r="B169" s="6" t="s">
        <v>41</v>
      </c>
      <c r="C169" s="11" t="s">
        <v>73</v>
      </c>
      <c r="D169" s="6">
        <v>1940</v>
      </c>
      <c r="E169" s="6">
        <v>750</v>
      </c>
      <c r="K169" t="s">
        <v>64</v>
      </c>
      <c r="L169" t="s">
        <v>56</v>
      </c>
    </row>
    <row r="170" spans="1:12" x14ac:dyDescent="0.55000000000000004">
      <c r="A170" s="6" t="s">
        <v>6</v>
      </c>
      <c r="B170" s="6" t="s">
        <v>41</v>
      </c>
      <c r="C170" s="11" t="s">
        <v>73</v>
      </c>
      <c r="D170" s="6">
        <v>1945</v>
      </c>
      <c r="E170" s="6">
        <v>610</v>
      </c>
      <c r="K170" t="s">
        <v>64</v>
      </c>
      <c r="L170" t="s">
        <v>56</v>
      </c>
    </row>
    <row r="171" spans="1:12" x14ac:dyDescent="0.55000000000000004">
      <c r="A171" s="6" t="s">
        <v>6</v>
      </c>
      <c r="B171" s="6" t="s">
        <v>41</v>
      </c>
      <c r="C171" s="11" t="s">
        <v>73</v>
      </c>
      <c r="D171" s="6">
        <v>1950</v>
      </c>
      <c r="E171" s="6">
        <v>662</v>
      </c>
      <c r="K171" t="s">
        <v>64</v>
      </c>
      <c r="L171" t="s">
        <v>56</v>
      </c>
    </row>
    <row r="172" spans="1:12" x14ac:dyDescent="0.55000000000000004">
      <c r="A172" s="6" t="s">
        <v>6</v>
      </c>
      <c r="B172" s="6" t="s">
        <v>41</v>
      </c>
      <c r="C172" s="11" t="s">
        <v>73</v>
      </c>
      <c r="D172" s="6">
        <v>1955</v>
      </c>
      <c r="E172" s="6">
        <v>232</v>
      </c>
      <c r="K172" t="s">
        <v>64</v>
      </c>
      <c r="L172" t="s">
        <v>56</v>
      </c>
    </row>
    <row r="173" spans="1:12" x14ac:dyDescent="0.55000000000000004">
      <c r="A173" s="6" t="s">
        <v>6</v>
      </c>
      <c r="B173" s="6" t="s">
        <v>41</v>
      </c>
      <c r="C173" s="11" t="s">
        <v>73</v>
      </c>
      <c r="D173" s="6">
        <v>1960</v>
      </c>
      <c r="E173" s="6">
        <v>205</v>
      </c>
      <c r="K173" t="s">
        <v>64</v>
      </c>
      <c r="L173" t="s">
        <v>56</v>
      </c>
    </row>
    <row r="174" spans="1:12" x14ac:dyDescent="0.55000000000000004">
      <c r="A174" s="6" t="s">
        <v>6</v>
      </c>
      <c r="B174" s="6" t="s">
        <v>41</v>
      </c>
      <c r="C174" s="11" t="s">
        <v>73</v>
      </c>
      <c r="D174" s="6">
        <v>1965</v>
      </c>
      <c r="E174" s="12">
        <v>430</v>
      </c>
      <c r="K174" t="s">
        <v>64</v>
      </c>
      <c r="L174" t="s">
        <v>56</v>
      </c>
    </row>
    <row r="175" spans="1:12" x14ac:dyDescent="0.55000000000000004">
      <c r="A175" s="6" t="s">
        <v>6</v>
      </c>
      <c r="B175" s="6" t="s">
        <v>41</v>
      </c>
      <c r="C175" s="11" t="s">
        <v>73</v>
      </c>
      <c r="D175" s="6">
        <v>1972</v>
      </c>
      <c r="E175" s="12">
        <v>190</v>
      </c>
      <c r="K175" t="s">
        <v>64</v>
      </c>
      <c r="L175" t="s">
        <v>56</v>
      </c>
    </row>
    <row r="176" spans="1:12" x14ac:dyDescent="0.55000000000000004">
      <c r="A176" s="6" t="s">
        <v>6</v>
      </c>
      <c r="B176" s="6" t="s">
        <v>41</v>
      </c>
      <c r="C176" s="11" t="s">
        <v>73</v>
      </c>
      <c r="D176" s="6">
        <v>1977</v>
      </c>
      <c r="E176" s="12">
        <v>88</v>
      </c>
      <c r="K176" t="s">
        <v>64</v>
      </c>
      <c r="L176" t="s">
        <v>56</v>
      </c>
    </row>
    <row r="177" spans="1:12" x14ac:dyDescent="0.55000000000000004">
      <c r="A177" s="6" t="s">
        <v>6</v>
      </c>
      <c r="B177" s="6" t="s">
        <v>41</v>
      </c>
      <c r="C177" s="11" t="s">
        <v>73</v>
      </c>
      <c r="D177" s="6">
        <v>1982</v>
      </c>
      <c r="E177" s="12">
        <v>182</v>
      </c>
      <c r="K177" t="s">
        <v>64</v>
      </c>
      <c r="L177" t="s">
        <v>56</v>
      </c>
    </row>
    <row r="178" spans="1:12" x14ac:dyDescent="0.55000000000000004">
      <c r="A178" s="6" t="s">
        <v>6</v>
      </c>
      <c r="B178" s="6" t="s">
        <v>41</v>
      </c>
      <c r="C178" s="11" t="s">
        <v>73</v>
      </c>
      <c r="D178" s="6">
        <v>1988</v>
      </c>
      <c r="E178" s="12">
        <v>226</v>
      </c>
      <c r="K178" t="s">
        <v>64</v>
      </c>
      <c r="L178" t="s">
        <v>56</v>
      </c>
    </row>
    <row r="179" spans="1:12" x14ac:dyDescent="0.55000000000000004">
      <c r="A179" s="6" t="s">
        <v>6</v>
      </c>
      <c r="B179" s="6" t="s">
        <v>41</v>
      </c>
      <c r="C179" s="11" t="s">
        <v>73</v>
      </c>
      <c r="D179" s="6">
        <v>1993</v>
      </c>
      <c r="E179" s="12">
        <v>276</v>
      </c>
      <c r="K179" t="s">
        <v>64</v>
      </c>
      <c r="L179" t="s">
        <v>56</v>
      </c>
    </row>
    <row r="180" spans="1:12" x14ac:dyDescent="0.55000000000000004">
      <c r="A180" s="6" t="s">
        <v>6</v>
      </c>
      <c r="B180" s="6" t="s">
        <v>41</v>
      </c>
      <c r="C180" s="11" t="s">
        <v>73</v>
      </c>
      <c r="D180" s="6">
        <v>1999</v>
      </c>
      <c r="E180" s="12">
        <v>324</v>
      </c>
      <c r="K180" t="s">
        <v>64</v>
      </c>
      <c r="L180" t="s">
        <v>56</v>
      </c>
    </row>
    <row r="181" spans="1:12" x14ac:dyDescent="0.55000000000000004">
      <c r="A181" s="6" t="s">
        <v>6</v>
      </c>
      <c r="B181" s="6" t="s">
        <v>41</v>
      </c>
      <c r="C181" s="11" t="s">
        <v>73</v>
      </c>
      <c r="D181" s="6">
        <v>2005</v>
      </c>
      <c r="E181" s="12">
        <v>524</v>
      </c>
      <c r="K181" t="s">
        <v>64</v>
      </c>
      <c r="L181" t="s">
        <v>56</v>
      </c>
    </row>
    <row r="182" spans="1:12" x14ac:dyDescent="0.55000000000000004">
      <c r="A182" s="6" t="s">
        <v>6</v>
      </c>
      <c r="B182" s="6" t="s">
        <v>41</v>
      </c>
      <c r="C182" s="11" t="s">
        <v>73</v>
      </c>
      <c r="D182" s="6">
        <v>2010</v>
      </c>
      <c r="E182" s="12">
        <v>540</v>
      </c>
      <c r="K182" t="s">
        <v>64</v>
      </c>
      <c r="L182" t="s">
        <v>56</v>
      </c>
    </row>
    <row r="183" spans="1:12" x14ac:dyDescent="0.55000000000000004">
      <c r="A183" s="6" t="s">
        <v>6</v>
      </c>
      <c r="B183" s="6" t="s">
        <v>41</v>
      </c>
      <c r="C183" s="11" t="s">
        <v>73</v>
      </c>
      <c r="D183" s="6">
        <v>2015</v>
      </c>
      <c r="E183" s="12">
        <v>468</v>
      </c>
      <c r="K183" t="s">
        <v>64</v>
      </c>
      <c r="L183" t="s">
        <v>56</v>
      </c>
    </row>
    <row r="184" spans="1:12" x14ac:dyDescent="0.55000000000000004">
      <c r="A184" s="6" t="s">
        <v>6</v>
      </c>
      <c r="B184" s="6" t="s">
        <v>41</v>
      </c>
      <c r="C184" s="11" t="s">
        <v>73</v>
      </c>
      <c r="D184" s="6">
        <v>2022</v>
      </c>
      <c r="E184" s="12">
        <v>832</v>
      </c>
      <c r="K184" t="s">
        <v>64</v>
      </c>
      <c r="L184" t="s">
        <v>56</v>
      </c>
    </row>
    <row r="185" spans="1:12" x14ac:dyDescent="0.55000000000000004">
      <c r="A185" s="6" t="s">
        <v>6</v>
      </c>
      <c r="B185" s="6" t="s">
        <v>41</v>
      </c>
      <c r="C185" s="11" t="s">
        <v>74</v>
      </c>
      <c r="D185" s="7">
        <v>1925</v>
      </c>
      <c r="E185" s="6">
        <v>3000</v>
      </c>
      <c r="K185" t="s">
        <v>64</v>
      </c>
      <c r="L185" t="s">
        <v>56</v>
      </c>
    </row>
    <row r="186" spans="1:12" x14ac:dyDescent="0.55000000000000004">
      <c r="A186" s="6" t="s">
        <v>6</v>
      </c>
      <c r="B186" s="6" t="s">
        <v>41</v>
      </c>
      <c r="C186" s="11" t="s">
        <v>74</v>
      </c>
      <c r="D186" s="6">
        <v>1930</v>
      </c>
      <c r="E186" s="6">
        <v>6950</v>
      </c>
      <c r="K186" t="s">
        <v>64</v>
      </c>
      <c r="L186" t="s">
        <v>56</v>
      </c>
    </row>
    <row r="187" spans="1:12" x14ac:dyDescent="0.55000000000000004">
      <c r="A187" s="6" t="s">
        <v>6</v>
      </c>
      <c r="B187" s="6" t="s">
        <v>41</v>
      </c>
      <c r="C187" s="11" t="s">
        <v>74</v>
      </c>
      <c r="D187" s="6">
        <v>1935</v>
      </c>
      <c r="E187" s="6">
        <v>5134</v>
      </c>
      <c r="K187" t="s">
        <v>64</v>
      </c>
      <c r="L187" t="s">
        <v>56</v>
      </c>
    </row>
    <row r="188" spans="1:12" x14ac:dyDescent="0.55000000000000004">
      <c r="A188" s="6" t="s">
        <v>6</v>
      </c>
      <c r="B188" s="6" t="s">
        <v>41</v>
      </c>
      <c r="C188" s="11" t="s">
        <v>74</v>
      </c>
      <c r="D188" s="6">
        <v>1940</v>
      </c>
      <c r="E188" s="6">
        <v>9182</v>
      </c>
      <c r="K188" t="s">
        <v>64</v>
      </c>
      <c r="L188" t="s">
        <v>56</v>
      </c>
    </row>
    <row r="189" spans="1:12" x14ac:dyDescent="0.55000000000000004">
      <c r="A189" s="6" t="s">
        <v>6</v>
      </c>
      <c r="B189" s="6" t="s">
        <v>41</v>
      </c>
      <c r="C189" s="11" t="s">
        <v>74</v>
      </c>
      <c r="D189" s="6">
        <v>1945</v>
      </c>
      <c r="E189" s="6">
        <v>6300</v>
      </c>
      <c r="K189" t="s">
        <v>64</v>
      </c>
      <c r="L189" t="s">
        <v>56</v>
      </c>
    </row>
    <row r="190" spans="1:12" x14ac:dyDescent="0.55000000000000004">
      <c r="A190" s="6" t="s">
        <v>6</v>
      </c>
      <c r="B190" s="6" t="s">
        <v>41</v>
      </c>
      <c r="C190" s="11" t="s">
        <v>74</v>
      </c>
      <c r="D190" s="6">
        <v>1950</v>
      </c>
      <c r="E190" s="6">
        <v>5600</v>
      </c>
      <c r="K190" t="s">
        <v>64</v>
      </c>
      <c r="L190" t="s">
        <v>56</v>
      </c>
    </row>
    <row r="191" spans="1:12" x14ac:dyDescent="0.55000000000000004">
      <c r="A191" s="6" t="s">
        <v>6</v>
      </c>
      <c r="B191" s="6" t="s">
        <v>41</v>
      </c>
      <c r="C191" s="11" t="s">
        <v>74</v>
      </c>
      <c r="D191" s="6">
        <v>1955</v>
      </c>
      <c r="E191" s="6">
        <v>9670</v>
      </c>
      <c r="K191" t="s">
        <v>64</v>
      </c>
      <c r="L191" t="s">
        <v>56</v>
      </c>
    </row>
    <row r="192" spans="1:12" x14ac:dyDescent="0.55000000000000004">
      <c r="A192" s="6" t="s">
        <v>6</v>
      </c>
      <c r="B192" s="6" t="s">
        <v>41</v>
      </c>
      <c r="C192" s="11" t="s">
        <v>74</v>
      </c>
      <c r="D192" s="6">
        <v>1960</v>
      </c>
      <c r="E192" s="6">
        <v>11240</v>
      </c>
      <c r="K192" t="s">
        <v>64</v>
      </c>
      <c r="L192" t="s">
        <v>56</v>
      </c>
    </row>
    <row r="193" spans="1:12" x14ac:dyDescent="0.55000000000000004">
      <c r="A193" s="6" t="s">
        <v>6</v>
      </c>
      <c r="B193" s="6" t="s">
        <v>41</v>
      </c>
      <c r="C193" s="11" t="s">
        <v>74</v>
      </c>
      <c r="D193" s="6">
        <v>1965</v>
      </c>
      <c r="E193" s="12">
        <v>12500</v>
      </c>
      <c r="K193" t="s">
        <v>64</v>
      </c>
      <c r="L193" t="s">
        <v>56</v>
      </c>
    </row>
    <row r="194" spans="1:12" x14ac:dyDescent="0.55000000000000004">
      <c r="A194" s="6" t="s">
        <v>6</v>
      </c>
      <c r="B194" s="6" t="s">
        <v>41</v>
      </c>
      <c r="C194" s="11" t="s">
        <v>74</v>
      </c>
      <c r="D194" s="6">
        <v>1972</v>
      </c>
      <c r="E194" s="12">
        <v>9510</v>
      </c>
      <c r="K194" t="s">
        <v>64</v>
      </c>
      <c r="L194" t="s">
        <v>56</v>
      </c>
    </row>
    <row r="195" spans="1:12" x14ac:dyDescent="0.55000000000000004">
      <c r="A195" s="6" t="s">
        <v>6</v>
      </c>
      <c r="B195" s="6" t="s">
        <v>41</v>
      </c>
      <c r="C195" s="11" t="s">
        <v>74</v>
      </c>
      <c r="D195" s="6">
        <v>1977</v>
      </c>
      <c r="E195" s="12">
        <v>5652</v>
      </c>
      <c r="K195" t="s">
        <v>64</v>
      </c>
      <c r="L195" t="s">
        <v>56</v>
      </c>
    </row>
    <row r="196" spans="1:12" x14ac:dyDescent="0.55000000000000004">
      <c r="A196" s="6" t="s">
        <v>6</v>
      </c>
      <c r="B196" s="6" t="s">
        <v>41</v>
      </c>
      <c r="C196" s="11" t="s">
        <v>74</v>
      </c>
      <c r="D196" s="6">
        <v>1982</v>
      </c>
      <c r="E196" s="12">
        <v>11646</v>
      </c>
      <c r="K196" t="s">
        <v>64</v>
      </c>
      <c r="L196" t="s">
        <v>56</v>
      </c>
    </row>
    <row r="197" spans="1:12" x14ac:dyDescent="0.55000000000000004">
      <c r="A197" s="6" t="s">
        <v>6</v>
      </c>
      <c r="B197" s="6" t="s">
        <v>41</v>
      </c>
      <c r="C197" s="11" t="s">
        <v>74</v>
      </c>
      <c r="D197" s="6">
        <v>1988</v>
      </c>
      <c r="E197" s="12">
        <v>9030</v>
      </c>
      <c r="K197" t="s">
        <v>64</v>
      </c>
      <c r="L197" t="s">
        <v>56</v>
      </c>
    </row>
    <row r="198" spans="1:12" x14ac:dyDescent="0.55000000000000004">
      <c r="A198" s="6" t="s">
        <v>6</v>
      </c>
      <c r="B198" s="6" t="s">
        <v>41</v>
      </c>
      <c r="C198" s="11" t="s">
        <v>74</v>
      </c>
      <c r="D198" s="6">
        <v>1993</v>
      </c>
      <c r="E198" s="12">
        <v>13834</v>
      </c>
      <c r="K198" t="s">
        <v>64</v>
      </c>
      <c r="L198" t="s">
        <v>56</v>
      </c>
    </row>
    <row r="199" spans="1:12" x14ac:dyDescent="0.55000000000000004">
      <c r="A199" s="6" t="s">
        <v>6</v>
      </c>
      <c r="B199" s="6" t="s">
        <v>41</v>
      </c>
      <c r="C199" s="11" t="s">
        <v>74</v>
      </c>
      <c r="D199" s="6">
        <v>1999</v>
      </c>
      <c r="E199" s="12">
        <v>8318</v>
      </c>
      <c r="K199" t="s">
        <v>64</v>
      </c>
      <c r="L199" t="s">
        <v>56</v>
      </c>
    </row>
    <row r="200" spans="1:12" x14ac:dyDescent="0.55000000000000004">
      <c r="A200" s="6" t="s">
        <v>6</v>
      </c>
      <c r="B200" s="6" t="s">
        <v>41</v>
      </c>
      <c r="C200" s="11" t="s">
        <v>74</v>
      </c>
      <c r="D200" s="6">
        <v>2005</v>
      </c>
      <c r="E200" s="12">
        <f>948+826</f>
        <v>1774</v>
      </c>
      <c r="K200" t="s">
        <v>64</v>
      </c>
      <c r="L200" t="s">
        <v>56</v>
      </c>
    </row>
    <row r="201" spans="1:12" x14ac:dyDescent="0.55000000000000004">
      <c r="A201" s="6" t="s">
        <v>6</v>
      </c>
      <c r="B201" s="6" t="s">
        <v>41</v>
      </c>
      <c r="C201" s="11" t="s">
        <v>74</v>
      </c>
      <c r="D201" s="6">
        <v>2010</v>
      </c>
      <c r="E201" s="12">
        <v>4028</v>
      </c>
      <c r="K201" t="s">
        <v>64</v>
      </c>
      <c r="L201" t="s">
        <v>56</v>
      </c>
    </row>
    <row r="202" spans="1:12" x14ac:dyDescent="0.55000000000000004">
      <c r="A202" s="6" t="s">
        <v>6</v>
      </c>
      <c r="B202" s="6" t="s">
        <v>41</v>
      </c>
      <c r="C202" s="11" t="s">
        <v>74</v>
      </c>
      <c r="D202" s="6">
        <v>2015</v>
      </c>
      <c r="E202" s="12">
        <v>1688</v>
      </c>
      <c r="K202" t="s">
        <v>64</v>
      </c>
      <c r="L202" t="s">
        <v>56</v>
      </c>
    </row>
    <row r="203" spans="1:12" x14ac:dyDescent="0.55000000000000004">
      <c r="A203" s="6" t="s">
        <v>6</v>
      </c>
      <c r="B203" s="6" t="s">
        <v>41</v>
      </c>
      <c r="C203" s="11" t="s">
        <v>74</v>
      </c>
      <c r="D203" s="6">
        <v>2022</v>
      </c>
      <c r="E203" s="12">
        <v>756</v>
      </c>
      <c r="K203" t="s">
        <v>64</v>
      </c>
      <c r="L203" t="s">
        <v>56</v>
      </c>
    </row>
    <row r="204" spans="1:12" x14ac:dyDescent="0.55000000000000004">
      <c r="A204" s="6" t="s">
        <v>6</v>
      </c>
      <c r="B204" s="6" t="s">
        <v>41</v>
      </c>
      <c r="C204" s="11" t="s">
        <v>75</v>
      </c>
      <c r="D204" s="7">
        <v>1925</v>
      </c>
      <c r="E204" s="6">
        <v>1250</v>
      </c>
      <c r="K204" t="s">
        <v>64</v>
      </c>
      <c r="L204" t="s">
        <v>56</v>
      </c>
    </row>
    <row r="205" spans="1:12" x14ac:dyDescent="0.55000000000000004">
      <c r="A205" s="6" t="s">
        <v>6</v>
      </c>
      <c r="B205" s="6" t="s">
        <v>41</v>
      </c>
      <c r="C205" s="11" t="s">
        <v>75</v>
      </c>
      <c r="D205" s="6">
        <v>1930</v>
      </c>
      <c r="E205" s="6">
        <v>2446</v>
      </c>
      <c r="K205" t="s">
        <v>64</v>
      </c>
      <c r="L205" t="s">
        <v>56</v>
      </c>
    </row>
    <row r="206" spans="1:12" x14ac:dyDescent="0.55000000000000004">
      <c r="A206" s="6" t="s">
        <v>6</v>
      </c>
      <c r="B206" s="6" t="s">
        <v>41</v>
      </c>
      <c r="C206" s="11" t="s">
        <v>75</v>
      </c>
      <c r="D206" s="6">
        <v>1935</v>
      </c>
      <c r="E206" s="6">
        <v>3762</v>
      </c>
      <c r="K206" t="s">
        <v>64</v>
      </c>
      <c r="L206" t="s">
        <v>56</v>
      </c>
    </row>
    <row r="207" spans="1:12" x14ac:dyDescent="0.55000000000000004">
      <c r="A207" s="6" t="s">
        <v>6</v>
      </c>
      <c r="B207" s="6" t="s">
        <v>41</v>
      </c>
      <c r="C207" s="11" t="s">
        <v>75</v>
      </c>
      <c r="D207" s="6">
        <v>1940</v>
      </c>
      <c r="E207" s="6">
        <v>6162</v>
      </c>
      <c r="K207" t="s">
        <v>64</v>
      </c>
      <c r="L207" t="s">
        <v>56</v>
      </c>
    </row>
    <row r="208" spans="1:12" x14ac:dyDescent="0.55000000000000004">
      <c r="A208" s="6" t="s">
        <v>6</v>
      </c>
      <c r="B208" s="6" t="s">
        <v>41</v>
      </c>
      <c r="C208" s="11" t="s">
        <v>75</v>
      </c>
      <c r="D208" s="6">
        <v>1945</v>
      </c>
      <c r="E208" s="6">
        <v>4796</v>
      </c>
      <c r="K208" t="s">
        <v>64</v>
      </c>
      <c r="L208" t="s">
        <v>56</v>
      </c>
    </row>
    <row r="209" spans="1:12" x14ac:dyDescent="0.55000000000000004">
      <c r="A209" s="6" t="s">
        <v>6</v>
      </c>
      <c r="B209" s="6" t="s">
        <v>41</v>
      </c>
      <c r="C209" s="11" t="s">
        <v>75</v>
      </c>
      <c r="D209" s="6">
        <v>1950</v>
      </c>
      <c r="E209" s="6">
        <v>5400</v>
      </c>
      <c r="K209" t="s">
        <v>64</v>
      </c>
      <c r="L209" t="s">
        <v>56</v>
      </c>
    </row>
    <row r="210" spans="1:12" x14ac:dyDescent="0.55000000000000004">
      <c r="A210" s="6" t="s">
        <v>6</v>
      </c>
      <c r="B210" s="6" t="s">
        <v>41</v>
      </c>
      <c r="C210" s="11" t="s">
        <v>75</v>
      </c>
      <c r="D210" s="6">
        <v>1955</v>
      </c>
      <c r="E210" s="6">
        <v>2538</v>
      </c>
      <c r="K210" t="s">
        <v>64</v>
      </c>
      <c r="L210" t="s">
        <v>56</v>
      </c>
    </row>
    <row r="211" spans="1:12" x14ac:dyDescent="0.55000000000000004">
      <c r="A211" s="6" t="s">
        <v>6</v>
      </c>
      <c r="B211" s="6" t="s">
        <v>41</v>
      </c>
      <c r="C211" s="11" t="s">
        <v>75</v>
      </c>
      <c r="D211" s="6">
        <v>1960</v>
      </c>
      <c r="E211" s="6">
        <v>4838</v>
      </c>
      <c r="K211" t="s">
        <v>64</v>
      </c>
      <c r="L211" t="s">
        <v>56</v>
      </c>
    </row>
    <row r="212" spans="1:12" x14ac:dyDescent="0.55000000000000004">
      <c r="A212" s="6" t="s">
        <v>6</v>
      </c>
      <c r="B212" s="6" t="s">
        <v>41</v>
      </c>
      <c r="C212" s="11" t="s">
        <v>75</v>
      </c>
      <c r="D212" s="6">
        <v>1965</v>
      </c>
      <c r="E212" s="12">
        <v>1325</v>
      </c>
      <c r="K212" t="s">
        <v>64</v>
      </c>
      <c r="L212" t="s">
        <v>56</v>
      </c>
    </row>
    <row r="213" spans="1:12" x14ac:dyDescent="0.55000000000000004">
      <c r="A213" s="6" t="s">
        <v>6</v>
      </c>
      <c r="B213" s="6" t="s">
        <v>41</v>
      </c>
      <c r="C213" s="11" t="s">
        <v>75</v>
      </c>
      <c r="D213" s="6">
        <v>1972</v>
      </c>
      <c r="E213" s="12">
        <v>600</v>
      </c>
      <c r="K213" t="s">
        <v>64</v>
      </c>
      <c r="L213" t="s">
        <v>56</v>
      </c>
    </row>
    <row r="214" spans="1:12" x14ac:dyDescent="0.55000000000000004">
      <c r="A214" s="6" t="s">
        <v>6</v>
      </c>
      <c r="B214" s="6" t="s">
        <v>41</v>
      </c>
      <c r="C214" s="11" t="s">
        <v>75</v>
      </c>
      <c r="D214" s="6">
        <v>1977</v>
      </c>
      <c r="E214" s="12">
        <v>1546</v>
      </c>
      <c r="K214" t="s">
        <v>64</v>
      </c>
      <c r="L214" t="s">
        <v>56</v>
      </c>
    </row>
    <row r="215" spans="1:12" x14ac:dyDescent="0.55000000000000004">
      <c r="A215" s="6" t="s">
        <v>6</v>
      </c>
      <c r="B215" s="6" t="s">
        <v>41</v>
      </c>
      <c r="C215" s="11" t="s">
        <v>75</v>
      </c>
      <c r="D215" s="6">
        <v>1982</v>
      </c>
      <c r="E215" s="12">
        <v>2942</v>
      </c>
      <c r="K215" t="s">
        <v>64</v>
      </c>
      <c r="L215" t="s">
        <v>56</v>
      </c>
    </row>
    <row r="216" spans="1:12" x14ac:dyDescent="0.55000000000000004">
      <c r="A216" s="6" t="s">
        <v>6</v>
      </c>
      <c r="B216" s="6" t="s">
        <v>41</v>
      </c>
      <c r="C216" s="11" t="s">
        <v>75</v>
      </c>
      <c r="D216" s="6">
        <v>1988</v>
      </c>
      <c r="E216" s="12">
        <v>5306</v>
      </c>
      <c r="K216" t="s">
        <v>64</v>
      </c>
      <c r="L216" t="s">
        <v>56</v>
      </c>
    </row>
    <row r="217" spans="1:12" x14ac:dyDescent="0.55000000000000004">
      <c r="A217" s="6" t="s">
        <v>6</v>
      </c>
      <c r="B217" s="6" t="s">
        <v>41</v>
      </c>
      <c r="C217" s="11" t="s">
        <v>75</v>
      </c>
      <c r="D217" s="6">
        <v>1993</v>
      </c>
      <c r="E217" s="12">
        <v>5650</v>
      </c>
      <c r="K217" t="s">
        <v>64</v>
      </c>
      <c r="L217" t="s">
        <v>56</v>
      </c>
    </row>
    <row r="218" spans="1:12" x14ac:dyDescent="0.55000000000000004">
      <c r="A218" s="6" t="s">
        <v>6</v>
      </c>
      <c r="B218" s="6" t="s">
        <v>41</v>
      </c>
      <c r="C218" s="11" t="s">
        <v>75</v>
      </c>
      <c r="D218" s="6">
        <v>1999</v>
      </c>
      <c r="E218" s="12">
        <v>3020</v>
      </c>
      <c r="K218" t="s">
        <v>64</v>
      </c>
      <c r="L218" t="s">
        <v>56</v>
      </c>
    </row>
    <row r="219" spans="1:12" x14ac:dyDescent="0.55000000000000004">
      <c r="A219" s="6" t="s">
        <v>6</v>
      </c>
      <c r="B219" s="6" t="s">
        <v>41</v>
      </c>
      <c r="C219" s="11" t="s">
        <v>75</v>
      </c>
      <c r="D219" s="6">
        <v>2005</v>
      </c>
      <c r="E219" s="12">
        <v>2208</v>
      </c>
      <c r="K219" t="s">
        <v>64</v>
      </c>
      <c r="L219" t="s">
        <v>56</v>
      </c>
    </row>
    <row r="220" spans="1:12" x14ac:dyDescent="0.55000000000000004">
      <c r="A220" s="6" t="s">
        <v>6</v>
      </c>
      <c r="B220" s="6" t="s">
        <v>41</v>
      </c>
      <c r="C220" s="11" t="s">
        <v>75</v>
      </c>
      <c r="D220" s="6">
        <v>2010</v>
      </c>
      <c r="E220" s="12">
        <v>837</v>
      </c>
      <c r="K220" t="s">
        <v>64</v>
      </c>
      <c r="L220" t="s">
        <v>56</v>
      </c>
    </row>
    <row r="221" spans="1:12" x14ac:dyDescent="0.55000000000000004">
      <c r="A221" s="6" t="s">
        <v>6</v>
      </c>
      <c r="B221" s="6" t="s">
        <v>41</v>
      </c>
      <c r="C221" s="11" t="s">
        <v>75</v>
      </c>
      <c r="D221" s="6">
        <v>2015</v>
      </c>
      <c r="E221" s="12">
        <v>2126</v>
      </c>
      <c r="K221" t="s">
        <v>64</v>
      </c>
      <c r="L221" t="s">
        <v>56</v>
      </c>
    </row>
    <row r="222" spans="1:12" x14ac:dyDescent="0.55000000000000004">
      <c r="A222" s="6" t="s">
        <v>6</v>
      </c>
      <c r="B222" s="6" t="s">
        <v>41</v>
      </c>
      <c r="C222" s="11" t="s">
        <v>75</v>
      </c>
      <c r="D222" s="6">
        <v>2022</v>
      </c>
      <c r="E222" s="12">
        <v>2786</v>
      </c>
      <c r="K222" t="s">
        <v>64</v>
      </c>
      <c r="L222" t="s">
        <v>56</v>
      </c>
    </row>
    <row r="223" spans="1:12" x14ac:dyDescent="0.55000000000000004">
      <c r="A223" s="6" t="s">
        <v>6</v>
      </c>
      <c r="B223" s="6" t="s">
        <v>41</v>
      </c>
      <c r="C223" s="11" t="s">
        <v>76</v>
      </c>
      <c r="D223" s="6">
        <v>1999</v>
      </c>
      <c r="E223" s="12">
        <v>103</v>
      </c>
      <c r="K223" t="s">
        <v>64</v>
      </c>
      <c r="L223" t="s">
        <v>56</v>
      </c>
    </row>
    <row r="224" spans="1:12" x14ac:dyDescent="0.55000000000000004">
      <c r="A224" s="6" t="s">
        <v>6</v>
      </c>
      <c r="B224" s="6" t="s">
        <v>41</v>
      </c>
      <c r="C224" s="11" t="s">
        <v>76</v>
      </c>
      <c r="D224" s="6">
        <v>2005</v>
      </c>
      <c r="E224" s="12">
        <v>123</v>
      </c>
      <c r="K224" t="s">
        <v>64</v>
      </c>
      <c r="L224" t="s">
        <v>56</v>
      </c>
    </row>
    <row r="225" spans="1:12" x14ac:dyDescent="0.55000000000000004">
      <c r="A225" s="6" t="s">
        <v>6</v>
      </c>
      <c r="B225" s="6" t="s">
        <v>41</v>
      </c>
      <c r="C225" s="11" t="s">
        <v>76</v>
      </c>
      <c r="D225" s="6">
        <v>2010</v>
      </c>
      <c r="E225" s="12">
        <v>59</v>
      </c>
      <c r="K225" t="s">
        <v>64</v>
      </c>
      <c r="L225" t="s">
        <v>56</v>
      </c>
    </row>
    <row r="226" spans="1:12" x14ac:dyDescent="0.55000000000000004">
      <c r="A226" s="6" t="s">
        <v>6</v>
      </c>
      <c r="B226" s="6" t="s">
        <v>41</v>
      </c>
      <c r="C226" s="11" t="s">
        <v>76</v>
      </c>
      <c r="D226" s="6">
        <v>2015</v>
      </c>
      <c r="E226" s="12">
        <v>29</v>
      </c>
      <c r="K226" t="s">
        <v>64</v>
      </c>
      <c r="L226" t="s">
        <v>56</v>
      </c>
    </row>
    <row r="227" spans="1:12" x14ac:dyDescent="0.55000000000000004">
      <c r="A227" s="6" t="s">
        <v>6</v>
      </c>
      <c r="B227" s="6" t="s">
        <v>41</v>
      </c>
      <c r="C227" s="11" t="s">
        <v>76</v>
      </c>
      <c r="D227" s="6">
        <v>2022</v>
      </c>
      <c r="E227" s="12">
        <v>29</v>
      </c>
      <c r="K227" t="s">
        <v>64</v>
      </c>
      <c r="L227" t="s">
        <v>56</v>
      </c>
    </row>
    <row r="228" spans="1:12" x14ac:dyDescent="0.55000000000000004">
      <c r="A228" s="6" t="s">
        <v>6</v>
      </c>
      <c r="B228" s="6" t="s">
        <v>41</v>
      </c>
      <c r="C228" s="11" t="s">
        <v>77</v>
      </c>
      <c r="D228" s="7">
        <v>1925</v>
      </c>
      <c r="E228" s="6">
        <v>51000</v>
      </c>
      <c r="K228" t="s">
        <v>64</v>
      </c>
      <c r="L228" t="s">
        <v>56</v>
      </c>
    </row>
    <row r="229" spans="1:12" x14ac:dyDescent="0.55000000000000004">
      <c r="A229" s="6" t="s">
        <v>6</v>
      </c>
      <c r="B229" s="6" t="s">
        <v>41</v>
      </c>
      <c r="C229" s="11" t="s">
        <v>77</v>
      </c>
      <c r="D229" s="6">
        <v>1930</v>
      </c>
      <c r="E229" s="6">
        <v>52650</v>
      </c>
      <c r="K229" t="s">
        <v>64</v>
      </c>
      <c r="L229" t="s">
        <v>56</v>
      </c>
    </row>
    <row r="230" spans="1:12" x14ac:dyDescent="0.55000000000000004">
      <c r="A230" s="6" t="s">
        <v>6</v>
      </c>
      <c r="B230" s="6" t="s">
        <v>41</v>
      </c>
      <c r="C230" s="11" t="s">
        <v>77</v>
      </c>
      <c r="D230" s="6">
        <v>1935</v>
      </c>
      <c r="E230" s="6">
        <v>62418</v>
      </c>
      <c r="K230" t="s">
        <v>64</v>
      </c>
      <c r="L230" t="s">
        <v>56</v>
      </c>
    </row>
    <row r="231" spans="1:12" x14ac:dyDescent="0.55000000000000004">
      <c r="A231" s="6" t="s">
        <v>6</v>
      </c>
      <c r="B231" s="6" t="s">
        <v>41</v>
      </c>
      <c r="C231" s="11" t="s">
        <v>77</v>
      </c>
      <c r="D231" s="6">
        <v>1940</v>
      </c>
      <c r="E231" s="6">
        <v>49350</v>
      </c>
      <c r="K231" t="s">
        <v>64</v>
      </c>
      <c r="L231" t="s">
        <v>56</v>
      </c>
    </row>
    <row r="232" spans="1:12" x14ac:dyDescent="0.55000000000000004">
      <c r="A232" s="6" t="s">
        <v>6</v>
      </c>
      <c r="B232" s="6" t="s">
        <v>41</v>
      </c>
      <c r="C232" s="11" t="s">
        <v>77</v>
      </c>
      <c r="D232" s="6">
        <v>1945</v>
      </c>
      <c r="E232" s="6">
        <v>48304</v>
      </c>
      <c r="K232" t="s">
        <v>64</v>
      </c>
      <c r="L232" t="s">
        <v>56</v>
      </c>
    </row>
    <row r="233" spans="1:12" x14ac:dyDescent="0.55000000000000004">
      <c r="A233" s="6" t="s">
        <v>6</v>
      </c>
      <c r="B233" s="6" t="s">
        <v>41</v>
      </c>
      <c r="C233" s="11" t="s">
        <v>77</v>
      </c>
      <c r="D233" s="6">
        <v>1950</v>
      </c>
      <c r="E233" s="6">
        <v>48622</v>
      </c>
      <c r="K233" t="s">
        <v>64</v>
      </c>
      <c r="L233" t="s">
        <v>56</v>
      </c>
    </row>
    <row r="234" spans="1:12" x14ac:dyDescent="0.55000000000000004">
      <c r="A234" s="6" t="s">
        <v>6</v>
      </c>
      <c r="B234" s="6" t="s">
        <v>41</v>
      </c>
      <c r="C234" s="11" t="s">
        <v>77</v>
      </c>
      <c r="D234" s="6">
        <v>1955</v>
      </c>
      <c r="E234" s="6">
        <v>49258</v>
      </c>
      <c r="K234" t="s">
        <v>64</v>
      </c>
      <c r="L234" t="s">
        <v>56</v>
      </c>
    </row>
    <row r="235" spans="1:12" x14ac:dyDescent="0.55000000000000004">
      <c r="A235" s="6" t="s">
        <v>6</v>
      </c>
      <c r="B235" s="6" t="s">
        <v>41</v>
      </c>
      <c r="C235" s="11" t="s">
        <v>77</v>
      </c>
      <c r="D235" s="6">
        <v>1960</v>
      </c>
      <c r="E235" s="6">
        <v>7180</v>
      </c>
      <c r="K235" t="s">
        <v>64</v>
      </c>
      <c r="L235" t="s">
        <v>56</v>
      </c>
    </row>
    <row r="236" spans="1:12" x14ac:dyDescent="0.55000000000000004">
      <c r="A236" s="6" t="s">
        <v>6</v>
      </c>
      <c r="B236" s="6" t="s">
        <v>41</v>
      </c>
      <c r="C236" s="11" t="s">
        <v>77</v>
      </c>
      <c r="D236" s="6">
        <v>1965</v>
      </c>
      <c r="E236" s="12">
        <v>21000</v>
      </c>
      <c r="K236" t="s">
        <v>64</v>
      </c>
      <c r="L236" t="s">
        <v>56</v>
      </c>
    </row>
    <row r="237" spans="1:12" x14ac:dyDescent="0.55000000000000004">
      <c r="A237" s="6" t="s">
        <v>6</v>
      </c>
      <c r="B237" s="6" t="s">
        <v>41</v>
      </c>
      <c r="C237" s="11" t="s">
        <v>77</v>
      </c>
      <c r="D237" s="6">
        <v>1972</v>
      </c>
      <c r="E237" s="12">
        <v>14540</v>
      </c>
      <c r="K237" t="s">
        <v>64</v>
      </c>
      <c r="L237" t="s">
        <v>56</v>
      </c>
    </row>
    <row r="238" spans="1:12" x14ac:dyDescent="0.55000000000000004">
      <c r="A238" s="6" t="s">
        <v>6</v>
      </c>
      <c r="B238" s="6" t="s">
        <v>41</v>
      </c>
      <c r="C238" s="11" t="s">
        <v>77</v>
      </c>
      <c r="D238" s="6">
        <v>1977</v>
      </c>
      <c r="E238" s="12">
        <v>7430</v>
      </c>
      <c r="K238" t="s">
        <v>64</v>
      </c>
      <c r="L238" t="s">
        <v>56</v>
      </c>
    </row>
    <row r="239" spans="1:12" x14ac:dyDescent="0.55000000000000004">
      <c r="A239" s="6" t="s">
        <v>6</v>
      </c>
      <c r="B239" s="6" t="s">
        <v>41</v>
      </c>
      <c r="C239" s="11" t="s">
        <v>77</v>
      </c>
      <c r="D239" s="6">
        <v>1982</v>
      </c>
      <c r="E239" s="12">
        <v>13046</v>
      </c>
      <c r="K239" t="s">
        <v>64</v>
      </c>
      <c r="L239" t="s">
        <v>56</v>
      </c>
    </row>
    <row r="240" spans="1:12" x14ac:dyDescent="0.55000000000000004">
      <c r="A240" s="6" t="s">
        <v>6</v>
      </c>
      <c r="B240" s="6" t="s">
        <v>41</v>
      </c>
      <c r="C240" s="11" t="s">
        <v>77</v>
      </c>
      <c r="D240" s="6">
        <v>1988</v>
      </c>
      <c r="E240" s="12">
        <v>17086</v>
      </c>
      <c r="K240" t="s">
        <v>64</v>
      </c>
      <c r="L240" t="s">
        <v>56</v>
      </c>
    </row>
    <row r="241" spans="1:12" x14ac:dyDescent="0.55000000000000004">
      <c r="A241" s="6" t="s">
        <v>6</v>
      </c>
      <c r="B241" s="6" t="s">
        <v>41</v>
      </c>
      <c r="C241" s="11" t="s">
        <v>77</v>
      </c>
      <c r="D241" s="6">
        <v>1993</v>
      </c>
      <c r="E241" s="12">
        <v>23570</v>
      </c>
      <c r="K241" t="s">
        <v>64</v>
      </c>
      <c r="L241" t="s">
        <v>56</v>
      </c>
    </row>
    <row r="242" spans="1:12" x14ac:dyDescent="0.55000000000000004">
      <c r="A242" s="6" t="s">
        <v>6</v>
      </c>
      <c r="B242" s="6" t="s">
        <v>41</v>
      </c>
      <c r="C242" s="11" t="s">
        <v>77</v>
      </c>
      <c r="D242" s="6">
        <v>1999</v>
      </c>
      <c r="E242" s="12">
        <v>15780</v>
      </c>
      <c r="K242" t="s">
        <v>64</v>
      </c>
      <c r="L242" t="s">
        <v>56</v>
      </c>
    </row>
    <row r="243" spans="1:12" x14ac:dyDescent="0.55000000000000004">
      <c r="A243" s="6" t="s">
        <v>6</v>
      </c>
      <c r="B243" s="6" t="s">
        <v>41</v>
      </c>
      <c r="C243" s="11" t="s">
        <v>77</v>
      </c>
      <c r="D243" s="6">
        <v>2005</v>
      </c>
      <c r="E243" s="12">
        <v>20080</v>
      </c>
      <c r="K243" t="s">
        <v>64</v>
      </c>
      <c r="L243" t="s">
        <v>56</v>
      </c>
    </row>
    <row r="244" spans="1:12" x14ac:dyDescent="0.55000000000000004">
      <c r="A244" s="6" t="s">
        <v>6</v>
      </c>
      <c r="B244" s="6" t="s">
        <v>41</v>
      </c>
      <c r="C244" s="11" t="s">
        <v>77</v>
      </c>
      <c r="D244" s="6">
        <v>2010</v>
      </c>
      <c r="E244" s="12">
        <v>15718</v>
      </c>
      <c r="K244" t="s">
        <v>64</v>
      </c>
      <c r="L244" t="s">
        <v>56</v>
      </c>
    </row>
    <row r="245" spans="1:12" x14ac:dyDescent="0.55000000000000004">
      <c r="A245" s="6" t="s">
        <v>6</v>
      </c>
      <c r="B245" s="6" t="s">
        <v>41</v>
      </c>
      <c r="C245" s="11" t="s">
        <v>77</v>
      </c>
      <c r="D245" s="6">
        <v>2015</v>
      </c>
      <c r="E245" s="12">
        <v>19843</v>
      </c>
      <c r="K245" t="s">
        <v>64</v>
      </c>
      <c r="L245" t="s">
        <v>56</v>
      </c>
    </row>
    <row r="246" spans="1:12" x14ac:dyDescent="0.55000000000000004">
      <c r="A246" s="6" t="s">
        <v>6</v>
      </c>
      <c r="B246" s="6" t="s">
        <v>41</v>
      </c>
      <c r="C246" s="11" t="s">
        <v>77</v>
      </c>
      <c r="D246" s="6">
        <v>2022</v>
      </c>
      <c r="E246" s="12">
        <v>28891</v>
      </c>
      <c r="K246" t="s">
        <v>64</v>
      </c>
      <c r="L246" t="s">
        <v>56</v>
      </c>
    </row>
    <row r="247" spans="1:12" x14ac:dyDescent="0.55000000000000004">
      <c r="A247" s="6" t="s">
        <v>6</v>
      </c>
      <c r="B247" s="6" t="s">
        <v>41</v>
      </c>
      <c r="C247" s="8" t="s">
        <v>78</v>
      </c>
      <c r="D247" s="6">
        <v>1999</v>
      </c>
      <c r="E247" s="12">
        <v>3</v>
      </c>
      <c r="K247" t="s">
        <v>64</v>
      </c>
      <c r="L247" t="s">
        <v>56</v>
      </c>
    </row>
    <row r="248" spans="1:12" x14ac:dyDescent="0.55000000000000004">
      <c r="A248" s="6" t="s">
        <v>6</v>
      </c>
      <c r="B248" s="6" t="s">
        <v>41</v>
      </c>
      <c r="C248" s="8" t="s">
        <v>78</v>
      </c>
      <c r="D248" s="6">
        <v>2005</v>
      </c>
      <c r="E248" s="12">
        <v>6</v>
      </c>
      <c r="K248" t="s">
        <v>64</v>
      </c>
      <c r="L248" t="s">
        <v>56</v>
      </c>
    </row>
    <row r="249" spans="1:12" x14ac:dyDescent="0.55000000000000004">
      <c r="A249" s="6" t="s">
        <v>6</v>
      </c>
      <c r="B249" s="6" t="s">
        <v>41</v>
      </c>
      <c r="C249" s="8" t="s">
        <v>78</v>
      </c>
      <c r="D249" s="6">
        <v>2010</v>
      </c>
      <c r="E249" s="12">
        <v>3</v>
      </c>
      <c r="K249" t="s">
        <v>64</v>
      </c>
      <c r="L249" t="s">
        <v>56</v>
      </c>
    </row>
    <row r="250" spans="1:12" x14ac:dyDescent="0.55000000000000004">
      <c r="A250" s="6" t="s">
        <v>6</v>
      </c>
      <c r="B250" s="6" t="s">
        <v>41</v>
      </c>
      <c r="C250" s="8" t="s">
        <v>78</v>
      </c>
      <c r="D250" s="6">
        <v>2015</v>
      </c>
      <c r="E250" s="12">
        <v>2</v>
      </c>
      <c r="K250" t="s">
        <v>64</v>
      </c>
      <c r="L250" t="s">
        <v>56</v>
      </c>
    </row>
    <row r="251" spans="1:12" x14ac:dyDescent="0.55000000000000004">
      <c r="A251" s="6" t="s">
        <v>6</v>
      </c>
      <c r="B251" s="6" t="s">
        <v>41</v>
      </c>
      <c r="C251" s="8" t="s">
        <v>78</v>
      </c>
      <c r="D251" s="6">
        <v>2022</v>
      </c>
      <c r="E251" s="12">
        <v>1</v>
      </c>
      <c r="K251" t="s">
        <v>64</v>
      </c>
      <c r="L251" t="s">
        <v>56</v>
      </c>
    </row>
    <row r="252" spans="1:12" x14ac:dyDescent="0.55000000000000004">
      <c r="A252" s="6" t="s">
        <v>6</v>
      </c>
      <c r="B252" s="6" t="s">
        <v>41</v>
      </c>
      <c r="C252" s="11" t="s">
        <v>79</v>
      </c>
      <c r="D252" s="8">
        <v>1982</v>
      </c>
      <c r="E252" s="12">
        <v>2650</v>
      </c>
      <c r="K252" t="s">
        <v>64</v>
      </c>
      <c r="L252" t="s">
        <v>56</v>
      </c>
    </row>
    <row r="253" spans="1:12" x14ac:dyDescent="0.55000000000000004">
      <c r="A253" s="6" t="s">
        <v>6</v>
      </c>
      <c r="B253" s="6" t="s">
        <v>41</v>
      </c>
      <c r="C253" s="11" t="s">
        <v>79</v>
      </c>
      <c r="D253" s="8">
        <v>1988</v>
      </c>
      <c r="E253" s="12">
        <v>3494</v>
      </c>
      <c r="K253" t="s">
        <v>64</v>
      </c>
      <c r="L253" t="s">
        <v>56</v>
      </c>
    </row>
    <row r="254" spans="1:12" x14ac:dyDescent="0.55000000000000004">
      <c r="A254" s="6" t="s">
        <v>6</v>
      </c>
      <c r="B254" s="6" t="s">
        <v>41</v>
      </c>
      <c r="C254" s="11" t="s">
        <v>79</v>
      </c>
      <c r="D254" s="8">
        <v>1993</v>
      </c>
      <c r="E254" s="12">
        <v>3354</v>
      </c>
      <c r="K254" t="s">
        <v>64</v>
      </c>
      <c r="L254" t="s">
        <v>56</v>
      </c>
    </row>
    <row r="255" spans="1:12" x14ac:dyDescent="0.55000000000000004">
      <c r="A255" s="6" t="s">
        <v>6</v>
      </c>
      <c r="B255" s="6" t="s">
        <v>41</v>
      </c>
      <c r="C255" s="11" t="s">
        <v>79</v>
      </c>
      <c r="D255" s="8">
        <v>1999</v>
      </c>
      <c r="E255" s="12">
        <v>1585</v>
      </c>
      <c r="K255" t="s">
        <v>64</v>
      </c>
      <c r="L255" t="s">
        <v>56</v>
      </c>
    </row>
    <row r="256" spans="1:12" x14ac:dyDescent="0.55000000000000004">
      <c r="A256" s="6" t="s">
        <v>6</v>
      </c>
      <c r="B256" s="6" t="s">
        <v>41</v>
      </c>
      <c r="C256" s="11" t="s">
        <v>79</v>
      </c>
      <c r="D256" s="8">
        <v>2005</v>
      </c>
      <c r="E256" s="12">
        <v>620</v>
      </c>
      <c r="K256" t="s">
        <v>64</v>
      </c>
      <c r="L256" t="s">
        <v>56</v>
      </c>
    </row>
    <row r="257" spans="1:12" x14ac:dyDescent="0.55000000000000004">
      <c r="A257" s="6" t="s">
        <v>6</v>
      </c>
      <c r="B257" s="6" t="s">
        <v>41</v>
      </c>
      <c r="C257" s="11" t="s">
        <v>79</v>
      </c>
      <c r="D257" s="8">
        <v>2010</v>
      </c>
      <c r="E257" s="12">
        <v>400</v>
      </c>
      <c r="K257" t="s">
        <v>64</v>
      </c>
      <c r="L257" t="s">
        <v>56</v>
      </c>
    </row>
    <row r="258" spans="1:12" x14ac:dyDescent="0.55000000000000004">
      <c r="A258" s="6" t="s">
        <v>6</v>
      </c>
      <c r="B258" s="6" t="s">
        <v>41</v>
      </c>
      <c r="C258" s="11" t="s">
        <v>79</v>
      </c>
      <c r="D258" s="8">
        <v>2015</v>
      </c>
      <c r="E258" s="12">
        <v>391</v>
      </c>
      <c r="K258" t="s">
        <v>64</v>
      </c>
      <c r="L258" t="s">
        <v>56</v>
      </c>
    </row>
    <row r="259" spans="1:12" x14ac:dyDescent="0.55000000000000004">
      <c r="A259" s="6" t="s">
        <v>6</v>
      </c>
      <c r="B259" s="6" t="s">
        <v>41</v>
      </c>
      <c r="C259" s="11" t="s">
        <v>79</v>
      </c>
      <c r="D259" s="8">
        <v>2022</v>
      </c>
      <c r="E259" s="12">
        <v>1146</v>
      </c>
      <c r="K259" t="s">
        <v>64</v>
      </c>
      <c r="L259" t="s">
        <v>56</v>
      </c>
    </row>
  </sheetData>
  <sortState xmlns:xlrd2="http://schemas.microsoft.com/office/spreadsheetml/2017/richdata2" ref="A2:L81">
    <sortCondition ref="C2:C81"/>
    <sortCondition ref="D2:D8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Iles,David (ECCC)</cp:lastModifiedBy>
  <cp:revision/>
  <dcterms:created xsi:type="dcterms:W3CDTF">2022-12-07T17:59:49Z</dcterms:created>
  <dcterms:modified xsi:type="dcterms:W3CDTF">2024-09-17T15:21:51Z</dcterms:modified>
  <cp:category/>
  <cp:contentStatus/>
</cp:coreProperties>
</file>