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Control de cirugia\"/>
    </mc:Choice>
  </mc:AlternateContent>
  <xr:revisionPtr revIDLastSave="0" documentId="13_ncr:1_{67BC7558-99F0-489E-9546-D3BD0EA687BE}" xr6:coauthVersionLast="47" xr6:coauthVersionMax="47" xr10:uidLastSave="{00000000-0000-0000-0000-000000000000}"/>
  <bookViews>
    <workbookView xWindow="16845" yWindow="8955" windowWidth="2970" windowHeight="5145" xr2:uid="{00000000-000D-0000-FFFF-FFFF00000000}"/>
  </bookViews>
  <sheets>
    <sheet name="Control de cirugía" sheetId="1" r:id="rId1"/>
    <sheet name="Reporte de Cirugías" sheetId="2" r:id="rId2"/>
  </sheets>
  <definedNames>
    <definedName name="_xlnm._FilterDatabase" localSheetId="0" hidden="1">'Control de cirugía'!$A$1:$L$1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5" i="1" l="1"/>
  <c r="J174" i="1"/>
  <c r="I175" i="1"/>
  <c r="I174" i="1"/>
  <c r="J173" i="1"/>
  <c r="I173" i="1"/>
  <c r="J170" i="1" l="1"/>
  <c r="J171" i="1"/>
  <c r="J172" i="1"/>
  <c r="I169" i="1" l="1"/>
  <c r="J169" i="1" s="1"/>
  <c r="I11" i="1" l="1"/>
  <c r="J11" i="1" s="1"/>
  <c r="I165" i="1"/>
  <c r="J165" i="1" s="1"/>
  <c r="I167" i="1"/>
  <c r="I168" i="1"/>
  <c r="J168" i="1" s="1"/>
  <c r="J167" i="1" l="1"/>
  <c r="J166" i="1" l="1"/>
  <c r="I164" i="1"/>
  <c r="I156" i="1"/>
  <c r="J156" i="1" s="1"/>
  <c r="I157" i="1"/>
  <c r="J157" i="1" s="1"/>
  <c r="I159" i="1"/>
  <c r="J159" i="1" s="1"/>
  <c r="I163" i="1"/>
  <c r="I158" i="1"/>
  <c r="J158" i="1" s="1"/>
  <c r="J163" i="1" l="1"/>
  <c r="J164" i="1"/>
  <c r="I162" i="1"/>
  <c r="I161" i="1"/>
  <c r="I160" i="1"/>
  <c r="J160" i="1" l="1"/>
  <c r="J161" i="1"/>
  <c r="J162" i="1"/>
  <c r="I150" i="1"/>
  <c r="J154" i="1"/>
  <c r="J153" i="1"/>
  <c r="I155" i="1"/>
  <c r="J155" i="1" s="1"/>
  <c r="I145" i="1"/>
  <c r="J145" i="1" s="1"/>
  <c r="I151" i="1" l="1"/>
  <c r="J151" i="1" s="1"/>
  <c r="I152" i="1"/>
  <c r="J152" i="1" s="1"/>
  <c r="K72" i="2"/>
  <c r="K70" i="2"/>
  <c r="K68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AI44" i="2"/>
  <c r="AF44" i="2"/>
  <c r="U32" i="2"/>
  <c r="K32" i="2"/>
  <c r="B32" i="2"/>
  <c r="B30" i="2"/>
  <c r="U28" i="2"/>
  <c r="K28" i="2"/>
  <c r="B28" i="2"/>
  <c r="B26" i="2"/>
  <c r="U25" i="2"/>
  <c r="B25" i="2"/>
  <c r="U24" i="2"/>
  <c r="B24" i="2"/>
  <c r="U23" i="2"/>
  <c r="K23" i="2"/>
  <c r="B23" i="2"/>
  <c r="U22" i="2"/>
  <c r="K22" i="2"/>
  <c r="B22" i="2"/>
  <c r="U21" i="2"/>
  <c r="K21" i="2"/>
  <c r="B21" i="2"/>
  <c r="U20" i="2"/>
  <c r="K20" i="2"/>
  <c r="B20" i="2"/>
  <c r="U19" i="2"/>
  <c r="K19" i="2"/>
  <c r="B19" i="2"/>
  <c r="U18" i="2"/>
  <c r="K18" i="2"/>
  <c r="B18" i="2"/>
  <c r="U17" i="2"/>
  <c r="K17" i="2"/>
  <c r="B17" i="2"/>
  <c r="U16" i="2"/>
  <c r="K16" i="2"/>
  <c r="B16" i="2"/>
  <c r="U15" i="2"/>
  <c r="K15" i="2"/>
  <c r="B15" i="2"/>
  <c r="U14" i="2"/>
  <c r="K14" i="2"/>
  <c r="B14" i="2"/>
  <c r="U13" i="2"/>
  <c r="B13" i="2"/>
  <c r="U12" i="2"/>
  <c r="K12" i="2"/>
  <c r="B12" i="2"/>
  <c r="U11" i="2"/>
  <c r="K11" i="2"/>
  <c r="B11" i="2"/>
  <c r="U10" i="2"/>
  <c r="K10" i="2"/>
  <c r="B10" i="2"/>
  <c r="U9" i="2"/>
  <c r="K9" i="2"/>
  <c r="B9" i="2"/>
  <c r="U8" i="2"/>
  <c r="U35" i="2" s="1"/>
  <c r="K8" i="2"/>
  <c r="B8" i="2"/>
  <c r="K7" i="2"/>
  <c r="K35" i="2" s="1"/>
  <c r="B7" i="2"/>
  <c r="B35" i="2" s="1"/>
  <c r="J150" i="1"/>
  <c r="I149" i="1"/>
  <c r="J149" i="1" s="1"/>
  <c r="I148" i="1"/>
  <c r="J148" i="1" s="1"/>
  <c r="I147" i="1"/>
  <c r="J147" i="1" s="1"/>
  <c r="I146" i="1"/>
  <c r="J146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J131" i="1"/>
  <c r="J130" i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J104" i="1"/>
  <c r="I103" i="1"/>
  <c r="J103" i="1" s="1"/>
  <c r="I102" i="1"/>
  <c r="J102" i="1" s="1"/>
  <c r="J101" i="1"/>
  <c r="J100" i="1"/>
  <c r="I99" i="1"/>
  <c r="J99" i="1" s="1"/>
  <c r="I98" i="1"/>
  <c r="J98" i="1" s="1"/>
  <c r="I97" i="1"/>
  <c r="J97" i="1" s="1"/>
  <c r="J96" i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J81" i="1"/>
  <c r="J80" i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J73" i="1"/>
  <c r="J72" i="1"/>
  <c r="J71" i="1"/>
  <c r="J70" i="1"/>
  <c r="J69" i="1"/>
  <c r="J66" i="1"/>
  <c r="J64" i="1"/>
  <c r="I42" i="1"/>
  <c r="I41" i="1"/>
  <c r="I38" i="1"/>
  <c r="J38" i="1" s="1"/>
  <c r="I37" i="1"/>
  <c r="J37" i="1" s="1"/>
  <c r="I36" i="1"/>
  <c r="J36" i="1" s="1"/>
  <c r="I34" i="1"/>
  <c r="J34" i="1" s="1"/>
  <c r="H33" i="1"/>
  <c r="I32" i="1"/>
  <c r="J32" i="1" s="1"/>
  <c r="I30" i="1"/>
  <c r="J30" i="1" s="1"/>
  <c r="I29" i="1"/>
  <c r="I28" i="1"/>
  <c r="I27" i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J16" i="1"/>
  <c r="I15" i="1"/>
  <c r="J15" i="1" s="1"/>
  <c r="I14" i="1"/>
  <c r="J14" i="1" s="1"/>
  <c r="I13" i="1"/>
  <c r="J13" i="1" s="1"/>
  <c r="I12" i="1"/>
  <c r="J12" i="1" s="1"/>
  <c r="J10" i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X9" i="2" l="1"/>
  <c r="E11" i="2"/>
  <c r="E25" i="2"/>
  <c r="N8" i="2"/>
  <c r="N12" i="2"/>
  <c r="N11" i="2"/>
  <c r="N28" i="2"/>
  <c r="N32" i="2"/>
  <c r="E35" i="2"/>
  <c r="E24" i="2"/>
  <c r="E22" i="2"/>
  <c r="E20" i="2"/>
  <c r="E18" i="2"/>
  <c r="E16" i="2"/>
  <c r="E14" i="2"/>
  <c r="E7" i="2"/>
  <c r="E23" i="2"/>
  <c r="E21" i="2"/>
  <c r="E19" i="2"/>
  <c r="E17" i="2"/>
  <c r="E15" i="2"/>
  <c r="X35" i="2"/>
  <c r="X30" i="2"/>
  <c r="X22" i="2"/>
  <c r="X20" i="2"/>
  <c r="X18" i="2"/>
  <c r="X16" i="2"/>
  <c r="X14" i="2"/>
  <c r="X26" i="2"/>
  <c r="X7" i="2"/>
  <c r="X23" i="2"/>
  <c r="X21" i="2"/>
  <c r="X19" i="2"/>
  <c r="X17" i="2"/>
  <c r="X15" i="2"/>
  <c r="X13" i="2"/>
  <c r="E10" i="2"/>
  <c r="X12" i="2"/>
  <c r="X25" i="2"/>
  <c r="X28" i="2"/>
  <c r="X32" i="2"/>
  <c r="N25" i="2"/>
  <c r="N30" i="2"/>
  <c r="N24" i="2"/>
  <c r="N23" i="2"/>
  <c r="N21" i="2"/>
  <c r="N19" i="2"/>
  <c r="N17" i="2"/>
  <c r="N15" i="2"/>
  <c r="N13" i="2"/>
  <c r="N35" i="2"/>
  <c r="N26" i="2"/>
  <c r="N22" i="2"/>
  <c r="N20" i="2"/>
  <c r="N18" i="2"/>
  <c r="N16" i="2"/>
  <c r="N14" i="2"/>
  <c r="N7" i="2"/>
  <c r="E9" i="2"/>
  <c r="N10" i="2"/>
  <c r="X11" i="2"/>
  <c r="E13" i="2"/>
  <c r="E26" i="2"/>
  <c r="E30" i="2"/>
  <c r="E8" i="2"/>
  <c r="N9" i="2"/>
  <c r="X10" i="2"/>
  <c r="E12" i="2"/>
  <c r="X24" i="2"/>
  <c r="E28" i="2"/>
  <c r="E32" i="2"/>
  <c r="K75" i="2"/>
  <c r="N75" i="2" s="1"/>
  <c r="X8" i="2"/>
  <c r="N58" i="2" l="1"/>
  <c r="N57" i="2"/>
  <c r="N60" i="2"/>
  <c r="N63" i="2"/>
  <c r="N47" i="2"/>
  <c r="N53" i="2"/>
  <c r="N59" i="2"/>
  <c r="N54" i="2"/>
  <c r="N49" i="2"/>
  <c r="N55" i="2"/>
  <c r="N68" i="2"/>
  <c r="N50" i="2"/>
  <c r="N56" i="2"/>
  <c r="N65" i="2"/>
  <c r="N72" i="2"/>
  <c r="N52" i="2"/>
  <c r="N61" i="2"/>
  <c r="N64" i="2"/>
  <c r="N48" i="2"/>
  <c r="N70" i="2"/>
  <c r="N51" i="2"/>
  <c r="N62" i="2"/>
  <c r="N46" i="2"/>
  <c r="I39" i="1"/>
</calcChain>
</file>

<file path=xl/sharedStrings.xml><?xml version="1.0" encoding="utf-8"?>
<sst xmlns="http://schemas.openxmlformats.org/spreadsheetml/2006/main" count="1444" uniqueCount="574">
  <si>
    <t>INSTITUCION</t>
  </si>
  <si>
    <t>MEDICO</t>
  </si>
  <si>
    <t xml:space="preserve">PACIENTE </t>
  </si>
  <si>
    <t xml:space="preserve">MOTOR </t>
  </si>
  <si>
    <t xml:space="preserve">FECHA DE ENTREGA </t>
  </si>
  <si>
    <t xml:space="preserve">FECHA DE CIRUGIA </t>
  </si>
  <si>
    <t xml:space="preserve">FECHA DE RECOJO  </t>
  </si>
  <si>
    <t>CIRUGIA</t>
  </si>
  <si>
    <t>HOSPITAL SABOGAL</t>
  </si>
  <si>
    <t>Perforador Negro</t>
  </si>
  <si>
    <t>CLINICA JESUS DEL NORTE</t>
  </si>
  <si>
    <t>CLINICA SANTA MARTHA</t>
  </si>
  <si>
    <t>TORRES</t>
  </si>
  <si>
    <t>CLINICA SAN PEDRO</t>
  </si>
  <si>
    <t>NO SE OPERÓ</t>
  </si>
  <si>
    <t>CLINICA DEL NORTE</t>
  </si>
  <si>
    <t>LERMO</t>
  </si>
  <si>
    <t>NO</t>
  </si>
  <si>
    <t>RETIRO</t>
  </si>
  <si>
    <t>CLINICA LIMATAMBO SJL</t>
  </si>
  <si>
    <t>CERSSO</t>
  </si>
  <si>
    <t>CLINICA SAN BERNARDO</t>
  </si>
  <si>
    <t>GOMEZ</t>
  </si>
  <si>
    <t>GARCIA</t>
  </si>
  <si>
    <t>RETAMOZO</t>
  </si>
  <si>
    <t>ALVARADO</t>
  </si>
  <si>
    <t>VASQUEZ</t>
  </si>
  <si>
    <t>MAZA</t>
  </si>
  <si>
    <t>VALDEZ</t>
  </si>
  <si>
    <t>IMPLANTE UTILIZADO (PLACA)</t>
  </si>
  <si>
    <t>AGUJAS</t>
  </si>
  <si>
    <t>CIRUGIAS CANCELADAS</t>
  </si>
  <si>
    <t>Cirugías de Mayo</t>
  </si>
  <si>
    <t>Húmero distal</t>
  </si>
  <si>
    <t>Peroné</t>
  </si>
  <si>
    <t>Tibia distal</t>
  </si>
  <si>
    <t>Húmero proximal</t>
  </si>
  <si>
    <t>Tibia proximal 4.5</t>
  </si>
  <si>
    <t>Dhs</t>
  </si>
  <si>
    <t>Dcs</t>
  </si>
  <si>
    <t>Calcáneo</t>
  </si>
  <si>
    <t>Olecranon</t>
  </si>
  <si>
    <t>Fémur distal</t>
  </si>
  <si>
    <t>Minifragmentos</t>
  </si>
  <si>
    <t>Rectas 3.5</t>
  </si>
  <si>
    <t>Rectas 4.5</t>
  </si>
  <si>
    <t>Angulo variable</t>
  </si>
  <si>
    <t>Agujas</t>
  </si>
  <si>
    <t>Retiros</t>
  </si>
  <si>
    <t>Clavícula</t>
  </si>
  <si>
    <t>Reconstrucción</t>
  </si>
  <si>
    <t>Tercio de caña</t>
  </si>
  <si>
    <t>Tibia proximal 3.5</t>
  </si>
  <si>
    <t>Cirugías de Junio</t>
  </si>
  <si>
    <t>Placas utilizadas</t>
  </si>
  <si>
    <t>Sistemas</t>
  </si>
  <si>
    <t>Total de Placas</t>
  </si>
  <si>
    <t>Fémur proximal</t>
  </si>
  <si>
    <t>Representación en porcentajes</t>
  </si>
  <si>
    <t>Cirugías de Julio</t>
  </si>
  <si>
    <t>Cirugías diarias</t>
  </si>
  <si>
    <t>Cirugías de Abril</t>
  </si>
  <si>
    <t>Radio distal (ángulo fijo)</t>
  </si>
  <si>
    <t>LOPEZ CRISOSTOMO</t>
  </si>
  <si>
    <t>AN</t>
  </si>
  <si>
    <t>AVERIGUAR NOMBRE</t>
  </si>
  <si>
    <t>ALEX</t>
  </si>
  <si>
    <t>FERNANDEZ BENITES MANUEL</t>
  </si>
  <si>
    <t>GONZALES PILHUAMAN DANIEL</t>
  </si>
  <si>
    <t>CLINICA LA FAMILIA</t>
  </si>
  <si>
    <t>OSCAR VASQUEZ</t>
  </si>
  <si>
    <t>ADELINA MIRTHA CONDOR NIETO</t>
  </si>
  <si>
    <t>CASTILLO SALAZAR LUIS</t>
  </si>
  <si>
    <t>RODRIGUEZ TORREALBA VIRGINIA</t>
  </si>
  <si>
    <t>GOMEZ CASTILLO SARITA</t>
  </si>
  <si>
    <t>AVERIGUAR</t>
  </si>
  <si>
    <t>FLORES LUQUE NICOLASA</t>
  </si>
  <si>
    <t xml:space="preserve">MARIN </t>
  </si>
  <si>
    <t>ALANOCA CARHUAZ</t>
  </si>
  <si>
    <t>PEREZ ASCARIO JOSE</t>
  </si>
  <si>
    <t>ESPINOZA RODRIGUEZ SANTOS</t>
  </si>
  <si>
    <t>MEZA GONZALES</t>
  </si>
  <si>
    <t>SANCHEZ RUIZ VICTOR</t>
  </si>
  <si>
    <t>GUERRA ALCANTARA CARLOS</t>
  </si>
  <si>
    <t>VARGAS CHAMBA JOSE</t>
  </si>
  <si>
    <t>PEREZ</t>
  </si>
  <si>
    <t>SILVA AQUINO JOSEFINA</t>
  </si>
  <si>
    <t>022-0001</t>
  </si>
  <si>
    <t>022-0002</t>
  </si>
  <si>
    <t>022-0003</t>
  </si>
  <si>
    <t>022-0004</t>
  </si>
  <si>
    <t>022-0005</t>
  </si>
  <si>
    <t>022-0006</t>
  </si>
  <si>
    <t>022-0007</t>
  </si>
  <si>
    <t>022-0008</t>
  </si>
  <si>
    <t>022-0009</t>
  </si>
  <si>
    <t>022-0010</t>
  </si>
  <si>
    <t>022-0011</t>
  </si>
  <si>
    <t>022-0012</t>
  </si>
  <si>
    <t>022-0013</t>
  </si>
  <si>
    <t>022-0014</t>
  </si>
  <si>
    <t>022-0015</t>
  </si>
  <si>
    <t>022-0016</t>
  </si>
  <si>
    <t>022-0017</t>
  </si>
  <si>
    <t>022-0018</t>
  </si>
  <si>
    <t>022-0019</t>
  </si>
  <si>
    <t>022-0020</t>
  </si>
  <si>
    <t>SI</t>
  </si>
  <si>
    <t>PERONE, TORNILLOS 2.4 Y 3.5</t>
  </si>
  <si>
    <t>ANGULO VARIABLE, TORNILLOS 2.4</t>
  </si>
  <si>
    <t>TIBIA PROXIMAL 4.5, TORNILLOS 4.5 Y 5.0</t>
  </si>
  <si>
    <t>BELTRAN</t>
  </si>
  <si>
    <t>MARTINEZ DE BASANTES RITA</t>
  </si>
  <si>
    <t>022-0021</t>
  </si>
  <si>
    <t>TIBIA DISTAL ANTEROLATERAL, TORNILLOS 3.5</t>
  </si>
  <si>
    <t>HUMERO PROXIMAL, TORNILLOS 3.5</t>
  </si>
  <si>
    <t>DOS MINI PLACAS 1.5, TORNILLOS 1.5</t>
  </si>
  <si>
    <t>022-0022</t>
  </si>
  <si>
    <t>022-0023</t>
  </si>
  <si>
    <t>ORIHUELA GALLEGOS</t>
  </si>
  <si>
    <t>GARCIA NAVARRO</t>
  </si>
  <si>
    <t>022-0024</t>
  </si>
  <si>
    <t>CLAVICULAR, TORNILLOS 2.4 Y 3-5</t>
  </si>
  <si>
    <t>RECTAS 4.5, TORNILLOS 4.5 Y 5.0</t>
  </si>
  <si>
    <t>022-0025</t>
  </si>
  <si>
    <t>022-0026</t>
  </si>
  <si>
    <t>022-0027</t>
  </si>
  <si>
    <t>022-0028</t>
  </si>
  <si>
    <t>022-0029</t>
  </si>
  <si>
    <t>022-0030</t>
  </si>
  <si>
    <t>022-0031</t>
  </si>
  <si>
    <t>022-0032</t>
  </si>
  <si>
    <t>022-0033</t>
  </si>
  <si>
    <t>022-0034</t>
  </si>
  <si>
    <t>022-0035</t>
  </si>
  <si>
    <t>022-0036</t>
  </si>
  <si>
    <t>022-0037</t>
  </si>
  <si>
    <t>022-0038</t>
  </si>
  <si>
    <t>022-0039</t>
  </si>
  <si>
    <t>022-0040</t>
  </si>
  <si>
    <t>022-0041</t>
  </si>
  <si>
    <t>022-0042</t>
  </si>
  <si>
    <t>CALERO RIOS BENJAMIN</t>
  </si>
  <si>
    <t>FIGUEROA</t>
  </si>
  <si>
    <t>MENDEZ BONILLA</t>
  </si>
  <si>
    <t>CUETO VALDIVIESO</t>
  </si>
  <si>
    <t>LOPEZ SOTO</t>
  </si>
  <si>
    <t>RETIRO RECOGIDO</t>
  </si>
  <si>
    <t>PLACA ANGULO VARIABLE, TORNILLOS 2.4</t>
  </si>
  <si>
    <t xml:space="preserve">CLINICA SAN PABLO </t>
  </si>
  <si>
    <t xml:space="preserve">HOSPITAL SABOGAL </t>
  </si>
  <si>
    <t>GRAU</t>
  </si>
  <si>
    <t>OYOLA CAVERO ROBINSON</t>
  </si>
  <si>
    <t>SANTA MARIA</t>
  </si>
  <si>
    <t>HUAMANI MENDOZA</t>
  </si>
  <si>
    <t>VILLANUEVA LA ROSA</t>
  </si>
  <si>
    <t>ESCOBAR COSTA</t>
  </si>
  <si>
    <t>SE RECOGIO PARA ATENDER OTRA CIRUGÍA</t>
  </si>
  <si>
    <t>FEMUR DISTAL, TORNILLOS 4.5 Y 5.0</t>
  </si>
  <si>
    <t>TORRES HUAMANI</t>
  </si>
  <si>
    <t>SAMAMUD AREVALO</t>
  </si>
  <si>
    <t>ARAUJO ARAUJO</t>
  </si>
  <si>
    <t>BARTOLO VILLANUEVA</t>
  </si>
  <si>
    <t>ESTRECHA 4.5, TORNILLOS 4.5 Y 5.0</t>
  </si>
  <si>
    <t>TERCIO DE CAÑA, TORNILLOS 3.5</t>
  </si>
  <si>
    <t>YARLEQUE CANAYO LUIS</t>
  </si>
  <si>
    <t>DE LA CRUZ SUSANIBAR MERCEDES</t>
  </si>
  <si>
    <t xml:space="preserve">SANDOVAL DECANA JACKSON </t>
  </si>
  <si>
    <t>UBIDIA</t>
  </si>
  <si>
    <t>VELASQUEZ</t>
  </si>
  <si>
    <t>GALARZA MELENDEZ MARIA</t>
  </si>
  <si>
    <t>PERONE, TORNILLOS 2.4 , 3.5 Y 4.0</t>
  </si>
  <si>
    <t>022-0043</t>
  </si>
  <si>
    <t>022-0044</t>
  </si>
  <si>
    <t>022-0045</t>
  </si>
  <si>
    <t>022-0046</t>
  </si>
  <si>
    <t>022-0047</t>
  </si>
  <si>
    <t>022-0048</t>
  </si>
  <si>
    <t>022-0049</t>
  </si>
  <si>
    <t>022-0050</t>
  </si>
  <si>
    <t>022-0051</t>
  </si>
  <si>
    <t>022-0052</t>
  </si>
  <si>
    <t>022-0053</t>
  </si>
  <si>
    <t>022-0054</t>
  </si>
  <si>
    <t>022-0055</t>
  </si>
  <si>
    <t>022-0056</t>
  </si>
  <si>
    <t>022-0057</t>
  </si>
  <si>
    <t>022-0058</t>
  </si>
  <si>
    <t>022-0059</t>
  </si>
  <si>
    <t>022-0060</t>
  </si>
  <si>
    <t>022-0061</t>
  </si>
  <si>
    <t>022-0062</t>
  </si>
  <si>
    <t>022-0063</t>
  </si>
  <si>
    <t>022-0064</t>
  </si>
  <si>
    <t>022-0065</t>
  </si>
  <si>
    <t>022-0066</t>
  </si>
  <si>
    <t>022-0067</t>
  </si>
  <si>
    <t>022-0068</t>
  </si>
  <si>
    <t>022-0069</t>
  </si>
  <si>
    <t>022-0070</t>
  </si>
  <si>
    <t>022-0071</t>
  </si>
  <si>
    <t>022-0072</t>
  </si>
  <si>
    <t>022-0073</t>
  </si>
  <si>
    <t>022-0074</t>
  </si>
  <si>
    <t>022-0075</t>
  </si>
  <si>
    <t>022-0076</t>
  </si>
  <si>
    <t>022-0077</t>
  </si>
  <si>
    <t>022-0078</t>
  </si>
  <si>
    <t>022-0079</t>
  </si>
  <si>
    <t>022-0080</t>
  </si>
  <si>
    <t>022-0081</t>
  </si>
  <si>
    <t>022-0082</t>
  </si>
  <si>
    <t>022-0083</t>
  </si>
  <si>
    <t>022-0084</t>
  </si>
  <si>
    <t>022-0085</t>
  </si>
  <si>
    <t>022-0086</t>
  </si>
  <si>
    <t>022-0087</t>
  </si>
  <si>
    <t>022-0088</t>
  </si>
  <si>
    <t>022-0089</t>
  </si>
  <si>
    <t>022-0090</t>
  </si>
  <si>
    <t>022-0091</t>
  </si>
  <si>
    <t>022-0092</t>
  </si>
  <si>
    <t>022-0093</t>
  </si>
  <si>
    <t>022-0094</t>
  </si>
  <si>
    <t>022-0095</t>
  </si>
  <si>
    <t>022-0096</t>
  </si>
  <si>
    <t>022-0097</t>
  </si>
  <si>
    <t>022-0098</t>
  </si>
  <si>
    <t>022-0099</t>
  </si>
  <si>
    <t>022-0100</t>
  </si>
  <si>
    <t>ZEVALLOS</t>
  </si>
  <si>
    <t>NORIEGA MORI</t>
  </si>
  <si>
    <t>AGUJAS K</t>
  </si>
  <si>
    <t>CASTILLO OCHOA</t>
  </si>
  <si>
    <t>TIBIA DISTAL SIN LENGÜETA, TORNILLOS 3.5</t>
  </si>
  <si>
    <t>PLACA 1.5 , TORNILO 1.5</t>
  </si>
  <si>
    <t>2 PLACAS TIBIA PROXIMAL , TORNILLOS 4.5 Y 5.0</t>
  </si>
  <si>
    <t>ANGULO VARIABLE, TORNILLOS 2.4 / TORNILLOS 3.5</t>
  </si>
  <si>
    <t>DHS CONVENCIONAL , TORNILLO 4.5</t>
  </si>
  <si>
    <t>CLINICA NAZARENO - AYACUCHO</t>
  </si>
  <si>
    <t>CHAUD GUTIERREZ MARIO</t>
  </si>
  <si>
    <t>DE LA CRUZ BARBOZA</t>
  </si>
  <si>
    <t>TASAYCO</t>
  </si>
  <si>
    <t>CACERES MAGNATE</t>
  </si>
  <si>
    <t>SALVA TIERRA OSORES JORGE</t>
  </si>
  <si>
    <t>NORIEGA SUAREZ MARIA</t>
  </si>
  <si>
    <t>VILLAREAL VARGAS VALERIANO</t>
  </si>
  <si>
    <t>LOPEZ ESTRADA FRANCISCA</t>
  </si>
  <si>
    <t>CASTILLO</t>
  </si>
  <si>
    <t>JAIMES ALANYA CESAR</t>
  </si>
  <si>
    <t>ROLDAN DE CARACAS HECTOR</t>
  </si>
  <si>
    <t>PRENSA DE MESA</t>
  </si>
  <si>
    <t>DHS LCP, TORNILLOS 4.5</t>
  </si>
  <si>
    <t>RECTA 2.0, TORNILLOS 2.0</t>
  </si>
  <si>
    <t>CLAVICULA CON GANCHO, TORNILLOS 3.5</t>
  </si>
  <si>
    <t>CLAVICULA ANTERIOR 3.5, TORNILLOS 3.5</t>
  </si>
  <si>
    <t xml:space="preserve"> PLACA HUMERO PROXIMAL, TORNILLOS 3.5 DIPROMEDIC</t>
  </si>
  <si>
    <t>CLAVICULAR, TORNILLOS 2.4 Y 3.5</t>
  </si>
  <si>
    <t xml:space="preserve">MEZA GONZALES </t>
  </si>
  <si>
    <t xml:space="preserve">VALDIZAN SOSA WILDER </t>
  </si>
  <si>
    <t>CLINICA LIMATAMBO SAN ISIDRO</t>
  </si>
  <si>
    <t>TORRES HUAMANI CARLOS</t>
  </si>
  <si>
    <t>LEON ZARATE SERAFINA</t>
  </si>
  <si>
    <t xml:space="preserve">FERNANDEZ VILLAREAL </t>
  </si>
  <si>
    <t xml:space="preserve">FERNANDEZ </t>
  </si>
  <si>
    <t xml:space="preserve">BASTIDAS MARCELO ANTHONY </t>
  </si>
  <si>
    <t xml:space="preserve">ESPINOZA CORNELLO </t>
  </si>
  <si>
    <t>SAAVEDRA</t>
  </si>
  <si>
    <t>PAREDES</t>
  </si>
  <si>
    <t xml:space="preserve">CAPARACHIN MENDOZA </t>
  </si>
  <si>
    <t>LARA TORRES NANCY</t>
  </si>
  <si>
    <t>COLAN ZAMBRANO</t>
  </si>
  <si>
    <t>CUENCA MARCOS</t>
  </si>
  <si>
    <t>GUERRA VILLAR</t>
  </si>
  <si>
    <t>AGUJAS ROSCADAS</t>
  </si>
  <si>
    <t>TIBIA DISTAL CON LENGÜETA, TORNILLOS 3.5</t>
  </si>
  <si>
    <t xml:space="preserve">100%, SUSPENCIO POR PACIENTO POR COVID, </t>
  </si>
  <si>
    <t>PLACA 2.0, TORNILLOS 2.0</t>
  </si>
  <si>
    <t>BOYER CORDOVA JOSE RICARDO</t>
  </si>
  <si>
    <t xml:space="preserve">PREMZA DE MESA </t>
  </si>
  <si>
    <t>RETIRA DE PLACAS</t>
  </si>
  <si>
    <t>PLACA ANGULO VARIABLE, TORNILLOS 2.4, BROCA 1.5, AGUJAS 2.0</t>
  </si>
  <si>
    <t>PLACA CLVICULA, TORNILLOS 3.5</t>
  </si>
  <si>
    <t>ANGULO VARIABLE, TORNILLOS 3.5</t>
  </si>
  <si>
    <t>CLINICA SAN JUAN DE DIOS</t>
  </si>
  <si>
    <t>GRANDA</t>
  </si>
  <si>
    <t xml:space="preserve">LUZ  SANCHES ALVARES </t>
  </si>
  <si>
    <t>CUEVA MONTENEGRO</t>
  </si>
  <si>
    <t>CHECASACA OLIVOS</t>
  </si>
  <si>
    <t>PLACA 1.5, TORNILLO 1.5</t>
  </si>
  <si>
    <t>RECTA 3.5, TORNILLOS 3.5 + PLACA 2.7, TORNILLOS 2.7</t>
  </si>
  <si>
    <t>BONIFACIO CANDELA</t>
  </si>
  <si>
    <t>VALLADARES</t>
  </si>
  <si>
    <t xml:space="preserve">BOCANEGRA UGARTE GONZALO </t>
  </si>
  <si>
    <t>ALAYO CARBAJAL RONAL</t>
  </si>
  <si>
    <t>CLINICA SERVISALUD</t>
  </si>
  <si>
    <t>RODRIGUEZ</t>
  </si>
  <si>
    <t>ORMEÑO GRADOS FELIX</t>
  </si>
  <si>
    <t>CLINICA SAN GABRIEL</t>
  </si>
  <si>
    <t>FLORES VELASQUEZ</t>
  </si>
  <si>
    <t>HUAMAN GARCIA EULISES</t>
  </si>
  <si>
    <t>PADILLA VERAMENDI</t>
  </si>
  <si>
    <t>DHS, TORNILLOS 4.5 Y 5.0</t>
  </si>
  <si>
    <t>NIZAMA COBEÑAS</t>
  </si>
  <si>
    <t>DCS, TORNILLOS 4.5 Y 5.0</t>
  </si>
  <si>
    <t>Retiro</t>
  </si>
  <si>
    <t>Prenza de mesa</t>
  </si>
  <si>
    <t>PRENZA</t>
  </si>
  <si>
    <t>ESPINOZA CORNELIO THIAGO</t>
  </si>
  <si>
    <t>USQUIANO SIALER CELINDA</t>
  </si>
  <si>
    <t>SIRETIRO</t>
  </si>
  <si>
    <t>MACHACA ROCA LUIS ANGEL</t>
  </si>
  <si>
    <t xml:space="preserve">MARTIN LEONARDO LUCIO </t>
  </si>
  <si>
    <t>LOAYZA</t>
  </si>
  <si>
    <t>RAMOS HUAMAN JESUS</t>
  </si>
  <si>
    <t>CARRILLO PONCE</t>
  </si>
  <si>
    <t xml:space="preserve"> NO SE OPERÓ</t>
  </si>
  <si>
    <t>RECONSTRUCCION, TORNILLOS 3.5</t>
  </si>
  <si>
    <t>PAUCAR</t>
  </si>
  <si>
    <t>CONDEZO</t>
  </si>
  <si>
    <t>CUEVA MONTENEGRO JUAN</t>
  </si>
  <si>
    <t>CUSIHUAMAN</t>
  </si>
  <si>
    <t>CHAVEZ BEJAR GERMAN</t>
  </si>
  <si>
    <t>AGUJA ROSCADA 2.0</t>
  </si>
  <si>
    <t>VINER PINTO LUIS</t>
  </si>
  <si>
    <t xml:space="preserve"> JARA SANTILLAN JULIO</t>
  </si>
  <si>
    <t>JUAREZ EVANGELISTA CESAR</t>
  </si>
  <si>
    <t xml:space="preserve"> MACHO ESCOBAR ALEXIS</t>
  </si>
  <si>
    <t>TOVAR ESTRADA LUZ</t>
  </si>
  <si>
    <t>MOGROVEJO PESCO MICHAEL</t>
  </si>
  <si>
    <t>MINIPLACA 1.5, TORNILLOS 1.5</t>
  </si>
  <si>
    <t>SIERRA GIGLI</t>
  </si>
  <si>
    <t>CLINICA MEDAVAN</t>
  </si>
  <si>
    <t>CONDORI ALVAREZ</t>
  </si>
  <si>
    <t>REYES MEDELEY SINDER</t>
  </si>
  <si>
    <t>TORNILLOS 4.0, ARANDELAS Y AGUJAS, SIN PLACAS</t>
  </si>
  <si>
    <t>SIN PLACAS</t>
  </si>
  <si>
    <t>LICAS BAYONA MILADY</t>
  </si>
  <si>
    <t>HOSPITAL DE HUACHO</t>
  </si>
  <si>
    <t>MARIN VEGA</t>
  </si>
  <si>
    <t>GAVEDIA ROSALES TEOFILO</t>
  </si>
  <si>
    <t>CABEZUDO CABRERA LUIS</t>
  </si>
  <si>
    <t>CHAVEZ OCHOA GLORIA</t>
  </si>
  <si>
    <t>CLAVICULAR, TORNILLOS 3.5</t>
  </si>
  <si>
    <t>FRANCO</t>
  </si>
  <si>
    <t>VASQUEZ GAMARRA</t>
  </si>
  <si>
    <t>TORRES ESPINEL JAMES</t>
  </si>
  <si>
    <t>HUACHO FLORES ESTHER MIRTHA</t>
  </si>
  <si>
    <t>LAZO</t>
  </si>
  <si>
    <t>LOAYZA BONILLA JULIA</t>
  </si>
  <si>
    <t>022-0101</t>
  </si>
  <si>
    <t>SIN DOCTOR</t>
  </si>
  <si>
    <t>PINTADO JIMENEZ</t>
  </si>
  <si>
    <t>COTERA CHUAN</t>
  </si>
  <si>
    <t>CAUTO ATIQUIPA DORIS</t>
  </si>
  <si>
    <t>MINIPLACA 2.0, TORNILLOS 2.0</t>
  </si>
  <si>
    <t>BECERRA RIVERA</t>
  </si>
  <si>
    <t>FEMUR PROXIMAL, TORNILLOS 4.5 Y 5.0</t>
  </si>
  <si>
    <t>DOS PLACAS TIBIA PROXIMAL 4.5, TORNILLOS 4.5 Y 5.0</t>
  </si>
  <si>
    <t xml:space="preserve">TORNILLOS 3.5 </t>
  </si>
  <si>
    <t>Columna1</t>
  </si>
  <si>
    <t>USARON PLACA DE ORDEN DE COMPRA</t>
  </si>
  <si>
    <t>DOS PLACAS: PERONE Y TERCIO DE CAÑA, TORNILLOS 3.5 Y 2.4</t>
  </si>
  <si>
    <t>DOS PLACAS: RECTA 3.5 Y ANGULO VARIABLE, TORNILLOS 2.4 Y 3.5</t>
  </si>
  <si>
    <t>022-0102</t>
  </si>
  <si>
    <t>022-0103</t>
  </si>
  <si>
    <t>022-0104</t>
  </si>
  <si>
    <t>022-0105</t>
  </si>
  <si>
    <t>022-0106</t>
  </si>
  <si>
    <t>022-0107</t>
  </si>
  <si>
    <t>022-0108</t>
  </si>
  <si>
    <t>022-0109</t>
  </si>
  <si>
    <t>022-0110</t>
  </si>
  <si>
    <t>022-0111</t>
  </si>
  <si>
    <t>022-0112</t>
  </si>
  <si>
    <t>022-0113</t>
  </si>
  <si>
    <t>SERRANO QUIROZ JOSE</t>
  </si>
  <si>
    <t>LAZO TALLEDO ROGER</t>
  </si>
  <si>
    <t>SOLIS MESIAS JAVIER MARCOS</t>
  </si>
  <si>
    <t>MINI PLACA 2.0, TORNILLOS 2.0</t>
  </si>
  <si>
    <t>LAZO MELGAR LINO</t>
  </si>
  <si>
    <t>RAMOS PACHECO ALDAHIR</t>
  </si>
  <si>
    <t>CALDERON VILLAVICENCIO SOFIA</t>
  </si>
  <si>
    <t>CHAMILCO TOLENTINO JESUS</t>
  </si>
  <si>
    <t>ESTRELLA SOTA CARLOS</t>
  </si>
  <si>
    <t>GUTIERREZ SUYLLO BENEDICTO</t>
  </si>
  <si>
    <t>MINIPLACA, TORNILLOS 1.5</t>
  </si>
  <si>
    <t>ROMAN CAIPO POOL</t>
  </si>
  <si>
    <t>GUTIERREZ SORIA MARLON</t>
  </si>
  <si>
    <t xml:space="preserve">NO </t>
  </si>
  <si>
    <t>CLAVICULA, TORNILLOS 2.4 Y 3.5</t>
  </si>
  <si>
    <t>MORALES GUILLEN FELIX</t>
  </si>
  <si>
    <t>LIZARRAGA</t>
  </si>
  <si>
    <t>022-0114</t>
  </si>
  <si>
    <t>CONSIGNACION</t>
  </si>
  <si>
    <t>GRANDES FRAGMENTOS CORTICALES</t>
  </si>
  <si>
    <t>022-0116</t>
  </si>
  <si>
    <t>022-0117</t>
  </si>
  <si>
    <t>HOSPITAL REBAGLIATI</t>
  </si>
  <si>
    <t>022-0118</t>
  </si>
  <si>
    <t>BIOCELLS</t>
  </si>
  <si>
    <t>MOTOR BOJIN NEGRO</t>
  </si>
  <si>
    <t>022-0115</t>
  </si>
  <si>
    <t>DIAZ HIDALGO PELAGIO</t>
  </si>
  <si>
    <t>022-0119</t>
  </si>
  <si>
    <t>022-0120</t>
  </si>
  <si>
    <t>022-0121</t>
  </si>
  <si>
    <t>022-0122</t>
  </si>
  <si>
    <t>022-0123</t>
  </si>
  <si>
    <t>022-0124</t>
  </si>
  <si>
    <t>022-0125</t>
  </si>
  <si>
    <t>022-0126</t>
  </si>
  <si>
    <t>022-0127</t>
  </si>
  <si>
    <t>022-0128</t>
  </si>
  <si>
    <t>022-0129</t>
  </si>
  <si>
    <t>022-0130</t>
  </si>
  <si>
    <t>022-0131</t>
  </si>
  <si>
    <t>022-0132</t>
  </si>
  <si>
    <t>022-0133</t>
  </si>
  <si>
    <t>022-0134</t>
  </si>
  <si>
    <t>022-0135</t>
  </si>
  <si>
    <t>022-0136</t>
  </si>
  <si>
    <t>022-0137</t>
  </si>
  <si>
    <t>022-0138</t>
  </si>
  <si>
    <t>022-0139</t>
  </si>
  <si>
    <t>022-0140</t>
  </si>
  <si>
    <t>022-0141</t>
  </si>
  <si>
    <t xml:space="preserve">DEMOREL BARZOLA </t>
  </si>
  <si>
    <t xml:space="preserve">LEYVA GAHONA JOSEPH </t>
  </si>
  <si>
    <t>RECTAS 3.5, TORNILLOS 3.5</t>
  </si>
  <si>
    <t>DOS PLACAS: TERCIO DE CAÑA Y MINIFRAGMENTOS, TORNILLOS 1.5 Y 3.5</t>
  </si>
  <si>
    <t>BAYLON BECERRA CESAR AUGUSTO</t>
  </si>
  <si>
    <t>DOS PLACAS HUMERO DISTAL, TORNILLOS 2.4 Y 3.5</t>
  </si>
  <si>
    <t>CASTRO ROMAN DANTE</t>
  </si>
  <si>
    <t>CAPARACHIN MENDOZA SONIA</t>
  </si>
  <si>
    <t>PACHECHO EVASNABAR</t>
  </si>
  <si>
    <t>ALEXANDRA ANGELES</t>
  </si>
  <si>
    <t>INGA AGUIRRE CELESTINO</t>
  </si>
  <si>
    <t>HERBOZO GALVEZ MIGUEL</t>
  </si>
  <si>
    <t>QUEVEDO MEZA LUIS ANTONIO</t>
  </si>
  <si>
    <t>ZAPATA CERRON JOSE GUILLERMO</t>
  </si>
  <si>
    <t>ANCHA 4.5, TORNILLOS 4.5 Y 5.0</t>
  </si>
  <si>
    <t>YOVERA CRISANTO JOSE MANUEL</t>
  </si>
  <si>
    <t>VELASQUEZ PEREZ</t>
  </si>
  <si>
    <t>VICENTE HUAPAYA EVER</t>
  </si>
  <si>
    <t>TRES PLACAS: 3 RECONSTRUCCION, TORNILLOS 3.5</t>
  </si>
  <si>
    <t>ENTREGADO</t>
  </si>
  <si>
    <t>ANGULO VARIABLE, TORNILLOS 2.4, TORNILLOS 3.5</t>
  </si>
  <si>
    <t>DOS PLACAS: TIBIA DISTAL, MINIPLACA 2.4, TORNILLOS 3.5 Y 2.4</t>
  </si>
  <si>
    <t>RECTA 4.5, TORNILLOS 4.5 Y 5.0</t>
  </si>
  <si>
    <t>TIBIA DISTAL, TORNILLOS 3.5</t>
  </si>
  <si>
    <t>CONSUMO ERRADO, SE PUSO HUMERO PROXIMAL Y FUE TIBIA DISTAL</t>
  </si>
  <si>
    <t>TORNILLOS</t>
  </si>
  <si>
    <t>TORNILLO 3.5, ARANDELA Y AGUJAS ROSCADAS</t>
  </si>
  <si>
    <t>MARIN BERMUDEZ</t>
  </si>
  <si>
    <t>DOMINGUEZ MATIAS</t>
  </si>
  <si>
    <t>MURGA RAMIREZ ELIZABETH</t>
  </si>
  <si>
    <t>ATARAMA DE AGURTO OLINDA</t>
  </si>
  <si>
    <t>REYES BENAVENTE MILAGROS</t>
  </si>
  <si>
    <t>RECOGIDO</t>
  </si>
  <si>
    <t>-</t>
  </si>
  <si>
    <t>INSTRUMENTAL</t>
  </si>
  <si>
    <t>INSTRUMENTAL DE PRESTAMO</t>
  </si>
  <si>
    <t>MACHACA ROCA LUIS</t>
  </si>
  <si>
    <t>CUIVILCA SANCHEZ FELIX</t>
  </si>
  <si>
    <t>JHON PEREZ</t>
  </si>
  <si>
    <t>ISUIZA DIAZ PATRICIO</t>
  </si>
  <si>
    <t>BOLIVAR</t>
  </si>
  <si>
    <t>CLAVICULAR GANCHO, TORNILLOS 3.5</t>
  </si>
  <si>
    <t>OJEDA CORREA KESHIA ESTEGANIA</t>
  </si>
  <si>
    <t>TORNILLOS CANULADOS</t>
  </si>
  <si>
    <t>022-0142</t>
  </si>
  <si>
    <t>APAZA SALAS LUIS DANTE</t>
  </si>
  <si>
    <t>022-0143</t>
  </si>
  <si>
    <t>CRISOSTOMO MARTINEZ JERRY</t>
  </si>
  <si>
    <t>022-0144</t>
  </si>
  <si>
    <t>022-0145</t>
  </si>
  <si>
    <t>AMASIFUEN AMASIFUEN REICER</t>
  </si>
  <si>
    <t>022-0146</t>
  </si>
  <si>
    <t>SHAPIAMA FERREYRA</t>
  </si>
  <si>
    <t>DOS PLACAS: RADIO DISTAL Y MINIPLACA 1.5, TORNILLOS 2.4 Y 1.5</t>
  </si>
  <si>
    <t>HUAMAN CANTORA SANDRA</t>
  </si>
  <si>
    <t>022-0147</t>
  </si>
  <si>
    <t>RAMOS CELIS NORMA</t>
  </si>
  <si>
    <t>022-0148</t>
  </si>
  <si>
    <t>022-0149</t>
  </si>
  <si>
    <t>022-0150</t>
  </si>
  <si>
    <t>CHAVEZ CUSIRRAMOS CESAR</t>
  </si>
  <si>
    <t>MARIN</t>
  </si>
  <si>
    <t>ALBUQUERQUE LOPEZ JUNIOR</t>
  </si>
  <si>
    <t>ACOSTA TECLO SAMIR</t>
  </si>
  <si>
    <t>RADIO DISTAL, TORNILLOS 2.4</t>
  </si>
  <si>
    <t>AGUJAS K.</t>
  </si>
  <si>
    <t>022-0151</t>
  </si>
  <si>
    <t>022-0152</t>
  </si>
  <si>
    <t>022-0153</t>
  </si>
  <si>
    <t>022-0154</t>
  </si>
  <si>
    <t>022-0155</t>
  </si>
  <si>
    <t>022-0156</t>
  </si>
  <si>
    <t>022-0157</t>
  </si>
  <si>
    <t>SANCHEZ ORIONSO ANDY ALEXIS</t>
  </si>
  <si>
    <t>FLORES EUNICE</t>
  </si>
  <si>
    <t>NAVARRO LUQUE PATRICIA</t>
  </si>
  <si>
    <t>VARGAS MONCADA FABRIZIO</t>
  </si>
  <si>
    <t>CASTILLO MOSQUEIRA CARLOS</t>
  </si>
  <si>
    <t>022-0158</t>
  </si>
  <si>
    <t>022-0159</t>
  </si>
  <si>
    <t>022-0160</t>
  </si>
  <si>
    <t>BUITRON COLAN MICHELI</t>
  </si>
  <si>
    <t>DOBLE PLACA HUMERO DISTAL, TORNILLOS 2.4, 3.5 Y 2.7</t>
  </si>
  <si>
    <t>DOBLE PLACA: RECONSTRUCCION CURVA Y RECTA, TORNILLOS 3.5</t>
  </si>
  <si>
    <t>PLACA TERCIO DE CAÑA, TORNILLOS 3.5</t>
  </si>
  <si>
    <t>DOBLE PLACA: HUMERO PROXIMAL Y TIBIA DISTAL, TORNILLOS 3.5</t>
  </si>
  <si>
    <t>POZO ALCANTARA ANDRE</t>
  </si>
  <si>
    <t>MENDOZA RIVERA HERBER</t>
  </si>
  <si>
    <t>DOMINGUEZ MATIAS MANUEL</t>
  </si>
  <si>
    <t>LEON</t>
  </si>
  <si>
    <t>DEL CASTILLO RACACHA ALEJANDRO</t>
  </si>
  <si>
    <t>022-0161</t>
  </si>
  <si>
    <t>CASAVERDE CHAVEZ BETTY</t>
  </si>
  <si>
    <t>022-0162</t>
  </si>
  <si>
    <t>022-0163</t>
  </si>
  <si>
    <t>INCA</t>
  </si>
  <si>
    <t>GARCIA REYES EVA</t>
  </si>
  <si>
    <t>GIAN</t>
  </si>
  <si>
    <t xml:space="preserve">BARDALES GANOZA JOSE </t>
  </si>
  <si>
    <t>HOSPITAL PUENTE PIEDRA</t>
  </si>
  <si>
    <t>SE ENTREGO GRANDES FRAGMENTOS CORTICALE Y NOS REGRESARON PEQUEÑOS CORTICALES</t>
  </si>
  <si>
    <t>BONIFAZ NECIOCUP LUIS</t>
  </si>
  <si>
    <t>022-0164</t>
  </si>
  <si>
    <t>CABALLERO FERREIRA JOHAN</t>
  </si>
  <si>
    <t>022-0165</t>
  </si>
  <si>
    <t>022-0166</t>
  </si>
  <si>
    <t>022-0167</t>
  </si>
  <si>
    <t>022-0168</t>
  </si>
  <si>
    <t>022-0169</t>
  </si>
  <si>
    <t>022-0170</t>
  </si>
  <si>
    <t>022-0171</t>
  </si>
  <si>
    <t>ALARCON HUAMANI RUTH</t>
  </si>
  <si>
    <t>HUAMANI ANGULO JAVIER ARTURO</t>
  </si>
  <si>
    <t>SISTEMAS 2.4</t>
  </si>
  <si>
    <t>PEQUEÑOS FRAGMENTOS</t>
  </si>
  <si>
    <t>RADIO DISTAL</t>
  </si>
  <si>
    <t>HUMERO PROXIMAL</t>
  </si>
  <si>
    <t>CABALLERO RAMIREZ REYNA ISABEL</t>
  </si>
  <si>
    <t>PERONE</t>
  </si>
  <si>
    <t>CLINICA SAN PEDRO HUACHO</t>
  </si>
  <si>
    <t>GRANDES FRAGMENTOS</t>
  </si>
  <si>
    <t>DHS, DCS, F. PROXIMAL</t>
  </si>
  <si>
    <t>FEMUR DISTAL</t>
  </si>
  <si>
    <t>GUTIERREZ</t>
  </si>
  <si>
    <t>VARGAS DE LA ROSA MONICA</t>
  </si>
  <si>
    <t>RAMIREZ</t>
  </si>
  <si>
    <t>FLORES ROSALES RONAL</t>
  </si>
  <si>
    <t>TIBIA DISTAL</t>
  </si>
  <si>
    <t>DHS CONVENCIONAL</t>
  </si>
  <si>
    <t>SISTEMAS</t>
  </si>
  <si>
    <t>PLACAS</t>
  </si>
  <si>
    <t>DHS</t>
  </si>
  <si>
    <t>DCS</t>
  </si>
  <si>
    <t>TIBIA PROXIMAL 4.5</t>
  </si>
  <si>
    <t>CLAVICULAR</t>
  </si>
  <si>
    <t>RECTAS 4.5</t>
  </si>
  <si>
    <t>TERCIO DE CAÑA</t>
  </si>
  <si>
    <t>MINIFRAGMENTOS</t>
  </si>
  <si>
    <t xml:space="preserve">SISTEMA </t>
  </si>
  <si>
    <t>SISTEMA 2.4</t>
  </si>
  <si>
    <t>NO SE OPERO</t>
  </si>
  <si>
    <t>DOS PLACAS: TIBIA DISTAL, MINIPLACA 2.4 ,TORNILLOS 3.5 Y 2.4</t>
  </si>
  <si>
    <t>MINIFRAGMENTOS TIBIA DISTAL</t>
  </si>
  <si>
    <t>MINIFRAGMENTOS, PEQUEÑOS</t>
  </si>
  <si>
    <t>MINIPLACA</t>
  </si>
  <si>
    <t>DHS LCP</t>
  </si>
  <si>
    <t>PRENZA DE 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</si>
</sst>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Verdana"/>
      <family val="2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0" fillId="0" borderId="0"/>
  </cellStyleXfs>
  <cellXfs count="85">
    <xf numFmtId="0" fontId="0" fillId="0" borderId="0" xfId="0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4" borderId="2" xfId="0" applyFont="1" applyFill="1" applyBorder="1"/>
    <xf numFmtId="0" fontId="8" fillId="4" borderId="3" xfId="0" applyFont="1" applyFill="1" applyBorder="1"/>
    <xf numFmtId="0" fontId="9" fillId="0" borderId="0" xfId="0" applyFont="1" applyFill="1" applyBorder="1" applyAlignment="1">
      <alignment horizontal="center"/>
    </xf>
    <xf numFmtId="9" fontId="8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9" fontId="8" fillId="0" borderId="0" xfId="1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9" fillId="0" borderId="7" xfId="0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7" xfId="0" applyBorder="1"/>
    <xf numFmtId="0" fontId="8" fillId="4" borderId="16" xfId="0" applyFont="1" applyFill="1" applyBorder="1"/>
    <xf numFmtId="9" fontId="8" fillId="0" borderId="0" xfId="1" applyFont="1" applyBorder="1" applyAlignment="1">
      <alignment horizontal="center"/>
    </xf>
    <xf numFmtId="0" fontId="8" fillId="4" borderId="17" xfId="0" applyFont="1" applyFill="1" applyBorder="1"/>
    <xf numFmtId="0" fontId="0" fillId="0" borderId="7" xfId="0" applyFill="1" applyBorder="1"/>
    <xf numFmtId="0" fontId="0" fillId="0" borderId="15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ont="1" applyBorder="1" applyAlignment="1">
      <alignment horizontal="center"/>
    </xf>
    <xf numFmtId="0" fontId="8" fillId="0" borderId="15" xfId="0" applyFont="1" applyBorder="1" applyAlignment="1"/>
    <xf numFmtId="1" fontId="7" fillId="5" borderId="0" xfId="1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7" fillId="5" borderId="0" xfId="1" applyNumberFormat="1" applyFont="1" applyFill="1" applyBorder="1" applyAlignment="1">
      <alignment horizontal="center"/>
    </xf>
    <xf numFmtId="2" fontId="7" fillId="5" borderId="15" xfId="1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2" applyFont="1" applyAlignment="1">
      <alignment vertical="center"/>
    </xf>
    <xf numFmtId="0" fontId="11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12" fillId="7" borderId="2" xfId="0" applyFont="1" applyFill="1" applyBorder="1" applyAlignment="1">
      <alignment horizontal="left"/>
    </xf>
    <xf numFmtId="14" fontId="12" fillId="7" borderId="2" xfId="0" applyNumberFormat="1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center"/>
    </xf>
    <xf numFmtId="9" fontId="5" fillId="0" borderId="2" xfId="0" applyNumberFormat="1" applyFont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5" fillId="10" borderId="2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13" fillId="9" borderId="2" xfId="2" applyFont="1" applyFill="1" applyBorder="1" applyAlignment="1">
      <alignment vertical="center"/>
    </xf>
    <xf numFmtId="0" fontId="3" fillId="9" borderId="2" xfId="0" applyFont="1" applyFill="1" applyBorder="1" applyAlignment="1">
      <alignment horizontal="left"/>
    </xf>
    <xf numFmtId="14" fontId="5" fillId="9" borderId="2" xfId="0" applyNumberFormat="1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14" fontId="5" fillId="0" borderId="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8" fillId="0" borderId="2" xfId="0" applyFont="1" applyBorder="1"/>
    <xf numFmtId="0" fontId="5" fillId="0" borderId="2" xfId="0" applyFont="1" applyBorder="1"/>
    <xf numFmtId="14" fontId="5" fillId="11" borderId="2" xfId="0" applyNumberFormat="1" applyFont="1" applyFill="1" applyBorder="1" applyAlignment="1">
      <alignment horizontal="center"/>
    </xf>
    <xf numFmtId="0" fontId="14" fillId="0" borderId="2" xfId="0" applyFont="1" applyBorder="1"/>
    <xf numFmtId="0" fontId="15" fillId="0" borderId="2" xfId="0" applyFont="1" applyBorder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</cellXfs>
  <cellStyles count="3">
    <cellStyle name="Normal" xfId="0" builtinId="0"/>
    <cellStyle name="Normal 2" xfId="2" xr:uid="{2976B63F-15AA-4A38-A0DB-15C19D03DB14}"/>
    <cellStyle name="Porcentaje" xfId="1" builtinId="5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C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8203C-6CCE-476C-9B9D-8D9469A79622}" name="Tabla1" displayName="Tabla1" ref="A1:M200" totalsRowShown="0" headerRowDxfId="16" dataDxfId="0" headerRowBorderDxfId="15" tableBorderDxfId="14">
  <autoFilter ref="A1:M200" xr:uid="{1AB2DF51-89F7-4E40-81DA-F244B818268E}"/>
  <tableColumns count="13">
    <tableColumn id="1" xr3:uid="{BC75B4A5-EEEB-4733-9ABB-39877435BABB}" name="AN" dataDxfId="13"/>
    <tableColumn id="2" xr3:uid="{A57A96DA-EF5A-46FB-AAF3-E965AB7FF857}" name="INSTITUCION" dataDxfId="12"/>
    <tableColumn id="3" xr3:uid="{D99350EC-FC2D-48EE-930C-B9804507D8C0}" name="MEDICO" dataDxfId="11"/>
    <tableColumn id="4" xr3:uid="{A5F7129F-BCF1-4A07-9834-3B15950B9E74}" name="PACIENTE " dataDxfId="10"/>
    <tableColumn id="7" xr3:uid="{36FED70C-D839-4A77-A585-032A152AD588}" name="SISTEMAS" dataDxfId="9"/>
    <tableColumn id="5" xr3:uid="{93E442AB-2AA6-4189-A00F-44A2C4C05E75}" name="PLACAS" dataDxfId="8"/>
    <tableColumn id="8" xr3:uid="{38AC5BC3-48A5-47EC-BC8F-657A0E53640D}" name="MOTOR " dataDxfId="7"/>
    <tableColumn id="9" xr3:uid="{FABD216D-7570-48F2-8C2B-47466DF0C464}" name="FECHA DE ENTREGA " dataDxfId="6"/>
    <tableColumn id="11" xr3:uid="{173BE5C6-2216-4117-A6B4-35D9D571E087}" name="FECHA DE CIRUGIA " dataDxfId="5"/>
    <tableColumn id="13" xr3:uid="{AEDA8538-8FA1-411A-BDF7-45006F61BCA0}" name="FECHA DE RECOJO  " dataDxfId="4">
      <calculatedColumnFormula>I2+1</calculatedColumnFormula>
    </tableColumn>
    <tableColumn id="15" xr3:uid="{1260940A-73A2-4317-B965-A0F8AEE0B1AC}" name="CIRUGIA" dataDxfId="3"/>
    <tableColumn id="16" xr3:uid="{866E3850-9961-4C6A-8463-32897B46C826}" name="IMPLANTE UTILIZADO (PLACA)" dataDxfId="2"/>
    <tableColumn id="6" xr3:uid="{A3348460-1786-4179-B55F-AED445FE115F}" name="Columna1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00"/>
  <sheetViews>
    <sheetView showGridLines="0" tabSelected="1" topLeftCell="C19" zoomScale="85" zoomScaleNormal="85" workbookViewId="0">
      <selection activeCell="E57" sqref="E57"/>
    </sheetView>
  </sheetViews>
  <sheetFormatPr baseColWidth="10" defaultColWidth="9.140625" defaultRowHeight="15" x14ac:dyDescent="0.25"/>
  <cols>
    <col min="1" max="1" width="9.7109375" bestFit="1" customWidth="1"/>
    <col min="2" max="2" width="25.5703125" customWidth="1"/>
    <col min="3" max="3" width="17.85546875" bestFit="1" customWidth="1"/>
    <col min="4" max="4" width="28.5703125" customWidth="1"/>
    <col min="5" max="5" width="20.5703125" bestFit="1" customWidth="1"/>
    <col min="6" max="6" width="26.140625" bestFit="1" customWidth="1"/>
    <col min="7" max="7" width="24.5703125" bestFit="1" customWidth="1"/>
    <col min="8" max="8" width="18" customWidth="1"/>
    <col min="9" max="9" width="13.5703125" customWidth="1"/>
    <col min="10" max="10" width="20.85546875" bestFit="1" customWidth="1"/>
    <col min="11" max="11" width="13.28515625" bestFit="1" customWidth="1"/>
    <col min="12" max="12" width="75" bestFit="1" customWidth="1"/>
    <col min="13" max="13" width="55.5703125" bestFit="1" customWidth="1"/>
    <col min="18" max="18" width="32.85546875" bestFit="1" customWidth="1"/>
    <col min="19" max="19" width="32.85546875" customWidth="1"/>
  </cols>
  <sheetData>
    <row r="1" spans="1:13" x14ac:dyDescent="0.25">
      <c r="A1" s="2" t="s">
        <v>64</v>
      </c>
      <c r="B1" s="3" t="s">
        <v>0</v>
      </c>
      <c r="C1" s="3" t="s">
        <v>1</v>
      </c>
      <c r="D1" s="3" t="s">
        <v>2</v>
      </c>
      <c r="E1" s="3" t="s">
        <v>556</v>
      </c>
      <c r="F1" s="3" t="s">
        <v>557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29</v>
      </c>
      <c r="M1" s="3" t="s">
        <v>360</v>
      </c>
    </row>
    <row r="2" spans="1:13" x14ac:dyDescent="0.25">
      <c r="A2" s="73" t="s">
        <v>87</v>
      </c>
      <c r="B2" s="54" t="s">
        <v>15</v>
      </c>
      <c r="C2" s="54" t="s">
        <v>16</v>
      </c>
      <c r="D2" s="52" t="s">
        <v>65</v>
      </c>
      <c r="E2" s="52"/>
      <c r="F2" s="52"/>
      <c r="G2" s="74" t="s">
        <v>9</v>
      </c>
      <c r="H2" s="72">
        <v>44564</v>
      </c>
      <c r="I2" s="72">
        <f>Tabla1[[#This Row],[FECHA DE ENTREGA ]]</f>
        <v>44564</v>
      </c>
      <c r="J2" s="72">
        <f>Tabla1[[#This Row],[FECHA DE CIRUGIA ]]+1</f>
        <v>44565</v>
      </c>
      <c r="K2" s="53" t="s">
        <v>17</v>
      </c>
      <c r="L2" s="54" t="s">
        <v>14</v>
      </c>
      <c r="M2" s="72"/>
    </row>
    <row r="3" spans="1:13" x14ac:dyDescent="0.25">
      <c r="A3" s="73" t="s">
        <v>88</v>
      </c>
      <c r="B3" s="54" t="s">
        <v>8</v>
      </c>
      <c r="C3" s="54" t="s">
        <v>111</v>
      </c>
      <c r="D3" s="54" t="s">
        <v>112</v>
      </c>
      <c r="E3" s="54" t="s">
        <v>541</v>
      </c>
      <c r="F3" s="54" t="s">
        <v>554</v>
      </c>
      <c r="G3" s="74" t="s">
        <v>9</v>
      </c>
      <c r="H3" s="72">
        <v>44561</v>
      </c>
      <c r="I3" s="72">
        <f>Tabla1[[#This Row],[FECHA DE ENTREGA ]]+4</f>
        <v>44565</v>
      </c>
      <c r="J3" s="72">
        <f>Tabla1[[#This Row],[FECHA DE CIRUGIA ]]+1</f>
        <v>44566</v>
      </c>
      <c r="K3" s="53" t="s">
        <v>107</v>
      </c>
      <c r="L3" s="54" t="s">
        <v>114</v>
      </c>
      <c r="M3" s="72"/>
    </row>
    <row r="4" spans="1:13" x14ac:dyDescent="0.25">
      <c r="A4" s="73" t="s">
        <v>89</v>
      </c>
      <c r="B4" s="54" t="s">
        <v>8</v>
      </c>
      <c r="C4" s="54" t="s">
        <v>27</v>
      </c>
      <c r="D4" s="54" t="s">
        <v>72</v>
      </c>
      <c r="E4" s="54" t="s">
        <v>540</v>
      </c>
      <c r="F4" s="54" t="s">
        <v>542</v>
      </c>
      <c r="G4" s="74" t="s">
        <v>9</v>
      </c>
      <c r="H4" s="72">
        <v>44564</v>
      </c>
      <c r="I4" s="72">
        <f>Tabla1[[#This Row],[FECHA DE ENTREGA ]]+1</f>
        <v>44565</v>
      </c>
      <c r="J4" s="72">
        <f t="shared" ref="J4:J10" si="0">I4+1</f>
        <v>44566</v>
      </c>
      <c r="K4" s="53" t="s">
        <v>107</v>
      </c>
      <c r="L4" s="54" t="s">
        <v>109</v>
      </c>
      <c r="M4" s="72"/>
    </row>
    <row r="5" spans="1:13" x14ac:dyDescent="0.25">
      <c r="A5" s="73" t="s">
        <v>90</v>
      </c>
      <c r="B5" s="54" t="s">
        <v>8</v>
      </c>
      <c r="C5" s="54" t="s">
        <v>22</v>
      </c>
      <c r="D5" s="54" t="s">
        <v>68</v>
      </c>
      <c r="E5" s="54" t="s">
        <v>460</v>
      </c>
      <c r="F5" s="54" t="s">
        <v>460</v>
      </c>
      <c r="G5" s="74" t="s">
        <v>9</v>
      </c>
      <c r="H5" s="72">
        <v>44564</v>
      </c>
      <c r="I5" s="72">
        <f>Tabla1[[#This Row],[FECHA DE ENTREGA ]]+1</f>
        <v>44565</v>
      </c>
      <c r="J5" s="72">
        <f t="shared" si="0"/>
        <v>44566</v>
      </c>
      <c r="K5" s="53" t="s">
        <v>17</v>
      </c>
      <c r="L5" s="54" t="s">
        <v>14</v>
      </c>
      <c r="M5" s="72"/>
    </row>
    <row r="6" spans="1:13" x14ac:dyDescent="0.25">
      <c r="A6" s="73" t="s">
        <v>90</v>
      </c>
      <c r="B6" s="54" t="s">
        <v>8</v>
      </c>
      <c r="C6" s="54" t="s">
        <v>66</v>
      </c>
      <c r="D6" s="54" t="s">
        <v>301</v>
      </c>
      <c r="E6" s="54" t="s">
        <v>558</v>
      </c>
      <c r="F6" s="54" t="s">
        <v>558</v>
      </c>
      <c r="G6" s="74" t="s">
        <v>9</v>
      </c>
      <c r="H6" s="72">
        <v>44564</v>
      </c>
      <c r="I6" s="72">
        <f>Tabla1[[#This Row],[FECHA DE ENTREGA ]]+1</f>
        <v>44565</v>
      </c>
      <c r="J6" s="72">
        <f>I6+1</f>
        <v>44566</v>
      </c>
      <c r="K6" s="53" t="s">
        <v>107</v>
      </c>
      <c r="L6" s="54" t="s">
        <v>302</v>
      </c>
      <c r="M6" s="72"/>
    </row>
    <row r="7" spans="1:13" x14ac:dyDescent="0.25">
      <c r="A7" s="73" t="s">
        <v>90</v>
      </c>
      <c r="B7" s="54" t="s">
        <v>8</v>
      </c>
      <c r="C7" s="54" t="s">
        <v>242</v>
      </c>
      <c r="D7" s="54" t="s">
        <v>303</v>
      </c>
      <c r="E7" s="54" t="s">
        <v>559</v>
      </c>
      <c r="F7" s="54" t="s">
        <v>559</v>
      </c>
      <c r="G7" s="74" t="s">
        <v>9</v>
      </c>
      <c r="H7" s="72">
        <v>44564</v>
      </c>
      <c r="I7" s="72">
        <f>Tabla1[[#This Row],[FECHA DE ENTREGA ]]+1</f>
        <v>44565</v>
      </c>
      <c r="J7" s="72">
        <f>I7+1</f>
        <v>44566</v>
      </c>
      <c r="K7" s="53" t="s">
        <v>107</v>
      </c>
      <c r="L7" s="54" t="s">
        <v>304</v>
      </c>
      <c r="M7" s="72"/>
    </row>
    <row r="8" spans="1:13" x14ac:dyDescent="0.25">
      <c r="A8" s="73" t="s">
        <v>91</v>
      </c>
      <c r="B8" s="54" t="s">
        <v>8</v>
      </c>
      <c r="C8" s="54" t="s">
        <v>20</v>
      </c>
      <c r="D8" s="54" t="s">
        <v>73</v>
      </c>
      <c r="E8" s="54" t="s">
        <v>547</v>
      </c>
      <c r="F8" s="54" t="s">
        <v>560</v>
      </c>
      <c r="G8" s="74" t="s">
        <v>9</v>
      </c>
      <c r="H8" s="72">
        <v>44564</v>
      </c>
      <c r="I8" s="72">
        <f>Tabla1[[#This Row],[FECHA DE ENTREGA ]]+1</f>
        <v>44565</v>
      </c>
      <c r="J8" s="72">
        <f t="shared" si="0"/>
        <v>44566</v>
      </c>
      <c r="K8" s="53" t="s">
        <v>107</v>
      </c>
      <c r="L8" s="54" t="s">
        <v>110</v>
      </c>
      <c r="M8" s="72"/>
    </row>
    <row r="9" spans="1:13" x14ac:dyDescent="0.25">
      <c r="A9" s="73" t="s">
        <v>92</v>
      </c>
      <c r="B9" s="54" t="s">
        <v>69</v>
      </c>
      <c r="C9" s="54" t="s">
        <v>70</v>
      </c>
      <c r="D9" s="52" t="s">
        <v>65</v>
      </c>
      <c r="E9" s="54" t="s">
        <v>564</v>
      </c>
      <c r="F9" s="54" t="s">
        <v>564</v>
      </c>
      <c r="G9" s="74" t="s">
        <v>9</v>
      </c>
      <c r="H9" s="72">
        <v>44564</v>
      </c>
      <c r="I9" s="72">
        <f>Tabla1[[#This Row],[FECHA DE ENTREGA ]]</f>
        <v>44564</v>
      </c>
      <c r="J9" s="72">
        <f t="shared" si="0"/>
        <v>44565</v>
      </c>
      <c r="K9" s="53" t="s">
        <v>107</v>
      </c>
      <c r="L9" s="55" t="s">
        <v>116</v>
      </c>
      <c r="M9" s="72"/>
    </row>
    <row r="10" spans="1:13" x14ac:dyDescent="0.25">
      <c r="A10" s="73" t="s">
        <v>93</v>
      </c>
      <c r="B10" s="54" t="s">
        <v>8</v>
      </c>
      <c r="C10" s="54" t="s">
        <v>66</v>
      </c>
      <c r="D10" s="54" t="s">
        <v>74</v>
      </c>
      <c r="E10" s="54" t="s">
        <v>540</v>
      </c>
      <c r="F10" s="54" t="s">
        <v>542</v>
      </c>
      <c r="G10" s="74" t="s">
        <v>9</v>
      </c>
      <c r="H10" s="72">
        <v>44564</v>
      </c>
      <c r="I10" s="72">
        <v>44571</v>
      </c>
      <c r="J10" s="72">
        <f t="shared" si="0"/>
        <v>44572</v>
      </c>
      <c r="K10" s="53" t="s">
        <v>107</v>
      </c>
      <c r="L10" s="54" t="s">
        <v>237</v>
      </c>
      <c r="M10" s="72"/>
    </row>
    <row r="11" spans="1:13" x14ac:dyDescent="0.25">
      <c r="A11" s="58" t="s">
        <v>94</v>
      </c>
      <c r="B11" s="56" t="s">
        <v>13</v>
      </c>
      <c r="C11" s="56" t="s">
        <v>77</v>
      </c>
      <c r="D11" s="56" t="s">
        <v>71</v>
      </c>
      <c r="E11" s="56" t="s">
        <v>541</v>
      </c>
      <c r="F11" s="56" t="s">
        <v>543</v>
      </c>
      <c r="G11" s="56" t="s">
        <v>9</v>
      </c>
      <c r="H11" s="57">
        <v>44564</v>
      </c>
      <c r="I11" s="57">
        <f>Tabla1[[#This Row],[FECHA DE ENTREGA ]]+1</f>
        <v>44565</v>
      </c>
      <c r="J11" s="57">
        <f>Tabla1[[#This Row],[FECHA DE CIRUGIA ]]+1</f>
        <v>44566</v>
      </c>
      <c r="K11" s="58" t="s">
        <v>107</v>
      </c>
      <c r="L11" s="56" t="s">
        <v>256</v>
      </c>
      <c r="M11" s="72"/>
    </row>
    <row r="12" spans="1:13" x14ac:dyDescent="0.25">
      <c r="A12" s="73" t="s">
        <v>95</v>
      </c>
      <c r="B12" s="54" t="s">
        <v>19</v>
      </c>
      <c r="C12" s="54" t="s">
        <v>75</v>
      </c>
      <c r="D12" s="54" t="s">
        <v>76</v>
      </c>
      <c r="E12" s="54" t="s">
        <v>18</v>
      </c>
      <c r="F12" s="54" t="s">
        <v>18</v>
      </c>
      <c r="G12" s="54" t="s">
        <v>18</v>
      </c>
      <c r="H12" s="72">
        <v>44564</v>
      </c>
      <c r="I12" s="72">
        <f>Tabla1[[#This Row],[FECHA DE ENTREGA ]]</f>
        <v>44564</v>
      </c>
      <c r="J12" s="72">
        <f>Tabla1[[#This Row],[FECHA DE CIRUGIA ]]+1</f>
        <v>44565</v>
      </c>
      <c r="K12" s="53" t="s">
        <v>18</v>
      </c>
      <c r="L12" s="54" t="s">
        <v>147</v>
      </c>
      <c r="M12" s="72"/>
    </row>
    <row r="13" spans="1:13" x14ac:dyDescent="0.25">
      <c r="A13" s="73" t="s">
        <v>96</v>
      </c>
      <c r="B13" s="54" t="s">
        <v>13</v>
      </c>
      <c r="C13" s="54" t="s">
        <v>77</v>
      </c>
      <c r="D13" s="54" t="s">
        <v>78</v>
      </c>
      <c r="E13" s="54" t="s">
        <v>565</v>
      </c>
      <c r="F13" s="54" t="s">
        <v>561</v>
      </c>
      <c r="G13" s="74" t="s">
        <v>9</v>
      </c>
      <c r="H13" s="72">
        <v>44564</v>
      </c>
      <c r="I13" s="72">
        <f>Tabla1[[#This Row],[FECHA DE ENTREGA ]]+1</f>
        <v>44565</v>
      </c>
      <c r="J13" s="72">
        <f>I13+1</f>
        <v>44566</v>
      </c>
      <c r="K13" s="53" t="s">
        <v>107</v>
      </c>
      <c r="L13" s="54" t="s">
        <v>122</v>
      </c>
      <c r="M13" s="72"/>
    </row>
    <row r="14" spans="1:13" x14ac:dyDescent="0.25">
      <c r="A14" s="73" t="s">
        <v>97</v>
      </c>
      <c r="B14" s="54" t="s">
        <v>10</v>
      </c>
      <c r="C14" s="54" t="s">
        <v>24</v>
      </c>
      <c r="D14" s="54" t="s">
        <v>79</v>
      </c>
      <c r="E14" s="54" t="s">
        <v>566</v>
      </c>
      <c r="F14" s="54" t="s">
        <v>545</v>
      </c>
      <c r="G14" s="74" t="s">
        <v>9</v>
      </c>
      <c r="H14" s="72">
        <v>44565</v>
      </c>
      <c r="I14" s="72">
        <f>Tabla1[[#This Row],[FECHA DE ENTREGA ]]</f>
        <v>44565</v>
      </c>
      <c r="J14" s="72">
        <f>I14+1</f>
        <v>44566</v>
      </c>
      <c r="K14" s="53" t="s">
        <v>107</v>
      </c>
      <c r="L14" s="54" t="s">
        <v>108</v>
      </c>
      <c r="M14" s="72"/>
    </row>
    <row r="15" spans="1:13" x14ac:dyDescent="0.25">
      <c r="A15" s="73" t="s">
        <v>98</v>
      </c>
      <c r="B15" s="54" t="s">
        <v>8</v>
      </c>
      <c r="C15" s="54" t="s">
        <v>66</v>
      </c>
      <c r="D15" s="54" t="s">
        <v>80</v>
      </c>
      <c r="E15" s="54" t="s">
        <v>547</v>
      </c>
      <c r="F15" s="54" t="s">
        <v>549</v>
      </c>
      <c r="G15" s="74" t="s">
        <v>9</v>
      </c>
      <c r="H15" s="72">
        <v>44565</v>
      </c>
      <c r="I15" s="72">
        <f>Tabla1[[#This Row],[FECHA DE ENTREGA ]]+1</f>
        <v>44566</v>
      </c>
      <c r="J15" s="72">
        <f>I15+1</f>
        <v>44567</v>
      </c>
      <c r="K15" s="53" t="s">
        <v>107</v>
      </c>
      <c r="L15" s="54" t="s">
        <v>158</v>
      </c>
      <c r="M15" s="72"/>
    </row>
    <row r="16" spans="1:13" x14ac:dyDescent="0.25">
      <c r="A16" s="73" t="s">
        <v>99</v>
      </c>
      <c r="B16" s="54" t="s">
        <v>21</v>
      </c>
      <c r="C16" s="54" t="s">
        <v>25</v>
      </c>
      <c r="D16" s="52" t="s">
        <v>65</v>
      </c>
      <c r="E16" s="54" t="s">
        <v>541</v>
      </c>
      <c r="F16" s="54" t="s">
        <v>543</v>
      </c>
      <c r="G16" s="74" t="s">
        <v>9</v>
      </c>
      <c r="H16" s="72">
        <v>44565</v>
      </c>
      <c r="I16" s="72">
        <v>44565</v>
      </c>
      <c r="J16" s="72">
        <f>Tabla1[[#This Row],[FECHA DE CIRUGIA ]]+1</f>
        <v>44566</v>
      </c>
      <c r="K16" s="53" t="s">
        <v>107</v>
      </c>
      <c r="L16" s="54" t="s">
        <v>115</v>
      </c>
      <c r="M16" s="72"/>
    </row>
    <row r="17" spans="1:13" x14ac:dyDescent="0.25">
      <c r="A17" s="73" t="s">
        <v>100</v>
      </c>
      <c r="B17" s="54" t="s">
        <v>19</v>
      </c>
      <c r="C17" s="54" t="s">
        <v>12</v>
      </c>
      <c r="D17" s="54" t="s">
        <v>81</v>
      </c>
      <c r="E17" s="54" t="s">
        <v>460</v>
      </c>
      <c r="F17" s="54" t="s">
        <v>460</v>
      </c>
      <c r="G17" s="74" t="s">
        <v>9</v>
      </c>
      <c r="H17" s="72">
        <v>44565</v>
      </c>
      <c r="I17" s="72">
        <f>Tabla1[[#This Row],[FECHA DE ENTREGA ]]+1</f>
        <v>44566</v>
      </c>
      <c r="J17" s="72">
        <f>Tabla1[[#This Row],[FECHA DE CIRUGIA ]]+1</f>
        <v>44567</v>
      </c>
      <c r="K17" s="53" t="s">
        <v>17</v>
      </c>
      <c r="L17" s="54" t="s">
        <v>157</v>
      </c>
      <c r="M17" s="72"/>
    </row>
    <row r="18" spans="1:13" x14ac:dyDescent="0.25">
      <c r="A18" s="59" t="s">
        <v>101</v>
      </c>
      <c r="B18" s="60" t="s">
        <v>19</v>
      </c>
      <c r="C18" s="60" t="s">
        <v>12</v>
      </c>
      <c r="D18" s="60" t="s">
        <v>63</v>
      </c>
      <c r="E18" s="60" t="s">
        <v>18</v>
      </c>
      <c r="F18" s="60" t="s">
        <v>18</v>
      </c>
      <c r="G18" s="75" t="s">
        <v>9</v>
      </c>
      <c r="H18" s="76">
        <v>44565</v>
      </c>
      <c r="I18" s="76">
        <f>Tabla1[[#This Row],[FECHA DE ENTREGA ]]+1</f>
        <v>44566</v>
      </c>
      <c r="J18" s="76">
        <f>Tabla1[[#This Row],[FECHA DE CIRUGIA ]]+1</f>
        <v>44567</v>
      </c>
      <c r="K18" s="59" t="s">
        <v>18</v>
      </c>
      <c r="L18" s="60" t="s">
        <v>280</v>
      </c>
      <c r="M18" s="72"/>
    </row>
    <row r="19" spans="1:13" x14ac:dyDescent="0.25">
      <c r="A19" s="73" t="s">
        <v>102</v>
      </c>
      <c r="B19" s="54" t="s">
        <v>19</v>
      </c>
      <c r="C19" s="54" t="s">
        <v>12</v>
      </c>
      <c r="D19" s="54" t="s">
        <v>82</v>
      </c>
      <c r="E19" s="54" t="s">
        <v>30</v>
      </c>
      <c r="F19" s="54" t="s">
        <v>30</v>
      </c>
      <c r="G19" s="74" t="s">
        <v>9</v>
      </c>
      <c r="H19" s="72">
        <v>44565</v>
      </c>
      <c r="I19" s="72">
        <f>Tabla1[[#This Row],[FECHA DE ENTREGA ]]+1</f>
        <v>44566</v>
      </c>
      <c r="J19" s="72">
        <f>Tabla1[[#This Row],[FECHA DE CIRUGIA ]]+1</f>
        <v>44567</v>
      </c>
      <c r="K19" s="53" t="s">
        <v>30</v>
      </c>
      <c r="L19" s="54" t="s">
        <v>30</v>
      </c>
      <c r="M19" s="72"/>
    </row>
    <row r="20" spans="1:13" x14ac:dyDescent="0.25">
      <c r="A20" s="73" t="s">
        <v>103</v>
      </c>
      <c r="B20" s="54" t="s">
        <v>11</v>
      </c>
      <c r="C20" s="54" t="s">
        <v>26</v>
      </c>
      <c r="D20" s="54" t="s">
        <v>83</v>
      </c>
      <c r="E20" s="54" t="s">
        <v>566</v>
      </c>
      <c r="F20" s="54" t="s">
        <v>561</v>
      </c>
      <c r="G20" s="74" t="s">
        <v>9</v>
      </c>
      <c r="H20" s="72">
        <v>44566</v>
      </c>
      <c r="I20" s="72">
        <f>Tabla1[[#This Row],[FECHA DE ENTREGA ]]</f>
        <v>44566</v>
      </c>
      <c r="J20" s="72">
        <f>I20+1</f>
        <v>44567</v>
      </c>
      <c r="K20" s="53" t="s">
        <v>107</v>
      </c>
      <c r="L20" s="54" t="s">
        <v>257</v>
      </c>
      <c r="M20" s="72"/>
    </row>
    <row r="21" spans="1:13" x14ac:dyDescent="0.25">
      <c r="A21" s="73" t="s">
        <v>104</v>
      </c>
      <c r="B21" s="54" t="s">
        <v>11</v>
      </c>
      <c r="C21" s="54" t="s">
        <v>28</v>
      </c>
      <c r="D21" s="54" t="s">
        <v>84</v>
      </c>
      <c r="E21" s="54" t="s">
        <v>547</v>
      </c>
      <c r="F21" s="54" t="s">
        <v>562</v>
      </c>
      <c r="G21" s="74" t="s">
        <v>9</v>
      </c>
      <c r="H21" s="72">
        <v>44566</v>
      </c>
      <c r="I21" s="72">
        <f>Tabla1[[#This Row],[FECHA DE ENTREGA ]]</f>
        <v>44566</v>
      </c>
      <c r="J21" s="72">
        <f>I21+1</f>
        <v>44567</v>
      </c>
      <c r="K21" s="53" t="s">
        <v>107</v>
      </c>
      <c r="L21" s="54" t="s">
        <v>123</v>
      </c>
      <c r="M21" s="72"/>
    </row>
    <row r="22" spans="1:13" x14ac:dyDescent="0.25">
      <c r="A22" s="73" t="s">
        <v>105</v>
      </c>
      <c r="B22" s="54" t="s">
        <v>10</v>
      </c>
      <c r="C22" s="54" t="s">
        <v>23</v>
      </c>
      <c r="D22" s="54" t="s">
        <v>67</v>
      </c>
      <c r="E22" s="54" t="s">
        <v>18</v>
      </c>
      <c r="F22" s="54" t="s">
        <v>18</v>
      </c>
      <c r="G22" s="74" t="s">
        <v>9</v>
      </c>
      <c r="H22" s="72">
        <v>44566</v>
      </c>
      <c r="I22" s="72">
        <f>Tabla1[[#This Row],[FECHA DE ENTREGA ]]</f>
        <v>44566</v>
      </c>
      <c r="J22" s="72">
        <f>Tabla1[[#This Row],[FECHA DE CIRUGIA ]]</f>
        <v>44566</v>
      </c>
      <c r="K22" s="53" t="s">
        <v>18</v>
      </c>
      <c r="L22" s="54" t="s">
        <v>147</v>
      </c>
      <c r="M22" s="72"/>
    </row>
    <row r="23" spans="1:13" x14ac:dyDescent="0.25">
      <c r="A23" s="73" t="s">
        <v>106</v>
      </c>
      <c r="B23" s="54" t="s">
        <v>15</v>
      </c>
      <c r="C23" s="54" t="s">
        <v>16</v>
      </c>
      <c r="D23" s="52" t="s">
        <v>65</v>
      </c>
      <c r="E23" s="54" t="s">
        <v>541</v>
      </c>
      <c r="F23" s="54" t="s">
        <v>543</v>
      </c>
      <c r="G23" s="74" t="s">
        <v>9</v>
      </c>
      <c r="H23" s="72">
        <v>44566</v>
      </c>
      <c r="I23" s="72">
        <f>Tabla1[[#This Row],[FECHA DE ENTREGA ]]</f>
        <v>44566</v>
      </c>
      <c r="J23" s="72">
        <f>I23+1</f>
        <v>44567</v>
      </c>
      <c r="K23" s="53" t="s">
        <v>107</v>
      </c>
      <c r="L23" s="54" t="s">
        <v>115</v>
      </c>
      <c r="M23" s="72"/>
    </row>
    <row r="24" spans="1:13" x14ac:dyDescent="0.25">
      <c r="A24" s="73" t="s">
        <v>113</v>
      </c>
      <c r="B24" s="54" t="s">
        <v>10</v>
      </c>
      <c r="C24" s="54" t="s">
        <v>85</v>
      </c>
      <c r="D24" s="54" t="s">
        <v>86</v>
      </c>
      <c r="E24" s="54" t="s">
        <v>566</v>
      </c>
      <c r="F24" s="54" t="s">
        <v>542</v>
      </c>
      <c r="G24" s="74" t="s">
        <v>9</v>
      </c>
      <c r="H24" s="72">
        <v>44566</v>
      </c>
      <c r="I24" s="72">
        <f>Tabla1[[#This Row],[FECHA DE ENTREGA ]]</f>
        <v>44566</v>
      </c>
      <c r="J24" s="72">
        <f>I24+1</f>
        <v>44567</v>
      </c>
      <c r="K24" s="53" t="s">
        <v>107</v>
      </c>
      <c r="L24" s="54" t="s">
        <v>148</v>
      </c>
      <c r="M24" s="72"/>
    </row>
    <row r="25" spans="1:13" x14ac:dyDescent="0.25">
      <c r="A25" s="73" t="s">
        <v>117</v>
      </c>
      <c r="B25" s="54" t="s">
        <v>8</v>
      </c>
      <c r="C25" s="54" t="s">
        <v>242</v>
      </c>
      <c r="D25" s="54" t="s">
        <v>120</v>
      </c>
      <c r="E25" s="54" t="s">
        <v>566</v>
      </c>
      <c r="F25" s="54" t="s">
        <v>542</v>
      </c>
      <c r="G25" s="74" t="s">
        <v>9</v>
      </c>
      <c r="H25" s="72">
        <v>44567</v>
      </c>
      <c r="I25" s="72">
        <f>Tabla1[[#This Row],[FECHA DE ENTREGA ]]+1</f>
        <v>44568</v>
      </c>
      <c r="J25" s="72">
        <f>I25+1</f>
        <v>44569</v>
      </c>
      <c r="K25" s="53" t="s">
        <v>107</v>
      </c>
      <c r="L25" s="54" t="s">
        <v>109</v>
      </c>
      <c r="M25" s="72"/>
    </row>
    <row r="26" spans="1:13" x14ac:dyDescent="0.25">
      <c r="A26" s="73" t="s">
        <v>118</v>
      </c>
      <c r="B26" s="54" t="s">
        <v>8</v>
      </c>
      <c r="C26" s="54" t="s">
        <v>242</v>
      </c>
      <c r="D26" s="54" t="s">
        <v>119</v>
      </c>
      <c r="E26" s="54" t="s">
        <v>541</v>
      </c>
      <c r="F26" s="54" t="s">
        <v>543</v>
      </c>
      <c r="G26" s="74" t="s">
        <v>9</v>
      </c>
      <c r="H26" s="72">
        <v>44567</v>
      </c>
      <c r="I26" s="72">
        <f>Tabla1[[#This Row],[FECHA DE ENTREGA ]]+1</f>
        <v>44568</v>
      </c>
      <c r="J26" s="72">
        <f>I26+1</f>
        <v>44569</v>
      </c>
      <c r="K26" s="53" t="s">
        <v>107</v>
      </c>
      <c r="L26" s="54" t="s">
        <v>115</v>
      </c>
      <c r="M26" s="72"/>
    </row>
    <row r="27" spans="1:13" x14ac:dyDescent="0.25">
      <c r="A27" s="73" t="s">
        <v>121</v>
      </c>
      <c r="B27" s="54" t="s">
        <v>239</v>
      </c>
      <c r="C27" s="77" t="s">
        <v>241</v>
      </c>
      <c r="D27" s="77" t="s">
        <v>240</v>
      </c>
      <c r="E27" s="77" t="s">
        <v>566</v>
      </c>
      <c r="F27" s="77" t="s">
        <v>545</v>
      </c>
      <c r="G27" s="74" t="s">
        <v>9</v>
      </c>
      <c r="H27" s="72">
        <v>44567</v>
      </c>
      <c r="I27" s="72">
        <f>Tabla1[[#This Row],[FECHA DE ENTREGA ]]+1</f>
        <v>44568</v>
      </c>
      <c r="J27" s="72">
        <v>44572</v>
      </c>
      <c r="K27" s="53" t="s">
        <v>107</v>
      </c>
      <c r="L27" s="54" t="s">
        <v>108</v>
      </c>
      <c r="M27" s="72"/>
    </row>
    <row r="28" spans="1:13" x14ac:dyDescent="0.25">
      <c r="A28" s="73" t="s">
        <v>124</v>
      </c>
      <c r="B28" s="54" t="s">
        <v>8</v>
      </c>
      <c r="C28" s="54" t="s">
        <v>143</v>
      </c>
      <c r="D28" s="54" t="s">
        <v>142</v>
      </c>
      <c r="E28" s="54" t="s">
        <v>567</v>
      </c>
      <c r="F28" s="54" t="s">
        <v>567</v>
      </c>
      <c r="G28" s="74" t="s">
        <v>9</v>
      </c>
      <c r="H28" s="72">
        <v>44568</v>
      </c>
      <c r="I28" s="72">
        <f>Tabla1[[#This Row],[FECHA DE ENTREGA ]]+3</f>
        <v>44571</v>
      </c>
      <c r="J28" s="72">
        <v>44575</v>
      </c>
      <c r="K28" s="53" t="s">
        <v>17</v>
      </c>
      <c r="L28" s="54" t="s">
        <v>14</v>
      </c>
      <c r="M28" s="72"/>
    </row>
    <row r="29" spans="1:13" x14ac:dyDescent="0.25">
      <c r="A29" s="73" t="s">
        <v>125</v>
      </c>
      <c r="B29" s="54" t="s">
        <v>8</v>
      </c>
      <c r="C29" s="54" t="s">
        <v>66</v>
      </c>
      <c r="D29" s="54" t="s">
        <v>144</v>
      </c>
      <c r="E29" s="54" t="s">
        <v>558</v>
      </c>
      <c r="F29" s="54" t="s">
        <v>555</v>
      </c>
      <c r="G29" s="74" t="s">
        <v>9</v>
      </c>
      <c r="H29" s="72">
        <v>44568</v>
      </c>
      <c r="I29" s="72">
        <f>Tabla1[[#This Row],[FECHA DE ENTREGA ]]+1</f>
        <v>44569</v>
      </c>
      <c r="J29" s="72">
        <v>44572</v>
      </c>
      <c r="K29" s="53" t="s">
        <v>107</v>
      </c>
      <c r="L29" s="54" t="s">
        <v>238</v>
      </c>
      <c r="M29" s="72"/>
    </row>
    <row r="30" spans="1:13" x14ac:dyDescent="0.25">
      <c r="A30" s="73" t="s">
        <v>126</v>
      </c>
      <c r="B30" s="54" t="s">
        <v>8</v>
      </c>
      <c r="C30" s="54" t="s">
        <v>66</v>
      </c>
      <c r="D30" s="54" t="s">
        <v>145</v>
      </c>
      <c r="E30" s="54" t="s">
        <v>567</v>
      </c>
      <c r="F30" s="54" t="s">
        <v>567</v>
      </c>
      <c r="G30" s="74" t="s">
        <v>9</v>
      </c>
      <c r="H30" s="72">
        <v>44568</v>
      </c>
      <c r="I30" s="72">
        <f>Tabla1[[#This Row],[FECHA DE ENTREGA ]]+1</f>
        <v>44569</v>
      </c>
      <c r="J30" s="72">
        <f>I30+1</f>
        <v>44570</v>
      </c>
      <c r="K30" s="53" t="s">
        <v>17</v>
      </c>
      <c r="L30" s="54" t="s">
        <v>14</v>
      </c>
      <c r="M30" s="72"/>
    </row>
    <row r="31" spans="1:13" x14ac:dyDescent="0.25">
      <c r="A31" s="73" t="s">
        <v>127</v>
      </c>
      <c r="B31" s="54" t="s">
        <v>8</v>
      </c>
      <c r="C31" s="54" t="s">
        <v>66</v>
      </c>
      <c r="D31" s="74" t="s">
        <v>146</v>
      </c>
      <c r="E31" s="74" t="s">
        <v>566</v>
      </c>
      <c r="F31" s="74" t="s">
        <v>542</v>
      </c>
      <c r="G31" s="74" t="s">
        <v>9</v>
      </c>
      <c r="H31" s="72">
        <v>44568</v>
      </c>
      <c r="I31" s="72">
        <v>44582</v>
      </c>
      <c r="J31" s="72">
        <v>44583</v>
      </c>
      <c r="K31" s="53" t="s">
        <v>107</v>
      </c>
      <c r="L31" s="54" t="s">
        <v>283</v>
      </c>
      <c r="M31" s="61" t="s">
        <v>382</v>
      </c>
    </row>
    <row r="32" spans="1:13" x14ac:dyDescent="0.25">
      <c r="A32" s="59" t="s">
        <v>128</v>
      </c>
      <c r="B32" s="60" t="s">
        <v>10</v>
      </c>
      <c r="C32" s="60" t="s">
        <v>85</v>
      </c>
      <c r="D32" s="60" t="s">
        <v>244</v>
      </c>
      <c r="E32" s="60" t="s">
        <v>570</v>
      </c>
      <c r="F32" s="60" t="s">
        <v>569</v>
      </c>
      <c r="G32" s="75" t="s">
        <v>9</v>
      </c>
      <c r="H32" s="76">
        <v>44568</v>
      </c>
      <c r="I32" s="76">
        <f>Tabla1[[#This Row],[FECHA DE ENTREGA ]]+1</f>
        <v>44569</v>
      </c>
      <c r="J32" s="76">
        <f>I32+9</f>
        <v>44578</v>
      </c>
      <c r="K32" s="59" t="s">
        <v>107</v>
      </c>
      <c r="L32" s="55" t="s">
        <v>568</v>
      </c>
      <c r="M32" s="72"/>
    </row>
    <row r="33" spans="1:13" x14ac:dyDescent="0.25">
      <c r="A33" s="73" t="s">
        <v>129</v>
      </c>
      <c r="B33" s="54" t="s">
        <v>149</v>
      </c>
      <c r="C33" s="54" t="s">
        <v>25</v>
      </c>
      <c r="D33" s="54" t="s">
        <v>156</v>
      </c>
      <c r="E33" s="54" t="s">
        <v>541</v>
      </c>
      <c r="F33" s="54" t="s">
        <v>563</v>
      </c>
      <c r="G33" s="74" t="s">
        <v>9</v>
      </c>
      <c r="H33" s="72">
        <f>H32</f>
        <v>44568</v>
      </c>
      <c r="I33" s="72">
        <v>44569</v>
      </c>
      <c r="J33" s="72">
        <v>44571</v>
      </c>
      <c r="K33" s="53" t="s">
        <v>107</v>
      </c>
      <c r="L33" s="54" t="s">
        <v>164</v>
      </c>
      <c r="M33" s="72"/>
    </row>
    <row r="34" spans="1:13" x14ac:dyDescent="0.25">
      <c r="A34" s="73" t="s">
        <v>130</v>
      </c>
      <c r="B34" s="54" t="s">
        <v>150</v>
      </c>
      <c r="C34" s="54" t="s">
        <v>66</v>
      </c>
      <c r="D34" s="54" t="s">
        <v>155</v>
      </c>
      <c r="E34" s="54" t="s">
        <v>566</v>
      </c>
      <c r="F34" s="54" t="s">
        <v>542</v>
      </c>
      <c r="G34" s="74" t="s">
        <v>9</v>
      </c>
      <c r="H34" s="72">
        <v>44569</v>
      </c>
      <c r="I34" s="72">
        <f>Tabla1[[#This Row],[FECHA DE ENTREGA ]]+2</f>
        <v>44571</v>
      </c>
      <c r="J34" s="72">
        <f>Tabla1[[#This Row],[FECHA DE CIRUGIA ]]+1</f>
        <v>44572</v>
      </c>
      <c r="K34" s="53" t="s">
        <v>107</v>
      </c>
      <c r="L34" s="54" t="s">
        <v>109</v>
      </c>
      <c r="M34" s="72"/>
    </row>
    <row r="35" spans="1:13" x14ac:dyDescent="0.25">
      <c r="A35" s="73" t="s">
        <v>131</v>
      </c>
      <c r="B35" s="54" t="s">
        <v>149</v>
      </c>
      <c r="C35" s="54" t="s">
        <v>153</v>
      </c>
      <c r="D35" s="54" t="s">
        <v>154</v>
      </c>
      <c r="E35" s="54" t="s">
        <v>566</v>
      </c>
      <c r="F35" s="54" t="s">
        <v>542</v>
      </c>
      <c r="G35" s="74" t="s">
        <v>9</v>
      </c>
      <c r="H35" s="72">
        <v>44568</v>
      </c>
      <c r="I35" s="72">
        <v>44569</v>
      </c>
      <c r="J35" s="72">
        <v>44569</v>
      </c>
      <c r="K35" s="53" t="s">
        <v>107</v>
      </c>
      <c r="L35" s="54" t="s">
        <v>108</v>
      </c>
      <c r="M35" s="72"/>
    </row>
    <row r="36" spans="1:13" x14ac:dyDescent="0.25">
      <c r="A36" s="73" t="s">
        <v>132</v>
      </c>
      <c r="B36" s="54" t="s">
        <v>13</v>
      </c>
      <c r="C36" s="54" t="s">
        <v>77</v>
      </c>
      <c r="D36" s="54" t="s">
        <v>152</v>
      </c>
      <c r="E36" s="54" t="s">
        <v>547</v>
      </c>
      <c r="F36" s="54" t="s">
        <v>562</v>
      </c>
      <c r="G36" s="74" t="s">
        <v>9</v>
      </c>
      <c r="H36" s="72">
        <v>44569</v>
      </c>
      <c r="I36" s="72">
        <f>Tabla1[[#This Row],[FECHA DE ENTREGA ]]+1</f>
        <v>44570</v>
      </c>
      <c r="J36" s="72">
        <f>Tabla1[[#This Row],[FECHA DE CIRUGIA ]]+1</f>
        <v>44571</v>
      </c>
      <c r="K36" s="53" t="s">
        <v>107</v>
      </c>
      <c r="L36" s="54" t="s">
        <v>163</v>
      </c>
      <c r="M36" s="72"/>
    </row>
    <row r="37" spans="1:13" x14ac:dyDescent="0.25">
      <c r="A37" s="73" t="s">
        <v>133</v>
      </c>
      <c r="B37" s="54" t="s">
        <v>19</v>
      </c>
      <c r="C37" s="54" t="s">
        <v>151</v>
      </c>
      <c r="D37" s="54" t="s">
        <v>159</v>
      </c>
      <c r="E37" s="54" t="s">
        <v>567</v>
      </c>
      <c r="F37" s="54" t="s">
        <v>567</v>
      </c>
      <c r="G37" s="74" t="s">
        <v>9</v>
      </c>
      <c r="H37" s="72">
        <v>44569</v>
      </c>
      <c r="I37" s="72">
        <f>Tabla1[[#This Row],[FECHA DE ENTREGA ]]</f>
        <v>44569</v>
      </c>
      <c r="J37" s="72">
        <f>Tabla1[[#This Row],[FECHA DE CIRUGIA ]]+2</f>
        <v>44571</v>
      </c>
      <c r="K37" s="53" t="s">
        <v>17</v>
      </c>
      <c r="L37" s="54" t="s">
        <v>14</v>
      </c>
      <c r="M37" s="72"/>
    </row>
    <row r="38" spans="1:13" x14ac:dyDescent="0.25">
      <c r="A38" s="73" t="s">
        <v>134</v>
      </c>
      <c r="B38" s="54" t="s">
        <v>8</v>
      </c>
      <c r="C38" s="54" t="s">
        <v>66</v>
      </c>
      <c r="D38" s="54" t="s">
        <v>160</v>
      </c>
      <c r="E38" s="54" t="s">
        <v>547</v>
      </c>
      <c r="F38" s="54" t="s">
        <v>549</v>
      </c>
      <c r="G38" s="74" t="s">
        <v>9</v>
      </c>
      <c r="H38" s="72">
        <v>44571</v>
      </c>
      <c r="I38" s="72">
        <f>Tabla1[[#This Row],[FECHA DE ENTREGA ]]+1</f>
        <v>44572</v>
      </c>
      <c r="J38" s="72">
        <f>Tabla1[[#This Row],[FECHA DE CIRUGIA ]]+1</f>
        <v>44573</v>
      </c>
      <c r="K38" s="53" t="s">
        <v>107</v>
      </c>
      <c r="L38" s="54" t="s">
        <v>158</v>
      </c>
      <c r="M38" s="72"/>
    </row>
    <row r="39" spans="1:13" x14ac:dyDescent="0.25">
      <c r="A39" s="73" t="s">
        <v>135</v>
      </c>
      <c r="B39" s="54" t="s">
        <v>8</v>
      </c>
      <c r="C39" s="54" t="s">
        <v>66</v>
      </c>
      <c r="D39" s="54" t="s">
        <v>161</v>
      </c>
      <c r="E39" s="54" t="s">
        <v>547</v>
      </c>
      <c r="F39" s="54" t="s">
        <v>560</v>
      </c>
      <c r="G39" s="74" t="s">
        <v>9</v>
      </c>
      <c r="H39" s="72">
        <v>44571</v>
      </c>
      <c r="I39" s="72">
        <f ca="1">Tabla1[[#This Row],[FECHA DE CIRUGIA ]]+1</f>
        <v>44572</v>
      </c>
      <c r="J39" s="72">
        <v>44573</v>
      </c>
      <c r="K39" s="53" t="s">
        <v>107</v>
      </c>
      <c r="L39" s="55" t="s">
        <v>236</v>
      </c>
      <c r="M39" s="72"/>
    </row>
    <row r="40" spans="1:13" x14ac:dyDescent="0.25">
      <c r="A40" s="73" t="s">
        <v>136</v>
      </c>
      <c r="B40" s="54" t="s">
        <v>8</v>
      </c>
      <c r="C40" s="54" t="s">
        <v>66</v>
      </c>
      <c r="D40" s="54" t="s">
        <v>162</v>
      </c>
      <c r="E40" s="54" t="s">
        <v>566</v>
      </c>
      <c r="F40" s="54" t="s">
        <v>561</v>
      </c>
      <c r="G40" s="74" t="s">
        <v>9</v>
      </c>
      <c r="H40" s="72">
        <v>44571</v>
      </c>
      <c r="I40" s="72">
        <v>44578</v>
      </c>
      <c r="J40" s="72">
        <v>44580</v>
      </c>
      <c r="K40" s="53" t="s">
        <v>107</v>
      </c>
      <c r="L40" s="54" t="s">
        <v>282</v>
      </c>
      <c r="M40" s="72"/>
    </row>
    <row r="41" spans="1:13" x14ac:dyDescent="0.25">
      <c r="A41" s="73" t="s">
        <v>137</v>
      </c>
      <c r="B41" s="54" t="s">
        <v>10</v>
      </c>
      <c r="C41" s="54" t="s">
        <v>85</v>
      </c>
      <c r="D41" s="54" t="s">
        <v>165</v>
      </c>
      <c r="E41" s="54" t="s">
        <v>564</v>
      </c>
      <c r="F41" s="54" t="s">
        <v>571</v>
      </c>
      <c r="G41" s="74" t="s">
        <v>9</v>
      </c>
      <c r="H41" s="72">
        <v>44572</v>
      </c>
      <c r="I41" s="72">
        <f>Tabla1[[#This Row],[FECHA DE ENTREGA ]]+1</f>
        <v>44573</v>
      </c>
      <c r="J41" s="72">
        <v>44574</v>
      </c>
      <c r="K41" s="53" t="s">
        <v>107</v>
      </c>
      <c r="L41" s="54" t="s">
        <v>235</v>
      </c>
      <c r="M41" s="72"/>
    </row>
    <row r="42" spans="1:13" x14ac:dyDescent="0.25">
      <c r="A42" s="73" t="s">
        <v>138</v>
      </c>
      <c r="B42" s="54" t="s">
        <v>15</v>
      </c>
      <c r="C42" s="54" t="s">
        <v>16</v>
      </c>
      <c r="D42" s="52" t="s">
        <v>65</v>
      </c>
      <c r="E42" s="54" t="s">
        <v>541</v>
      </c>
      <c r="F42" s="54" t="s">
        <v>554</v>
      </c>
      <c r="G42" s="74" t="s">
        <v>9</v>
      </c>
      <c r="H42" s="72">
        <v>44572</v>
      </c>
      <c r="I42" s="72">
        <f>Tabla1[[#This Row],[FECHA DE ENTREGA ]]+1</f>
        <v>44573</v>
      </c>
      <c r="J42" s="72">
        <v>44573</v>
      </c>
      <c r="K42" s="53" t="s">
        <v>107</v>
      </c>
      <c r="L42" s="54" t="s">
        <v>234</v>
      </c>
      <c r="M42" s="72"/>
    </row>
    <row r="43" spans="1:13" x14ac:dyDescent="0.25">
      <c r="A43" s="73" t="s">
        <v>139</v>
      </c>
      <c r="B43" s="54" t="s">
        <v>8</v>
      </c>
      <c r="C43" s="54"/>
      <c r="D43" s="54" t="s">
        <v>166</v>
      </c>
      <c r="E43" s="54" t="s">
        <v>18</v>
      </c>
      <c r="F43" s="54" t="s">
        <v>18</v>
      </c>
      <c r="G43" s="77" t="s">
        <v>18</v>
      </c>
      <c r="H43" s="72">
        <v>44573</v>
      </c>
      <c r="I43" s="72">
        <v>44574</v>
      </c>
      <c r="J43" s="72">
        <v>44575</v>
      </c>
      <c r="K43" s="53" t="s">
        <v>18</v>
      </c>
      <c r="L43" s="54" t="s">
        <v>147</v>
      </c>
      <c r="M43" s="72"/>
    </row>
    <row r="44" spans="1:13" x14ac:dyDescent="0.25">
      <c r="A44" s="73" t="s">
        <v>140</v>
      </c>
      <c r="B44" s="54" t="s">
        <v>8</v>
      </c>
      <c r="C44" s="54" t="s">
        <v>168</v>
      </c>
      <c r="D44" s="54" t="s">
        <v>167</v>
      </c>
      <c r="E44" s="54" t="s">
        <v>566</v>
      </c>
      <c r="F44" s="54" t="s">
        <v>542</v>
      </c>
      <c r="G44" s="74" t="s">
        <v>9</v>
      </c>
      <c r="H44" s="72">
        <v>44573</v>
      </c>
      <c r="I44" s="72">
        <v>44575</v>
      </c>
      <c r="J44" s="72">
        <v>44576</v>
      </c>
      <c r="K44" s="53" t="s">
        <v>107</v>
      </c>
      <c r="L44" s="54" t="s">
        <v>109</v>
      </c>
      <c r="M44" s="72"/>
    </row>
    <row r="45" spans="1:13" x14ac:dyDescent="0.25">
      <c r="A45" s="73" t="s">
        <v>141</v>
      </c>
      <c r="B45" s="54" t="s">
        <v>11</v>
      </c>
      <c r="C45" s="54" t="s">
        <v>169</v>
      </c>
      <c r="D45" s="54" t="s">
        <v>170</v>
      </c>
      <c r="E45" s="54" t="s">
        <v>566</v>
      </c>
      <c r="F45" s="54" t="s">
        <v>545</v>
      </c>
      <c r="G45" s="74" t="s">
        <v>9</v>
      </c>
      <c r="H45" s="72">
        <v>44573</v>
      </c>
      <c r="I45" s="72">
        <v>44573</v>
      </c>
      <c r="J45" s="72">
        <v>44574</v>
      </c>
      <c r="K45" s="53" t="s">
        <v>107</v>
      </c>
      <c r="L45" s="54" t="s">
        <v>171</v>
      </c>
      <c r="M45" s="72"/>
    </row>
    <row r="46" spans="1:13" x14ac:dyDescent="0.25">
      <c r="A46" s="73" t="s">
        <v>172</v>
      </c>
      <c r="B46" s="54" t="s">
        <v>19</v>
      </c>
      <c r="C46" s="54" t="s">
        <v>230</v>
      </c>
      <c r="D46" s="54" t="s">
        <v>231</v>
      </c>
      <c r="E46" s="54" t="s">
        <v>30</v>
      </c>
      <c r="F46" s="54" t="s">
        <v>30</v>
      </c>
      <c r="G46" s="74" t="s">
        <v>9</v>
      </c>
      <c r="H46" s="72">
        <v>44573</v>
      </c>
      <c r="I46" s="72">
        <v>44573</v>
      </c>
      <c r="J46" s="72">
        <v>44574</v>
      </c>
      <c r="K46" s="53" t="s">
        <v>30</v>
      </c>
      <c r="L46" s="54" t="s">
        <v>232</v>
      </c>
      <c r="M46" s="72"/>
    </row>
    <row r="47" spans="1:13" x14ac:dyDescent="0.25">
      <c r="A47" s="73" t="s">
        <v>173</v>
      </c>
      <c r="B47" s="54" t="s">
        <v>19</v>
      </c>
      <c r="C47" s="54" t="s">
        <v>230</v>
      </c>
      <c r="D47" s="54" t="s">
        <v>233</v>
      </c>
      <c r="E47" s="54" t="s">
        <v>30</v>
      </c>
      <c r="F47" s="54" t="s">
        <v>30</v>
      </c>
      <c r="G47" s="74" t="s">
        <v>9</v>
      </c>
      <c r="H47" s="72">
        <v>44573</v>
      </c>
      <c r="I47" s="72">
        <v>44573</v>
      </c>
      <c r="J47" s="72">
        <v>44574</v>
      </c>
      <c r="K47" s="53" t="s">
        <v>30</v>
      </c>
      <c r="L47" s="54" t="s">
        <v>232</v>
      </c>
      <c r="M47" s="72"/>
    </row>
    <row r="48" spans="1:13" x14ac:dyDescent="0.25">
      <c r="A48" s="73" t="s">
        <v>174</v>
      </c>
      <c r="B48" s="54" t="s">
        <v>8</v>
      </c>
      <c r="C48" s="54" t="s">
        <v>66</v>
      </c>
      <c r="D48" s="54" t="s">
        <v>243</v>
      </c>
      <c r="E48" s="54" t="s">
        <v>558</v>
      </c>
      <c r="F48" s="54" t="s">
        <v>572</v>
      </c>
      <c r="G48" s="74" t="s">
        <v>9</v>
      </c>
      <c r="H48" s="72">
        <v>44574</v>
      </c>
      <c r="I48" s="72">
        <v>44575</v>
      </c>
      <c r="J48" s="72">
        <v>44576</v>
      </c>
      <c r="K48" s="53" t="s">
        <v>107</v>
      </c>
      <c r="L48" s="54" t="s">
        <v>252</v>
      </c>
      <c r="M48" s="72"/>
    </row>
    <row r="49" spans="1:13" x14ac:dyDescent="0.25">
      <c r="A49" s="73" t="s">
        <v>175</v>
      </c>
      <c r="B49" s="54" t="s">
        <v>10</v>
      </c>
      <c r="C49" s="54" t="s">
        <v>85</v>
      </c>
      <c r="D49" s="54" t="s">
        <v>245</v>
      </c>
      <c r="E49" s="54" t="s">
        <v>566</v>
      </c>
      <c r="F49" s="54" t="s">
        <v>561</v>
      </c>
      <c r="G49" s="74" t="s">
        <v>9</v>
      </c>
      <c r="H49" s="72">
        <v>44575</v>
      </c>
      <c r="I49" s="72">
        <v>44575</v>
      </c>
      <c r="J49" s="72">
        <v>44578</v>
      </c>
      <c r="K49" s="53" t="s">
        <v>107</v>
      </c>
      <c r="L49" s="54" t="s">
        <v>255</v>
      </c>
      <c r="M49" s="72"/>
    </row>
    <row r="50" spans="1:13" x14ac:dyDescent="0.25">
      <c r="A50" s="73" t="s">
        <v>176</v>
      </c>
      <c r="B50" s="54" t="s">
        <v>10</v>
      </c>
      <c r="C50" s="54" t="s">
        <v>85</v>
      </c>
      <c r="D50" s="54" t="s">
        <v>246</v>
      </c>
      <c r="E50" s="54" t="s">
        <v>564</v>
      </c>
      <c r="F50" s="54" t="s">
        <v>571</v>
      </c>
      <c r="G50" s="74" t="s">
        <v>9</v>
      </c>
      <c r="H50" s="72">
        <v>44575</v>
      </c>
      <c r="I50" s="72">
        <v>44575</v>
      </c>
      <c r="J50" s="72">
        <v>44578</v>
      </c>
      <c r="K50" s="53" t="s">
        <v>107</v>
      </c>
      <c r="L50" s="54" t="s">
        <v>253</v>
      </c>
      <c r="M50" s="72"/>
    </row>
    <row r="51" spans="1:13" x14ac:dyDescent="0.25">
      <c r="A51" s="73" t="s">
        <v>177</v>
      </c>
      <c r="B51" s="54" t="s">
        <v>8</v>
      </c>
      <c r="C51" s="54"/>
      <c r="D51" s="54" t="s">
        <v>247</v>
      </c>
      <c r="E51" s="54" t="s">
        <v>567</v>
      </c>
      <c r="F51" s="54" t="s">
        <v>567</v>
      </c>
      <c r="G51" s="74" t="s">
        <v>9</v>
      </c>
      <c r="H51" s="72">
        <v>44575</v>
      </c>
      <c r="I51" s="72">
        <v>44576</v>
      </c>
      <c r="J51" s="72">
        <v>44578</v>
      </c>
      <c r="K51" s="53" t="s">
        <v>17</v>
      </c>
      <c r="L51" s="54" t="s">
        <v>14</v>
      </c>
      <c r="M51" s="72"/>
    </row>
    <row r="52" spans="1:13" x14ac:dyDescent="0.25">
      <c r="A52" s="73" t="s">
        <v>178</v>
      </c>
      <c r="B52" s="54" t="s">
        <v>10</v>
      </c>
      <c r="C52" s="54" t="s">
        <v>248</v>
      </c>
      <c r="D52" s="54" t="s">
        <v>249</v>
      </c>
      <c r="E52" s="54" t="s">
        <v>566</v>
      </c>
      <c r="F52" s="54" t="s">
        <v>561</v>
      </c>
      <c r="G52" s="74" t="s">
        <v>9</v>
      </c>
      <c r="H52" s="72">
        <v>44576</v>
      </c>
      <c r="I52" s="72">
        <v>44576</v>
      </c>
      <c r="J52" s="72">
        <v>44578</v>
      </c>
      <c r="K52" s="53" t="s">
        <v>107</v>
      </c>
      <c r="L52" s="54" t="s">
        <v>254</v>
      </c>
      <c r="M52" s="72"/>
    </row>
    <row r="53" spans="1:13" x14ac:dyDescent="0.25">
      <c r="A53" s="73" t="s">
        <v>179</v>
      </c>
      <c r="B53" s="54" t="s">
        <v>8</v>
      </c>
      <c r="C53" s="54"/>
      <c r="D53" s="54" t="s">
        <v>250</v>
      </c>
      <c r="E53" s="54" t="s">
        <v>573</v>
      </c>
      <c r="F53" s="54" t="s">
        <v>573</v>
      </c>
      <c r="G53" s="74" t="s">
        <v>9</v>
      </c>
      <c r="H53" s="72">
        <v>44578</v>
      </c>
      <c r="I53" s="72">
        <v>44579</v>
      </c>
      <c r="J53" s="72">
        <v>44580</v>
      </c>
      <c r="K53" s="53" t="s">
        <v>307</v>
      </c>
      <c r="L53" s="54" t="s">
        <v>279</v>
      </c>
      <c r="M53" s="72"/>
    </row>
    <row r="54" spans="1:13" x14ac:dyDescent="0.25">
      <c r="A54" s="73" t="s">
        <v>180</v>
      </c>
      <c r="B54" s="54" t="s">
        <v>19</v>
      </c>
      <c r="C54" s="54" t="s">
        <v>12</v>
      </c>
      <c r="D54" s="54" t="s">
        <v>258</v>
      </c>
      <c r="E54" s="54" t="s">
        <v>564</v>
      </c>
      <c r="F54" s="54" t="s">
        <v>571</v>
      </c>
      <c r="G54" s="74" t="s">
        <v>9</v>
      </c>
      <c r="H54" s="72">
        <v>44579</v>
      </c>
      <c r="I54" s="72">
        <v>44585</v>
      </c>
      <c r="J54" s="72">
        <v>44586</v>
      </c>
      <c r="K54" s="53" t="s">
        <v>107</v>
      </c>
      <c r="L54" s="54" t="s">
        <v>289</v>
      </c>
      <c r="M54" s="72"/>
    </row>
    <row r="55" spans="1:13" x14ac:dyDescent="0.25">
      <c r="A55" s="73" t="s">
        <v>181</v>
      </c>
      <c r="B55" s="54" t="s">
        <v>13</v>
      </c>
      <c r="C55" s="54" t="s">
        <v>77</v>
      </c>
      <c r="D55" s="54" t="s">
        <v>259</v>
      </c>
      <c r="E55" s="54" t="s">
        <v>541</v>
      </c>
      <c r="F55" s="54" t="s">
        <v>554</v>
      </c>
      <c r="G55" s="74" t="s">
        <v>9</v>
      </c>
      <c r="H55" s="72">
        <v>44579</v>
      </c>
      <c r="I55" s="72">
        <v>44580</v>
      </c>
      <c r="J55" s="72">
        <v>44582</v>
      </c>
      <c r="K55" s="53" t="s">
        <v>107</v>
      </c>
      <c r="L55" s="54" t="s">
        <v>275</v>
      </c>
      <c r="M55" s="72"/>
    </row>
    <row r="56" spans="1:13" x14ac:dyDescent="0.25">
      <c r="A56" s="73" t="s">
        <v>182</v>
      </c>
      <c r="B56" s="54" t="s">
        <v>260</v>
      </c>
      <c r="C56" s="54" t="s">
        <v>267</v>
      </c>
      <c r="D56" s="54" t="s">
        <v>261</v>
      </c>
      <c r="E56" s="54" t="s">
        <v>566</v>
      </c>
      <c r="F56" s="54" t="s">
        <v>542</v>
      </c>
      <c r="G56" s="74" t="s">
        <v>9</v>
      </c>
      <c r="H56" s="72">
        <v>44578</v>
      </c>
      <c r="I56" s="72">
        <v>44579</v>
      </c>
      <c r="J56" s="72">
        <v>44580</v>
      </c>
      <c r="K56" s="53" t="s">
        <v>107</v>
      </c>
      <c r="L56" s="54" t="s">
        <v>109</v>
      </c>
      <c r="M56" s="72"/>
    </row>
    <row r="57" spans="1:13" x14ac:dyDescent="0.25">
      <c r="A57" s="73" t="s">
        <v>183</v>
      </c>
      <c r="B57" s="54" t="s">
        <v>10</v>
      </c>
      <c r="C57" s="54" t="s">
        <v>23</v>
      </c>
      <c r="D57" s="54" t="s">
        <v>262</v>
      </c>
      <c r="E57" s="54"/>
      <c r="F57" s="54"/>
      <c r="G57" s="74" t="s">
        <v>9</v>
      </c>
      <c r="H57" s="72">
        <v>44579</v>
      </c>
      <c r="I57" s="72">
        <v>44579</v>
      </c>
      <c r="J57" s="72">
        <v>44580</v>
      </c>
      <c r="K57" s="53" t="s">
        <v>107</v>
      </c>
      <c r="L57" s="54" t="s">
        <v>281</v>
      </c>
      <c r="M57" s="72"/>
    </row>
    <row r="58" spans="1:13" x14ac:dyDescent="0.25">
      <c r="A58" s="73" t="s">
        <v>184</v>
      </c>
      <c r="B58" s="54" t="s">
        <v>19</v>
      </c>
      <c r="C58" s="54" t="s">
        <v>12</v>
      </c>
      <c r="D58" s="54" t="s">
        <v>263</v>
      </c>
      <c r="E58" s="54"/>
      <c r="F58" s="54"/>
      <c r="G58" s="74" t="s">
        <v>9</v>
      </c>
      <c r="H58" s="72">
        <v>44579</v>
      </c>
      <c r="I58" s="72">
        <v>44580</v>
      </c>
      <c r="J58" s="72">
        <v>44582</v>
      </c>
      <c r="K58" s="53" t="s">
        <v>17</v>
      </c>
      <c r="L58" s="62">
        <v>1</v>
      </c>
      <c r="M58" s="72"/>
    </row>
    <row r="59" spans="1:13" x14ac:dyDescent="0.25">
      <c r="A59" s="73" t="s">
        <v>185</v>
      </c>
      <c r="B59" s="54" t="s">
        <v>10</v>
      </c>
      <c r="C59" s="54" t="s">
        <v>264</v>
      </c>
      <c r="D59" s="54" t="s">
        <v>266</v>
      </c>
      <c r="E59" s="54"/>
      <c r="F59" s="54"/>
      <c r="G59" s="74" t="s">
        <v>9</v>
      </c>
      <c r="H59" s="72">
        <v>44580</v>
      </c>
      <c r="I59" s="72">
        <v>44581</v>
      </c>
      <c r="J59" s="72">
        <v>44582</v>
      </c>
      <c r="K59" s="53" t="s">
        <v>17</v>
      </c>
      <c r="L59" s="54" t="s">
        <v>276</v>
      </c>
      <c r="M59" s="72"/>
    </row>
    <row r="60" spans="1:13" x14ac:dyDescent="0.25">
      <c r="A60" s="73" t="s">
        <v>186</v>
      </c>
      <c r="B60" s="54" t="s">
        <v>10</v>
      </c>
      <c r="C60" s="54" t="s">
        <v>153</v>
      </c>
      <c r="D60" s="54" t="s">
        <v>265</v>
      </c>
      <c r="E60" s="54"/>
      <c r="F60" s="54"/>
      <c r="G60" s="74" t="s">
        <v>9</v>
      </c>
      <c r="H60" s="72">
        <v>44580</v>
      </c>
      <c r="I60" s="72">
        <v>44581</v>
      </c>
      <c r="J60" s="72">
        <v>44582</v>
      </c>
      <c r="K60" s="53" t="s">
        <v>30</v>
      </c>
      <c r="L60" s="54" t="s">
        <v>274</v>
      </c>
      <c r="M60" s="72"/>
    </row>
    <row r="61" spans="1:13" x14ac:dyDescent="0.25">
      <c r="A61" s="73" t="s">
        <v>187</v>
      </c>
      <c r="B61" s="54" t="s">
        <v>10</v>
      </c>
      <c r="C61" s="54" t="s">
        <v>268</v>
      </c>
      <c r="D61" s="54" t="s">
        <v>269</v>
      </c>
      <c r="E61" s="54"/>
      <c r="F61" s="54"/>
      <c r="G61" s="74" t="s">
        <v>9</v>
      </c>
      <c r="H61" s="72">
        <v>44580</v>
      </c>
      <c r="I61" s="72">
        <v>44583</v>
      </c>
      <c r="J61" s="72">
        <v>44587</v>
      </c>
      <c r="K61" s="53" t="s">
        <v>310</v>
      </c>
      <c r="L61" s="62">
        <v>1</v>
      </c>
      <c r="M61" s="72"/>
    </row>
    <row r="62" spans="1:13" x14ac:dyDescent="0.25">
      <c r="A62" s="73" t="s">
        <v>188</v>
      </c>
      <c r="B62" s="54" t="s">
        <v>10</v>
      </c>
      <c r="C62" s="54" t="s">
        <v>268</v>
      </c>
      <c r="D62" s="54" t="s">
        <v>278</v>
      </c>
      <c r="E62" s="54"/>
      <c r="F62" s="54"/>
      <c r="G62" s="74" t="s">
        <v>9</v>
      </c>
      <c r="H62" s="72">
        <v>44582</v>
      </c>
      <c r="I62" s="72">
        <v>44583</v>
      </c>
      <c r="J62" s="72">
        <v>44583</v>
      </c>
      <c r="K62" s="53" t="s">
        <v>17</v>
      </c>
      <c r="L62" s="62" t="s">
        <v>14</v>
      </c>
      <c r="M62" s="72"/>
    </row>
    <row r="63" spans="1:13" x14ac:dyDescent="0.25">
      <c r="A63" s="73" t="s">
        <v>189</v>
      </c>
      <c r="B63" s="54" t="s">
        <v>10</v>
      </c>
      <c r="C63" s="54" t="s">
        <v>85</v>
      </c>
      <c r="D63" s="54" t="s">
        <v>270</v>
      </c>
      <c r="E63" s="54"/>
      <c r="F63" s="54"/>
      <c r="G63" s="74" t="s">
        <v>9</v>
      </c>
      <c r="H63" s="72">
        <v>44582</v>
      </c>
      <c r="I63" s="72">
        <v>44583</v>
      </c>
      <c r="J63" s="72">
        <v>44583</v>
      </c>
      <c r="K63" s="53" t="s">
        <v>107</v>
      </c>
      <c r="L63" s="54" t="s">
        <v>277</v>
      </c>
      <c r="M63" s="72"/>
    </row>
    <row r="64" spans="1:13" x14ac:dyDescent="0.25">
      <c r="A64" s="73" t="s">
        <v>190</v>
      </c>
      <c r="B64" s="54" t="s">
        <v>8</v>
      </c>
      <c r="C64" s="54" t="s">
        <v>242</v>
      </c>
      <c r="D64" s="74" t="s">
        <v>271</v>
      </c>
      <c r="E64" s="74"/>
      <c r="F64" s="74"/>
      <c r="G64" s="74" t="s">
        <v>9</v>
      </c>
      <c r="H64" s="72">
        <v>44583</v>
      </c>
      <c r="I64" s="72">
        <v>44585</v>
      </c>
      <c r="J64" s="72">
        <f>Tabla1[[#This Row],[FECHA DE CIRUGIA ]]+7</f>
        <v>44592</v>
      </c>
      <c r="K64" s="53" t="s">
        <v>107</v>
      </c>
      <c r="L64" s="54" t="s">
        <v>109</v>
      </c>
      <c r="M64" s="61" t="s">
        <v>383</v>
      </c>
    </row>
    <row r="65" spans="1:13" x14ac:dyDescent="0.25">
      <c r="A65" s="73" t="s">
        <v>191</v>
      </c>
      <c r="B65" s="54" t="s">
        <v>8</v>
      </c>
      <c r="C65" s="54" t="s">
        <v>242</v>
      </c>
      <c r="D65" s="54" t="s">
        <v>272</v>
      </c>
      <c r="E65" s="54"/>
      <c r="F65" s="54"/>
      <c r="G65" s="74" t="s">
        <v>306</v>
      </c>
      <c r="H65" s="72">
        <v>44583</v>
      </c>
      <c r="I65" s="72">
        <v>44586</v>
      </c>
      <c r="J65" s="72">
        <v>44587</v>
      </c>
      <c r="K65" s="53" t="s">
        <v>107</v>
      </c>
      <c r="L65" s="78" t="s">
        <v>251</v>
      </c>
      <c r="M65" s="72"/>
    </row>
    <row r="66" spans="1:13" x14ac:dyDescent="0.25">
      <c r="A66" s="73" t="s">
        <v>192</v>
      </c>
      <c r="B66" s="54" t="s">
        <v>8</v>
      </c>
      <c r="C66" s="54" t="s">
        <v>242</v>
      </c>
      <c r="D66" s="54" t="s">
        <v>273</v>
      </c>
      <c r="E66" s="54"/>
      <c r="F66" s="54"/>
      <c r="G66" s="74" t="s">
        <v>9</v>
      </c>
      <c r="H66" s="72">
        <v>44585</v>
      </c>
      <c r="I66" s="72">
        <v>44586</v>
      </c>
      <c r="J66" s="72">
        <f>Tabla1[[#This Row],[FECHA DE CIRUGIA ]]+5</f>
        <v>44591</v>
      </c>
      <c r="K66" s="53" t="s">
        <v>107</v>
      </c>
      <c r="L66" s="54" t="s">
        <v>109</v>
      </c>
      <c r="M66" s="72"/>
    </row>
    <row r="67" spans="1:13" x14ac:dyDescent="0.25">
      <c r="A67" s="73" t="s">
        <v>193</v>
      </c>
      <c r="B67" s="54" t="s">
        <v>284</v>
      </c>
      <c r="C67" s="54" t="s">
        <v>285</v>
      </c>
      <c r="D67" s="54" t="s">
        <v>286</v>
      </c>
      <c r="E67" s="54"/>
      <c r="F67" s="54"/>
      <c r="G67" s="74" t="s">
        <v>9</v>
      </c>
      <c r="H67" s="72">
        <v>44585</v>
      </c>
      <c r="I67" s="72">
        <v>44587</v>
      </c>
      <c r="J67" s="72">
        <v>44588</v>
      </c>
      <c r="K67" s="53" t="s">
        <v>107</v>
      </c>
      <c r="L67" s="63" t="s">
        <v>290</v>
      </c>
      <c r="M67" s="72"/>
    </row>
    <row r="68" spans="1:13" x14ac:dyDescent="0.25">
      <c r="A68" s="73" t="s">
        <v>194</v>
      </c>
      <c r="B68" s="54" t="s">
        <v>21</v>
      </c>
      <c r="C68" s="54" t="s">
        <v>25</v>
      </c>
      <c r="D68" s="52" t="s">
        <v>65</v>
      </c>
      <c r="E68" s="52"/>
      <c r="F68" s="52"/>
      <c r="G68" s="74" t="s">
        <v>9</v>
      </c>
      <c r="H68" s="72">
        <v>44586</v>
      </c>
      <c r="I68" s="72">
        <v>44587</v>
      </c>
      <c r="J68" s="72">
        <v>44588</v>
      </c>
      <c r="K68" s="53" t="s">
        <v>107</v>
      </c>
      <c r="L68" s="54" t="s">
        <v>158</v>
      </c>
      <c r="M68" s="72"/>
    </row>
    <row r="69" spans="1:13" x14ac:dyDescent="0.25">
      <c r="A69" s="73" t="s">
        <v>195</v>
      </c>
      <c r="B69" s="54" t="s">
        <v>8</v>
      </c>
      <c r="C69" s="54" t="s">
        <v>66</v>
      </c>
      <c r="D69" s="54" t="s">
        <v>288</v>
      </c>
      <c r="E69" s="54"/>
      <c r="F69" s="54"/>
      <c r="G69" s="74" t="s">
        <v>9</v>
      </c>
      <c r="H69" s="72">
        <v>44587</v>
      </c>
      <c r="I69" s="72">
        <v>44587</v>
      </c>
      <c r="J69" s="72">
        <f>Tabla1[[#This Row],[FECHA DE CIRUGIA ]]+4</f>
        <v>44591</v>
      </c>
      <c r="K69" s="53" t="s">
        <v>107</v>
      </c>
      <c r="L69" s="54" t="s">
        <v>109</v>
      </c>
      <c r="M69" s="72"/>
    </row>
    <row r="70" spans="1:13" x14ac:dyDescent="0.25">
      <c r="A70" s="73" t="s">
        <v>196</v>
      </c>
      <c r="B70" s="54" t="s">
        <v>8</v>
      </c>
      <c r="C70" s="54" t="s">
        <v>66</v>
      </c>
      <c r="D70" s="54" t="s">
        <v>287</v>
      </c>
      <c r="E70" s="54"/>
      <c r="F70" s="54"/>
      <c r="G70" s="74" t="s">
        <v>305</v>
      </c>
      <c r="H70" s="72">
        <v>44587</v>
      </c>
      <c r="I70" s="72">
        <v>44588</v>
      </c>
      <c r="J70" s="72">
        <f>Tabla1[[#This Row],[FECHA DE CIRUGIA ]]+3</f>
        <v>44591</v>
      </c>
      <c r="K70" s="53" t="s">
        <v>17</v>
      </c>
      <c r="L70" s="54" t="s">
        <v>14</v>
      </c>
      <c r="M70" s="72"/>
    </row>
    <row r="71" spans="1:13" x14ac:dyDescent="0.25">
      <c r="A71" s="73" t="s">
        <v>197</v>
      </c>
      <c r="B71" s="54" t="s">
        <v>8</v>
      </c>
      <c r="C71" s="54" t="s">
        <v>66</v>
      </c>
      <c r="D71" s="54" t="s">
        <v>291</v>
      </c>
      <c r="E71" s="54"/>
      <c r="F71" s="54"/>
      <c r="G71" s="74" t="s">
        <v>9</v>
      </c>
      <c r="H71" s="72">
        <v>44588</v>
      </c>
      <c r="I71" s="72">
        <v>44589</v>
      </c>
      <c r="J71" s="72">
        <f>Tabla1[[#This Row],[FECHA DE CIRUGIA ]]+1</f>
        <v>44590</v>
      </c>
      <c r="K71" s="53" t="s">
        <v>107</v>
      </c>
      <c r="L71" s="54" t="s">
        <v>109</v>
      </c>
      <c r="M71" s="72"/>
    </row>
    <row r="72" spans="1:13" x14ac:dyDescent="0.25">
      <c r="A72" s="73" t="s">
        <v>198</v>
      </c>
      <c r="B72" s="54" t="s">
        <v>15</v>
      </c>
      <c r="C72" s="54" t="s">
        <v>16</v>
      </c>
      <c r="D72" s="52" t="s">
        <v>65</v>
      </c>
      <c r="E72" s="52"/>
      <c r="F72" s="52"/>
      <c r="G72" s="74" t="s">
        <v>9</v>
      </c>
      <c r="H72" s="72">
        <v>44589</v>
      </c>
      <c r="I72" s="72">
        <v>44590</v>
      </c>
      <c r="J72" s="72">
        <f>Tabla1[[#This Row],[FECHA DE CIRUGIA ]]+1</f>
        <v>44591</v>
      </c>
      <c r="K72" s="53" t="s">
        <v>107</v>
      </c>
      <c r="L72" s="54" t="s">
        <v>158</v>
      </c>
      <c r="M72" s="72"/>
    </row>
    <row r="73" spans="1:13" x14ac:dyDescent="0.25">
      <c r="A73" s="73" t="s">
        <v>199</v>
      </c>
      <c r="B73" s="54" t="s">
        <v>149</v>
      </c>
      <c r="C73" s="54" t="s">
        <v>292</v>
      </c>
      <c r="D73" s="54" t="s">
        <v>293</v>
      </c>
      <c r="E73" s="54"/>
      <c r="F73" s="54"/>
      <c r="G73" s="74" t="s">
        <v>9</v>
      </c>
      <c r="H73" s="72">
        <v>44590</v>
      </c>
      <c r="I73" s="72">
        <v>44599</v>
      </c>
      <c r="J73" s="72">
        <f>Tabla1[[#This Row],[FECHA DE CIRUGIA ]]+1</f>
        <v>44600</v>
      </c>
      <c r="K73" s="53" t="s">
        <v>107</v>
      </c>
      <c r="L73" s="54" t="s">
        <v>108</v>
      </c>
      <c r="M73" s="72"/>
    </row>
    <row r="74" spans="1:13" x14ac:dyDescent="0.25">
      <c r="A74" s="73" t="s">
        <v>200</v>
      </c>
      <c r="B74" s="54" t="s">
        <v>19</v>
      </c>
      <c r="C74" s="54" t="s">
        <v>12</v>
      </c>
      <c r="D74" s="54" t="s">
        <v>63</v>
      </c>
      <c r="E74" s="54"/>
      <c r="F74" s="54"/>
      <c r="G74" s="74" t="s">
        <v>9</v>
      </c>
      <c r="H74" s="72">
        <v>44590</v>
      </c>
      <c r="I74" s="72">
        <f>Tabla1[[#This Row],[FECHA DE ENTREGA ]]+2</f>
        <v>44592</v>
      </c>
      <c r="J74" s="72">
        <f>Tabla1[[#This Row],[FECHA DE CIRUGIA ]]+6</f>
        <v>44598</v>
      </c>
      <c r="K74" s="53" t="s">
        <v>18</v>
      </c>
      <c r="L74" s="54" t="s">
        <v>147</v>
      </c>
      <c r="M74" s="72"/>
    </row>
    <row r="75" spans="1:13" x14ac:dyDescent="0.25">
      <c r="A75" s="73" t="s">
        <v>201</v>
      </c>
      <c r="B75" s="54" t="s">
        <v>19</v>
      </c>
      <c r="C75" s="54" t="s">
        <v>12</v>
      </c>
      <c r="D75" s="54" t="s">
        <v>294</v>
      </c>
      <c r="E75" s="54"/>
      <c r="F75" s="54"/>
      <c r="G75" s="74" t="s">
        <v>9</v>
      </c>
      <c r="H75" s="72">
        <v>44590</v>
      </c>
      <c r="I75" s="72">
        <f>Tabla1[[#This Row],[FECHA DE ENTREGA ]]+2</f>
        <v>44592</v>
      </c>
      <c r="J75" s="72">
        <f>Tabla1[[#This Row],[FECHA DE CIRUGIA ]]+6</f>
        <v>44598</v>
      </c>
      <c r="K75" s="53" t="s">
        <v>18</v>
      </c>
      <c r="L75" s="54" t="s">
        <v>147</v>
      </c>
      <c r="M75" s="72"/>
    </row>
    <row r="76" spans="1:13" x14ac:dyDescent="0.25">
      <c r="A76" s="73" t="s">
        <v>202</v>
      </c>
      <c r="B76" s="54" t="s">
        <v>11</v>
      </c>
      <c r="C76" s="54" t="s">
        <v>153</v>
      </c>
      <c r="D76" s="54" t="s">
        <v>311</v>
      </c>
      <c r="E76" s="54"/>
      <c r="F76" s="54"/>
      <c r="G76" s="74" t="s">
        <v>9</v>
      </c>
      <c r="H76" s="72">
        <v>44590</v>
      </c>
      <c r="I76" s="72">
        <f>Tabla1[[#This Row],[FECHA DE ENTREGA ]]+1</f>
        <v>44591</v>
      </c>
      <c r="J76" s="72">
        <f>Tabla1[[#This Row],[FECHA DE CIRUGIA ]]+1</f>
        <v>44592</v>
      </c>
      <c r="K76" s="53" t="s">
        <v>107</v>
      </c>
      <c r="L76" s="54" t="s">
        <v>317</v>
      </c>
      <c r="M76" s="72"/>
    </row>
    <row r="77" spans="1:13" x14ac:dyDescent="0.25">
      <c r="A77" s="73" t="s">
        <v>203</v>
      </c>
      <c r="B77" s="54" t="s">
        <v>295</v>
      </c>
      <c r="C77" s="54" t="s">
        <v>296</v>
      </c>
      <c r="D77" s="54" t="s">
        <v>297</v>
      </c>
      <c r="E77" s="54"/>
      <c r="F77" s="54"/>
      <c r="G77" s="74" t="s">
        <v>9</v>
      </c>
      <c r="H77" s="72">
        <v>44590</v>
      </c>
      <c r="I77" s="72">
        <f>Tabla1[[#This Row],[FECHA DE ENTREGA ]]+2</f>
        <v>44592</v>
      </c>
      <c r="J77" s="72">
        <f>Tabla1[[#This Row],[FECHA DE CIRUGIA ]]+1</f>
        <v>44593</v>
      </c>
      <c r="K77" s="53" t="s">
        <v>17</v>
      </c>
      <c r="L77" s="54" t="s">
        <v>14</v>
      </c>
      <c r="M77" s="72"/>
    </row>
    <row r="78" spans="1:13" x14ac:dyDescent="0.25">
      <c r="A78" s="73" t="s">
        <v>204</v>
      </c>
      <c r="B78" s="54" t="s">
        <v>298</v>
      </c>
      <c r="C78" s="54" t="s">
        <v>299</v>
      </c>
      <c r="D78" s="54" t="s">
        <v>300</v>
      </c>
      <c r="E78" s="54"/>
      <c r="F78" s="54"/>
      <c r="G78" s="74" t="s">
        <v>9</v>
      </c>
      <c r="H78" s="72">
        <v>44591</v>
      </c>
      <c r="I78" s="72">
        <f>Tabla1[[#This Row],[FECHA DE ENTREGA ]]+2</f>
        <v>44593</v>
      </c>
      <c r="J78" s="72">
        <f>Tabla1[[#This Row],[FECHA DE CIRUGIA ]]</f>
        <v>44593</v>
      </c>
      <c r="K78" s="53" t="s">
        <v>17</v>
      </c>
      <c r="L78" s="54" t="s">
        <v>316</v>
      </c>
      <c r="M78" s="72"/>
    </row>
    <row r="79" spans="1:13" x14ac:dyDescent="0.25">
      <c r="A79" s="73" t="s">
        <v>205</v>
      </c>
      <c r="B79" s="54" t="s">
        <v>10</v>
      </c>
      <c r="C79" s="54" t="s">
        <v>12</v>
      </c>
      <c r="D79" s="54" t="s">
        <v>308</v>
      </c>
      <c r="E79" s="54"/>
      <c r="F79" s="54"/>
      <c r="G79" s="74" t="s">
        <v>9</v>
      </c>
      <c r="H79" s="72">
        <v>44592</v>
      </c>
      <c r="I79" s="72">
        <f>Tabla1[[#This Row],[FECHA DE ENTREGA ]]+2</f>
        <v>44594</v>
      </c>
      <c r="J79" s="72">
        <f>Tabla1[[#This Row],[FECHA DE CIRUGIA ]]</f>
        <v>44594</v>
      </c>
      <c r="K79" s="53" t="s">
        <v>30</v>
      </c>
      <c r="L79" s="54" t="s">
        <v>323</v>
      </c>
      <c r="M79" s="72"/>
    </row>
    <row r="80" spans="1:13" x14ac:dyDescent="0.25">
      <c r="A80" s="73" t="s">
        <v>206</v>
      </c>
      <c r="B80" s="54" t="s">
        <v>10</v>
      </c>
      <c r="C80" s="54" t="s">
        <v>248</v>
      </c>
      <c r="D80" s="54" t="s">
        <v>309</v>
      </c>
      <c r="E80" s="54"/>
      <c r="F80" s="54"/>
      <c r="G80" s="74" t="s">
        <v>9</v>
      </c>
      <c r="H80" s="72">
        <v>44592</v>
      </c>
      <c r="I80" s="72">
        <v>44593</v>
      </c>
      <c r="J80" s="72">
        <f>Tabla1[[#This Row],[FECHA DE CIRUGIA ]]+1</f>
        <v>44594</v>
      </c>
      <c r="K80" s="53" t="s">
        <v>17</v>
      </c>
      <c r="L80" s="54" t="s">
        <v>14</v>
      </c>
      <c r="M80" s="72"/>
    </row>
    <row r="81" spans="1:13" x14ac:dyDescent="0.25">
      <c r="A81" s="73" t="s">
        <v>207</v>
      </c>
      <c r="B81" s="54" t="s">
        <v>149</v>
      </c>
      <c r="C81" s="54" t="s">
        <v>153</v>
      </c>
      <c r="D81" s="54" t="s">
        <v>312</v>
      </c>
      <c r="E81" s="54"/>
      <c r="F81" s="54"/>
      <c r="G81" s="74" t="s">
        <v>9</v>
      </c>
      <c r="H81" s="72">
        <v>44592</v>
      </c>
      <c r="I81" s="72">
        <v>44593</v>
      </c>
      <c r="J81" s="72">
        <f>Tabla1[[#This Row],[FECHA DE CIRUGIA ]]</f>
        <v>44593</v>
      </c>
      <c r="K81" s="53" t="s">
        <v>107</v>
      </c>
      <c r="L81" s="54" t="s">
        <v>109</v>
      </c>
      <c r="M81" s="72"/>
    </row>
    <row r="82" spans="1:13" x14ac:dyDescent="0.25">
      <c r="A82" s="73" t="s">
        <v>208</v>
      </c>
      <c r="B82" s="54" t="s">
        <v>8</v>
      </c>
      <c r="C82" s="54" t="s">
        <v>313</v>
      </c>
      <c r="D82" s="54" t="s">
        <v>314</v>
      </c>
      <c r="E82" s="54"/>
      <c r="F82" s="54"/>
      <c r="G82" s="74" t="s">
        <v>9</v>
      </c>
      <c r="H82" s="72">
        <v>44594</v>
      </c>
      <c r="I82" s="72">
        <f>Tabla1[[#This Row],[FECHA DE ENTREGA ]]+2</f>
        <v>44596</v>
      </c>
      <c r="J82" s="72">
        <f>Tabla1[[#This Row],[FECHA DE CIRUGIA ]]+1</f>
        <v>44597</v>
      </c>
      <c r="K82" s="53" t="s">
        <v>17</v>
      </c>
      <c r="L82" s="54" t="s">
        <v>14</v>
      </c>
      <c r="M82" s="72"/>
    </row>
    <row r="83" spans="1:13" x14ac:dyDescent="0.25">
      <c r="A83" s="73" t="s">
        <v>209</v>
      </c>
      <c r="B83" s="54" t="s">
        <v>11</v>
      </c>
      <c r="C83" s="54" t="s">
        <v>28</v>
      </c>
      <c r="D83" s="54" t="s">
        <v>315</v>
      </c>
      <c r="E83" s="54"/>
      <c r="F83" s="54"/>
      <c r="G83" s="74" t="s">
        <v>9</v>
      </c>
      <c r="H83" s="72">
        <v>44594</v>
      </c>
      <c r="I83" s="72">
        <f>Tabla1[[#This Row],[FECHA DE ENTREGA ]]</f>
        <v>44594</v>
      </c>
      <c r="J83" s="72">
        <f>Tabla1[[#This Row],[FECHA DE CIRUGIA ]]+1</f>
        <v>44595</v>
      </c>
      <c r="K83" s="53" t="s">
        <v>107</v>
      </c>
      <c r="L83" s="54" t="s">
        <v>123</v>
      </c>
      <c r="M83" s="72"/>
    </row>
    <row r="84" spans="1:13" x14ac:dyDescent="0.25">
      <c r="A84" s="73" t="s">
        <v>210</v>
      </c>
      <c r="B84" s="54" t="s">
        <v>15</v>
      </c>
      <c r="C84" s="54" t="s">
        <v>318</v>
      </c>
      <c r="D84" s="52" t="s">
        <v>65</v>
      </c>
      <c r="E84" s="52"/>
      <c r="F84" s="52"/>
      <c r="G84" s="74" t="s">
        <v>9</v>
      </c>
      <c r="H84" s="72">
        <v>44594</v>
      </c>
      <c r="I84" s="72">
        <f>Tabla1[[#This Row],[FECHA DE ENTREGA ]]+1</f>
        <v>44595</v>
      </c>
      <c r="J84" s="72">
        <f>Tabla1[[#This Row],[FECHA DE CIRUGIA ]]</f>
        <v>44595</v>
      </c>
      <c r="K84" s="53" t="s">
        <v>107</v>
      </c>
      <c r="L84" s="54" t="s">
        <v>108</v>
      </c>
      <c r="M84" s="72"/>
    </row>
    <row r="85" spans="1:13" x14ac:dyDescent="0.25">
      <c r="A85" s="73" t="s">
        <v>211</v>
      </c>
      <c r="B85" s="54" t="s">
        <v>8</v>
      </c>
      <c r="C85" s="54" t="s">
        <v>319</v>
      </c>
      <c r="D85" s="54" t="s">
        <v>320</v>
      </c>
      <c r="E85" s="54"/>
      <c r="F85" s="54"/>
      <c r="G85" s="74" t="s">
        <v>9</v>
      </c>
      <c r="H85" s="72">
        <v>44595</v>
      </c>
      <c r="I85" s="72">
        <f>Tabla1[[#This Row],[FECHA DE ENTREGA ]]+1</f>
        <v>44596</v>
      </c>
      <c r="J85" s="72">
        <f>Tabla1[[#This Row],[FECHA DE CIRUGIA ]]+1</f>
        <v>44597</v>
      </c>
      <c r="K85" s="53" t="s">
        <v>18</v>
      </c>
      <c r="L85" s="54" t="s">
        <v>147</v>
      </c>
      <c r="M85" s="72"/>
    </row>
    <row r="86" spans="1:13" x14ac:dyDescent="0.25">
      <c r="A86" s="73" t="s">
        <v>212</v>
      </c>
      <c r="B86" s="54" t="s">
        <v>8</v>
      </c>
      <c r="C86" s="54" t="s">
        <v>321</v>
      </c>
      <c r="D86" s="54" t="s">
        <v>322</v>
      </c>
      <c r="E86" s="54"/>
      <c r="F86" s="54"/>
      <c r="G86" s="74" t="s">
        <v>9</v>
      </c>
      <c r="H86" s="72">
        <v>44595</v>
      </c>
      <c r="I86" s="72">
        <f>Tabla1[[#This Row],[FECHA DE ENTREGA ]]+1</f>
        <v>44596</v>
      </c>
      <c r="J86" s="72">
        <f>Tabla1[[#This Row],[FECHA DE CIRUGIA ]]+1</f>
        <v>44597</v>
      </c>
      <c r="K86" s="53" t="s">
        <v>107</v>
      </c>
      <c r="L86" s="54" t="s">
        <v>109</v>
      </c>
      <c r="M86" s="72"/>
    </row>
    <row r="87" spans="1:13" x14ac:dyDescent="0.25">
      <c r="A87" s="73" t="s">
        <v>213</v>
      </c>
      <c r="B87" s="54" t="s">
        <v>149</v>
      </c>
      <c r="C87" s="54" t="s">
        <v>25</v>
      </c>
      <c r="D87" s="54" t="s">
        <v>324</v>
      </c>
      <c r="E87" s="54"/>
      <c r="F87" s="54"/>
      <c r="G87" s="74" t="s">
        <v>9</v>
      </c>
      <c r="H87" s="72">
        <v>44596</v>
      </c>
      <c r="I87" s="72">
        <f>Tabla1[[#This Row],[FECHA DE ENTREGA ]]+1</f>
        <v>44597</v>
      </c>
      <c r="J87" s="72">
        <f>Tabla1[[#This Row],[FECHA DE CIRUGIA ]]</f>
        <v>44597</v>
      </c>
      <c r="K87" s="53" t="s">
        <v>336</v>
      </c>
      <c r="L87" s="54" t="s">
        <v>335</v>
      </c>
      <c r="M87" s="72"/>
    </row>
    <row r="88" spans="1:13" x14ac:dyDescent="0.25">
      <c r="A88" s="73" t="s">
        <v>214</v>
      </c>
      <c r="B88" s="54" t="s">
        <v>10</v>
      </c>
      <c r="C88" s="54" t="s">
        <v>268</v>
      </c>
      <c r="D88" s="54" t="s">
        <v>325</v>
      </c>
      <c r="E88" s="54"/>
      <c r="F88" s="54"/>
      <c r="G88" s="74" t="s">
        <v>9</v>
      </c>
      <c r="H88" s="72">
        <v>44596</v>
      </c>
      <c r="I88" s="72">
        <f>Tabla1[[#This Row],[FECHA DE ENTREGA ]]+1</f>
        <v>44597</v>
      </c>
      <c r="J88" s="72">
        <f>Tabla1[[#This Row],[FECHA DE CIRUGIA ]]+2</f>
        <v>44599</v>
      </c>
      <c r="K88" s="53" t="s">
        <v>18</v>
      </c>
      <c r="L88" s="54" t="s">
        <v>147</v>
      </c>
      <c r="M88" s="72"/>
    </row>
    <row r="89" spans="1:13" x14ac:dyDescent="0.25">
      <c r="A89" s="73" t="s">
        <v>215</v>
      </c>
      <c r="B89" s="54" t="s">
        <v>298</v>
      </c>
      <c r="C89" s="54" t="s">
        <v>299</v>
      </c>
      <c r="D89" s="54" t="s">
        <v>329</v>
      </c>
      <c r="E89" s="54"/>
      <c r="F89" s="54"/>
      <c r="G89" s="74" t="s">
        <v>9</v>
      </c>
      <c r="H89" s="72">
        <v>44596</v>
      </c>
      <c r="I89" s="72">
        <f>H89+1</f>
        <v>44597</v>
      </c>
      <c r="J89" s="72">
        <f>Tabla1[[#This Row],[FECHA DE CIRUGIA ]]</f>
        <v>44597</v>
      </c>
      <c r="K89" s="53" t="s">
        <v>107</v>
      </c>
      <c r="L89" s="54" t="s">
        <v>330</v>
      </c>
      <c r="M89" s="72"/>
    </row>
    <row r="90" spans="1:13" x14ac:dyDescent="0.25">
      <c r="A90" s="73" t="s">
        <v>216</v>
      </c>
      <c r="B90" s="54" t="s">
        <v>149</v>
      </c>
      <c r="C90" s="54" t="s">
        <v>153</v>
      </c>
      <c r="D90" s="54" t="s">
        <v>334</v>
      </c>
      <c r="E90" s="54"/>
      <c r="F90" s="54"/>
      <c r="G90" s="74" t="s">
        <v>9</v>
      </c>
      <c r="H90" s="72">
        <v>44596</v>
      </c>
      <c r="I90" s="72">
        <f>Tabla1[[#This Row],[FECHA DE ENTREGA ]]+1</f>
        <v>44597</v>
      </c>
      <c r="J90" s="72">
        <f>Tabla1[[#This Row],[FECHA DE CIRUGIA ]]</f>
        <v>44597</v>
      </c>
      <c r="K90" s="53" t="s">
        <v>331</v>
      </c>
      <c r="L90" s="54" t="s">
        <v>331</v>
      </c>
      <c r="M90" s="72"/>
    </row>
    <row r="91" spans="1:13" x14ac:dyDescent="0.25">
      <c r="A91" s="73" t="s">
        <v>217</v>
      </c>
      <c r="B91" s="54" t="s">
        <v>8</v>
      </c>
      <c r="C91" s="54" t="s">
        <v>143</v>
      </c>
      <c r="D91" s="54" t="s">
        <v>326</v>
      </c>
      <c r="E91" s="54"/>
      <c r="F91" s="54"/>
      <c r="G91" s="74" t="s">
        <v>9</v>
      </c>
      <c r="H91" s="72">
        <v>44597</v>
      </c>
      <c r="I91" s="72">
        <f>Tabla1[[#This Row],[FECHA DE ENTREGA ]]+2</f>
        <v>44599</v>
      </c>
      <c r="J91" s="72">
        <f>Tabla1[[#This Row],[FECHA DE CIRUGIA ]]</f>
        <v>44599</v>
      </c>
      <c r="K91" s="53" t="s">
        <v>17</v>
      </c>
      <c r="L91" s="54" t="s">
        <v>316</v>
      </c>
      <c r="M91" s="72"/>
    </row>
    <row r="92" spans="1:13" x14ac:dyDescent="0.25">
      <c r="A92" s="73" t="s">
        <v>218</v>
      </c>
      <c r="B92" s="54" t="s">
        <v>10</v>
      </c>
      <c r="C92" s="54" t="s">
        <v>153</v>
      </c>
      <c r="D92" s="54" t="s">
        <v>327</v>
      </c>
      <c r="E92" s="54"/>
      <c r="F92" s="54"/>
      <c r="G92" s="74" t="s">
        <v>9</v>
      </c>
      <c r="H92" s="72">
        <v>44599</v>
      </c>
      <c r="I92" s="72">
        <f>Tabla1[[#This Row],[FECHA DE ENTREGA ]]+1</f>
        <v>44600</v>
      </c>
      <c r="J92" s="72">
        <f>Tabla1[[#This Row],[FECHA DE CIRUGIA ]]</f>
        <v>44600</v>
      </c>
      <c r="K92" s="53" t="s">
        <v>18</v>
      </c>
      <c r="L92" s="54" t="s">
        <v>147</v>
      </c>
      <c r="M92" s="72"/>
    </row>
    <row r="93" spans="1:13" x14ac:dyDescent="0.25">
      <c r="A93" s="73" t="s">
        <v>218</v>
      </c>
      <c r="B93" s="54" t="s">
        <v>344</v>
      </c>
      <c r="C93" s="52" t="s">
        <v>65</v>
      </c>
      <c r="D93" s="52" t="s">
        <v>65</v>
      </c>
      <c r="E93" s="52"/>
      <c r="F93" s="52"/>
      <c r="G93" s="74" t="s">
        <v>9</v>
      </c>
      <c r="H93" s="72">
        <v>44599</v>
      </c>
      <c r="I93" s="72">
        <f>Tabla1[[#This Row],[FECHA DE ENTREGA ]]</f>
        <v>44599</v>
      </c>
      <c r="J93" s="72">
        <f>I93+1</f>
        <v>44600</v>
      </c>
      <c r="K93" s="53" t="s">
        <v>107</v>
      </c>
      <c r="L93" s="54" t="s">
        <v>164</v>
      </c>
      <c r="M93" s="72"/>
    </row>
    <row r="94" spans="1:13" x14ac:dyDescent="0.25">
      <c r="A94" s="73" t="s">
        <v>219</v>
      </c>
      <c r="B94" s="54" t="s">
        <v>19</v>
      </c>
      <c r="C94" s="54" t="s">
        <v>12</v>
      </c>
      <c r="D94" s="54" t="s">
        <v>328</v>
      </c>
      <c r="E94" s="54"/>
      <c r="F94" s="54"/>
      <c r="G94" s="74" t="s">
        <v>9</v>
      </c>
      <c r="H94" s="72">
        <v>44599</v>
      </c>
      <c r="I94" s="72">
        <f>Tabla1[[#This Row],[FECHA DE ENTREGA ]]+1</f>
        <v>44600</v>
      </c>
      <c r="J94" s="72">
        <f>Tabla1[[#This Row],[FECHA DE CIRUGIA ]]</f>
        <v>44600</v>
      </c>
      <c r="K94" s="53" t="s">
        <v>18</v>
      </c>
      <c r="L94" s="54" t="s">
        <v>147</v>
      </c>
      <c r="M94" s="72"/>
    </row>
    <row r="95" spans="1:13" x14ac:dyDescent="0.25">
      <c r="A95" s="73" t="s">
        <v>220</v>
      </c>
      <c r="B95" s="54" t="s">
        <v>332</v>
      </c>
      <c r="C95" s="54" t="s">
        <v>169</v>
      </c>
      <c r="D95" s="54" t="s">
        <v>333</v>
      </c>
      <c r="E95" s="54"/>
      <c r="F95" s="54"/>
      <c r="G95" s="74" t="s">
        <v>9</v>
      </c>
      <c r="H95" s="72">
        <v>44600</v>
      </c>
      <c r="I95" s="72">
        <f>Tabla1[[#This Row],[FECHA DE ENTREGA ]]+1</f>
        <v>44601</v>
      </c>
      <c r="J95" s="72">
        <f>Tabla1[[#This Row],[FECHA DE CIRUGIA ]]+1</f>
        <v>44602</v>
      </c>
      <c r="K95" s="53" t="s">
        <v>107</v>
      </c>
      <c r="L95" s="54" t="s">
        <v>343</v>
      </c>
      <c r="M95" s="72"/>
    </row>
    <row r="96" spans="1:13" x14ac:dyDescent="0.25">
      <c r="A96" s="73" t="s">
        <v>221</v>
      </c>
      <c r="B96" s="54" t="s">
        <v>8</v>
      </c>
      <c r="C96" s="54" t="s">
        <v>313</v>
      </c>
      <c r="D96" s="54" t="s">
        <v>337</v>
      </c>
      <c r="E96" s="54"/>
      <c r="F96" s="54"/>
      <c r="G96" s="74" t="s">
        <v>9</v>
      </c>
      <c r="H96" s="72">
        <v>44601</v>
      </c>
      <c r="I96" s="72">
        <v>44602</v>
      </c>
      <c r="J96" s="72">
        <f>Tabla1[[#This Row],[FECHA DE CIRUGIA ]]+1</f>
        <v>44603</v>
      </c>
      <c r="K96" s="53" t="s">
        <v>17</v>
      </c>
      <c r="L96" s="54" t="s">
        <v>14</v>
      </c>
      <c r="M96" s="72"/>
    </row>
    <row r="97" spans="1:13" x14ac:dyDescent="0.25">
      <c r="A97" s="73" t="s">
        <v>221</v>
      </c>
      <c r="B97" s="54" t="s">
        <v>526</v>
      </c>
      <c r="C97" s="54" t="s">
        <v>26</v>
      </c>
      <c r="D97" s="54" t="s">
        <v>356</v>
      </c>
      <c r="E97" s="54"/>
      <c r="F97" s="54"/>
      <c r="G97" s="74" t="s">
        <v>9</v>
      </c>
      <c r="H97" s="72">
        <v>44600</v>
      </c>
      <c r="I97" s="72">
        <f>Tabla1[[#This Row],[FECHA DE ENTREGA ]]+1</f>
        <v>44601</v>
      </c>
      <c r="J97" s="72">
        <f>I97+1</f>
        <v>44602</v>
      </c>
      <c r="K97" s="53" t="s">
        <v>107</v>
      </c>
      <c r="L97" s="54" t="s">
        <v>357</v>
      </c>
      <c r="M97" s="72"/>
    </row>
    <row r="98" spans="1:13" x14ac:dyDescent="0.25">
      <c r="A98" s="73" t="s">
        <v>222</v>
      </c>
      <c r="B98" s="54" t="s">
        <v>338</v>
      </c>
      <c r="C98" s="54" t="s">
        <v>339</v>
      </c>
      <c r="D98" s="54" t="s">
        <v>340</v>
      </c>
      <c r="E98" s="54"/>
      <c r="F98" s="54"/>
      <c r="G98" s="74" t="s">
        <v>9</v>
      </c>
      <c r="H98" s="72">
        <v>44601</v>
      </c>
      <c r="I98" s="72">
        <f>Tabla1[[#This Row],[FECHA DE ENTREGA ]]+1</f>
        <v>44602</v>
      </c>
      <c r="J98" s="72">
        <f>Tabla1[[#This Row],[FECHA DE CIRUGIA ]]+1</f>
        <v>44603</v>
      </c>
      <c r="K98" s="53" t="s">
        <v>107</v>
      </c>
      <c r="L98" s="54" t="s">
        <v>158</v>
      </c>
      <c r="M98" s="72"/>
    </row>
    <row r="99" spans="1:13" x14ac:dyDescent="0.25">
      <c r="A99" s="73" t="s">
        <v>223</v>
      </c>
      <c r="B99" s="54" t="s">
        <v>8</v>
      </c>
      <c r="C99" s="54" t="s">
        <v>168</v>
      </c>
      <c r="D99" s="54" t="s">
        <v>342</v>
      </c>
      <c r="E99" s="54"/>
      <c r="F99" s="54"/>
      <c r="G99" s="74" t="s">
        <v>9</v>
      </c>
      <c r="H99" s="72">
        <v>44602</v>
      </c>
      <c r="I99" s="72">
        <f>Tabla1[[#This Row],[FECHA DE ENTREGA ]]+1</f>
        <v>44603</v>
      </c>
      <c r="J99" s="72">
        <f>Tabla1[[#This Row],[FECHA DE CIRUGIA ]]+1</f>
        <v>44604</v>
      </c>
      <c r="K99" s="53" t="s">
        <v>107</v>
      </c>
      <c r="L99" s="64" t="s">
        <v>358</v>
      </c>
      <c r="M99" s="72"/>
    </row>
    <row r="100" spans="1:13" x14ac:dyDescent="0.25">
      <c r="A100" s="73" t="s">
        <v>224</v>
      </c>
      <c r="B100" s="65" t="s">
        <v>8</v>
      </c>
      <c r="C100" s="65" t="s">
        <v>168</v>
      </c>
      <c r="D100" s="66" t="s">
        <v>341</v>
      </c>
      <c r="E100" s="66"/>
      <c r="F100" s="66"/>
      <c r="G100" s="67" t="s">
        <v>9</v>
      </c>
      <c r="H100" s="68">
        <v>44602</v>
      </c>
      <c r="I100" s="68">
        <v>44603</v>
      </c>
      <c r="J100" s="68">
        <f>Tabla1[[#This Row],[FECHA DE CIRUGIA ]]+1</f>
        <v>44604</v>
      </c>
      <c r="K100" s="69" t="s">
        <v>107</v>
      </c>
      <c r="L100" s="65" t="s">
        <v>359</v>
      </c>
      <c r="M100" s="65" t="s">
        <v>361</v>
      </c>
    </row>
    <row r="101" spans="1:13" x14ac:dyDescent="0.25">
      <c r="A101" s="73" t="s">
        <v>225</v>
      </c>
      <c r="B101" s="54" t="s">
        <v>19</v>
      </c>
      <c r="C101" s="54" t="s">
        <v>230</v>
      </c>
      <c r="D101" s="54" t="s">
        <v>352</v>
      </c>
      <c r="E101" s="54"/>
      <c r="F101" s="54"/>
      <c r="G101" s="74" t="s">
        <v>9</v>
      </c>
      <c r="H101" s="72">
        <v>44603</v>
      </c>
      <c r="I101" s="72">
        <v>40954</v>
      </c>
      <c r="J101" s="72">
        <f>Tabla1[[#This Row],[FECHA DE CIRUGIA ]]+1</f>
        <v>40955</v>
      </c>
      <c r="K101" s="53" t="s">
        <v>107</v>
      </c>
      <c r="L101" s="54" t="s">
        <v>379</v>
      </c>
      <c r="M101" s="72"/>
    </row>
    <row r="102" spans="1:13" x14ac:dyDescent="0.25">
      <c r="A102" s="73" t="s">
        <v>226</v>
      </c>
      <c r="B102" s="54" t="s">
        <v>10</v>
      </c>
      <c r="C102" s="54" t="s">
        <v>345</v>
      </c>
      <c r="D102" s="54" t="s">
        <v>346</v>
      </c>
      <c r="E102" s="54"/>
      <c r="F102" s="54"/>
      <c r="G102" s="74" t="s">
        <v>9</v>
      </c>
      <c r="H102" s="72">
        <v>44603</v>
      </c>
      <c r="I102" s="72">
        <f>Tabla1[[#This Row],[FECHA DE ENTREGA ]]+1</f>
        <v>44604</v>
      </c>
      <c r="J102" s="72">
        <f>Tabla1[[#This Row],[FECHA DE CIRUGIA ]]+1</f>
        <v>44605</v>
      </c>
      <c r="K102" s="53" t="s">
        <v>107</v>
      </c>
      <c r="L102" s="64" t="s">
        <v>363</v>
      </c>
      <c r="M102" s="72"/>
    </row>
    <row r="103" spans="1:13" x14ac:dyDescent="0.25">
      <c r="A103" s="73" t="s">
        <v>227</v>
      </c>
      <c r="B103" s="54" t="s">
        <v>19</v>
      </c>
      <c r="C103" s="54" t="s">
        <v>230</v>
      </c>
      <c r="D103" s="54" t="s">
        <v>353</v>
      </c>
      <c r="E103" s="54"/>
      <c r="F103" s="54"/>
      <c r="G103" s="74" t="s">
        <v>9</v>
      </c>
      <c r="H103" s="72">
        <v>44603</v>
      </c>
      <c r="I103" s="72">
        <f>Tabla1[[#This Row],[FECHA DE ENTREGA ]]+1</f>
        <v>44604</v>
      </c>
      <c r="J103" s="72">
        <f>Tabla1[[#This Row],[FECHA DE CIRUGIA ]]+2</f>
        <v>44606</v>
      </c>
      <c r="K103" s="53" t="s">
        <v>107</v>
      </c>
      <c r="L103" s="54" t="s">
        <v>355</v>
      </c>
      <c r="M103" s="72"/>
    </row>
    <row r="104" spans="1:13" x14ac:dyDescent="0.25">
      <c r="A104" s="73" t="s">
        <v>228</v>
      </c>
      <c r="B104" s="54" t="s">
        <v>10</v>
      </c>
      <c r="C104" s="54" t="s">
        <v>26</v>
      </c>
      <c r="D104" s="54" t="s">
        <v>347</v>
      </c>
      <c r="E104" s="54"/>
      <c r="F104" s="54"/>
      <c r="G104" s="74" t="s">
        <v>9</v>
      </c>
      <c r="H104" s="72">
        <v>44604</v>
      </c>
      <c r="I104" s="72">
        <v>44604</v>
      </c>
      <c r="J104" s="72">
        <f>Tabla1[[#This Row],[FECHA DE CIRUGIA ]]+2</f>
        <v>44606</v>
      </c>
      <c r="K104" s="53" t="s">
        <v>107</v>
      </c>
      <c r="L104" s="64" t="s">
        <v>362</v>
      </c>
      <c r="M104" s="72"/>
    </row>
    <row r="105" spans="1:13" x14ac:dyDescent="0.25">
      <c r="A105" s="73" t="s">
        <v>229</v>
      </c>
      <c r="B105" s="54" t="s">
        <v>8</v>
      </c>
      <c r="C105" s="54" t="s">
        <v>348</v>
      </c>
      <c r="D105" s="54" t="s">
        <v>349</v>
      </c>
      <c r="E105" s="54"/>
      <c r="F105" s="54"/>
      <c r="G105" s="74" t="s">
        <v>9</v>
      </c>
      <c r="H105" s="72">
        <v>44604</v>
      </c>
      <c r="I105" s="72">
        <f>Tabla1[[#This Row],[FECHA DE ENTREGA ]]+2</f>
        <v>44606</v>
      </c>
      <c r="J105" s="72">
        <f>Tabla1[[#This Row],[FECHA DE CIRUGIA ]]+1</f>
        <v>44607</v>
      </c>
      <c r="K105" s="53" t="s">
        <v>17</v>
      </c>
      <c r="L105" s="54" t="s">
        <v>14</v>
      </c>
      <c r="M105" s="72"/>
    </row>
    <row r="106" spans="1:13" x14ac:dyDescent="0.25">
      <c r="A106" s="73" t="s">
        <v>350</v>
      </c>
      <c r="B106" s="54" t="s">
        <v>8</v>
      </c>
      <c r="C106" s="54" t="s">
        <v>351</v>
      </c>
      <c r="D106" s="54" t="s">
        <v>354</v>
      </c>
      <c r="E106" s="54"/>
      <c r="F106" s="54"/>
      <c r="G106" s="74" t="s">
        <v>9</v>
      </c>
      <c r="H106" s="72">
        <v>44604</v>
      </c>
      <c r="I106" s="72">
        <f>Tabla1[[#This Row],[FECHA DE ENTREGA ]]+2</f>
        <v>44606</v>
      </c>
      <c r="J106" s="72">
        <f>Tabla1[[#This Row],[FECHA DE CIRUGIA ]]+1</f>
        <v>44607</v>
      </c>
      <c r="K106" s="53" t="s">
        <v>17</v>
      </c>
      <c r="L106" s="54" t="s">
        <v>14</v>
      </c>
      <c r="M106" s="72"/>
    </row>
    <row r="107" spans="1:13" x14ac:dyDescent="0.25">
      <c r="A107" s="73" t="s">
        <v>364</v>
      </c>
      <c r="B107" s="54" t="s">
        <v>10</v>
      </c>
      <c r="C107" s="54" t="s">
        <v>23</v>
      </c>
      <c r="D107" s="54" t="s">
        <v>380</v>
      </c>
      <c r="E107" s="54"/>
      <c r="F107" s="54"/>
      <c r="G107" s="74" t="s">
        <v>9</v>
      </c>
      <c r="H107" s="72">
        <v>44606</v>
      </c>
      <c r="I107" s="72">
        <f>Tabla1[[#This Row],[FECHA DE ENTREGA ]]+1</f>
        <v>44607</v>
      </c>
      <c r="J107" s="72">
        <f>Tabla1[[#This Row],[FECHA DE CIRUGIA ]]+1</f>
        <v>44608</v>
      </c>
      <c r="K107" s="53" t="s">
        <v>107</v>
      </c>
      <c r="L107" s="54" t="s">
        <v>386</v>
      </c>
      <c r="M107" s="72"/>
    </row>
    <row r="108" spans="1:13" x14ac:dyDescent="0.25">
      <c r="A108" s="73" t="s">
        <v>365</v>
      </c>
      <c r="B108" s="54" t="s">
        <v>10</v>
      </c>
      <c r="C108" s="54" t="s">
        <v>23</v>
      </c>
      <c r="D108" s="54" t="s">
        <v>381</v>
      </c>
      <c r="E108" s="54"/>
      <c r="F108" s="54"/>
      <c r="G108" s="74" t="s">
        <v>9</v>
      </c>
      <c r="H108" s="72">
        <v>44606</v>
      </c>
      <c r="I108" s="72">
        <f>Tabla1[[#This Row],[FECHA DE ENTREGA ]]+1</f>
        <v>44607</v>
      </c>
      <c r="J108" s="72">
        <f>Tabla1[[#This Row],[FECHA DE CIRUGIA ]]+1</f>
        <v>44608</v>
      </c>
      <c r="K108" s="53" t="s">
        <v>107</v>
      </c>
      <c r="L108" s="54" t="s">
        <v>109</v>
      </c>
      <c r="M108" s="72"/>
    </row>
    <row r="109" spans="1:13" x14ac:dyDescent="0.25">
      <c r="A109" s="73" t="s">
        <v>366</v>
      </c>
      <c r="B109" s="54" t="s">
        <v>8</v>
      </c>
      <c r="C109" s="54" t="s">
        <v>27</v>
      </c>
      <c r="D109" s="54" t="s">
        <v>376</v>
      </c>
      <c r="E109" s="54"/>
      <c r="F109" s="54"/>
      <c r="G109" s="74" t="s">
        <v>9</v>
      </c>
      <c r="H109" s="72">
        <v>44607</v>
      </c>
      <c r="I109" s="72">
        <f>Tabla1[[#This Row],[FECHA DE ENTREGA ]]+1</f>
        <v>44608</v>
      </c>
      <c r="J109" s="72">
        <f>Tabla1[[#This Row],[FECHA DE CIRUGIA ]]+1</f>
        <v>44609</v>
      </c>
      <c r="K109" s="53" t="s">
        <v>107</v>
      </c>
      <c r="L109" s="54" t="s">
        <v>450</v>
      </c>
      <c r="M109" s="72"/>
    </row>
    <row r="110" spans="1:13" x14ac:dyDescent="0.25">
      <c r="A110" s="73" t="s">
        <v>367</v>
      </c>
      <c r="B110" s="54" t="s">
        <v>10</v>
      </c>
      <c r="C110" s="54" t="s">
        <v>23</v>
      </c>
      <c r="D110" s="54" t="s">
        <v>377</v>
      </c>
      <c r="E110" s="54"/>
      <c r="F110" s="54"/>
      <c r="G110" s="74" t="s">
        <v>9</v>
      </c>
      <c r="H110" s="72">
        <v>44608</v>
      </c>
      <c r="I110" s="72">
        <f>Tabla1[[#This Row],[FECHA DE ENTREGA ]]</f>
        <v>44608</v>
      </c>
      <c r="J110" s="72">
        <f>Tabla1[[#This Row],[FECHA DE CIRUGIA ]]+1</f>
        <v>44609</v>
      </c>
      <c r="K110" s="53" t="s">
        <v>389</v>
      </c>
      <c r="L110" s="54" t="s">
        <v>14</v>
      </c>
      <c r="M110" s="72"/>
    </row>
    <row r="111" spans="1:13" x14ac:dyDescent="0.25">
      <c r="A111" s="73" t="s">
        <v>368</v>
      </c>
      <c r="B111" s="54" t="s">
        <v>11</v>
      </c>
      <c r="C111" s="54" t="s">
        <v>169</v>
      </c>
      <c r="D111" s="54" t="s">
        <v>378</v>
      </c>
      <c r="E111" s="54"/>
      <c r="F111" s="54"/>
      <c r="G111" s="74" t="s">
        <v>9</v>
      </c>
      <c r="H111" s="72">
        <v>44608</v>
      </c>
      <c r="I111" s="72">
        <f>Tabla1[[#This Row],[FECHA DE ENTREGA ]]</f>
        <v>44608</v>
      </c>
      <c r="J111" s="72">
        <f>Tabla1[[#This Row],[FECHA DE CIRUGIA ]]+1</f>
        <v>44609</v>
      </c>
      <c r="K111" s="53" t="s">
        <v>107</v>
      </c>
      <c r="L111" s="54" t="s">
        <v>390</v>
      </c>
      <c r="M111" s="72"/>
    </row>
    <row r="112" spans="1:13" x14ac:dyDescent="0.25">
      <c r="A112" s="73" t="s">
        <v>369</v>
      </c>
      <c r="B112" s="54" t="s">
        <v>8</v>
      </c>
      <c r="C112" s="54" t="s">
        <v>25</v>
      </c>
      <c r="D112" s="54" t="s">
        <v>142</v>
      </c>
      <c r="E112" s="54"/>
      <c r="F112" s="54"/>
      <c r="G112" s="74" t="s">
        <v>9</v>
      </c>
      <c r="H112" s="72">
        <v>44608</v>
      </c>
      <c r="I112" s="72">
        <f>Tabla1[[#This Row],[FECHA DE ENTREGA ]]+4</f>
        <v>44612</v>
      </c>
      <c r="J112" s="72">
        <f>Tabla1[[#This Row],[FECHA DE CIRUGIA ]]+1</f>
        <v>44613</v>
      </c>
      <c r="K112" s="53" t="s">
        <v>107</v>
      </c>
      <c r="L112" s="64" t="s">
        <v>445</v>
      </c>
      <c r="M112" s="72"/>
    </row>
    <row r="113" spans="1:13" x14ac:dyDescent="0.25">
      <c r="A113" s="73" t="s">
        <v>370</v>
      </c>
      <c r="B113" s="54" t="s">
        <v>19</v>
      </c>
      <c r="C113" s="54" t="s">
        <v>151</v>
      </c>
      <c r="D113" s="79" t="s">
        <v>384</v>
      </c>
      <c r="E113" s="79"/>
      <c r="F113" s="79"/>
      <c r="G113" s="74" t="s">
        <v>9</v>
      </c>
      <c r="H113" s="72">
        <v>44608</v>
      </c>
      <c r="I113" s="72">
        <f>Tabla1[[#This Row],[FECHA DE ENTREGA ]]+1</f>
        <v>44609</v>
      </c>
      <c r="J113" s="72">
        <f>Tabla1[[#This Row],[FECHA DE CIRUGIA ]]+1</f>
        <v>44610</v>
      </c>
      <c r="K113" s="53" t="s">
        <v>107</v>
      </c>
      <c r="L113" s="54" t="s">
        <v>109</v>
      </c>
      <c r="M113" s="72"/>
    </row>
    <row r="114" spans="1:13" x14ac:dyDescent="0.25">
      <c r="A114" s="73" t="s">
        <v>371</v>
      </c>
      <c r="B114" s="54" t="s">
        <v>19</v>
      </c>
      <c r="C114" s="54" t="s">
        <v>151</v>
      </c>
      <c r="D114" s="54" t="s">
        <v>385</v>
      </c>
      <c r="E114" s="54"/>
      <c r="F114" s="54"/>
      <c r="G114" s="74" t="s">
        <v>9</v>
      </c>
      <c r="H114" s="72">
        <v>44608</v>
      </c>
      <c r="I114" s="72">
        <f>Tabla1[[#This Row],[FECHA DE ENTREGA ]]</f>
        <v>44608</v>
      </c>
      <c r="J114" s="72">
        <f>Tabla1[[#This Row],[FECHA DE CIRUGIA ]]+1</f>
        <v>44609</v>
      </c>
      <c r="K114" s="53" t="s">
        <v>30</v>
      </c>
      <c r="L114" s="54" t="s">
        <v>30</v>
      </c>
      <c r="M114" s="72"/>
    </row>
    <row r="115" spans="1:13" x14ac:dyDescent="0.25">
      <c r="A115" s="73" t="s">
        <v>372</v>
      </c>
      <c r="B115" s="54" t="s">
        <v>149</v>
      </c>
      <c r="C115" s="54" t="s">
        <v>25</v>
      </c>
      <c r="D115" s="54" t="s">
        <v>387</v>
      </c>
      <c r="E115" s="54"/>
      <c r="F115" s="54"/>
      <c r="G115" s="74" t="s">
        <v>9</v>
      </c>
      <c r="H115" s="72">
        <v>44610</v>
      </c>
      <c r="I115" s="72">
        <f>Tabla1[[#This Row],[FECHA DE ENTREGA ]]</f>
        <v>44610</v>
      </c>
      <c r="J115" s="72">
        <f>Tabla1[[#This Row],[FECHA DE CIRUGIA ]]+1</f>
        <v>44611</v>
      </c>
      <c r="K115" s="53" t="s">
        <v>107</v>
      </c>
      <c r="L115" s="54" t="s">
        <v>108</v>
      </c>
      <c r="M115" s="72"/>
    </row>
    <row r="116" spans="1:13" x14ac:dyDescent="0.25">
      <c r="A116" s="73" t="s">
        <v>373</v>
      </c>
      <c r="B116" s="54" t="s">
        <v>149</v>
      </c>
      <c r="C116" s="54" t="s">
        <v>25</v>
      </c>
      <c r="D116" s="54" t="s">
        <v>388</v>
      </c>
      <c r="E116" s="54"/>
      <c r="F116" s="54"/>
      <c r="G116" s="74" t="s">
        <v>9</v>
      </c>
      <c r="H116" s="72">
        <v>44610</v>
      </c>
      <c r="I116" s="72">
        <f>Tabla1[[#This Row],[FECHA DE ENTREGA ]]</f>
        <v>44610</v>
      </c>
      <c r="J116" s="72">
        <f>Tabla1[[#This Row],[FECHA DE CIRUGIA ]]+1</f>
        <v>44611</v>
      </c>
      <c r="K116" s="53" t="s">
        <v>107</v>
      </c>
      <c r="L116" s="54" t="s">
        <v>429</v>
      </c>
      <c r="M116" s="72"/>
    </row>
    <row r="117" spans="1:13" x14ac:dyDescent="0.25">
      <c r="A117" s="73" t="s">
        <v>374</v>
      </c>
      <c r="B117" s="54" t="s">
        <v>21</v>
      </c>
      <c r="C117" s="54" t="s">
        <v>392</v>
      </c>
      <c r="D117" s="52" t="s">
        <v>65</v>
      </c>
      <c r="E117" s="52"/>
      <c r="F117" s="52"/>
      <c r="G117" s="74" t="s">
        <v>9</v>
      </c>
      <c r="H117" s="72">
        <v>44609</v>
      </c>
      <c r="I117" s="72">
        <f>Tabla1[[#This Row],[FECHA DE ENTREGA ]]+1</f>
        <v>44610</v>
      </c>
      <c r="J117" s="72">
        <f>Tabla1[[#This Row],[FECHA DE CIRUGIA ]]+1</f>
        <v>44611</v>
      </c>
      <c r="K117" s="53" t="s">
        <v>107</v>
      </c>
      <c r="L117" s="64" t="s">
        <v>432</v>
      </c>
      <c r="M117" s="72"/>
    </row>
    <row r="118" spans="1:13" x14ac:dyDescent="0.25">
      <c r="A118" s="73" t="s">
        <v>375</v>
      </c>
      <c r="B118" s="54" t="s">
        <v>149</v>
      </c>
      <c r="C118" s="54" t="s">
        <v>153</v>
      </c>
      <c r="D118" s="54" t="s">
        <v>391</v>
      </c>
      <c r="E118" s="54"/>
      <c r="F118" s="54"/>
      <c r="G118" s="54" t="s">
        <v>18</v>
      </c>
      <c r="H118" s="72">
        <v>44610</v>
      </c>
      <c r="I118" s="72">
        <f>Tabla1[[#This Row],[FECHA DE ENTREGA ]]+2</f>
        <v>44612</v>
      </c>
      <c r="J118" s="72">
        <f>Tabla1[[#This Row],[FECHA DE CIRUGIA ]]+1</f>
        <v>44613</v>
      </c>
      <c r="K118" s="53" t="s">
        <v>107</v>
      </c>
      <c r="L118" s="54" t="s">
        <v>147</v>
      </c>
      <c r="M118" s="72"/>
    </row>
    <row r="119" spans="1:13" x14ac:dyDescent="0.25">
      <c r="A119" s="70" t="s">
        <v>393</v>
      </c>
      <c r="B119" s="71" t="s">
        <v>8</v>
      </c>
      <c r="C119" s="71" t="s">
        <v>394</v>
      </c>
      <c r="D119" s="71" t="s">
        <v>395</v>
      </c>
      <c r="E119" s="71"/>
      <c r="F119" s="71"/>
      <c r="G119" s="71" t="s">
        <v>394</v>
      </c>
      <c r="H119" s="80">
        <v>44610</v>
      </c>
      <c r="I119" s="80">
        <f>Tabla1[[#This Row],[FECHA DE ENTREGA ]]</f>
        <v>44610</v>
      </c>
      <c r="J119" s="80">
        <f>I119+1</f>
        <v>44611</v>
      </c>
      <c r="K119" s="70" t="s">
        <v>107</v>
      </c>
      <c r="L119" s="71" t="s">
        <v>527</v>
      </c>
      <c r="M119" s="72"/>
    </row>
    <row r="120" spans="1:13" x14ac:dyDescent="0.25">
      <c r="A120" s="73" t="s">
        <v>402</v>
      </c>
      <c r="B120" s="60" t="s">
        <v>149</v>
      </c>
      <c r="C120" s="60" t="s">
        <v>153</v>
      </c>
      <c r="D120" s="60" t="s">
        <v>403</v>
      </c>
      <c r="E120" s="60"/>
      <c r="F120" s="60"/>
      <c r="G120" s="74" t="s">
        <v>9</v>
      </c>
      <c r="H120" s="72">
        <v>44610</v>
      </c>
      <c r="I120" s="76">
        <f>Tabla1[[#This Row],[FECHA DE ENTREGA ]]+1</f>
        <v>44611</v>
      </c>
      <c r="J120" s="76">
        <f>I120+1</f>
        <v>44612</v>
      </c>
      <c r="K120" s="59" t="s">
        <v>107</v>
      </c>
      <c r="L120" s="64" t="s">
        <v>430</v>
      </c>
      <c r="M120" s="72"/>
    </row>
    <row r="121" spans="1:13" x14ac:dyDescent="0.25">
      <c r="A121" s="73" t="s">
        <v>396</v>
      </c>
      <c r="B121" s="54" t="s">
        <v>11</v>
      </c>
      <c r="C121" s="54" t="s">
        <v>264</v>
      </c>
      <c r="D121" s="54" t="s">
        <v>435</v>
      </c>
      <c r="E121" s="54"/>
      <c r="F121" s="54"/>
      <c r="G121" s="74" t="s">
        <v>9</v>
      </c>
      <c r="H121" s="72">
        <v>44610</v>
      </c>
      <c r="I121" s="72">
        <f>Tabla1[[#This Row],[FECHA DE ENTREGA ]]+1</f>
        <v>44611</v>
      </c>
      <c r="J121" s="72">
        <f>I121+1</f>
        <v>44612</v>
      </c>
      <c r="K121" s="53" t="s">
        <v>17</v>
      </c>
      <c r="L121" s="54" t="s">
        <v>14</v>
      </c>
      <c r="M121" s="72"/>
    </row>
    <row r="122" spans="1:13" x14ac:dyDescent="0.25">
      <c r="A122" s="73" t="s">
        <v>397</v>
      </c>
      <c r="B122" s="54" t="s">
        <v>398</v>
      </c>
      <c r="C122" s="54" t="s">
        <v>24</v>
      </c>
      <c r="D122" s="54" t="s">
        <v>433</v>
      </c>
      <c r="E122" s="54"/>
      <c r="F122" s="54"/>
      <c r="G122" s="74" t="s">
        <v>9</v>
      </c>
      <c r="H122" s="72">
        <v>44610</v>
      </c>
      <c r="I122" s="72">
        <f>Tabla1[[#This Row],[FECHA DE ENTREGA ]]+2</f>
        <v>44612</v>
      </c>
      <c r="J122" s="72">
        <f>I122+1</f>
        <v>44613</v>
      </c>
      <c r="K122" s="53" t="s">
        <v>461</v>
      </c>
      <c r="L122" s="54" t="s">
        <v>462</v>
      </c>
      <c r="M122" s="72"/>
    </row>
    <row r="123" spans="1:13" x14ac:dyDescent="0.25">
      <c r="A123" s="73" t="s">
        <v>399</v>
      </c>
      <c r="B123" s="54" t="s">
        <v>400</v>
      </c>
      <c r="C123" s="54" t="s">
        <v>401</v>
      </c>
      <c r="D123" s="54" t="s">
        <v>401</v>
      </c>
      <c r="E123" s="54"/>
      <c r="F123" s="54"/>
      <c r="G123" s="74" t="s">
        <v>9</v>
      </c>
      <c r="H123" s="72">
        <v>44610</v>
      </c>
      <c r="I123" s="72">
        <f>Tabla1[[#This Row],[FECHA DE ENTREGA ]]+2</f>
        <v>44612</v>
      </c>
      <c r="J123" s="72">
        <f>I123+1</f>
        <v>44613</v>
      </c>
      <c r="K123" s="53" t="s">
        <v>107</v>
      </c>
      <c r="L123" s="54" t="s">
        <v>446</v>
      </c>
      <c r="M123" s="72"/>
    </row>
    <row r="124" spans="1:13" x14ac:dyDescent="0.25">
      <c r="A124" s="73" t="s">
        <v>404</v>
      </c>
      <c r="B124" s="54" t="s">
        <v>19</v>
      </c>
      <c r="C124" s="54" t="s">
        <v>151</v>
      </c>
      <c r="D124" s="54" t="s">
        <v>427</v>
      </c>
      <c r="E124" s="54"/>
      <c r="F124" s="54"/>
      <c r="G124" s="74" t="s">
        <v>9</v>
      </c>
      <c r="H124" s="72">
        <v>44611</v>
      </c>
      <c r="I124" s="72">
        <f>Tabla1[[#This Row],[FECHA DE ENTREGA ]]+1</f>
        <v>44612</v>
      </c>
      <c r="J124" s="72">
        <f t="shared" ref="J124:J129" si="1">I124+1</f>
        <v>44613</v>
      </c>
      <c r="K124" s="53" t="s">
        <v>107</v>
      </c>
      <c r="L124" s="54" t="s">
        <v>447</v>
      </c>
      <c r="M124" s="72"/>
    </row>
    <row r="125" spans="1:13" x14ac:dyDescent="0.25">
      <c r="A125" s="73" t="s">
        <v>405</v>
      </c>
      <c r="B125" s="54" t="s">
        <v>149</v>
      </c>
      <c r="C125" s="54" t="s">
        <v>153</v>
      </c>
      <c r="D125" s="54" t="s">
        <v>431</v>
      </c>
      <c r="E125" s="54"/>
      <c r="F125" s="54"/>
      <c r="G125" s="74" t="s">
        <v>9</v>
      </c>
      <c r="H125" s="72">
        <v>44611</v>
      </c>
      <c r="I125" s="72">
        <f>Tabla1[[#This Row],[FECHA DE ENTREGA ]]+1</f>
        <v>44612</v>
      </c>
      <c r="J125" s="72">
        <f>Tabla1[[#This Row],[FECHA DE CIRUGIA ]]+1</f>
        <v>44613</v>
      </c>
      <c r="K125" s="53" t="s">
        <v>107</v>
      </c>
      <c r="L125" s="64" t="s">
        <v>448</v>
      </c>
      <c r="M125" s="72" t="s">
        <v>451</v>
      </c>
    </row>
    <row r="126" spans="1:13" x14ac:dyDescent="0.25">
      <c r="A126" s="73" t="s">
        <v>406</v>
      </c>
      <c r="B126" s="54" t="s">
        <v>8</v>
      </c>
      <c r="C126" s="54" t="s">
        <v>351</v>
      </c>
      <c r="D126" s="54" t="s">
        <v>428</v>
      </c>
      <c r="E126" s="54"/>
      <c r="F126" s="54"/>
      <c r="G126" s="74" t="s">
        <v>9</v>
      </c>
      <c r="H126" s="72">
        <v>44611</v>
      </c>
      <c r="I126" s="72">
        <f>Tabla1[[#This Row],[FECHA DE ENTREGA ]]+2</f>
        <v>44613</v>
      </c>
      <c r="J126" s="72">
        <f t="shared" si="1"/>
        <v>44614</v>
      </c>
      <c r="K126" s="53" t="s">
        <v>17</v>
      </c>
      <c r="L126" s="54" t="s">
        <v>14</v>
      </c>
      <c r="M126" s="72"/>
    </row>
    <row r="127" spans="1:13" x14ac:dyDescent="0.25">
      <c r="A127" s="73" t="s">
        <v>407</v>
      </c>
      <c r="B127" s="54" t="s">
        <v>10</v>
      </c>
      <c r="C127" s="54" t="s">
        <v>153</v>
      </c>
      <c r="D127" s="54" t="s">
        <v>434</v>
      </c>
      <c r="E127" s="54"/>
      <c r="F127" s="54"/>
      <c r="G127" s="74" t="s">
        <v>9</v>
      </c>
      <c r="H127" s="72">
        <v>44611</v>
      </c>
      <c r="I127" s="72">
        <f>Tabla1[[#This Row],[FECHA DE ENTREGA ]]</f>
        <v>44611</v>
      </c>
      <c r="J127" s="72">
        <f t="shared" si="1"/>
        <v>44612</v>
      </c>
      <c r="K127" s="53" t="s">
        <v>18</v>
      </c>
      <c r="L127" s="54" t="s">
        <v>459</v>
      </c>
      <c r="M127" s="72"/>
    </row>
    <row r="128" spans="1:13" x14ac:dyDescent="0.25">
      <c r="A128" s="73" t="s">
        <v>408</v>
      </c>
      <c r="B128" s="54" t="s">
        <v>21</v>
      </c>
      <c r="C128" s="54" t="s">
        <v>392</v>
      </c>
      <c r="D128" s="54" t="s">
        <v>436</v>
      </c>
      <c r="E128" s="54"/>
      <c r="F128" s="54"/>
      <c r="G128" s="74" t="s">
        <v>9</v>
      </c>
      <c r="H128" s="72">
        <v>44612</v>
      </c>
      <c r="I128" s="72">
        <f>Tabla1[[#This Row],[FECHA DE ENTREGA ]]</f>
        <v>44612</v>
      </c>
      <c r="J128" s="72">
        <f t="shared" si="1"/>
        <v>44613</v>
      </c>
      <c r="K128" s="53" t="s">
        <v>107</v>
      </c>
      <c r="L128" s="54" t="s">
        <v>441</v>
      </c>
      <c r="M128" s="72"/>
    </row>
    <row r="129" spans="1:13" x14ac:dyDescent="0.25">
      <c r="A129" s="73" t="s">
        <v>409</v>
      </c>
      <c r="B129" s="54" t="s">
        <v>15</v>
      </c>
      <c r="C129" s="54" t="s">
        <v>16</v>
      </c>
      <c r="D129" s="52" t="s">
        <v>65</v>
      </c>
      <c r="E129" s="52"/>
      <c r="F129" s="52"/>
      <c r="G129" s="74" t="s">
        <v>9</v>
      </c>
      <c r="H129" s="72">
        <v>44613</v>
      </c>
      <c r="I129" s="72">
        <f>Tabla1[[#This Row],[FECHA DE ENTREGA ]]</f>
        <v>44613</v>
      </c>
      <c r="J129" s="72">
        <f t="shared" si="1"/>
        <v>44614</v>
      </c>
      <c r="K129" s="53" t="s">
        <v>107</v>
      </c>
      <c r="L129" s="54" t="s">
        <v>108</v>
      </c>
      <c r="M129" s="72"/>
    </row>
    <row r="130" spans="1:13" x14ac:dyDescent="0.25">
      <c r="A130" s="73" t="s">
        <v>410</v>
      </c>
      <c r="B130" s="54" t="s">
        <v>8</v>
      </c>
      <c r="C130" s="54" t="s">
        <v>111</v>
      </c>
      <c r="D130" s="54" t="s">
        <v>437</v>
      </c>
      <c r="E130" s="54"/>
      <c r="F130" s="54"/>
      <c r="G130" s="74" t="s">
        <v>9</v>
      </c>
      <c r="H130" s="72">
        <v>44613</v>
      </c>
      <c r="I130" s="72">
        <v>44614</v>
      </c>
      <c r="J130" s="72">
        <f>Tabla1[[#This Row],[FECHA DE CIRUGIA ]]+1</f>
        <v>44615</v>
      </c>
      <c r="K130" s="53" t="s">
        <v>107</v>
      </c>
      <c r="L130" s="54" t="s">
        <v>115</v>
      </c>
      <c r="M130" s="72"/>
    </row>
    <row r="131" spans="1:13" x14ac:dyDescent="0.25">
      <c r="A131" s="73" t="s">
        <v>411</v>
      </c>
      <c r="B131" s="54" t="s">
        <v>8</v>
      </c>
      <c r="C131" s="54" t="s">
        <v>22</v>
      </c>
      <c r="D131" s="54" t="s">
        <v>438</v>
      </c>
      <c r="E131" s="54"/>
      <c r="F131" s="54"/>
      <c r="G131" s="74" t="s">
        <v>9</v>
      </c>
      <c r="H131" s="72">
        <v>44613</v>
      </c>
      <c r="I131" s="72">
        <v>44614</v>
      </c>
      <c r="J131" s="72">
        <f>Tabla1[[#This Row],[FECHA DE CIRUGIA ]]+1</f>
        <v>44615</v>
      </c>
      <c r="K131" s="53" t="s">
        <v>452</v>
      </c>
      <c r="L131" s="54" t="s">
        <v>453</v>
      </c>
      <c r="M131" s="72"/>
    </row>
    <row r="132" spans="1:13" x14ac:dyDescent="0.25">
      <c r="A132" s="73" t="s">
        <v>412</v>
      </c>
      <c r="B132" s="54" t="s">
        <v>10</v>
      </c>
      <c r="C132" s="54" t="s">
        <v>85</v>
      </c>
      <c r="D132" s="81" t="s">
        <v>439</v>
      </c>
      <c r="E132" s="81"/>
      <c r="F132" s="81"/>
      <c r="G132" s="74" t="s">
        <v>9</v>
      </c>
      <c r="H132" s="72">
        <v>44613</v>
      </c>
      <c r="I132" s="72">
        <f>Tabla1[[#This Row],[FECHA DE ENTREGA ]]</f>
        <v>44613</v>
      </c>
      <c r="J132" s="72">
        <f>Tabla1[[#This Row],[FECHA DE CIRUGIA ]]+1</f>
        <v>44614</v>
      </c>
      <c r="K132" s="53" t="s">
        <v>107</v>
      </c>
      <c r="L132" s="54" t="s">
        <v>449</v>
      </c>
      <c r="M132" s="72"/>
    </row>
    <row r="133" spans="1:13" x14ac:dyDescent="0.25">
      <c r="A133" s="73" t="s">
        <v>413</v>
      </c>
      <c r="B133" s="54" t="s">
        <v>298</v>
      </c>
      <c r="C133" s="54" t="s">
        <v>299</v>
      </c>
      <c r="D133" s="54" t="s">
        <v>442</v>
      </c>
      <c r="E133" s="54"/>
      <c r="F133" s="54"/>
      <c r="G133" s="74" t="s">
        <v>9</v>
      </c>
      <c r="H133" s="72">
        <v>44613</v>
      </c>
      <c r="I133" s="72">
        <f>Tabla1[[#This Row],[FECHA DE ENTREGA ]]+1</f>
        <v>44614</v>
      </c>
      <c r="J133" s="72">
        <f>Tabla1[[#This Row],[FECHA DE CIRUGIA ]]</f>
        <v>44614</v>
      </c>
      <c r="K133" s="53" t="s">
        <v>107</v>
      </c>
      <c r="L133" s="54" t="s">
        <v>164</v>
      </c>
      <c r="M133" s="72"/>
    </row>
    <row r="134" spans="1:13" x14ac:dyDescent="0.25">
      <c r="A134" s="73" t="s">
        <v>414</v>
      </c>
      <c r="B134" s="54" t="s">
        <v>298</v>
      </c>
      <c r="C134" s="54" t="s">
        <v>299</v>
      </c>
      <c r="D134" s="54" t="s">
        <v>440</v>
      </c>
      <c r="E134" s="54"/>
      <c r="F134" s="54"/>
      <c r="G134" s="74" t="s">
        <v>9</v>
      </c>
      <c r="H134" s="72">
        <v>44613</v>
      </c>
      <c r="I134" s="72">
        <f>Tabla1[[#This Row],[FECHA DE ENTREGA ]]+1</f>
        <v>44614</v>
      </c>
      <c r="J134" s="72">
        <f>Tabla1[[#This Row],[FECHA DE CIRUGIA ]]</f>
        <v>44614</v>
      </c>
      <c r="K134" s="53" t="s">
        <v>107</v>
      </c>
      <c r="L134" s="54" t="s">
        <v>109</v>
      </c>
      <c r="M134" s="72"/>
    </row>
    <row r="135" spans="1:13" x14ac:dyDescent="0.25">
      <c r="A135" s="73" t="s">
        <v>415</v>
      </c>
      <c r="B135" s="54" t="s">
        <v>11</v>
      </c>
      <c r="C135" s="54" t="s">
        <v>443</v>
      </c>
      <c r="D135" s="54" t="s">
        <v>444</v>
      </c>
      <c r="E135" s="54"/>
      <c r="F135" s="54"/>
      <c r="G135" s="74" t="s">
        <v>9</v>
      </c>
      <c r="H135" s="72">
        <v>44613</v>
      </c>
      <c r="I135" s="72">
        <f>Tabla1[[#This Row],[FECHA DE ENTREGA ]]</f>
        <v>44613</v>
      </c>
      <c r="J135" s="72">
        <f>Tabla1[[#This Row],[FECHA DE CIRUGIA ]]+1</f>
        <v>44614</v>
      </c>
      <c r="K135" s="53" t="s">
        <v>107</v>
      </c>
      <c r="L135" s="54" t="s">
        <v>109</v>
      </c>
      <c r="M135" s="72"/>
    </row>
    <row r="136" spans="1:13" x14ac:dyDescent="0.25">
      <c r="A136" s="73" t="s">
        <v>416</v>
      </c>
      <c r="B136" s="54" t="s">
        <v>13</v>
      </c>
      <c r="C136" s="54" t="s">
        <v>454</v>
      </c>
      <c r="D136" s="54" t="s">
        <v>455</v>
      </c>
      <c r="E136" s="54"/>
      <c r="F136" s="54"/>
      <c r="G136" s="74" t="s">
        <v>9</v>
      </c>
      <c r="H136" s="72">
        <v>44614</v>
      </c>
      <c r="I136" s="72">
        <f>Tabla1[[#This Row],[FECHA DE ENTREGA ]]+1</f>
        <v>44615</v>
      </c>
      <c r="J136" s="72">
        <f>Tabla1[[#This Row],[FECHA DE CIRUGIA ]]+1</f>
        <v>44616</v>
      </c>
      <c r="K136" s="53" t="s">
        <v>17</v>
      </c>
      <c r="L136" s="54" t="s">
        <v>14</v>
      </c>
      <c r="M136" s="72"/>
    </row>
    <row r="137" spans="1:13" x14ac:dyDescent="0.25">
      <c r="A137" s="73" t="s">
        <v>417</v>
      </c>
      <c r="B137" s="54" t="s">
        <v>8</v>
      </c>
      <c r="C137" s="54" t="s">
        <v>168</v>
      </c>
      <c r="D137" s="54" t="s">
        <v>456</v>
      </c>
      <c r="E137" s="54"/>
      <c r="F137" s="54"/>
      <c r="G137" s="74" t="s">
        <v>9</v>
      </c>
      <c r="H137" s="72">
        <v>44614</v>
      </c>
      <c r="I137" s="72">
        <f>Tabla1[[#This Row],[FECHA DE ENTREGA ]]+1</f>
        <v>44615</v>
      </c>
      <c r="J137" s="72">
        <f>Tabla1[[#This Row],[FECHA DE CIRUGIA ]]+1</f>
        <v>44616</v>
      </c>
      <c r="K137" s="53" t="s">
        <v>107</v>
      </c>
      <c r="L137" s="54" t="s">
        <v>115</v>
      </c>
      <c r="M137" s="72"/>
    </row>
    <row r="138" spans="1:13" x14ac:dyDescent="0.25">
      <c r="A138" s="73" t="s">
        <v>418</v>
      </c>
      <c r="B138" s="54" t="s">
        <v>8</v>
      </c>
      <c r="C138" s="54" t="s">
        <v>296</v>
      </c>
      <c r="D138" s="54" t="s">
        <v>457</v>
      </c>
      <c r="E138" s="54"/>
      <c r="F138" s="54"/>
      <c r="G138" s="74" t="s">
        <v>9</v>
      </c>
      <c r="H138" s="72">
        <v>44614</v>
      </c>
      <c r="I138" s="72">
        <f>Tabla1[[#This Row],[FECHA DE ENTREGA ]]+1</f>
        <v>44615</v>
      </c>
      <c r="J138" s="72">
        <f>Tabla1[[#This Row],[FECHA DE CIRUGIA ]]+1</f>
        <v>44616</v>
      </c>
      <c r="K138" s="53" t="s">
        <v>107</v>
      </c>
      <c r="L138" s="54" t="s">
        <v>115</v>
      </c>
      <c r="M138" s="72"/>
    </row>
    <row r="139" spans="1:13" x14ac:dyDescent="0.25">
      <c r="A139" s="73" t="s">
        <v>419</v>
      </c>
      <c r="B139" s="54" t="s">
        <v>8</v>
      </c>
      <c r="C139" s="54" t="s">
        <v>25</v>
      </c>
      <c r="D139" s="54" t="s">
        <v>458</v>
      </c>
      <c r="E139" s="54"/>
      <c r="F139" s="54"/>
      <c r="G139" s="74" t="s">
        <v>9</v>
      </c>
      <c r="H139" s="72">
        <v>44614</v>
      </c>
      <c r="I139" s="72">
        <f>Tabla1[[#This Row],[FECHA DE ENTREGA ]]+1</f>
        <v>44615</v>
      </c>
      <c r="J139" s="72">
        <f>Tabla1[[#This Row],[FECHA DE CIRUGIA ]]+1</f>
        <v>44616</v>
      </c>
      <c r="K139" s="53" t="s">
        <v>107</v>
      </c>
      <c r="L139" s="54" t="s">
        <v>470</v>
      </c>
      <c r="M139" s="72"/>
    </row>
    <row r="140" spans="1:13" x14ac:dyDescent="0.25">
      <c r="A140" s="73" t="s">
        <v>420</v>
      </c>
      <c r="B140" s="54" t="s">
        <v>400</v>
      </c>
      <c r="C140" s="54" t="s">
        <v>460</v>
      </c>
      <c r="D140" s="54" t="s">
        <v>460</v>
      </c>
      <c r="E140" s="54"/>
      <c r="F140" s="54"/>
      <c r="G140" s="74" t="s">
        <v>9</v>
      </c>
      <c r="H140" s="72">
        <v>44616</v>
      </c>
      <c r="I140" s="72">
        <f>Tabla1[[#This Row],[FECHA DE ENTREGA ]]</f>
        <v>44616</v>
      </c>
      <c r="J140" s="72">
        <f>Tabla1[[#This Row],[FECHA DE CIRUGIA ]]+1</f>
        <v>44617</v>
      </c>
      <c r="K140" s="53"/>
      <c r="L140" s="54"/>
      <c r="M140" s="72"/>
    </row>
    <row r="141" spans="1:13" x14ac:dyDescent="0.25">
      <c r="A141" s="73" t="s">
        <v>421</v>
      </c>
      <c r="B141" s="54" t="s">
        <v>11</v>
      </c>
      <c r="C141" s="54" t="s">
        <v>153</v>
      </c>
      <c r="D141" s="54" t="s">
        <v>463</v>
      </c>
      <c r="E141" s="54"/>
      <c r="F141" s="54"/>
      <c r="G141" s="74" t="s">
        <v>9</v>
      </c>
      <c r="H141" s="72">
        <v>44618</v>
      </c>
      <c r="I141" s="72">
        <f>Tabla1[[#This Row],[FECHA DE ENTREGA ]]</f>
        <v>44618</v>
      </c>
      <c r="J141" s="72">
        <f>Tabla1[[#This Row],[FECHA DE CIRUGIA ]]+1</f>
        <v>44619</v>
      </c>
      <c r="K141" s="53" t="s">
        <v>107</v>
      </c>
      <c r="L141" s="54" t="s">
        <v>123</v>
      </c>
      <c r="M141" s="72"/>
    </row>
    <row r="142" spans="1:13" x14ac:dyDescent="0.25">
      <c r="A142" s="73" t="s">
        <v>422</v>
      </c>
      <c r="B142" s="54" t="s">
        <v>10</v>
      </c>
      <c r="C142" s="54" t="s">
        <v>465</v>
      </c>
      <c r="D142" s="54" t="s">
        <v>464</v>
      </c>
      <c r="E142" s="54"/>
      <c r="F142" s="54"/>
      <c r="G142" s="74" t="s">
        <v>9</v>
      </c>
      <c r="H142" s="72">
        <v>44617</v>
      </c>
      <c r="I142" s="72">
        <f>Tabla1[[#This Row],[FECHA DE ENTREGA ]]+1</f>
        <v>44618</v>
      </c>
      <c r="J142" s="72">
        <f>Tabla1[[#This Row],[FECHA DE CIRUGIA ]]+1</f>
        <v>44619</v>
      </c>
      <c r="K142" s="53" t="s">
        <v>107</v>
      </c>
      <c r="L142" s="54" t="s">
        <v>108</v>
      </c>
      <c r="M142" s="72"/>
    </row>
    <row r="143" spans="1:13" x14ac:dyDescent="0.25">
      <c r="A143" s="73" t="s">
        <v>423</v>
      </c>
      <c r="B143" s="54" t="s">
        <v>10</v>
      </c>
      <c r="C143" s="54" t="s">
        <v>465</v>
      </c>
      <c r="D143" s="54" t="s">
        <v>466</v>
      </c>
      <c r="E143" s="54"/>
      <c r="F143" s="54"/>
      <c r="G143" s="74" t="s">
        <v>9</v>
      </c>
      <c r="H143" s="72">
        <v>44617</v>
      </c>
      <c r="I143" s="72">
        <f>Tabla1[[#This Row],[FECHA DE ENTREGA ]]+1</f>
        <v>44618</v>
      </c>
      <c r="J143" s="72">
        <f>Tabla1[[#This Row],[FECHA DE CIRUGIA ]]+1</f>
        <v>44619</v>
      </c>
      <c r="K143" s="53" t="s">
        <v>107</v>
      </c>
      <c r="L143" s="54" t="s">
        <v>468</v>
      </c>
      <c r="M143" s="72"/>
    </row>
    <row r="144" spans="1:13" x14ac:dyDescent="0.25">
      <c r="A144" s="73" t="s">
        <v>424</v>
      </c>
      <c r="B144" s="54" t="s">
        <v>11</v>
      </c>
      <c r="C144" s="54" t="s">
        <v>169</v>
      </c>
      <c r="D144" s="54" t="s">
        <v>315</v>
      </c>
      <c r="E144" s="54"/>
      <c r="F144" s="54"/>
      <c r="G144" s="74" t="s">
        <v>9</v>
      </c>
      <c r="H144" s="72">
        <v>44618</v>
      </c>
      <c r="I144" s="72">
        <f>Tabla1[[#This Row],[FECHA DE ENTREGA ]]+1</f>
        <v>44619</v>
      </c>
      <c r="J144" s="72">
        <f>Tabla1[[#This Row],[FECHA DE CIRUGIA ]]</f>
        <v>44619</v>
      </c>
      <c r="K144" s="53" t="s">
        <v>18</v>
      </c>
      <c r="L144" s="54" t="s">
        <v>147</v>
      </c>
      <c r="M144" s="72"/>
    </row>
    <row r="145" spans="1:13" x14ac:dyDescent="0.25">
      <c r="A145" s="73" t="s">
        <v>425</v>
      </c>
      <c r="B145" s="54" t="s">
        <v>10</v>
      </c>
      <c r="C145" s="54" t="s">
        <v>23</v>
      </c>
      <c r="D145" s="54" t="s">
        <v>483</v>
      </c>
      <c r="E145" s="54"/>
      <c r="F145" s="54"/>
      <c r="G145" s="74" t="s">
        <v>9</v>
      </c>
      <c r="H145" s="72">
        <v>44618</v>
      </c>
      <c r="I145" s="72">
        <f>Tabla1[[#This Row],[FECHA DE ENTREGA ]]</f>
        <v>44618</v>
      </c>
      <c r="J145" s="72">
        <f>I145+1</f>
        <v>44619</v>
      </c>
      <c r="K145" s="53" t="s">
        <v>107</v>
      </c>
      <c r="L145" s="54" t="s">
        <v>429</v>
      </c>
      <c r="M145" s="72"/>
    </row>
    <row r="146" spans="1:13" x14ac:dyDescent="0.25">
      <c r="A146" s="73" t="s">
        <v>426</v>
      </c>
      <c r="B146" s="54" t="s">
        <v>15</v>
      </c>
      <c r="C146" s="54" t="s">
        <v>467</v>
      </c>
      <c r="D146" s="54" t="s">
        <v>481</v>
      </c>
      <c r="E146" s="54"/>
      <c r="F146" s="54"/>
      <c r="G146" s="74" t="s">
        <v>9</v>
      </c>
      <c r="H146" s="72">
        <v>44620</v>
      </c>
      <c r="I146" s="72">
        <f>Tabla1[[#This Row],[FECHA DE ENTREGA ]]</f>
        <v>44620</v>
      </c>
      <c r="J146" s="72">
        <f>Tabla1[[#This Row],[FECHA DE CIRUGIA ]]+1</f>
        <v>44621</v>
      </c>
      <c r="K146" s="53" t="s">
        <v>107</v>
      </c>
      <c r="L146" s="54" t="s">
        <v>450</v>
      </c>
      <c r="M146" s="72"/>
    </row>
    <row r="147" spans="1:13" x14ac:dyDescent="0.25">
      <c r="A147" s="73" t="s">
        <v>471</v>
      </c>
      <c r="B147" s="54" t="s">
        <v>149</v>
      </c>
      <c r="C147" s="54" t="s">
        <v>153</v>
      </c>
      <c r="D147" s="54" t="s">
        <v>469</v>
      </c>
      <c r="E147" s="54"/>
      <c r="F147" s="54"/>
      <c r="G147" s="74" t="s">
        <v>9</v>
      </c>
      <c r="H147" s="72">
        <v>44620</v>
      </c>
      <c r="I147" s="72">
        <f>Tabla1[[#This Row],[FECHA DE ENTREGA ]]</f>
        <v>44620</v>
      </c>
      <c r="J147" s="72">
        <f>Tabla1[[#This Row],[FECHA DE CIRUGIA ]]+1</f>
        <v>44621</v>
      </c>
      <c r="K147" s="53" t="s">
        <v>107</v>
      </c>
      <c r="L147" s="64" t="s">
        <v>480</v>
      </c>
      <c r="M147" s="72"/>
    </row>
    <row r="148" spans="1:13" x14ac:dyDescent="0.25">
      <c r="A148" s="73" t="s">
        <v>473</v>
      </c>
      <c r="B148" s="54" t="s">
        <v>10</v>
      </c>
      <c r="C148" s="54" t="s">
        <v>23</v>
      </c>
      <c r="D148" s="54" t="s">
        <v>472</v>
      </c>
      <c r="E148" s="54"/>
      <c r="F148" s="54"/>
      <c r="G148" s="74" t="s">
        <v>9</v>
      </c>
      <c r="H148" s="72">
        <v>44620</v>
      </c>
      <c r="I148" s="72">
        <f>Tabla1[[#This Row],[FECHA DE ENTREGA ]]</f>
        <v>44620</v>
      </c>
      <c r="J148" s="72">
        <f>Tabla1[[#This Row],[FECHA DE CIRUGIA ]]+1</f>
        <v>44621</v>
      </c>
      <c r="K148" s="53" t="s">
        <v>17</v>
      </c>
      <c r="L148" s="54" t="s">
        <v>14</v>
      </c>
      <c r="M148" s="72"/>
    </row>
    <row r="149" spans="1:13" x14ac:dyDescent="0.25">
      <c r="A149" s="73" t="s">
        <v>475</v>
      </c>
      <c r="B149" s="54" t="s">
        <v>149</v>
      </c>
      <c r="C149" s="54" t="s">
        <v>27</v>
      </c>
      <c r="D149" s="54" t="s">
        <v>474</v>
      </c>
      <c r="E149" s="54"/>
      <c r="F149" s="54"/>
      <c r="G149" s="74" t="s">
        <v>9</v>
      </c>
      <c r="H149" s="72">
        <v>44621</v>
      </c>
      <c r="I149" s="72">
        <f>Tabla1[[#This Row],[FECHA DE ENTREGA ]]</f>
        <v>44621</v>
      </c>
      <c r="J149" s="72">
        <f>Tabla1[[#This Row],[FECHA DE CIRUGIA ]]+1</f>
        <v>44622</v>
      </c>
      <c r="K149" s="53" t="s">
        <v>107</v>
      </c>
      <c r="L149" s="54" t="s">
        <v>491</v>
      </c>
      <c r="M149" s="72"/>
    </row>
    <row r="150" spans="1:13" x14ac:dyDescent="0.25">
      <c r="A150" s="73" t="s">
        <v>476</v>
      </c>
      <c r="B150" s="54" t="s">
        <v>8</v>
      </c>
      <c r="C150" s="54" t="s">
        <v>351</v>
      </c>
      <c r="D150" s="54" t="s">
        <v>528</v>
      </c>
      <c r="E150" s="54"/>
      <c r="F150" s="54"/>
      <c r="G150" s="74" t="s">
        <v>9</v>
      </c>
      <c r="H150" s="72">
        <v>44621</v>
      </c>
      <c r="I150" s="72">
        <f>Tabla1[[#This Row],[FECHA DE ENTREGA ]]+4</f>
        <v>44625</v>
      </c>
      <c r="J150" s="72">
        <f>I150+1</f>
        <v>44626</v>
      </c>
      <c r="K150" s="53" t="s">
        <v>107</v>
      </c>
      <c r="L150" s="64" t="s">
        <v>509</v>
      </c>
      <c r="M150" s="72"/>
    </row>
    <row r="151" spans="1:13" x14ac:dyDescent="0.25">
      <c r="A151" s="73" t="s">
        <v>478</v>
      </c>
      <c r="B151" s="54" t="s">
        <v>10</v>
      </c>
      <c r="C151" s="54" t="s">
        <v>24</v>
      </c>
      <c r="D151" s="54" t="s">
        <v>477</v>
      </c>
      <c r="E151" s="54"/>
      <c r="F151" s="54"/>
      <c r="G151" s="74" t="s">
        <v>9</v>
      </c>
      <c r="H151" s="72">
        <v>44621</v>
      </c>
      <c r="I151" s="72">
        <f>Tabla1[[#This Row],[FECHA DE ENTREGA ]]+1</f>
        <v>44622</v>
      </c>
      <c r="J151" s="72">
        <f>I151+1</f>
        <v>44623</v>
      </c>
      <c r="K151" s="53" t="s">
        <v>107</v>
      </c>
      <c r="L151" s="54" t="s">
        <v>257</v>
      </c>
      <c r="M151" s="72"/>
    </row>
    <row r="152" spans="1:13" x14ac:dyDescent="0.25">
      <c r="A152" s="73" t="s">
        <v>482</v>
      </c>
      <c r="B152" s="54" t="s">
        <v>19</v>
      </c>
      <c r="C152" s="54" t="s">
        <v>12</v>
      </c>
      <c r="D152" s="54" t="s">
        <v>479</v>
      </c>
      <c r="E152" s="54"/>
      <c r="F152" s="54"/>
      <c r="G152" s="74" t="s">
        <v>9</v>
      </c>
      <c r="H152" s="72">
        <v>44621</v>
      </c>
      <c r="I152" s="72">
        <f>Tabla1[[#This Row],[FECHA DE ENTREGA ]]+1</f>
        <v>44622</v>
      </c>
      <c r="J152" s="72">
        <f>I152+1</f>
        <v>44623</v>
      </c>
      <c r="K152" s="53" t="s">
        <v>30</v>
      </c>
      <c r="L152" s="54" t="s">
        <v>492</v>
      </c>
      <c r="M152" s="72"/>
    </row>
    <row r="153" spans="1:13" x14ac:dyDescent="0.25">
      <c r="A153" s="73" t="s">
        <v>484</v>
      </c>
      <c r="B153" s="54" t="s">
        <v>149</v>
      </c>
      <c r="C153" s="54" t="s">
        <v>25</v>
      </c>
      <c r="D153" s="81" t="s">
        <v>487</v>
      </c>
      <c r="E153" s="81"/>
      <c r="F153" s="81"/>
      <c r="G153" s="74" t="s">
        <v>9</v>
      </c>
      <c r="H153" s="72">
        <v>44622</v>
      </c>
      <c r="I153" s="72">
        <v>44623</v>
      </c>
      <c r="J153" s="72">
        <f>Tabla1[[#This Row],[FECHA DE CIRUGIA ]]</f>
        <v>44623</v>
      </c>
      <c r="K153" s="53" t="s">
        <v>30</v>
      </c>
      <c r="L153" s="54" t="s">
        <v>492</v>
      </c>
      <c r="M153" s="72"/>
    </row>
    <row r="154" spans="1:13" x14ac:dyDescent="0.25">
      <c r="A154" s="73" t="s">
        <v>485</v>
      </c>
      <c r="B154" s="54" t="s">
        <v>19</v>
      </c>
      <c r="C154" s="54" t="s">
        <v>151</v>
      </c>
      <c r="D154" s="54" t="s">
        <v>490</v>
      </c>
      <c r="E154" s="54"/>
      <c r="F154" s="54"/>
      <c r="G154" s="74" t="s">
        <v>9</v>
      </c>
      <c r="H154" s="72">
        <v>44622</v>
      </c>
      <c r="I154" s="72">
        <v>44623</v>
      </c>
      <c r="J154" s="72">
        <f>Tabla1[[#This Row],[FECHA DE CIRUGIA ]]</f>
        <v>44623</v>
      </c>
      <c r="K154" s="53" t="s">
        <v>30</v>
      </c>
      <c r="L154" s="54" t="s">
        <v>492</v>
      </c>
      <c r="M154" s="72"/>
    </row>
    <row r="155" spans="1:13" x14ac:dyDescent="0.25">
      <c r="A155" s="73" t="s">
        <v>486</v>
      </c>
      <c r="B155" s="54" t="s">
        <v>13</v>
      </c>
      <c r="C155" s="54" t="s">
        <v>488</v>
      </c>
      <c r="D155" s="81" t="s">
        <v>489</v>
      </c>
      <c r="E155" s="81"/>
      <c r="F155" s="81"/>
      <c r="G155" s="74" t="s">
        <v>9</v>
      </c>
      <c r="H155" s="72">
        <v>44623</v>
      </c>
      <c r="I155" s="72">
        <f>Tabla1[[#This Row],[FECHA DE ENTREGA ]]+1</f>
        <v>44624</v>
      </c>
      <c r="J155" s="72">
        <f>Tabla1[[#This Row],[FECHA DE CIRUGIA ]]</f>
        <v>44624</v>
      </c>
      <c r="K155" s="53" t="s">
        <v>107</v>
      </c>
      <c r="L155" s="54" t="s">
        <v>123</v>
      </c>
      <c r="M155" s="72"/>
    </row>
    <row r="156" spans="1:13" x14ac:dyDescent="0.25">
      <c r="A156" s="73" t="s">
        <v>493</v>
      </c>
      <c r="B156" s="54" t="s">
        <v>13</v>
      </c>
      <c r="C156" s="54" t="s">
        <v>488</v>
      </c>
      <c r="D156" s="54" t="s">
        <v>517</v>
      </c>
      <c r="E156" s="54"/>
      <c r="F156" s="54"/>
      <c r="G156" s="74" t="s">
        <v>9</v>
      </c>
      <c r="H156" s="72">
        <v>44624</v>
      </c>
      <c r="I156" s="72">
        <f>Tabla1[[#This Row],[FECHA DE ENTREGA ]]+1</f>
        <v>44625</v>
      </c>
      <c r="J156" s="72">
        <f>Tabla1[[#This Row],[FECHA DE CIRUGIA ]]+3</f>
        <v>44628</v>
      </c>
      <c r="K156" s="53" t="s">
        <v>107</v>
      </c>
      <c r="L156" s="64" t="s">
        <v>432</v>
      </c>
      <c r="M156" s="72"/>
    </row>
    <row r="157" spans="1:13" x14ac:dyDescent="0.25">
      <c r="A157" s="73" t="s">
        <v>494</v>
      </c>
      <c r="B157" s="54" t="s">
        <v>13</v>
      </c>
      <c r="C157" s="54" t="s">
        <v>488</v>
      </c>
      <c r="D157" s="54" t="s">
        <v>515</v>
      </c>
      <c r="E157" s="54"/>
      <c r="F157" s="54"/>
      <c r="G157" s="74" t="s">
        <v>9</v>
      </c>
      <c r="H157" s="72">
        <v>44624</v>
      </c>
      <c r="I157" s="72">
        <f>Tabla1[[#This Row],[FECHA DE ENTREGA ]]+1</f>
        <v>44625</v>
      </c>
      <c r="J157" s="72">
        <f>Tabla1[[#This Row],[FECHA DE CIRUGIA ]]+3</f>
        <v>44628</v>
      </c>
      <c r="K157" s="53" t="s">
        <v>107</v>
      </c>
      <c r="L157" s="54" t="s">
        <v>158</v>
      </c>
      <c r="M157" s="72"/>
    </row>
    <row r="158" spans="1:13" x14ac:dyDescent="0.25">
      <c r="A158" s="73" t="s">
        <v>495</v>
      </c>
      <c r="B158" s="54" t="s">
        <v>10</v>
      </c>
      <c r="C158" s="54" t="s">
        <v>516</v>
      </c>
      <c r="D158" s="54" t="s">
        <v>500</v>
      </c>
      <c r="E158" s="54"/>
      <c r="F158" s="54"/>
      <c r="G158" s="74" t="s">
        <v>9</v>
      </c>
      <c r="H158" s="72">
        <v>44624</v>
      </c>
      <c r="I158" s="72">
        <f>Tabla1[[#This Row],[FECHA DE ENTREGA ]]+1</f>
        <v>44625</v>
      </c>
      <c r="J158" s="72">
        <f>Tabla1[[#This Row],[FECHA DE CIRUGIA ]]+2</f>
        <v>44627</v>
      </c>
      <c r="K158" s="53" t="s">
        <v>107</v>
      </c>
      <c r="L158" s="64" t="s">
        <v>510</v>
      </c>
      <c r="M158" s="72"/>
    </row>
    <row r="159" spans="1:13" x14ac:dyDescent="0.25">
      <c r="A159" s="73" t="s">
        <v>496</v>
      </c>
      <c r="B159" s="54" t="s">
        <v>19</v>
      </c>
      <c r="C159" s="54" t="s">
        <v>12</v>
      </c>
      <c r="D159" s="54" t="s">
        <v>514</v>
      </c>
      <c r="E159" s="54"/>
      <c r="F159" s="54"/>
      <c r="G159" s="74" t="s">
        <v>9</v>
      </c>
      <c r="H159" s="72">
        <v>44624</v>
      </c>
      <c r="I159" s="72">
        <f>Tabla1[[#This Row],[FECHA DE ENTREGA ]]+3</f>
        <v>44627</v>
      </c>
      <c r="J159" s="72">
        <f>Tabla1[[#This Row],[FECHA DE CIRUGIA ]]</f>
        <v>44627</v>
      </c>
      <c r="K159" s="53" t="s">
        <v>107</v>
      </c>
      <c r="L159" s="54"/>
      <c r="M159" s="72"/>
    </row>
    <row r="160" spans="1:13" x14ac:dyDescent="0.25">
      <c r="A160" s="73" t="s">
        <v>497</v>
      </c>
      <c r="B160" s="54" t="s">
        <v>298</v>
      </c>
      <c r="C160" s="54" t="s">
        <v>501</v>
      </c>
      <c r="D160" s="54" t="s">
        <v>502</v>
      </c>
      <c r="E160" s="54"/>
      <c r="F160" s="54"/>
      <c r="G160" s="74" t="s">
        <v>9</v>
      </c>
      <c r="H160" s="72">
        <v>44625</v>
      </c>
      <c r="I160" s="72">
        <f>Tabla1[[#This Row],[FECHA DE ENTREGA ]]</f>
        <v>44625</v>
      </c>
      <c r="J160" s="72">
        <f t="shared" ref="J160:J162" si="2">I160+1</f>
        <v>44626</v>
      </c>
      <c r="K160" s="53" t="s">
        <v>107</v>
      </c>
      <c r="L160" s="54" t="s">
        <v>511</v>
      </c>
      <c r="M160" s="72"/>
    </row>
    <row r="161" spans="1:13" x14ac:dyDescent="0.25">
      <c r="A161" s="73" t="s">
        <v>498</v>
      </c>
      <c r="B161" s="54" t="s">
        <v>298</v>
      </c>
      <c r="C161" s="54" t="s">
        <v>501</v>
      </c>
      <c r="D161" s="54" t="s">
        <v>503</v>
      </c>
      <c r="E161" s="54"/>
      <c r="F161" s="54"/>
      <c r="G161" s="74" t="s">
        <v>9</v>
      </c>
      <c r="H161" s="72">
        <v>44625</v>
      </c>
      <c r="I161" s="72">
        <f>Tabla1[[#This Row],[FECHA DE ENTREGA ]]</f>
        <v>44625</v>
      </c>
      <c r="J161" s="72">
        <f t="shared" si="2"/>
        <v>44626</v>
      </c>
      <c r="K161" s="53" t="s">
        <v>107</v>
      </c>
      <c r="L161" s="64" t="s">
        <v>512</v>
      </c>
      <c r="M161" s="72"/>
    </row>
    <row r="162" spans="1:13" x14ac:dyDescent="0.25">
      <c r="A162" s="73" t="s">
        <v>499</v>
      </c>
      <c r="B162" s="54" t="s">
        <v>8</v>
      </c>
      <c r="C162" s="54" t="s">
        <v>111</v>
      </c>
      <c r="D162" s="54" t="s">
        <v>504</v>
      </c>
      <c r="E162" s="54"/>
      <c r="F162" s="54"/>
      <c r="G162" s="74" t="s">
        <v>9</v>
      </c>
      <c r="H162" s="72">
        <v>44625</v>
      </c>
      <c r="I162" s="72">
        <f>Tabla1[[#This Row],[FECHA DE ENTREGA ]]+2</f>
        <v>44627</v>
      </c>
      <c r="J162" s="72">
        <f t="shared" si="2"/>
        <v>44628</v>
      </c>
      <c r="K162" s="53" t="s">
        <v>107</v>
      </c>
      <c r="L162" s="54" t="s">
        <v>115</v>
      </c>
      <c r="M162" s="72"/>
    </row>
    <row r="163" spans="1:13" x14ac:dyDescent="0.25">
      <c r="A163" s="73" t="s">
        <v>505</v>
      </c>
      <c r="B163" s="54" t="s">
        <v>149</v>
      </c>
      <c r="C163" s="54" t="s">
        <v>25</v>
      </c>
      <c r="D163" s="54" t="s">
        <v>513</v>
      </c>
      <c r="E163" s="54"/>
      <c r="F163" s="54"/>
      <c r="G163" s="74" t="s">
        <v>9</v>
      </c>
      <c r="H163" s="72">
        <v>44625</v>
      </c>
      <c r="I163" s="72">
        <f>Tabla1[[#This Row],[FECHA DE ENTREGA ]]+1</f>
        <v>44626</v>
      </c>
      <c r="J163" s="72">
        <f t="shared" ref="J163:J164" si="3">I163+1</f>
        <v>44627</v>
      </c>
      <c r="K163" s="53" t="s">
        <v>30</v>
      </c>
      <c r="L163" s="54" t="s">
        <v>492</v>
      </c>
      <c r="M163" s="72"/>
    </row>
    <row r="164" spans="1:13" x14ac:dyDescent="0.25">
      <c r="A164" s="73" t="s">
        <v>506</v>
      </c>
      <c r="B164" s="54" t="s">
        <v>8</v>
      </c>
      <c r="C164" s="54" t="s">
        <v>22</v>
      </c>
      <c r="D164" s="54" t="s">
        <v>508</v>
      </c>
      <c r="E164" s="54"/>
      <c r="F164" s="54"/>
      <c r="G164" s="74" t="s">
        <v>9</v>
      </c>
      <c r="H164" s="72">
        <v>44627</v>
      </c>
      <c r="I164" s="72">
        <f>Tabla1[[#This Row],[FECHA DE ENTREGA ]]+1</f>
        <v>44628</v>
      </c>
      <c r="J164" s="72">
        <f t="shared" si="3"/>
        <v>44629</v>
      </c>
      <c r="K164" s="53"/>
      <c r="L164" s="54"/>
      <c r="M164" s="72"/>
    </row>
    <row r="165" spans="1:13" x14ac:dyDescent="0.25">
      <c r="A165" s="73" t="s">
        <v>507</v>
      </c>
      <c r="B165" s="54" t="s">
        <v>8</v>
      </c>
      <c r="C165" s="54" t="s">
        <v>522</v>
      </c>
      <c r="D165" s="54" t="s">
        <v>523</v>
      </c>
      <c r="E165" s="54"/>
      <c r="F165" s="54"/>
      <c r="G165" s="74" t="s">
        <v>9</v>
      </c>
      <c r="H165" s="72">
        <v>44628</v>
      </c>
      <c r="I165" s="72">
        <f>Tabla1[[#This Row],[FECHA DE ENTREGA ]]+1</f>
        <v>44629</v>
      </c>
      <c r="J165" s="72">
        <f>Tabla1[[#This Row],[FECHA DE CIRUGIA ]]+1</f>
        <v>44630</v>
      </c>
      <c r="K165" s="53"/>
      <c r="L165" s="54"/>
      <c r="M165" s="72"/>
    </row>
    <row r="166" spans="1:13" x14ac:dyDescent="0.25">
      <c r="A166" s="73" t="s">
        <v>518</v>
      </c>
      <c r="B166" s="54" t="s">
        <v>19</v>
      </c>
      <c r="C166" s="52" t="s">
        <v>65</v>
      </c>
      <c r="D166" s="54" t="s">
        <v>519</v>
      </c>
      <c r="E166" s="54"/>
      <c r="F166" s="54"/>
      <c r="G166" s="74" t="s">
        <v>9</v>
      </c>
      <c r="H166" s="72">
        <v>44627</v>
      </c>
      <c r="I166" s="72">
        <v>44627</v>
      </c>
      <c r="J166" s="72">
        <f>I166+1</f>
        <v>44628</v>
      </c>
      <c r="K166" s="53" t="s">
        <v>107</v>
      </c>
      <c r="L166" s="54" t="s">
        <v>355</v>
      </c>
      <c r="M166" s="72"/>
    </row>
    <row r="167" spans="1:13" x14ac:dyDescent="0.25">
      <c r="A167" s="73" t="s">
        <v>520</v>
      </c>
      <c r="B167" s="54" t="s">
        <v>8</v>
      </c>
      <c r="C167" s="54" t="s">
        <v>524</v>
      </c>
      <c r="D167" s="54" t="s">
        <v>525</v>
      </c>
      <c r="E167" s="54"/>
      <c r="F167" s="54"/>
      <c r="G167" s="74" t="s">
        <v>9</v>
      </c>
      <c r="H167" s="72">
        <v>44628</v>
      </c>
      <c r="I167" s="72">
        <f>Tabla1[[#This Row],[FECHA DE ENTREGA ]]+1</f>
        <v>44629</v>
      </c>
      <c r="J167" s="72">
        <f t="shared" ref="J167" si="4">I167+1</f>
        <v>44630</v>
      </c>
      <c r="K167" s="53"/>
      <c r="L167" s="54"/>
      <c r="M167" s="72"/>
    </row>
    <row r="168" spans="1:13" x14ac:dyDescent="0.25">
      <c r="A168" s="73" t="s">
        <v>521</v>
      </c>
      <c r="B168" s="54" t="s">
        <v>15</v>
      </c>
      <c r="C168" s="54" t="s">
        <v>467</v>
      </c>
      <c r="D168" s="52" t="s">
        <v>65</v>
      </c>
      <c r="E168" s="52"/>
      <c r="F168" s="52"/>
      <c r="G168" s="74" t="s">
        <v>9</v>
      </c>
      <c r="H168" s="72">
        <v>44628</v>
      </c>
      <c r="I168" s="72">
        <f>Tabla1[[#This Row],[FECHA DE ENTREGA ]]+1</f>
        <v>44629</v>
      </c>
      <c r="J168" s="72">
        <f>Tabla1[[#This Row],[FECHA DE CIRUGIA ]]</f>
        <v>44629</v>
      </c>
      <c r="K168" s="53"/>
      <c r="L168" s="54"/>
      <c r="M168" s="72"/>
    </row>
    <row r="169" spans="1:13" x14ac:dyDescent="0.25">
      <c r="A169" s="73" t="s">
        <v>529</v>
      </c>
      <c r="B169" s="54" t="s">
        <v>8</v>
      </c>
      <c r="C169" s="54" t="s">
        <v>27</v>
      </c>
      <c r="D169" s="54" t="s">
        <v>530</v>
      </c>
      <c r="E169" s="54"/>
      <c r="F169" s="54"/>
      <c r="G169" s="74" t="s">
        <v>9</v>
      </c>
      <c r="H169" s="72">
        <v>44629</v>
      </c>
      <c r="I169" s="72">
        <f>Tabla1[[#This Row],[FECHA DE ENTREGA ]]+1</f>
        <v>44630</v>
      </c>
      <c r="J169" s="72">
        <f>I169+1</f>
        <v>44631</v>
      </c>
      <c r="K169" s="53" t="s">
        <v>18</v>
      </c>
      <c r="L169" s="54"/>
      <c r="M169" s="72"/>
    </row>
    <row r="170" spans="1:13" x14ac:dyDescent="0.25">
      <c r="A170" s="73" t="s">
        <v>531</v>
      </c>
      <c r="B170" s="54" t="s">
        <v>11</v>
      </c>
      <c r="C170" s="54" t="s">
        <v>28</v>
      </c>
      <c r="D170" s="82" t="s">
        <v>539</v>
      </c>
      <c r="E170" s="54" t="s">
        <v>540</v>
      </c>
      <c r="F170" s="54" t="s">
        <v>542</v>
      </c>
      <c r="G170" s="74" t="s">
        <v>9</v>
      </c>
      <c r="H170" s="72">
        <v>44629</v>
      </c>
      <c r="I170" s="72">
        <v>44629</v>
      </c>
      <c r="J170" s="72">
        <f t="shared" ref="J170:J200" si="5">I170+1</f>
        <v>44630</v>
      </c>
      <c r="K170" s="53"/>
      <c r="L170" s="54"/>
      <c r="M170" s="72"/>
    </row>
    <row r="171" spans="1:13" x14ac:dyDescent="0.25">
      <c r="A171" s="73" t="s">
        <v>532</v>
      </c>
      <c r="B171" s="54" t="s">
        <v>11</v>
      </c>
      <c r="C171" s="54" t="s">
        <v>28</v>
      </c>
      <c r="D171" s="54" t="s">
        <v>538</v>
      </c>
      <c r="E171" s="54" t="s">
        <v>541</v>
      </c>
      <c r="F171" s="54" t="s">
        <v>543</v>
      </c>
      <c r="G171" s="74" t="s">
        <v>9</v>
      </c>
      <c r="H171" s="72">
        <v>44629</v>
      </c>
      <c r="I171" s="72">
        <v>44629</v>
      </c>
      <c r="J171" s="72">
        <f t="shared" si="5"/>
        <v>44630</v>
      </c>
      <c r="K171" s="53"/>
      <c r="L171" s="54"/>
      <c r="M171" s="72"/>
    </row>
    <row r="172" spans="1:13" x14ac:dyDescent="0.25">
      <c r="A172" s="73" t="s">
        <v>533</v>
      </c>
      <c r="B172" s="54" t="s">
        <v>11</v>
      </c>
      <c r="C172" s="54" t="s">
        <v>28</v>
      </c>
      <c r="D172" s="54" t="s">
        <v>544</v>
      </c>
      <c r="E172" s="54" t="s">
        <v>541</v>
      </c>
      <c r="F172" s="54" t="s">
        <v>545</v>
      </c>
      <c r="G172" s="74" t="s">
        <v>9</v>
      </c>
      <c r="H172" s="72">
        <v>44629</v>
      </c>
      <c r="I172" s="72">
        <v>44629</v>
      </c>
      <c r="J172" s="72">
        <f t="shared" si="5"/>
        <v>44630</v>
      </c>
      <c r="K172" s="53"/>
      <c r="L172" s="54"/>
      <c r="M172" s="72"/>
    </row>
    <row r="173" spans="1:13" x14ac:dyDescent="0.25">
      <c r="A173" s="73" t="s">
        <v>534</v>
      </c>
      <c r="B173" s="54" t="s">
        <v>546</v>
      </c>
      <c r="C173" s="54" t="s">
        <v>488</v>
      </c>
      <c r="D173" s="54"/>
      <c r="E173" s="54" t="s">
        <v>547</v>
      </c>
      <c r="F173" s="54" t="s">
        <v>548</v>
      </c>
      <c r="G173" s="74" t="s">
        <v>9</v>
      </c>
      <c r="H173" s="72">
        <v>44629</v>
      </c>
      <c r="I173" s="72">
        <f>Tabla1[[#This Row],[FECHA DE ENTREGA ]]+1</f>
        <v>44630</v>
      </c>
      <c r="J173" s="72">
        <f>Tabla1[[#This Row],[FECHA DE CIRUGIA ]]+1</f>
        <v>44631</v>
      </c>
      <c r="K173" s="53"/>
      <c r="L173" s="54"/>
      <c r="M173" s="72"/>
    </row>
    <row r="174" spans="1:13" x14ac:dyDescent="0.25">
      <c r="A174" s="73" t="s">
        <v>535</v>
      </c>
      <c r="B174" s="54" t="s">
        <v>8</v>
      </c>
      <c r="C174" s="54"/>
      <c r="D174" s="54"/>
      <c r="E174" s="54" t="s">
        <v>541</v>
      </c>
      <c r="F174" s="54" t="s">
        <v>543</v>
      </c>
      <c r="G174" s="74" t="s">
        <v>9</v>
      </c>
      <c r="H174" s="72">
        <v>44630</v>
      </c>
      <c r="I174" s="72">
        <f>Tabla1[[#This Row],[FECHA DE ENTREGA ]]+1</f>
        <v>44631</v>
      </c>
      <c r="J174" s="72">
        <f>Tabla1[[#This Row],[FECHA DE CIRUGIA ]]+1</f>
        <v>44632</v>
      </c>
      <c r="K174" s="53"/>
      <c r="L174" s="54"/>
      <c r="M174" s="72"/>
    </row>
    <row r="175" spans="1:13" x14ac:dyDescent="0.25">
      <c r="A175" s="73" t="s">
        <v>536</v>
      </c>
      <c r="B175" s="54" t="s">
        <v>8</v>
      </c>
      <c r="C175" s="54" t="s">
        <v>550</v>
      </c>
      <c r="D175" s="54" t="s">
        <v>551</v>
      </c>
      <c r="E175" s="54" t="s">
        <v>547</v>
      </c>
      <c r="F175" s="54" t="s">
        <v>549</v>
      </c>
      <c r="G175" s="74" t="s">
        <v>9</v>
      </c>
      <c r="H175" s="72">
        <v>44630</v>
      </c>
      <c r="I175" s="72">
        <f>Tabla1[[#This Row],[FECHA DE ENTREGA ]]+1</f>
        <v>44631</v>
      </c>
      <c r="J175" s="72">
        <f>Tabla1[[#This Row],[FECHA DE CIRUGIA ]]+1</f>
        <v>44632</v>
      </c>
      <c r="K175" s="53"/>
      <c r="L175" s="54"/>
      <c r="M175" s="72"/>
    </row>
    <row r="176" spans="1:13" x14ac:dyDescent="0.25">
      <c r="A176" s="73" t="s">
        <v>537</v>
      </c>
      <c r="B176" s="54" t="s">
        <v>8</v>
      </c>
      <c r="C176" s="54" t="s">
        <v>552</v>
      </c>
      <c r="D176" s="51" t="s">
        <v>553</v>
      </c>
      <c r="E176" s="54"/>
      <c r="F176" s="54"/>
      <c r="G176" s="74"/>
      <c r="H176" s="72"/>
      <c r="I176" s="72"/>
      <c r="J176" s="72"/>
      <c r="K176" s="53"/>
      <c r="L176" s="54"/>
      <c r="M176" s="72"/>
    </row>
    <row r="177" spans="1:13" x14ac:dyDescent="0.25">
      <c r="A177" s="73"/>
      <c r="B177" s="54"/>
      <c r="C177" s="54"/>
      <c r="D177" s="54"/>
      <c r="E177" s="54"/>
      <c r="F177" s="54"/>
      <c r="G177" s="74"/>
      <c r="H177" s="72"/>
      <c r="I177" s="72"/>
      <c r="J177" s="72"/>
      <c r="K177" s="53"/>
      <c r="L177" s="54"/>
      <c r="M177" s="72"/>
    </row>
    <row r="178" spans="1:13" x14ac:dyDescent="0.25">
      <c r="A178" s="73"/>
      <c r="B178" s="54"/>
      <c r="C178" s="54"/>
      <c r="D178" s="54"/>
      <c r="E178" s="54"/>
      <c r="F178" s="54"/>
      <c r="G178" s="74"/>
      <c r="H178" s="72"/>
      <c r="I178" s="72"/>
      <c r="J178" s="72"/>
      <c r="K178" s="53"/>
      <c r="L178" s="54"/>
      <c r="M178" s="72"/>
    </row>
    <row r="179" spans="1:13" x14ac:dyDescent="0.25">
      <c r="A179" s="73"/>
      <c r="B179" s="54"/>
      <c r="C179" s="54"/>
      <c r="D179" s="54"/>
      <c r="E179" s="54"/>
      <c r="F179" s="54"/>
      <c r="G179" s="74"/>
      <c r="H179" s="72"/>
      <c r="I179" s="72"/>
      <c r="J179" s="72"/>
      <c r="K179" s="53"/>
      <c r="L179" s="54"/>
      <c r="M179" s="72"/>
    </row>
    <row r="180" spans="1:13" x14ac:dyDescent="0.25">
      <c r="A180" s="73"/>
      <c r="B180" s="54"/>
      <c r="C180" s="54"/>
      <c r="D180" s="54"/>
      <c r="E180" s="54"/>
      <c r="F180" s="54"/>
      <c r="G180" s="74"/>
      <c r="H180" s="72"/>
      <c r="I180" s="72"/>
      <c r="J180" s="72"/>
      <c r="K180" s="53"/>
      <c r="L180" s="54"/>
      <c r="M180" s="72"/>
    </row>
    <row r="181" spans="1:13" x14ac:dyDescent="0.25">
      <c r="A181" s="73"/>
      <c r="B181" s="54"/>
      <c r="C181" s="54"/>
      <c r="D181" s="54"/>
      <c r="E181" s="54"/>
      <c r="F181" s="54"/>
      <c r="G181" s="74"/>
      <c r="H181" s="72"/>
      <c r="I181" s="72"/>
      <c r="J181" s="72"/>
      <c r="K181" s="53"/>
      <c r="L181" s="54"/>
      <c r="M181" s="72"/>
    </row>
    <row r="182" spans="1:13" x14ac:dyDescent="0.25">
      <c r="A182" s="73"/>
      <c r="B182" s="54"/>
      <c r="C182" s="54"/>
      <c r="D182" s="54"/>
      <c r="E182" s="54"/>
      <c r="F182" s="54"/>
      <c r="G182" s="74"/>
      <c r="H182" s="72"/>
      <c r="I182" s="72"/>
      <c r="J182" s="72"/>
      <c r="K182" s="53"/>
      <c r="L182" s="54"/>
      <c r="M182" s="72"/>
    </row>
    <row r="183" spans="1:13" x14ac:dyDescent="0.25">
      <c r="A183" s="73"/>
      <c r="B183" s="54"/>
      <c r="C183" s="54"/>
      <c r="D183" s="54"/>
      <c r="E183" s="54"/>
      <c r="F183" s="54"/>
      <c r="G183" s="74"/>
      <c r="H183" s="72"/>
      <c r="I183" s="72"/>
      <c r="J183" s="72"/>
      <c r="K183" s="53"/>
      <c r="L183" s="54"/>
      <c r="M183" s="72"/>
    </row>
    <row r="184" spans="1:13" x14ac:dyDescent="0.25">
      <c r="A184" s="83"/>
      <c r="B184" s="34"/>
      <c r="C184" s="34"/>
      <c r="D184" s="34"/>
      <c r="E184" s="34"/>
      <c r="F184" s="34"/>
      <c r="G184" s="84"/>
      <c r="H184" s="35"/>
      <c r="I184" s="35"/>
      <c r="J184" s="35"/>
      <c r="K184" s="1"/>
      <c r="L184" s="34"/>
      <c r="M184" s="35"/>
    </row>
    <row r="185" spans="1:13" x14ac:dyDescent="0.25">
      <c r="A185" s="83"/>
      <c r="B185" s="34"/>
      <c r="C185" s="34"/>
      <c r="D185" s="34"/>
      <c r="E185" s="34"/>
      <c r="F185" s="34"/>
      <c r="G185" s="84"/>
      <c r="H185" s="35"/>
      <c r="I185" s="35"/>
      <c r="J185" s="35"/>
      <c r="K185" s="1"/>
      <c r="L185" s="34"/>
      <c r="M185" s="35"/>
    </row>
    <row r="186" spans="1:13" x14ac:dyDescent="0.25">
      <c r="A186" s="83"/>
      <c r="B186" s="34"/>
      <c r="C186" s="34"/>
      <c r="D186" s="34"/>
      <c r="E186" s="34"/>
      <c r="F186" s="34"/>
      <c r="G186" s="84"/>
      <c r="H186" s="35"/>
      <c r="I186" s="35"/>
      <c r="J186" s="35"/>
      <c r="K186" s="1"/>
      <c r="L186" s="34"/>
      <c r="M186" s="35"/>
    </row>
    <row r="187" spans="1:13" x14ac:dyDescent="0.25">
      <c r="A187" s="83"/>
      <c r="B187" s="34"/>
      <c r="C187" s="34"/>
      <c r="D187" s="34"/>
      <c r="E187" s="34"/>
      <c r="F187" s="34"/>
      <c r="G187" s="84"/>
      <c r="H187" s="35"/>
      <c r="I187" s="35"/>
      <c r="J187" s="35"/>
      <c r="K187" s="1"/>
      <c r="L187" s="34"/>
      <c r="M187" s="35"/>
    </row>
    <row r="188" spans="1:13" x14ac:dyDescent="0.25">
      <c r="A188" s="83"/>
      <c r="B188" s="34"/>
      <c r="C188" s="34"/>
      <c r="D188" s="34"/>
      <c r="E188" s="34"/>
      <c r="F188" s="34"/>
      <c r="G188" s="84"/>
      <c r="H188" s="35"/>
      <c r="I188" s="35"/>
      <c r="J188" s="35"/>
      <c r="K188" s="1"/>
      <c r="L188" s="34"/>
      <c r="M188" s="35"/>
    </row>
    <row r="189" spans="1:13" x14ac:dyDescent="0.25">
      <c r="A189" s="83"/>
      <c r="B189" s="34"/>
      <c r="C189" s="34"/>
      <c r="D189" s="34"/>
      <c r="E189" s="34"/>
      <c r="F189" s="34"/>
      <c r="G189" s="84"/>
      <c r="H189" s="35"/>
      <c r="I189" s="35"/>
      <c r="J189" s="35"/>
      <c r="K189" s="1"/>
      <c r="L189" s="34"/>
      <c r="M189" s="35"/>
    </row>
    <row r="190" spans="1:13" x14ac:dyDescent="0.25">
      <c r="A190" s="83"/>
      <c r="B190" s="34"/>
      <c r="C190" s="34"/>
      <c r="D190" s="34"/>
      <c r="E190" s="34"/>
      <c r="F190" s="34"/>
      <c r="G190" s="84"/>
      <c r="H190" s="35"/>
      <c r="I190" s="35"/>
      <c r="J190" s="35"/>
      <c r="K190" s="1"/>
      <c r="L190" s="34"/>
      <c r="M190" s="35"/>
    </row>
    <row r="191" spans="1:13" x14ac:dyDescent="0.25">
      <c r="A191" s="83"/>
      <c r="B191" s="34"/>
      <c r="C191" s="34"/>
      <c r="D191" s="34"/>
      <c r="E191" s="34"/>
      <c r="F191" s="34"/>
      <c r="G191" s="84"/>
      <c r="H191" s="35"/>
      <c r="I191" s="35"/>
      <c r="J191" s="35"/>
      <c r="K191" s="1"/>
      <c r="L191" s="34"/>
      <c r="M191" s="35"/>
    </row>
    <row r="192" spans="1:13" x14ac:dyDescent="0.25">
      <c r="A192" s="83"/>
      <c r="B192" s="34"/>
      <c r="C192" s="34"/>
      <c r="D192" s="34"/>
      <c r="E192" s="34"/>
      <c r="F192" s="34"/>
      <c r="G192" s="84"/>
      <c r="H192" s="35"/>
      <c r="I192" s="35"/>
      <c r="J192" s="35"/>
      <c r="K192" s="1"/>
      <c r="L192" s="34"/>
      <c r="M192" s="35"/>
    </row>
    <row r="193" spans="1:13" x14ac:dyDescent="0.25">
      <c r="A193" s="83"/>
      <c r="B193" s="34"/>
      <c r="C193" s="34"/>
      <c r="D193" s="34"/>
      <c r="E193" s="34"/>
      <c r="F193" s="34"/>
      <c r="G193" s="84"/>
      <c r="H193" s="35"/>
      <c r="I193" s="35"/>
      <c r="J193" s="35"/>
      <c r="K193" s="1"/>
      <c r="L193" s="34"/>
      <c r="M193" s="35"/>
    </row>
    <row r="194" spans="1:13" x14ac:dyDescent="0.25">
      <c r="A194" s="83"/>
      <c r="B194" s="34"/>
      <c r="C194" s="34"/>
      <c r="D194" s="34"/>
      <c r="E194" s="34"/>
      <c r="F194" s="34"/>
      <c r="G194" s="84"/>
      <c r="H194" s="35"/>
      <c r="I194" s="35"/>
      <c r="J194" s="35"/>
      <c r="K194" s="1"/>
      <c r="L194" s="34"/>
      <c r="M194" s="35"/>
    </row>
    <row r="195" spans="1:13" x14ac:dyDescent="0.25">
      <c r="A195" s="83"/>
      <c r="B195" s="34"/>
      <c r="C195" s="34"/>
      <c r="D195" s="34"/>
      <c r="E195" s="34"/>
      <c r="F195" s="34"/>
      <c r="G195" s="84"/>
      <c r="H195" s="35"/>
      <c r="I195" s="35"/>
      <c r="J195" s="35"/>
      <c r="K195" s="1"/>
      <c r="L195" s="34"/>
      <c r="M195" s="35"/>
    </row>
    <row r="196" spans="1:13" x14ac:dyDescent="0.25">
      <c r="A196" s="83"/>
      <c r="B196" s="34"/>
      <c r="C196" s="34"/>
      <c r="D196" s="34"/>
      <c r="E196" s="34"/>
      <c r="F196" s="34"/>
      <c r="G196" s="84"/>
      <c r="H196" s="35"/>
      <c r="I196" s="35"/>
      <c r="J196" s="35"/>
      <c r="K196" s="1"/>
      <c r="L196" s="34"/>
      <c r="M196" s="35"/>
    </row>
    <row r="197" spans="1:13" x14ac:dyDescent="0.25">
      <c r="A197" s="83"/>
      <c r="B197" s="34"/>
      <c r="C197" s="34"/>
      <c r="D197" s="34"/>
      <c r="E197" s="34"/>
      <c r="F197" s="34"/>
      <c r="G197" s="84"/>
      <c r="H197" s="35"/>
      <c r="I197" s="35"/>
      <c r="J197" s="35"/>
      <c r="K197" s="1"/>
      <c r="L197" s="34"/>
      <c r="M197" s="35"/>
    </row>
    <row r="198" spans="1:13" x14ac:dyDescent="0.25">
      <c r="A198" s="83"/>
      <c r="B198" s="34"/>
      <c r="C198" s="34"/>
      <c r="D198" s="34"/>
      <c r="E198" s="34"/>
      <c r="F198" s="34"/>
      <c r="G198" s="84"/>
      <c r="H198" s="35"/>
      <c r="I198" s="35"/>
      <c r="J198" s="35"/>
      <c r="K198" s="1"/>
      <c r="L198" s="34"/>
      <c r="M198" s="35"/>
    </row>
    <row r="199" spans="1:13" x14ac:dyDescent="0.25">
      <c r="A199" s="83"/>
      <c r="B199" s="34"/>
      <c r="C199" s="34"/>
      <c r="D199" s="34"/>
      <c r="E199" s="34"/>
      <c r="F199" s="34"/>
      <c r="G199" s="84"/>
      <c r="H199" s="35"/>
      <c r="I199" s="35"/>
      <c r="J199" s="35"/>
      <c r="K199" s="1"/>
      <c r="L199" s="34"/>
      <c r="M199" s="35"/>
    </row>
    <row r="200" spans="1:13" x14ac:dyDescent="0.25">
      <c r="A200" s="83"/>
      <c r="B200" s="34"/>
      <c r="C200" s="34"/>
      <c r="D200" s="34"/>
      <c r="E200" s="34"/>
      <c r="F200" s="34"/>
      <c r="G200" s="84"/>
      <c r="H200" s="35"/>
      <c r="I200" s="35"/>
      <c r="J200" s="35"/>
      <c r="K200" s="1"/>
      <c r="L200" s="34"/>
      <c r="M200" s="35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scale="36" orientation="landscape" horizontalDpi="4294967292" verticalDpi="0" r:id="rId1"/>
  <ignoredErrors>
    <ignoredError sqref="J14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C2EC-141D-4891-B6BA-32E29F0F5699}">
  <dimension ref="A1:AI76"/>
  <sheetViews>
    <sheetView showGridLines="0" zoomScale="85" zoomScaleNormal="85" workbookViewId="0">
      <selection activeCell="N75" sqref="N75"/>
    </sheetView>
  </sheetViews>
  <sheetFormatPr baseColWidth="10" defaultRowHeight="15" x14ac:dyDescent="0.25"/>
  <cols>
    <col min="1" max="1" width="22" customWidth="1"/>
    <col min="5" max="5" width="17.42578125" customWidth="1"/>
    <col min="8" max="8" width="2" customWidth="1"/>
    <col min="9" max="9" width="4.7109375" customWidth="1"/>
    <col min="10" max="10" width="22" bestFit="1" customWidth="1"/>
    <col min="13" max="13" width="2.42578125" customWidth="1"/>
    <col min="14" max="14" width="17.7109375" customWidth="1"/>
    <col min="15" max="15" width="11.42578125" customWidth="1"/>
    <col min="16" max="16" width="5.7109375" customWidth="1"/>
    <col min="18" max="18" width="2.140625" customWidth="1"/>
    <col min="19" max="19" width="6.140625" customWidth="1"/>
    <col min="20" max="20" width="22.42578125" customWidth="1"/>
    <col min="21" max="21" width="11.5703125" customWidth="1"/>
    <col min="23" max="23" width="2" customWidth="1"/>
    <col min="24" max="24" width="17.85546875" customWidth="1"/>
  </cols>
  <sheetData>
    <row r="1" spans="1:27" ht="15.75" thickBot="1" x14ac:dyDescent="0.3">
      <c r="A1" s="15"/>
      <c r="B1" s="16"/>
      <c r="C1" s="16"/>
      <c r="D1" s="16"/>
      <c r="E1" s="16"/>
      <c r="F1" s="16"/>
      <c r="G1" s="17"/>
      <c r="J1" s="15"/>
      <c r="K1" s="16"/>
      <c r="L1" s="16"/>
      <c r="M1" s="16"/>
      <c r="N1" s="16"/>
      <c r="O1" s="16"/>
      <c r="P1" s="16"/>
      <c r="Q1" s="17"/>
      <c r="T1" s="15"/>
      <c r="U1" s="16"/>
      <c r="V1" s="16"/>
      <c r="W1" s="16"/>
      <c r="X1" s="16"/>
      <c r="Y1" s="16"/>
      <c r="Z1" s="16"/>
      <c r="AA1" s="17"/>
    </row>
    <row r="2" spans="1:27" ht="16.5" thickBot="1" x14ac:dyDescent="0.3">
      <c r="A2" s="42" t="s">
        <v>61</v>
      </c>
      <c r="B2" s="43"/>
      <c r="C2" s="43"/>
      <c r="D2" s="43"/>
      <c r="E2" s="44"/>
      <c r="F2" s="18"/>
      <c r="G2" s="19"/>
      <c r="J2" s="42" t="s">
        <v>32</v>
      </c>
      <c r="K2" s="43"/>
      <c r="L2" s="43"/>
      <c r="M2" s="43"/>
      <c r="N2" s="44"/>
      <c r="O2" s="18"/>
      <c r="P2" s="18"/>
      <c r="Q2" s="19"/>
      <c r="T2" s="42" t="s">
        <v>53</v>
      </c>
      <c r="U2" s="43"/>
      <c r="V2" s="43"/>
      <c r="W2" s="43"/>
      <c r="X2" s="44"/>
      <c r="Y2" s="18"/>
      <c r="Z2" s="18"/>
      <c r="AA2" s="19"/>
    </row>
    <row r="3" spans="1:27" ht="15.75" x14ac:dyDescent="0.25">
      <c r="A3" s="20"/>
      <c r="B3" s="8"/>
      <c r="C3" s="8"/>
      <c r="D3" s="8"/>
      <c r="E3" s="8"/>
      <c r="F3" s="18"/>
      <c r="G3" s="19"/>
      <c r="J3" s="20"/>
      <c r="K3" s="8"/>
      <c r="L3" s="8"/>
      <c r="M3" s="8"/>
      <c r="N3" s="8"/>
      <c r="O3" s="18"/>
      <c r="P3" s="18"/>
      <c r="Q3" s="19"/>
      <c r="T3" s="22"/>
      <c r="U3" s="18"/>
      <c r="V3" s="18"/>
      <c r="W3" s="18"/>
      <c r="X3" s="18"/>
      <c r="Y3" s="18"/>
      <c r="Z3" s="18"/>
      <c r="AA3" s="19"/>
    </row>
    <row r="4" spans="1:27" ht="15" customHeight="1" x14ac:dyDescent="0.25">
      <c r="A4" s="40" t="s">
        <v>55</v>
      </c>
      <c r="B4" s="41" t="s">
        <v>54</v>
      </c>
      <c r="C4" s="41"/>
      <c r="D4" s="18"/>
      <c r="E4" s="45" t="s">
        <v>58</v>
      </c>
      <c r="F4" s="18"/>
      <c r="G4" s="19"/>
      <c r="J4" s="40" t="s">
        <v>55</v>
      </c>
      <c r="K4" s="41" t="s">
        <v>54</v>
      </c>
      <c r="L4" s="41"/>
      <c r="M4" s="18"/>
      <c r="N4" s="45" t="s">
        <v>58</v>
      </c>
      <c r="O4" s="18"/>
      <c r="P4" s="18"/>
      <c r="Q4" s="19"/>
      <c r="T4" s="40" t="s">
        <v>55</v>
      </c>
      <c r="U4" s="41" t="s">
        <v>54</v>
      </c>
      <c r="V4" s="41"/>
      <c r="W4" s="18"/>
      <c r="X4" s="45" t="s">
        <v>58</v>
      </c>
      <c r="Y4" s="18"/>
      <c r="Z4" s="18"/>
      <c r="AA4" s="19"/>
    </row>
    <row r="5" spans="1:27" ht="15" customHeight="1" x14ac:dyDescent="0.25">
      <c r="A5" s="40"/>
      <c r="B5" s="41"/>
      <c r="C5" s="41"/>
      <c r="D5" s="10"/>
      <c r="E5" s="45"/>
      <c r="F5" s="10"/>
      <c r="G5" s="21"/>
      <c r="J5" s="40"/>
      <c r="K5" s="41"/>
      <c r="L5" s="41"/>
      <c r="M5" s="10"/>
      <c r="N5" s="45"/>
      <c r="O5" s="10"/>
      <c r="P5" s="10"/>
      <c r="Q5" s="21"/>
      <c r="R5" s="4"/>
      <c r="T5" s="40"/>
      <c r="U5" s="41"/>
      <c r="V5" s="41"/>
      <c r="W5" s="18"/>
      <c r="X5" s="45"/>
      <c r="Y5" s="18"/>
      <c r="Z5" s="18"/>
      <c r="AA5" s="19"/>
    </row>
    <row r="6" spans="1:27" x14ac:dyDescent="0.25">
      <c r="A6" s="22"/>
      <c r="B6" s="18"/>
      <c r="C6" s="18"/>
      <c r="D6" s="18"/>
      <c r="E6" s="18"/>
      <c r="F6" s="18"/>
      <c r="G6" s="19"/>
      <c r="J6" s="22"/>
      <c r="K6" s="18"/>
      <c r="L6" s="18"/>
      <c r="M6" s="18"/>
      <c r="N6" s="18"/>
      <c r="O6" s="18"/>
      <c r="P6" s="18"/>
      <c r="Q6" s="19"/>
      <c r="T6" s="22"/>
      <c r="U6" s="18"/>
      <c r="V6" s="18"/>
      <c r="W6" s="18"/>
      <c r="X6" s="18"/>
      <c r="Y6" s="18"/>
      <c r="Z6" s="18"/>
      <c r="AA6" s="19"/>
    </row>
    <row r="7" spans="1:27" x14ac:dyDescent="0.25">
      <c r="A7" s="23" t="s">
        <v>33</v>
      </c>
      <c r="B7" s="36" t="e">
        <f>COUNTIF('Control de cirugía'!#REF!,"HúMERO DISTAL")</f>
        <v>#REF!</v>
      </c>
      <c r="C7" s="37"/>
      <c r="D7" s="10"/>
      <c r="E7" s="24" t="e">
        <f>(B7/$B$35)</f>
        <v>#REF!</v>
      </c>
      <c r="F7" s="10"/>
      <c r="G7" s="21"/>
      <c r="J7" s="23" t="s">
        <v>33</v>
      </c>
      <c r="K7" s="36" t="e">
        <f>COUNTIF('Control de cirugía'!#REF!,"HUMERO DISTAL")</f>
        <v>#REF!</v>
      </c>
      <c r="L7" s="37"/>
      <c r="M7" s="10"/>
      <c r="N7" s="24" t="e">
        <f t="shared" ref="N7:N26" si="0">(K7/$K$35)</f>
        <v>#REF!</v>
      </c>
      <c r="O7" s="10"/>
      <c r="P7" s="10"/>
      <c r="Q7" s="21"/>
      <c r="R7" s="4"/>
      <c r="T7" s="23" t="s">
        <v>33</v>
      </c>
      <c r="U7" s="36">
        <v>2</v>
      </c>
      <c r="V7" s="37"/>
      <c r="W7" s="18"/>
      <c r="X7" s="24" t="e">
        <f t="shared" ref="X7:X26" si="1">U7/$U$35</f>
        <v>#REF!</v>
      </c>
      <c r="Y7" s="18"/>
      <c r="Z7" s="18"/>
      <c r="AA7" s="19"/>
    </row>
    <row r="8" spans="1:27" x14ac:dyDescent="0.25">
      <c r="A8" s="23" t="s">
        <v>34</v>
      </c>
      <c r="B8" s="36" t="e">
        <f>COUNTIF('Control de cirugía'!#REF!,"Peroné")</f>
        <v>#REF!</v>
      </c>
      <c r="C8" s="37"/>
      <c r="D8" s="10"/>
      <c r="E8" s="24" t="e">
        <f t="shared" ref="E8:E26" si="2">(B8/$B$35)</f>
        <v>#REF!</v>
      </c>
      <c r="F8" s="10"/>
      <c r="G8" s="21"/>
      <c r="J8" s="23" t="s">
        <v>34</v>
      </c>
      <c r="K8" s="36" t="e">
        <f>COUNTIF('Control de cirugía'!#REF!,"PERONE")</f>
        <v>#REF!</v>
      </c>
      <c r="L8" s="37"/>
      <c r="M8" s="10"/>
      <c r="N8" s="24" t="e">
        <f t="shared" si="0"/>
        <v>#REF!</v>
      </c>
      <c r="O8" s="10"/>
      <c r="P8" s="10"/>
      <c r="Q8" s="21"/>
      <c r="R8" s="4"/>
      <c r="T8" s="23" t="s">
        <v>34</v>
      </c>
      <c r="U8" s="36" t="e">
        <f>COUNTIF('Control de cirugía'!#REF!,"peroné")+1</f>
        <v>#REF!</v>
      </c>
      <c r="V8" s="37"/>
      <c r="W8" s="18"/>
      <c r="X8" s="24" t="e">
        <f t="shared" si="1"/>
        <v>#REF!</v>
      </c>
      <c r="Y8" s="18"/>
      <c r="Z8" s="18"/>
      <c r="AA8" s="19"/>
    </row>
    <row r="9" spans="1:27" x14ac:dyDescent="0.25">
      <c r="A9" s="23" t="s">
        <v>35</v>
      </c>
      <c r="B9" s="36" t="e">
        <f>COUNTIF('Control de cirugía'!#REF!,"Tibia DISTAL")</f>
        <v>#REF!</v>
      </c>
      <c r="C9" s="37"/>
      <c r="D9" s="10"/>
      <c r="E9" s="24" t="e">
        <f t="shared" si="2"/>
        <v>#REF!</v>
      </c>
      <c r="F9" s="10"/>
      <c r="G9" s="21"/>
      <c r="J9" s="23" t="s">
        <v>35</v>
      </c>
      <c r="K9" s="36" t="e">
        <f>COUNTIF('Control de cirugía'!#REF!,"TIBIA DISTAL")</f>
        <v>#REF!</v>
      </c>
      <c r="L9" s="37"/>
      <c r="M9" s="10"/>
      <c r="N9" s="24" t="e">
        <f t="shared" si="0"/>
        <v>#REF!</v>
      </c>
      <c r="O9" s="10"/>
      <c r="P9" s="10"/>
      <c r="Q9" s="21"/>
      <c r="R9" s="4"/>
      <c r="T9" s="23" t="s">
        <v>35</v>
      </c>
      <c r="U9" s="36" t="e">
        <f>COUNTIF('Control de cirugía'!#REF!,"tibia distal")+2</f>
        <v>#REF!</v>
      </c>
      <c r="V9" s="37"/>
      <c r="W9" s="18"/>
      <c r="X9" s="24" t="e">
        <f t="shared" si="1"/>
        <v>#REF!</v>
      </c>
      <c r="Y9" s="18"/>
      <c r="Z9" s="18"/>
      <c r="AA9" s="19"/>
    </row>
    <row r="10" spans="1:27" x14ac:dyDescent="0.25">
      <c r="A10" s="23" t="s">
        <v>36</v>
      </c>
      <c r="B10" s="36" t="e">
        <f>COUNTIF('Control de cirugía'!#REF!,"Húmero proximal")</f>
        <v>#REF!</v>
      </c>
      <c r="C10" s="37"/>
      <c r="D10" s="10"/>
      <c r="E10" s="24" t="e">
        <f t="shared" si="2"/>
        <v>#REF!</v>
      </c>
      <c r="F10" s="10"/>
      <c r="G10" s="21"/>
      <c r="J10" s="23" t="s">
        <v>36</v>
      </c>
      <c r="K10" s="36" t="e">
        <f>COUNTIF('Control de cirugía'!#REF!,"HUMERO PROXIMAL")</f>
        <v>#REF!</v>
      </c>
      <c r="L10" s="37"/>
      <c r="M10" s="10"/>
      <c r="N10" s="24" t="e">
        <f t="shared" si="0"/>
        <v>#REF!</v>
      </c>
      <c r="O10" s="10"/>
      <c r="P10" s="10"/>
      <c r="Q10" s="21"/>
      <c r="R10" s="4"/>
      <c r="T10" s="23" t="s">
        <v>36</v>
      </c>
      <c r="U10" s="36" t="e">
        <f>COUNTIF('Control de cirugía'!#REF!,"Húmero proximal")</f>
        <v>#REF!</v>
      </c>
      <c r="V10" s="37"/>
      <c r="W10" s="18"/>
      <c r="X10" s="24" t="e">
        <f t="shared" si="1"/>
        <v>#REF!</v>
      </c>
      <c r="Y10" s="18"/>
      <c r="Z10" s="18"/>
      <c r="AA10" s="19"/>
    </row>
    <row r="11" spans="1:27" x14ac:dyDescent="0.25">
      <c r="A11" s="23" t="s">
        <v>37</v>
      </c>
      <c r="B11" s="36" t="e">
        <f>COUNTIF('Control de cirugía'!#REF!,"Tibia proximal 4.5")</f>
        <v>#REF!</v>
      </c>
      <c r="C11" s="37"/>
      <c r="D11" s="10"/>
      <c r="E11" s="24" t="e">
        <f t="shared" si="2"/>
        <v>#REF!</v>
      </c>
      <c r="F11" s="10"/>
      <c r="G11" s="21"/>
      <c r="J11" s="23" t="s">
        <v>37</v>
      </c>
      <c r="K11" s="36" t="e">
        <f>COUNTIF('Control de cirugía'!#REF!,"TIBIA PROXIMAL 4.5")</f>
        <v>#REF!</v>
      </c>
      <c r="L11" s="37"/>
      <c r="M11" s="10"/>
      <c r="N11" s="24" t="e">
        <f t="shared" si="0"/>
        <v>#REF!</v>
      </c>
      <c r="O11" s="10"/>
      <c r="P11" s="10"/>
      <c r="Q11" s="21"/>
      <c r="R11" s="4"/>
      <c r="T11" s="23" t="s">
        <v>37</v>
      </c>
      <c r="U11" s="36" t="e">
        <f>COUNTIF('Control de cirugía'!#REF!,"Tibia proximal 4.5")</f>
        <v>#REF!</v>
      </c>
      <c r="V11" s="37"/>
      <c r="W11" s="18"/>
      <c r="X11" s="24" t="e">
        <f t="shared" si="1"/>
        <v>#REF!</v>
      </c>
      <c r="Y11" s="18"/>
      <c r="Z11" s="18"/>
      <c r="AA11" s="19"/>
    </row>
    <row r="12" spans="1:27" x14ac:dyDescent="0.25">
      <c r="A12" s="23" t="s">
        <v>38</v>
      </c>
      <c r="B12" s="36" t="e">
        <f>COUNTIF('Control de cirugía'!#REF!,"DHS")</f>
        <v>#REF!</v>
      </c>
      <c r="C12" s="37"/>
      <c r="D12" s="10"/>
      <c r="E12" s="24" t="e">
        <f t="shared" si="2"/>
        <v>#REF!</v>
      </c>
      <c r="F12" s="10"/>
      <c r="G12" s="21"/>
      <c r="J12" s="23" t="s">
        <v>38</v>
      </c>
      <c r="K12" s="36" t="e">
        <f>COUNTIF('Control de cirugía'!#REF!,"DHS")</f>
        <v>#REF!</v>
      </c>
      <c r="L12" s="37"/>
      <c r="M12" s="10"/>
      <c r="N12" s="24" t="e">
        <f t="shared" si="0"/>
        <v>#REF!</v>
      </c>
      <c r="O12" s="10"/>
      <c r="P12" s="10"/>
      <c r="Q12" s="21"/>
      <c r="R12" s="4"/>
      <c r="T12" s="23" t="s">
        <v>38</v>
      </c>
      <c r="U12" s="36" t="e">
        <f>COUNTIF('Control de cirugía'!#REF!,"dhs")</f>
        <v>#REF!</v>
      </c>
      <c r="V12" s="37"/>
      <c r="W12" s="18"/>
      <c r="X12" s="24" t="e">
        <f t="shared" si="1"/>
        <v>#REF!</v>
      </c>
      <c r="Y12" s="18"/>
      <c r="Z12" s="18"/>
      <c r="AA12" s="19"/>
    </row>
    <row r="13" spans="1:27" x14ac:dyDescent="0.25">
      <c r="A13" s="23" t="s">
        <v>39</v>
      </c>
      <c r="B13" s="36" t="e">
        <f>COUNTIF('Control de cirugía'!#REF!,"DCS")</f>
        <v>#REF!</v>
      </c>
      <c r="C13" s="37"/>
      <c r="D13" s="10"/>
      <c r="E13" s="24" t="e">
        <f t="shared" si="2"/>
        <v>#REF!</v>
      </c>
      <c r="F13" s="10"/>
      <c r="G13" s="21"/>
      <c r="J13" s="23" t="s">
        <v>39</v>
      </c>
      <c r="K13" s="36">
        <v>0</v>
      </c>
      <c r="L13" s="37"/>
      <c r="M13" s="10"/>
      <c r="N13" s="24" t="e">
        <f t="shared" si="0"/>
        <v>#REF!</v>
      </c>
      <c r="O13" s="10"/>
      <c r="P13" s="10"/>
      <c r="Q13" s="21"/>
      <c r="R13" s="4"/>
      <c r="T13" s="23" t="s">
        <v>39</v>
      </c>
      <c r="U13" s="36" t="e">
        <f>COUNTIF('Control de cirugía'!#REF!,"dcs")</f>
        <v>#REF!</v>
      </c>
      <c r="V13" s="37"/>
      <c r="W13" s="18"/>
      <c r="X13" s="24" t="e">
        <f t="shared" si="1"/>
        <v>#REF!</v>
      </c>
      <c r="Y13" s="18"/>
      <c r="Z13" s="18"/>
      <c r="AA13" s="19"/>
    </row>
    <row r="14" spans="1:27" x14ac:dyDescent="0.25">
      <c r="A14" s="23" t="s">
        <v>40</v>
      </c>
      <c r="B14" s="36" t="e">
        <f>COUNTIF('Control de cirugía'!#REF!,"Calcáneo")</f>
        <v>#REF!</v>
      </c>
      <c r="C14" s="37"/>
      <c r="D14" s="10"/>
      <c r="E14" s="24" t="e">
        <f t="shared" si="2"/>
        <v>#REF!</v>
      </c>
      <c r="F14" s="10"/>
      <c r="G14" s="21"/>
      <c r="J14" s="23" t="s">
        <v>40</v>
      </c>
      <c r="K14" s="36" t="e">
        <f>COUNTIF('Control de cirugía'!#REF!,"CALCANEO")</f>
        <v>#REF!</v>
      </c>
      <c r="L14" s="37"/>
      <c r="M14" s="10"/>
      <c r="N14" s="24" t="e">
        <f t="shared" si="0"/>
        <v>#REF!</v>
      </c>
      <c r="O14" s="10"/>
      <c r="P14" s="10"/>
      <c r="Q14" s="21"/>
      <c r="R14" s="4"/>
      <c r="T14" s="23" t="s">
        <v>40</v>
      </c>
      <c r="U14" s="36" t="e">
        <f>COUNTIF('Control de cirugía'!#REF!,"Calcáneo")</f>
        <v>#REF!</v>
      </c>
      <c r="V14" s="37"/>
      <c r="W14" s="18"/>
      <c r="X14" s="24" t="e">
        <f t="shared" si="1"/>
        <v>#REF!</v>
      </c>
      <c r="Y14" s="18"/>
      <c r="Z14" s="18"/>
      <c r="AA14" s="19"/>
    </row>
    <row r="15" spans="1:27" x14ac:dyDescent="0.25">
      <c r="A15" s="23" t="s">
        <v>41</v>
      </c>
      <c r="B15" s="36" t="e">
        <f>COUNTIF('Control de cirugía'!#REF!,"Olecranon")</f>
        <v>#REF!</v>
      </c>
      <c r="C15" s="37"/>
      <c r="D15" s="10"/>
      <c r="E15" s="24" t="e">
        <f t="shared" si="2"/>
        <v>#REF!</v>
      </c>
      <c r="F15" s="10"/>
      <c r="G15" s="21"/>
      <c r="J15" s="23" t="s">
        <v>41</v>
      </c>
      <c r="K15" s="36" t="e">
        <f>COUNTIF('Control de cirugía'!#REF!,"OLECRANON")</f>
        <v>#REF!</v>
      </c>
      <c r="L15" s="37"/>
      <c r="M15" s="10"/>
      <c r="N15" s="24" t="e">
        <f t="shared" si="0"/>
        <v>#REF!</v>
      </c>
      <c r="O15" s="10"/>
      <c r="P15" s="10"/>
      <c r="Q15" s="21"/>
      <c r="R15" s="4"/>
      <c r="T15" s="23" t="s">
        <v>41</v>
      </c>
      <c r="U15" s="36" t="e">
        <f>COUNTIF('Control de cirugía'!#REF!,"Olecranon")+1</f>
        <v>#REF!</v>
      </c>
      <c r="V15" s="37"/>
      <c r="W15" s="18"/>
      <c r="X15" s="24" t="e">
        <f t="shared" si="1"/>
        <v>#REF!</v>
      </c>
      <c r="Y15" s="18"/>
      <c r="Z15" s="18"/>
      <c r="AA15" s="19"/>
    </row>
    <row r="16" spans="1:27" x14ac:dyDescent="0.25">
      <c r="A16" s="23" t="s">
        <v>42</v>
      </c>
      <c r="B16" s="36" t="e">
        <f>COUNTIF('Control de cirugía'!#REF!,"Fémur distal")</f>
        <v>#REF!</v>
      </c>
      <c r="C16" s="37"/>
      <c r="D16" s="10"/>
      <c r="E16" s="24" t="e">
        <f t="shared" si="2"/>
        <v>#REF!</v>
      </c>
      <c r="F16" s="10"/>
      <c r="G16" s="21"/>
      <c r="J16" s="23" t="s">
        <v>42</v>
      </c>
      <c r="K16" s="36" t="e">
        <f>COUNTIF('Control de cirugía'!#REF!,"FEMUR DISTAL")</f>
        <v>#REF!</v>
      </c>
      <c r="L16" s="37"/>
      <c r="M16" s="10"/>
      <c r="N16" s="24" t="e">
        <f t="shared" si="0"/>
        <v>#REF!</v>
      </c>
      <c r="O16" s="10"/>
      <c r="P16" s="10"/>
      <c r="Q16" s="21"/>
      <c r="R16" s="4"/>
      <c r="T16" s="23" t="s">
        <v>42</v>
      </c>
      <c r="U16" s="36" t="e">
        <f>COUNTIF('Control de cirugía'!#REF!,"Fémur distal")</f>
        <v>#REF!</v>
      </c>
      <c r="V16" s="37"/>
      <c r="W16" s="18"/>
      <c r="X16" s="24" t="e">
        <f t="shared" si="1"/>
        <v>#REF!</v>
      </c>
      <c r="Y16" s="18"/>
      <c r="Z16" s="18"/>
      <c r="AA16" s="19"/>
    </row>
    <row r="17" spans="1:27" x14ac:dyDescent="0.25">
      <c r="A17" s="23" t="s">
        <v>43</v>
      </c>
      <c r="B17" s="36" t="e">
        <f>COUNTIF('Control de cirugía'!#REF!,"Minifragmentos")</f>
        <v>#REF!</v>
      </c>
      <c r="C17" s="37"/>
      <c r="D17" s="10"/>
      <c r="E17" s="24" t="e">
        <f t="shared" si="2"/>
        <v>#REF!</v>
      </c>
      <c r="F17" s="10"/>
      <c r="G17" s="21"/>
      <c r="J17" s="23" t="s">
        <v>43</v>
      </c>
      <c r="K17" s="36" t="e">
        <f>COUNTIF('Control de cirugía'!#REF!,"MINIFRAGMENTOS")</f>
        <v>#REF!</v>
      </c>
      <c r="L17" s="37"/>
      <c r="M17" s="10"/>
      <c r="N17" s="24" t="e">
        <f t="shared" si="0"/>
        <v>#REF!</v>
      </c>
      <c r="O17" s="10"/>
      <c r="P17" s="10"/>
      <c r="Q17" s="21"/>
      <c r="R17" s="4"/>
      <c r="T17" s="23" t="s">
        <v>43</v>
      </c>
      <c r="U17" s="36" t="e">
        <f>COUNTIF('Control de cirugía'!#REF!,"Minifragmentos")</f>
        <v>#REF!</v>
      </c>
      <c r="V17" s="37"/>
      <c r="W17" s="18"/>
      <c r="X17" s="24" t="e">
        <f t="shared" si="1"/>
        <v>#REF!</v>
      </c>
      <c r="Y17" s="18"/>
      <c r="Z17" s="18"/>
      <c r="AA17" s="19"/>
    </row>
    <row r="18" spans="1:27" x14ac:dyDescent="0.25">
      <c r="A18" s="23" t="s">
        <v>44</v>
      </c>
      <c r="B18" s="36" t="e">
        <f>COUNTIF('Control de cirugía'!#REF!,"rectas 3.5")</f>
        <v>#REF!</v>
      </c>
      <c r="C18" s="37"/>
      <c r="D18" s="10"/>
      <c r="E18" s="24" t="e">
        <f t="shared" si="2"/>
        <v>#REF!</v>
      </c>
      <c r="F18" s="10"/>
      <c r="G18" s="21"/>
      <c r="J18" s="23" t="s">
        <v>44</v>
      </c>
      <c r="K18" s="36" t="e">
        <f>COUNTIF('Control de cirugía'!#REF!,"RECTAS 3.5")+1</f>
        <v>#REF!</v>
      </c>
      <c r="L18" s="37"/>
      <c r="M18" s="10"/>
      <c r="N18" s="24" t="e">
        <f t="shared" si="0"/>
        <v>#REF!</v>
      </c>
      <c r="O18" s="10"/>
      <c r="P18" s="10"/>
      <c r="Q18" s="21"/>
      <c r="R18" s="4"/>
      <c r="T18" s="23" t="s">
        <v>44</v>
      </c>
      <c r="U18" s="36" t="e">
        <f>COUNTIF('Control de cirugía'!#REF!,"rectas 3.5")</f>
        <v>#REF!</v>
      </c>
      <c r="V18" s="37"/>
      <c r="W18" s="18"/>
      <c r="X18" s="24" t="e">
        <f t="shared" si="1"/>
        <v>#REF!</v>
      </c>
      <c r="Y18" s="18"/>
      <c r="Z18" s="18"/>
      <c r="AA18" s="19"/>
    </row>
    <row r="19" spans="1:27" x14ac:dyDescent="0.25">
      <c r="A19" s="23" t="s">
        <v>45</v>
      </c>
      <c r="B19" s="36" t="e">
        <f>COUNTIF('Control de cirugía'!#REF!,"rectas 4.5")</f>
        <v>#REF!</v>
      </c>
      <c r="C19" s="37"/>
      <c r="D19" s="10"/>
      <c r="E19" s="24" t="e">
        <f t="shared" si="2"/>
        <v>#REF!</v>
      </c>
      <c r="F19" s="10"/>
      <c r="G19" s="21"/>
      <c r="J19" s="23" t="s">
        <v>45</v>
      </c>
      <c r="K19" s="36" t="e">
        <f>COUNTIF('Control de cirugía'!#REF!,"RECTAS 4.5")</f>
        <v>#REF!</v>
      </c>
      <c r="L19" s="37"/>
      <c r="M19" s="10"/>
      <c r="N19" s="24" t="e">
        <f t="shared" si="0"/>
        <v>#REF!</v>
      </c>
      <c r="O19" s="10"/>
      <c r="P19" s="10"/>
      <c r="Q19" s="21"/>
      <c r="R19" s="4"/>
      <c r="T19" s="23" t="s">
        <v>45</v>
      </c>
      <c r="U19" s="36" t="e">
        <f>COUNTIF('Control de cirugía'!#REF!,"rectas 4.5")+2</f>
        <v>#REF!</v>
      </c>
      <c r="V19" s="37"/>
      <c r="W19" s="18"/>
      <c r="X19" s="24" t="e">
        <f t="shared" si="1"/>
        <v>#REF!</v>
      </c>
      <c r="Y19" s="18"/>
      <c r="Z19" s="18"/>
      <c r="AA19" s="19"/>
    </row>
    <row r="20" spans="1:27" x14ac:dyDescent="0.25">
      <c r="A20" s="23" t="s">
        <v>62</v>
      </c>
      <c r="B20" s="36" t="e">
        <f>COUNTIF('Control de cirugía'!#REF!,"radio DISTAL")</f>
        <v>#REF!</v>
      </c>
      <c r="C20" s="37"/>
      <c r="D20" s="10"/>
      <c r="E20" s="24" t="e">
        <f t="shared" si="2"/>
        <v>#REF!</v>
      </c>
      <c r="F20" s="10"/>
      <c r="G20" s="21"/>
      <c r="J20" s="23" t="s">
        <v>62</v>
      </c>
      <c r="K20" s="36" t="e">
        <f>COUNTIF('Control de cirugía'!#REF!,"RADIO DISTAL")</f>
        <v>#REF!</v>
      </c>
      <c r="L20" s="37"/>
      <c r="M20" s="10"/>
      <c r="N20" s="24" t="e">
        <f t="shared" si="0"/>
        <v>#REF!</v>
      </c>
      <c r="O20" s="10"/>
      <c r="P20" s="10"/>
      <c r="Q20" s="21"/>
      <c r="R20" s="4"/>
      <c r="T20" s="23" t="s">
        <v>62</v>
      </c>
      <c r="U20" s="36" t="e">
        <f>COUNTIF('Control de cirugía'!#REF!,"radio distal")</f>
        <v>#REF!</v>
      </c>
      <c r="V20" s="37"/>
      <c r="W20" s="18"/>
      <c r="X20" s="24" t="e">
        <f t="shared" si="1"/>
        <v>#REF!</v>
      </c>
      <c r="Y20" s="18"/>
      <c r="Z20" s="18"/>
      <c r="AA20" s="19"/>
    </row>
    <row r="21" spans="1:27" x14ac:dyDescent="0.25">
      <c r="A21" s="23" t="s">
        <v>46</v>
      </c>
      <c r="B21" s="36" t="e">
        <f>COUNTIF('Control de cirugía'!#REF!,"angulo variable")</f>
        <v>#REF!</v>
      </c>
      <c r="C21" s="37"/>
      <c r="D21" s="10"/>
      <c r="E21" s="24" t="e">
        <f t="shared" si="2"/>
        <v>#REF!</v>
      </c>
      <c r="F21" s="10"/>
      <c r="G21" s="21"/>
      <c r="J21" s="23" t="s">
        <v>46</v>
      </c>
      <c r="K21" s="36" t="e">
        <f>COUNTIF('Control de cirugía'!#REF!,"ANGULO VARIABLE")</f>
        <v>#REF!</v>
      </c>
      <c r="L21" s="37"/>
      <c r="M21" s="10"/>
      <c r="N21" s="24" t="e">
        <f t="shared" si="0"/>
        <v>#REF!</v>
      </c>
      <c r="O21" s="10"/>
      <c r="P21" s="10"/>
      <c r="Q21" s="21"/>
      <c r="R21" s="4"/>
      <c r="T21" s="23" t="s">
        <v>46</v>
      </c>
      <c r="U21" s="36" t="e">
        <f>COUNTIF('Control de cirugía'!#REF!,"angulo variable")</f>
        <v>#REF!</v>
      </c>
      <c r="V21" s="37"/>
      <c r="W21" s="18"/>
      <c r="X21" s="24" t="e">
        <f t="shared" si="1"/>
        <v>#REF!</v>
      </c>
      <c r="Y21" s="18"/>
      <c r="Z21" s="18"/>
      <c r="AA21" s="19"/>
    </row>
    <row r="22" spans="1:27" x14ac:dyDescent="0.25">
      <c r="A22" s="25" t="s">
        <v>49</v>
      </c>
      <c r="B22" s="36" t="e">
        <f>COUNTIF('Control de cirugía'!#REF!,"clavicular")</f>
        <v>#REF!</v>
      </c>
      <c r="C22" s="37"/>
      <c r="D22" s="10"/>
      <c r="E22" s="24" t="e">
        <f t="shared" si="2"/>
        <v>#REF!</v>
      </c>
      <c r="F22" s="10"/>
      <c r="G22" s="21"/>
      <c r="J22" s="25" t="s">
        <v>49</v>
      </c>
      <c r="K22" s="36" t="e">
        <f>COUNTIF('Control de cirugía'!#REF!,"CLAVICULA")</f>
        <v>#REF!</v>
      </c>
      <c r="L22" s="37"/>
      <c r="M22" s="10"/>
      <c r="N22" s="24" t="e">
        <f t="shared" si="0"/>
        <v>#REF!</v>
      </c>
      <c r="O22" s="10"/>
      <c r="P22" s="10"/>
      <c r="Q22" s="21"/>
      <c r="R22" s="4"/>
      <c r="T22" s="25" t="s">
        <v>49</v>
      </c>
      <c r="U22" s="36" t="e">
        <f>COUNTIF('Control de cirugía'!#REF!,"clavicular")</f>
        <v>#REF!</v>
      </c>
      <c r="V22" s="37"/>
      <c r="W22" s="18"/>
      <c r="X22" s="24" t="e">
        <f t="shared" si="1"/>
        <v>#REF!</v>
      </c>
      <c r="Y22" s="18"/>
      <c r="Z22" s="18"/>
      <c r="AA22" s="19"/>
    </row>
    <row r="23" spans="1:27" x14ac:dyDescent="0.25">
      <c r="A23" s="23" t="s">
        <v>50</v>
      </c>
      <c r="B23" s="36" t="e">
        <f>COUNTIF('Control de cirugía'!#REF!,"reconstrucción")</f>
        <v>#REF!</v>
      </c>
      <c r="C23" s="37"/>
      <c r="D23" s="10"/>
      <c r="E23" s="24" t="e">
        <f t="shared" si="2"/>
        <v>#REF!</v>
      </c>
      <c r="F23" s="10"/>
      <c r="G23" s="21"/>
      <c r="J23" s="23" t="s">
        <v>50</v>
      </c>
      <c r="K23" s="36" t="e">
        <f>COUNTIF('Control de cirugía'!#REF!,"RECONSTRUCCION")</f>
        <v>#REF!</v>
      </c>
      <c r="L23" s="37"/>
      <c r="M23" s="10"/>
      <c r="N23" s="24" t="e">
        <f t="shared" si="0"/>
        <v>#REF!</v>
      </c>
      <c r="O23" s="10"/>
      <c r="P23" s="10"/>
      <c r="Q23" s="21"/>
      <c r="R23" s="4"/>
      <c r="T23" s="23" t="s">
        <v>50</v>
      </c>
      <c r="U23" s="36" t="e">
        <f>COUNTIF('Control de cirugía'!#REF!,"reconstrucción")</f>
        <v>#REF!</v>
      </c>
      <c r="V23" s="37"/>
      <c r="W23" s="18"/>
      <c r="X23" s="24" t="e">
        <f t="shared" si="1"/>
        <v>#REF!</v>
      </c>
      <c r="Y23" s="18"/>
      <c r="Z23" s="18"/>
      <c r="AA23" s="19"/>
    </row>
    <row r="24" spans="1:27" x14ac:dyDescent="0.25">
      <c r="A24" s="23" t="s">
        <v>52</v>
      </c>
      <c r="B24" s="36" t="e">
        <f>COUNTIF('Control de cirugía'!#REF!,"Tibia proximal 3.5")</f>
        <v>#REF!</v>
      </c>
      <c r="C24" s="37"/>
      <c r="D24" s="10"/>
      <c r="E24" s="24" t="e">
        <f t="shared" si="2"/>
        <v>#REF!</v>
      </c>
      <c r="F24" s="10"/>
      <c r="G24" s="21"/>
      <c r="J24" s="23" t="s">
        <v>52</v>
      </c>
      <c r="K24" s="36">
        <v>0</v>
      </c>
      <c r="L24" s="37"/>
      <c r="M24" s="10"/>
      <c r="N24" s="24" t="e">
        <f t="shared" si="0"/>
        <v>#REF!</v>
      </c>
      <c r="O24" s="10"/>
      <c r="P24" s="10"/>
      <c r="Q24" s="21"/>
      <c r="R24" s="4"/>
      <c r="T24" s="23" t="s">
        <v>52</v>
      </c>
      <c r="U24" s="36" t="e">
        <f>COUNTIF('Control de cirugía'!#REF!,"tibia proximal 3.5")</f>
        <v>#REF!</v>
      </c>
      <c r="V24" s="37"/>
      <c r="W24" s="18"/>
      <c r="X24" s="24" t="e">
        <f t="shared" si="1"/>
        <v>#REF!</v>
      </c>
      <c r="Y24" s="18"/>
      <c r="Z24" s="18"/>
      <c r="AA24" s="19"/>
    </row>
    <row r="25" spans="1:27" x14ac:dyDescent="0.25">
      <c r="A25" s="23" t="s">
        <v>51</v>
      </c>
      <c r="B25" s="36" t="e">
        <f>COUNTIF('Control de cirugía'!#REF!,"Tercio de caña")</f>
        <v>#REF!</v>
      </c>
      <c r="C25" s="37"/>
      <c r="D25" s="10"/>
      <c r="E25" s="24" t="e">
        <f t="shared" si="2"/>
        <v>#REF!</v>
      </c>
      <c r="F25" s="10"/>
      <c r="G25" s="21"/>
      <c r="J25" s="23" t="s">
        <v>51</v>
      </c>
      <c r="K25" s="36">
        <v>1</v>
      </c>
      <c r="L25" s="37"/>
      <c r="M25" s="10"/>
      <c r="N25" s="24" t="e">
        <f t="shared" si="0"/>
        <v>#REF!</v>
      </c>
      <c r="O25" s="10"/>
      <c r="P25" s="10"/>
      <c r="Q25" s="21"/>
      <c r="R25" s="4"/>
      <c r="T25" s="23" t="s">
        <v>51</v>
      </c>
      <c r="U25" s="36" t="e">
        <f>COUNTIF('Control de cirugía'!#REF!,"tercio de caña")</f>
        <v>#REF!</v>
      </c>
      <c r="V25" s="37"/>
      <c r="W25" s="18"/>
      <c r="X25" s="24" t="e">
        <f t="shared" si="1"/>
        <v>#REF!</v>
      </c>
      <c r="Y25" s="18"/>
      <c r="Z25" s="18"/>
      <c r="AA25" s="19"/>
    </row>
    <row r="26" spans="1:27" x14ac:dyDescent="0.25">
      <c r="A26" s="23" t="s">
        <v>57</v>
      </c>
      <c r="B26" s="36" t="e">
        <f>COUNTIF('Control de cirugía'!#REF!,"Fémur proximal")</f>
        <v>#REF!</v>
      </c>
      <c r="C26" s="37"/>
      <c r="D26" s="10"/>
      <c r="E26" s="24" t="e">
        <f t="shared" si="2"/>
        <v>#REF!</v>
      </c>
      <c r="F26" s="10"/>
      <c r="G26" s="21"/>
      <c r="J26" s="23" t="s">
        <v>57</v>
      </c>
      <c r="K26" s="36">
        <v>0</v>
      </c>
      <c r="L26" s="37"/>
      <c r="M26" s="10"/>
      <c r="N26" s="24" t="e">
        <f t="shared" si="0"/>
        <v>#REF!</v>
      </c>
      <c r="O26" s="10"/>
      <c r="P26" s="10"/>
      <c r="Q26" s="21"/>
      <c r="R26" s="4"/>
      <c r="T26" s="23" t="s">
        <v>57</v>
      </c>
      <c r="U26" s="36">
        <v>0</v>
      </c>
      <c r="V26" s="37"/>
      <c r="W26" s="18"/>
      <c r="X26" s="24" t="e">
        <f t="shared" si="1"/>
        <v>#REF!</v>
      </c>
      <c r="Y26" s="18"/>
      <c r="Z26" s="18"/>
      <c r="AA26" s="19"/>
    </row>
    <row r="27" spans="1:27" x14ac:dyDescent="0.25">
      <c r="A27" s="26"/>
      <c r="B27" s="10"/>
      <c r="C27" s="18"/>
      <c r="D27" s="18"/>
      <c r="E27" s="18"/>
      <c r="F27" s="18"/>
      <c r="G27" s="19"/>
      <c r="J27" s="26"/>
      <c r="K27" s="10"/>
      <c r="L27" s="18"/>
      <c r="M27" s="18"/>
      <c r="N27" s="18"/>
      <c r="O27" s="18"/>
      <c r="P27" s="18"/>
      <c r="Q27" s="19"/>
      <c r="T27" s="26"/>
      <c r="U27" s="10"/>
      <c r="V27" s="18"/>
      <c r="W27" s="18"/>
      <c r="X27" s="18"/>
      <c r="Y27" s="18"/>
      <c r="Z27" s="18"/>
      <c r="AA27" s="19"/>
    </row>
    <row r="28" spans="1:27" x14ac:dyDescent="0.25">
      <c r="A28" s="23" t="s">
        <v>31</v>
      </c>
      <c r="B28" s="36" t="e">
        <f>COUNTIF('Control de cirugía'!#REF!,"no")</f>
        <v>#REF!</v>
      </c>
      <c r="C28" s="37"/>
      <c r="D28" s="10"/>
      <c r="E28" s="24" t="e">
        <f>B28/B35</f>
        <v>#REF!</v>
      </c>
      <c r="F28" s="10"/>
      <c r="G28" s="21"/>
      <c r="J28" s="23" t="s">
        <v>31</v>
      </c>
      <c r="K28" s="36" t="e">
        <f>COUNTIF('Control de cirugía'!#REF!,"NO")</f>
        <v>#REF!</v>
      </c>
      <c r="L28" s="37"/>
      <c r="M28" s="10"/>
      <c r="N28" s="24" t="e">
        <f>K28/K35</f>
        <v>#REF!</v>
      </c>
      <c r="O28" s="10"/>
      <c r="P28" s="10"/>
      <c r="Q28" s="21"/>
      <c r="R28" s="4"/>
      <c r="T28" s="23" t="s">
        <v>31</v>
      </c>
      <c r="U28" s="36" t="e">
        <f>COUNTIF('Control de cirugía'!#REF!,"no")</f>
        <v>#REF!</v>
      </c>
      <c r="V28" s="37"/>
      <c r="W28" s="18"/>
      <c r="X28" s="24" t="e">
        <f>U28/U35</f>
        <v>#REF!</v>
      </c>
      <c r="Y28" s="18"/>
      <c r="Z28" s="18"/>
      <c r="AA28" s="19"/>
    </row>
    <row r="29" spans="1:27" x14ac:dyDescent="0.25">
      <c r="A29" s="26"/>
      <c r="B29" s="18"/>
      <c r="C29" s="18"/>
      <c r="D29" s="18"/>
      <c r="E29" s="18"/>
      <c r="F29" s="18"/>
      <c r="G29" s="19"/>
      <c r="J29" s="26"/>
      <c r="K29" s="18"/>
      <c r="L29" s="18"/>
      <c r="M29" s="18"/>
      <c r="N29" s="18"/>
      <c r="O29" s="18"/>
      <c r="P29" s="18"/>
      <c r="Q29" s="19"/>
      <c r="T29" s="26"/>
      <c r="U29" s="18"/>
      <c r="V29" s="18"/>
      <c r="W29" s="18"/>
      <c r="X29" s="18"/>
      <c r="Y29" s="18"/>
      <c r="Z29" s="18"/>
      <c r="AA29" s="19"/>
    </row>
    <row r="30" spans="1:27" x14ac:dyDescent="0.25">
      <c r="A30" s="23" t="s">
        <v>48</v>
      </c>
      <c r="B30" s="36" t="e">
        <f>COUNTIF('Control de cirugía'!#REF!,"ret")</f>
        <v>#REF!</v>
      </c>
      <c r="C30" s="37"/>
      <c r="D30" s="10"/>
      <c r="E30" s="24" t="e">
        <f>B30/B35</f>
        <v>#REF!</v>
      </c>
      <c r="F30" s="10"/>
      <c r="G30" s="27"/>
      <c r="J30" s="23" t="s">
        <v>48</v>
      </c>
      <c r="K30" s="36">
        <v>3</v>
      </c>
      <c r="L30" s="37"/>
      <c r="M30" s="10"/>
      <c r="N30" s="24" t="e">
        <f>K30/K35</f>
        <v>#REF!</v>
      </c>
      <c r="O30" s="10"/>
      <c r="P30" s="31"/>
      <c r="Q30" s="21"/>
      <c r="R30" s="4"/>
      <c r="T30" s="23" t="s">
        <v>48</v>
      </c>
      <c r="U30" s="36">
        <v>1</v>
      </c>
      <c r="V30" s="37"/>
      <c r="W30" s="18"/>
      <c r="X30" s="24" t="e">
        <f>U30/U35</f>
        <v>#REF!</v>
      </c>
      <c r="Y30" s="18"/>
      <c r="Z30" s="18"/>
      <c r="AA30" s="19"/>
    </row>
    <row r="31" spans="1:27" x14ac:dyDescent="0.25">
      <c r="A31" s="22"/>
      <c r="B31" s="18"/>
      <c r="C31" s="18"/>
      <c r="D31" s="18"/>
      <c r="E31" s="18"/>
      <c r="F31" s="18"/>
      <c r="G31" s="19"/>
      <c r="J31" s="22"/>
      <c r="K31" s="18"/>
      <c r="L31" s="18"/>
      <c r="M31" s="18"/>
      <c r="N31" s="18"/>
      <c r="O31" s="18"/>
      <c r="P31" s="18"/>
      <c r="Q31" s="19"/>
      <c r="T31" s="22"/>
      <c r="U31" s="18"/>
      <c r="V31" s="18"/>
      <c r="W31" s="18"/>
      <c r="X31" s="18"/>
      <c r="Y31" s="18"/>
      <c r="Z31" s="18"/>
      <c r="AA31" s="19"/>
    </row>
    <row r="32" spans="1:27" x14ac:dyDescent="0.25">
      <c r="A32" s="23" t="s">
        <v>47</v>
      </c>
      <c r="B32" s="36" t="e">
        <f>COUNTIF('Control de cirugía'!#REF!,"agujas")</f>
        <v>#REF!</v>
      </c>
      <c r="C32" s="37"/>
      <c r="D32" s="10"/>
      <c r="E32" s="24" t="e">
        <f>(B32/B35)</f>
        <v>#REF!</v>
      </c>
      <c r="F32" s="18"/>
      <c r="G32" s="19"/>
      <c r="J32" s="23" t="s">
        <v>47</v>
      </c>
      <c r="K32" s="36" t="e">
        <f>COUNTIF('Control de cirugía'!#REF!,"AGUJAS")</f>
        <v>#REF!</v>
      </c>
      <c r="L32" s="37"/>
      <c r="M32" s="10"/>
      <c r="N32" s="24" t="e">
        <f>(K32/K35)</f>
        <v>#REF!</v>
      </c>
      <c r="O32" s="18"/>
      <c r="P32" s="18"/>
      <c r="Q32" s="19"/>
      <c r="T32" s="23" t="s">
        <v>47</v>
      </c>
      <c r="U32" s="36" t="e">
        <f>COUNTIF('Control de cirugía'!#REF!,"agujas")</f>
        <v>#REF!</v>
      </c>
      <c r="V32" s="37"/>
      <c r="W32" s="10"/>
      <c r="X32" s="24" t="e">
        <f>(U32/U35)</f>
        <v>#REF!</v>
      </c>
      <c r="Y32" s="18"/>
      <c r="Z32" s="18"/>
      <c r="AA32" s="19"/>
    </row>
    <row r="33" spans="1:35" x14ac:dyDescent="0.25">
      <c r="A33" s="22"/>
      <c r="B33" s="18"/>
      <c r="C33" s="18"/>
      <c r="D33" s="18"/>
      <c r="E33" s="18"/>
      <c r="F33" s="18"/>
      <c r="G33" s="19"/>
      <c r="J33" s="22"/>
      <c r="K33" s="18"/>
      <c r="L33" s="18"/>
      <c r="M33" s="18"/>
      <c r="N33" s="18"/>
      <c r="O33" s="18"/>
      <c r="P33" s="18"/>
      <c r="Q33" s="19"/>
      <c r="T33" s="22"/>
      <c r="U33" s="18"/>
      <c r="V33" s="18"/>
      <c r="W33" s="18"/>
      <c r="X33" s="18"/>
      <c r="Y33" s="18"/>
      <c r="Z33" s="18"/>
      <c r="AA33" s="19"/>
    </row>
    <row r="34" spans="1:35" x14ac:dyDescent="0.25">
      <c r="A34" s="22"/>
      <c r="B34" s="18"/>
      <c r="C34" s="18"/>
      <c r="D34" s="18"/>
      <c r="E34" s="18"/>
      <c r="F34" s="18"/>
      <c r="G34" s="19"/>
      <c r="J34" s="22"/>
      <c r="K34" s="18"/>
      <c r="L34" s="18"/>
      <c r="M34" s="18"/>
      <c r="N34" s="18"/>
      <c r="O34" s="18"/>
      <c r="P34" s="18"/>
      <c r="Q34" s="19"/>
      <c r="T34" s="22"/>
      <c r="U34" s="18"/>
      <c r="V34" s="18"/>
      <c r="W34" s="18"/>
      <c r="X34" s="18"/>
      <c r="Y34" s="18"/>
      <c r="Z34" s="18"/>
      <c r="AA34" s="19"/>
    </row>
    <row r="35" spans="1:35" x14ac:dyDescent="0.25">
      <c r="A35" s="23" t="s">
        <v>56</v>
      </c>
      <c r="B35" s="37" t="e">
        <f>SUM(B7:C26)</f>
        <v>#REF!</v>
      </c>
      <c r="C35" s="37"/>
      <c r="D35" s="10"/>
      <c r="E35" s="33" t="e">
        <f>B35/26</f>
        <v>#REF!</v>
      </c>
      <c r="F35" s="38" t="s">
        <v>60</v>
      </c>
      <c r="G35" s="39"/>
      <c r="J35" s="23" t="s">
        <v>56</v>
      </c>
      <c r="K35" s="37" t="e">
        <f>SUM(K7:L26)</f>
        <v>#REF!</v>
      </c>
      <c r="L35" s="37"/>
      <c r="M35" s="10"/>
      <c r="N35" s="33" t="e">
        <f>K35/26</f>
        <v>#REF!</v>
      </c>
      <c r="O35" s="38" t="s">
        <v>60</v>
      </c>
      <c r="P35" s="38"/>
      <c r="Q35" s="32"/>
      <c r="R35" s="5"/>
      <c r="T35" s="23" t="s">
        <v>56</v>
      </c>
      <c r="U35" s="37" t="e">
        <f>SUM(U7:V26)</f>
        <v>#REF!</v>
      </c>
      <c r="V35" s="37"/>
      <c r="W35" s="10"/>
      <c r="X35" s="33" t="e">
        <f>U35/27</f>
        <v>#REF!</v>
      </c>
      <c r="Y35" s="38" t="s">
        <v>60</v>
      </c>
      <c r="Z35" s="38"/>
      <c r="AA35" s="19"/>
    </row>
    <row r="36" spans="1:35" ht="15.75" thickBot="1" x14ac:dyDescent="0.3">
      <c r="A36" s="28"/>
      <c r="B36" s="29"/>
      <c r="C36" s="29"/>
      <c r="D36" s="29"/>
      <c r="E36" s="29"/>
      <c r="F36" s="29"/>
      <c r="G36" s="30"/>
      <c r="J36" s="28"/>
      <c r="K36" s="29"/>
      <c r="L36" s="29"/>
      <c r="M36" s="29"/>
      <c r="N36" s="29"/>
      <c r="O36" s="29"/>
      <c r="P36" s="29"/>
      <c r="Q36" s="30"/>
      <c r="T36" s="28"/>
      <c r="U36" s="29"/>
      <c r="V36" s="29"/>
      <c r="W36" s="29"/>
      <c r="X36" s="29"/>
      <c r="Y36" s="29"/>
      <c r="Z36" s="29"/>
      <c r="AA36" s="30"/>
    </row>
    <row r="38" spans="1:35" ht="15.75" thickBot="1" x14ac:dyDescent="0.3"/>
    <row r="39" spans="1:35" ht="15.75" thickBot="1" x14ac:dyDescent="0.3">
      <c r="I39" s="15"/>
      <c r="J39" s="16"/>
      <c r="K39" s="16"/>
      <c r="L39" s="16"/>
      <c r="M39" s="16"/>
      <c r="N39" s="16"/>
      <c r="O39" s="16"/>
      <c r="P39" s="16"/>
      <c r="Q39" s="17"/>
    </row>
    <row r="40" spans="1:35" ht="16.5" thickBot="1" x14ac:dyDescent="0.3">
      <c r="I40" s="22"/>
      <c r="J40" s="42" t="s">
        <v>59</v>
      </c>
      <c r="K40" s="43"/>
      <c r="L40" s="43"/>
      <c r="M40" s="43"/>
      <c r="N40" s="44"/>
      <c r="O40" s="18"/>
      <c r="P40" s="18"/>
      <c r="Q40" s="19"/>
    </row>
    <row r="41" spans="1:35" ht="15" customHeight="1" x14ac:dyDescent="0.25">
      <c r="I41" s="22"/>
      <c r="J41" s="18"/>
      <c r="K41" s="18"/>
      <c r="L41" s="18"/>
      <c r="M41" s="18"/>
      <c r="N41" s="18"/>
      <c r="O41" s="18"/>
      <c r="P41" s="18"/>
      <c r="Q41" s="19"/>
    </row>
    <row r="42" spans="1:35" ht="15" customHeight="1" x14ac:dyDescent="0.25">
      <c r="I42" s="22"/>
      <c r="J42" s="18"/>
      <c r="K42" s="18"/>
      <c r="L42" s="18"/>
      <c r="M42" s="18"/>
      <c r="N42" s="45" t="s">
        <v>58</v>
      </c>
      <c r="O42" s="18"/>
      <c r="P42" s="18"/>
      <c r="Q42" s="19"/>
    </row>
    <row r="43" spans="1:35" x14ac:dyDescent="0.25">
      <c r="I43" s="22"/>
      <c r="J43" s="10" t="s">
        <v>55</v>
      </c>
      <c r="K43" s="37" t="s">
        <v>54</v>
      </c>
      <c r="L43" s="37"/>
      <c r="M43" s="10"/>
      <c r="N43" s="45"/>
      <c r="O43" s="18"/>
      <c r="P43" s="18"/>
      <c r="Q43" s="19"/>
      <c r="X43" s="11"/>
      <c r="Y43" s="11"/>
      <c r="Z43" s="11"/>
      <c r="AA43" s="11"/>
      <c r="AB43" s="11"/>
    </row>
    <row r="44" spans="1:35" x14ac:dyDescent="0.25">
      <c r="I44" s="22"/>
      <c r="J44" s="18"/>
      <c r="K44" s="18"/>
      <c r="L44" s="18"/>
      <c r="M44" s="18"/>
      <c r="N44" s="18"/>
      <c r="O44" s="18"/>
      <c r="P44" s="18"/>
      <c r="Q44" s="19"/>
      <c r="X44" s="12"/>
      <c r="Y44" s="48"/>
      <c r="Z44" s="48"/>
      <c r="AA44" s="13"/>
      <c r="AB44" s="14"/>
      <c r="AE44" s="6" t="s">
        <v>56</v>
      </c>
      <c r="AF44" s="36">
        <f>SUM(AF17:AG36)</f>
        <v>0</v>
      </c>
      <c r="AG44" s="49"/>
      <c r="AI44" s="9">
        <f>SUM(AI17:AI36)</f>
        <v>0</v>
      </c>
    </row>
    <row r="45" spans="1:35" x14ac:dyDescent="0.25">
      <c r="I45" s="22"/>
      <c r="J45" s="18"/>
      <c r="K45" s="18"/>
      <c r="L45" s="18"/>
      <c r="M45" s="18"/>
      <c r="N45" s="18"/>
      <c r="O45" s="18"/>
      <c r="P45" s="18"/>
      <c r="Q45" s="19"/>
    </row>
    <row r="46" spans="1:35" x14ac:dyDescent="0.25">
      <c r="I46" s="22"/>
      <c r="J46" s="6" t="s">
        <v>33</v>
      </c>
      <c r="K46" s="46" t="e">
        <f>COUNTIF('Control de cirugía'!#REF!,"Húmero distal")+1</f>
        <v>#REF!</v>
      </c>
      <c r="L46" s="47"/>
      <c r="M46" s="18"/>
      <c r="N46" s="24" t="e">
        <f>K46/$K$75</f>
        <v>#REF!</v>
      </c>
      <c r="O46" s="18"/>
      <c r="P46" s="18"/>
      <c r="Q46" s="19"/>
    </row>
    <row r="47" spans="1:35" x14ac:dyDescent="0.25">
      <c r="I47" s="22"/>
      <c r="J47" s="6" t="s">
        <v>34</v>
      </c>
      <c r="K47" s="46" t="e">
        <f>COUNTIF('Control de cirugía'!#REF!,"Peroné")</f>
        <v>#REF!</v>
      </c>
      <c r="L47" s="47"/>
      <c r="M47" s="18"/>
      <c r="N47" s="24" t="e">
        <f t="shared" ref="N47:N65" si="3">K47/$K$75</f>
        <v>#REF!</v>
      </c>
      <c r="O47" s="18"/>
      <c r="P47" s="18"/>
      <c r="Q47" s="19"/>
    </row>
    <row r="48" spans="1:35" x14ac:dyDescent="0.25">
      <c r="I48" s="22"/>
      <c r="J48" s="6" t="s">
        <v>35</v>
      </c>
      <c r="K48" s="46" t="e">
        <f>COUNTIF('Control de cirugía'!#REF!,"Tibia distal")+2</f>
        <v>#REF!</v>
      </c>
      <c r="L48" s="47"/>
      <c r="M48" s="18"/>
      <c r="N48" s="24" t="e">
        <f t="shared" si="3"/>
        <v>#REF!</v>
      </c>
      <c r="O48" s="18"/>
      <c r="P48" s="18"/>
      <c r="Q48" s="19"/>
    </row>
    <row r="49" spans="2:17" x14ac:dyDescent="0.25">
      <c r="B49" s="50"/>
      <c r="C49" s="50"/>
      <c r="D49" s="50"/>
      <c r="I49" s="22"/>
      <c r="J49" s="6" t="s">
        <v>36</v>
      </c>
      <c r="K49" s="46" t="e">
        <f>COUNTIF('Control de cirugía'!#REF!,"Húmero proximal")</f>
        <v>#REF!</v>
      </c>
      <c r="L49" s="47"/>
      <c r="M49" s="18"/>
      <c r="N49" s="24" t="e">
        <f t="shared" si="3"/>
        <v>#REF!</v>
      </c>
      <c r="O49" s="18"/>
      <c r="P49" s="18"/>
      <c r="Q49" s="19"/>
    </row>
    <row r="50" spans="2:17" x14ac:dyDescent="0.25">
      <c r="I50" s="22"/>
      <c r="J50" s="6" t="s">
        <v>37</v>
      </c>
      <c r="K50" s="46" t="e">
        <f>COUNTIF('Control de cirugía'!#REF!,"Tibia proximal 4.5")</f>
        <v>#REF!</v>
      </c>
      <c r="L50" s="47"/>
      <c r="M50" s="18"/>
      <c r="N50" s="24" t="e">
        <f t="shared" si="3"/>
        <v>#REF!</v>
      </c>
      <c r="O50" s="18"/>
      <c r="P50" s="18"/>
      <c r="Q50" s="19"/>
    </row>
    <row r="51" spans="2:17" x14ac:dyDescent="0.25">
      <c r="I51" s="22"/>
      <c r="J51" s="6" t="s">
        <v>38</v>
      </c>
      <c r="K51" s="46" t="e">
        <f>COUNTIF('Control de cirugía'!#REF!,"DHS")</f>
        <v>#REF!</v>
      </c>
      <c r="L51" s="47"/>
      <c r="M51" s="18"/>
      <c r="N51" s="24" t="e">
        <f t="shared" si="3"/>
        <v>#REF!</v>
      </c>
      <c r="O51" s="18"/>
      <c r="P51" s="18"/>
      <c r="Q51" s="19"/>
    </row>
    <row r="52" spans="2:17" x14ac:dyDescent="0.25">
      <c r="I52" s="22"/>
      <c r="J52" s="6" t="s">
        <v>39</v>
      </c>
      <c r="K52" s="46" t="e">
        <f>COUNTIF('Control de cirugía'!#REF!,"DCS")</f>
        <v>#REF!</v>
      </c>
      <c r="L52" s="47"/>
      <c r="M52" s="18"/>
      <c r="N52" s="24" t="e">
        <f t="shared" si="3"/>
        <v>#REF!</v>
      </c>
      <c r="O52" s="18"/>
      <c r="P52" s="18"/>
      <c r="Q52" s="19"/>
    </row>
    <row r="53" spans="2:17" x14ac:dyDescent="0.25">
      <c r="I53" s="22"/>
      <c r="J53" s="6" t="s">
        <v>40</v>
      </c>
      <c r="K53" s="46" t="e">
        <f>COUNTIF('Control de cirugía'!#REF!,"Calcáneo")</f>
        <v>#REF!</v>
      </c>
      <c r="L53" s="47"/>
      <c r="M53" s="18"/>
      <c r="N53" s="24" t="e">
        <f t="shared" si="3"/>
        <v>#REF!</v>
      </c>
      <c r="O53" s="18"/>
      <c r="P53" s="18"/>
      <c r="Q53" s="19"/>
    </row>
    <row r="54" spans="2:17" x14ac:dyDescent="0.25">
      <c r="I54" s="22"/>
      <c r="J54" s="6" t="s">
        <v>41</v>
      </c>
      <c r="K54" s="46" t="e">
        <f>COUNTIF('Control de cirugía'!#REF!,"Olecranon")</f>
        <v>#REF!</v>
      </c>
      <c r="L54" s="47"/>
      <c r="M54" s="18"/>
      <c r="N54" s="24" t="e">
        <f t="shared" si="3"/>
        <v>#REF!</v>
      </c>
      <c r="O54" s="18"/>
      <c r="P54" s="18"/>
      <c r="Q54" s="19"/>
    </row>
    <row r="55" spans="2:17" x14ac:dyDescent="0.25">
      <c r="I55" s="22"/>
      <c r="J55" s="6" t="s">
        <v>42</v>
      </c>
      <c r="K55" s="46" t="e">
        <f>COUNTIF('Control de cirugía'!#REF!,"Fémur distal")</f>
        <v>#REF!</v>
      </c>
      <c r="L55" s="47"/>
      <c r="M55" s="18"/>
      <c r="N55" s="24" t="e">
        <f t="shared" si="3"/>
        <v>#REF!</v>
      </c>
      <c r="O55" s="18"/>
      <c r="P55" s="18"/>
      <c r="Q55" s="19"/>
    </row>
    <row r="56" spans="2:17" x14ac:dyDescent="0.25">
      <c r="I56" s="22"/>
      <c r="J56" s="6" t="s">
        <v>43</v>
      </c>
      <c r="K56" s="46" t="e">
        <f>COUNTIF('Control de cirugía'!#REF!,"Minifragmentos")+1</f>
        <v>#REF!</v>
      </c>
      <c r="L56" s="47"/>
      <c r="M56" s="18"/>
      <c r="N56" s="24" t="e">
        <f t="shared" si="3"/>
        <v>#REF!</v>
      </c>
      <c r="O56" s="18"/>
      <c r="P56" s="18"/>
      <c r="Q56" s="19"/>
    </row>
    <row r="57" spans="2:17" x14ac:dyDescent="0.25">
      <c r="I57" s="22"/>
      <c r="J57" s="6" t="s">
        <v>44</v>
      </c>
      <c r="K57" s="46" t="e">
        <f>COUNTIF('Control de cirugía'!#REF!,"rectas 3.5")+1</f>
        <v>#REF!</v>
      </c>
      <c r="L57" s="47"/>
      <c r="M57" s="18"/>
      <c r="N57" s="24" t="e">
        <f t="shared" si="3"/>
        <v>#REF!</v>
      </c>
      <c r="O57" s="18"/>
      <c r="P57" s="18"/>
      <c r="Q57" s="19"/>
    </row>
    <row r="58" spans="2:17" x14ac:dyDescent="0.25">
      <c r="I58" s="22"/>
      <c r="J58" s="6" t="s">
        <v>45</v>
      </c>
      <c r="K58" s="46" t="e">
        <f>COUNTIF('Control de cirugía'!#REF!,"Rectas 4.5")+2</f>
        <v>#REF!</v>
      </c>
      <c r="L58" s="47"/>
      <c r="M58" s="18"/>
      <c r="N58" s="24" t="e">
        <f t="shared" si="3"/>
        <v>#REF!</v>
      </c>
      <c r="O58" s="18"/>
      <c r="P58" s="18"/>
      <c r="Q58" s="19"/>
    </row>
    <row r="59" spans="2:17" x14ac:dyDescent="0.25">
      <c r="I59" s="22"/>
      <c r="J59" s="23" t="s">
        <v>62</v>
      </c>
      <c r="K59" s="46" t="e">
        <f>COUNTIF('Control de cirugía'!#REF!,"Radio distal")</f>
        <v>#REF!</v>
      </c>
      <c r="L59" s="47"/>
      <c r="M59" s="18"/>
      <c r="N59" s="24" t="e">
        <f t="shared" si="3"/>
        <v>#REF!</v>
      </c>
      <c r="O59" s="18"/>
      <c r="P59" s="18"/>
      <c r="Q59" s="19"/>
    </row>
    <row r="60" spans="2:17" x14ac:dyDescent="0.25">
      <c r="I60" s="22"/>
      <c r="J60" s="6" t="s">
        <v>46</v>
      </c>
      <c r="K60" s="46" t="e">
        <f>COUNTIF('Control de cirugía'!#REF!,"Angulo variable")</f>
        <v>#REF!</v>
      </c>
      <c r="L60" s="47"/>
      <c r="M60" s="18"/>
      <c r="N60" s="24" t="e">
        <f t="shared" si="3"/>
        <v>#REF!</v>
      </c>
      <c r="O60" s="18"/>
      <c r="P60" s="18"/>
      <c r="Q60" s="19"/>
    </row>
    <row r="61" spans="2:17" x14ac:dyDescent="0.25">
      <c r="I61" s="22"/>
      <c r="J61" s="7" t="s">
        <v>49</v>
      </c>
      <c r="K61" s="46" t="e">
        <f>COUNTIF('Control de cirugía'!#REF!,"Clavicular")+1</f>
        <v>#REF!</v>
      </c>
      <c r="L61" s="47"/>
      <c r="M61" s="18"/>
      <c r="N61" s="24" t="e">
        <f t="shared" si="3"/>
        <v>#REF!</v>
      </c>
      <c r="O61" s="18"/>
      <c r="P61" s="18"/>
      <c r="Q61" s="19"/>
    </row>
    <row r="62" spans="2:17" x14ac:dyDescent="0.25">
      <c r="I62" s="22"/>
      <c r="J62" s="6" t="s">
        <v>50</v>
      </c>
      <c r="K62" s="46" t="e">
        <f>COUNTIF('Control de cirugía'!#REF!,"Reconstrucción")+3</f>
        <v>#REF!</v>
      </c>
      <c r="L62" s="47"/>
      <c r="M62" s="18"/>
      <c r="N62" s="24" t="e">
        <f t="shared" si="3"/>
        <v>#REF!</v>
      </c>
      <c r="O62" s="18"/>
      <c r="P62" s="18"/>
      <c r="Q62" s="19"/>
    </row>
    <row r="63" spans="2:17" x14ac:dyDescent="0.25">
      <c r="I63" s="22"/>
      <c r="J63" s="6" t="s">
        <v>52</v>
      </c>
      <c r="K63" s="46" t="e">
        <f>COUNTIF('Control de cirugía'!#REF!,"Tibia proximal 3.5")</f>
        <v>#REF!</v>
      </c>
      <c r="L63" s="47"/>
      <c r="M63" s="18"/>
      <c r="N63" s="24" t="e">
        <f t="shared" si="3"/>
        <v>#REF!</v>
      </c>
      <c r="O63" s="18"/>
      <c r="P63" s="18"/>
      <c r="Q63" s="19"/>
    </row>
    <row r="64" spans="2:17" x14ac:dyDescent="0.25">
      <c r="I64" s="22"/>
      <c r="J64" s="6" t="s">
        <v>51</v>
      </c>
      <c r="K64" s="46" t="e">
        <f>COUNTIF('Control de cirugía'!#REF!,"Tercio de caña")+2</f>
        <v>#REF!</v>
      </c>
      <c r="L64" s="47"/>
      <c r="M64" s="18"/>
      <c r="N64" s="24" t="e">
        <f t="shared" si="3"/>
        <v>#REF!</v>
      </c>
      <c r="O64" s="18"/>
      <c r="P64" s="18"/>
      <c r="Q64" s="19"/>
    </row>
    <row r="65" spans="9:17" x14ac:dyDescent="0.25">
      <c r="I65" s="22"/>
      <c r="J65" s="6" t="s">
        <v>57</v>
      </c>
      <c r="K65" s="46" t="e">
        <f>COUNTIF('Control de cirugía'!#REF!,"Fémur proximal")</f>
        <v>#REF!</v>
      </c>
      <c r="L65" s="47"/>
      <c r="M65" s="18"/>
      <c r="N65" s="24" t="e">
        <f t="shared" si="3"/>
        <v>#REF!</v>
      </c>
      <c r="O65" s="18"/>
      <c r="P65" s="18"/>
      <c r="Q65" s="19"/>
    </row>
    <row r="66" spans="9:17" x14ac:dyDescent="0.25">
      <c r="I66" s="22"/>
      <c r="J66" s="18"/>
      <c r="K66" s="18"/>
      <c r="L66" s="18"/>
      <c r="M66" s="18"/>
      <c r="N66" s="18"/>
      <c r="O66" s="18"/>
      <c r="P66" s="18"/>
      <c r="Q66" s="19"/>
    </row>
    <row r="67" spans="9:17" x14ac:dyDescent="0.25">
      <c r="I67" s="22"/>
      <c r="J67" s="18"/>
      <c r="K67" s="18"/>
      <c r="L67" s="18"/>
      <c r="M67" s="18"/>
      <c r="N67" s="18"/>
      <c r="O67" s="18"/>
      <c r="P67" s="18"/>
      <c r="Q67" s="19"/>
    </row>
    <row r="68" spans="9:17" x14ac:dyDescent="0.25">
      <c r="I68" s="22"/>
      <c r="J68" s="6" t="s">
        <v>31</v>
      </c>
      <c r="K68" s="36" t="e">
        <f>COUNTIF('Control de cirugía'!#REF!,"no")</f>
        <v>#REF!</v>
      </c>
      <c r="L68" s="37"/>
      <c r="M68" s="18"/>
      <c r="N68" s="24" t="e">
        <f>K68/K75</f>
        <v>#REF!</v>
      </c>
      <c r="O68" s="18"/>
      <c r="P68" s="18"/>
      <c r="Q68" s="19"/>
    </row>
    <row r="69" spans="9:17" x14ac:dyDescent="0.25">
      <c r="I69" s="22"/>
      <c r="J69" s="11"/>
      <c r="K69" s="18"/>
      <c r="L69" s="18"/>
      <c r="M69" s="18"/>
      <c r="N69" s="24"/>
      <c r="O69" s="18"/>
      <c r="P69" s="18"/>
      <c r="Q69" s="19"/>
    </row>
    <row r="70" spans="9:17" x14ac:dyDescent="0.25">
      <c r="I70" s="22"/>
      <c r="J70" s="6" t="s">
        <v>48</v>
      </c>
      <c r="K70" s="36" t="e">
        <f>COUNTIF('Control de cirugía'!#REF!,"ret")</f>
        <v>#REF!</v>
      </c>
      <c r="L70" s="37"/>
      <c r="M70" s="18"/>
      <c r="N70" s="24" t="e">
        <f>K70/K75</f>
        <v>#REF!</v>
      </c>
      <c r="O70" s="18"/>
      <c r="P70" s="18"/>
      <c r="Q70" s="19"/>
    </row>
    <row r="71" spans="9:17" x14ac:dyDescent="0.25">
      <c r="I71" s="22"/>
      <c r="J71" s="18"/>
      <c r="K71" s="18"/>
      <c r="L71" s="18"/>
      <c r="M71" s="18"/>
      <c r="N71" s="24"/>
      <c r="O71" s="18"/>
      <c r="P71" s="18"/>
      <c r="Q71" s="19"/>
    </row>
    <row r="72" spans="9:17" x14ac:dyDescent="0.25">
      <c r="I72" s="22"/>
      <c r="J72" s="6" t="s">
        <v>47</v>
      </c>
      <c r="K72" s="36" t="e">
        <f>COUNTIF('Control de cirugía'!#REF!,"agujas")</f>
        <v>#REF!</v>
      </c>
      <c r="L72" s="37"/>
      <c r="M72" s="18"/>
      <c r="N72" s="24" t="e">
        <f>K72/K75</f>
        <v>#REF!</v>
      </c>
      <c r="O72" s="18"/>
      <c r="P72" s="18"/>
      <c r="Q72" s="19"/>
    </row>
    <row r="73" spans="9:17" x14ac:dyDescent="0.25">
      <c r="I73" s="22"/>
      <c r="J73" s="18"/>
      <c r="K73" s="18"/>
      <c r="L73" s="18"/>
      <c r="M73" s="18"/>
      <c r="N73" s="18"/>
      <c r="O73" s="18"/>
      <c r="P73" s="18"/>
      <c r="Q73" s="19"/>
    </row>
    <row r="74" spans="9:17" x14ac:dyDescent="0.25">
      <c r="I74" s="22"/>
      <c r="J74" s="18"/>
      <c r="K74" s="18"/>
      <c r="L74" s="18"/>
      <c r="M74" s="18"/>
      <c r="N74" s="18"/>
      <c r="O74" s="18"/>
      <c r="P74" s="18"/>
      <c r="Q74" s="19"/>
    </row>
    <row r="75" spans="9:17" x14ac:dyDescent="0.25">
      <c r="I75" s="22"/>
      <c r="J75" s="6" t="s">
        <v>56</v>
      </c>
      <c r="K75" s="37" t="e">
        <f>SUM(K46:L65)</f>
        <v>#REF!</v>
      </c>
      <c r="L75" s="37"/>
      <c r="M75" s="18"/>
      <c r="N75" s="33" t="e">
        <f>K75/27</f>
        <v>#REF!</v>
      </c>
      <c r="O75" s="38" t="s">
        <v>60</v>
      </c>
      <c r="P75" s="38"/>
      <c r="Q75" s="19"/>
    </row>
    <row r="76" spans="9:17" ht="15.75" thickBot="1" x14ac:dyDescent="0.3">
      <c r="I76" s="28"/>
      <c r="J76" s="29"/>
      <c r="K76" s="29"/>
      <c r="L76" s="29"/>
      <c r="M76" s="29"/>
      <c r="N76" s="29"/>
      <c r="O76" s="29"/>
      <c r="P76" s="29"/>
      <c r="Q76" s="30"/>
    </row>
  </sheetData>
  <mergeCells count="118">
    <mergeCell ref="B49:D49"/>
    <mergeCell ref="U9:V9"/>
    <mergeCell ref="U10:V10"/>
    <mergeCell ref="U11:V11"/>
    <mergeCell ref="U12:V12"/>
    <mergeCell ref="U13:V13"/>
    <mergeCell ref="U14:V14"/>
    <mergeCell ref="U7:V7"/>
    <mergeCell ref="U8:V8"/>
    <mergeCell ref="B8:C8"/>
    <mergeCell ref="K10:L10"/>
    <mergeCell ref="K11:L11"/>
    <mergeCell ref="K12:L12"/>
    <mergeCell ref="U21:V21"/>
    <mergeCell ref="U22:V22"/>
    <mergeCell ref="U23:V23"/>
    <mergeCell ref="U24:V24"/>
    <mergeCell ref="U15:V15"/>
    <mergeCell ref="U16:V16"/>
    <mergeCell ref="U17:V17"/>
    <mergeCell ref="U18:V18"/>
    <mergeCell ref="U19:V19"/>
    <mergeCell ref="U20:V20"/>
    <mergeCell ref="B15:C15"/>
    <mergeCell ref="X4:X5"/>
    <mergeCell ref="T2:X2"/>
    <mergeCell ref="K23:L23"/>
    <mergeCell ref="K24:L24"/>
    <mergeCell ref="K25:L25"/>
    <mergeCell ref="K26:L26"/>
    <mergeCell ref="K28:L28"/>
    <mergeCell ref="K30:L30"/>
    <mergeCell ref="K19:L19"/>
    <mergeCell ref="K20:L20"/>
    <mergeCell ref="K21:L21"/>
    <mergeCell ref="K22:L22"/>
    <mergeCell ref="K13:L13"/>
    <mergeCell ref="K14:L14"/>
    <mergeCell ref="K15:L15"/>
    <mergeCell ref="K16:L16"/>
    <mergeCell ref="K17:L17"/>
    <mergeCell ref="K18:L18"/>
    <mergeCell ref="U25:V25"/>
    <mergeCell ref="U26:V26"/>
    <mergeCell ref="U28:V28"/>
    <mergeCell ref="U30:V30"/>
    <mergeCell ref="K7:L7"/>
    <mergeCell ref="K8:L8"/>
    <mergeCell ref="Y44:Z44"/>
    <mergeCell ref="AF44:AG44"/>
    <mergeCell ref="Y35:Z35"/>
    <mergeCell ref="O35:P35"/>
    <mergeCell ref="K65:L65"/>
    <mergeCell ref="K68:L68"/>
    <mergeCell ref="K70:L70"/>
    <mergeCell ref="K75:L75"/>
    <mergeCell ref="K72:L72"/>
    <mergeCell ref="K61:L61"/>
    <mergeCell ref="K62:L62"/>
    <mergeCell ref="K63:L63"/>
    <mergeCell ref="K64:L64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O75:P75"/>
    <mergeCell ref="J4:J5"/>
    <mergeCell ref="K4:L5"/>
    <mergeCell ref="T4:T5"/>
    <mergeCell ref="U4:V5"/>
    <mergeCell ref="A2:E2"/>
    <mergeCell ref="A4:A5"/>
    <mergeCell ref="B4:C5"/>
    <mergeCell ref="E4:E5"/>
    <mergeCell ref="B7:C7"/>
    <mergeCell ref="K35:L35"/>
    <mergeCell ref="U35:V35"/>
    <mergeCell ref="K54:L54"/>
    <mergeCell ref="J40:N40"/>
    <mergeCell ref="N42:N43"/>
    <mergeCell ref="K43:L43"/>
    <mergeCell ref="K46:L46"/>
    <mergeCell ref="K47:L47"/>
    <mergeCell ref="K48:L48"/>
    <mergeCell ref="K32:L32"/>
    <mergeCell ref="N4:N5"/>
    <mergeCell ref="J2:N2"/>
    <mergeCell ref="U32:V32"/>
    <mergeCell ref="K9:L9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B28:C28"/>
    <mergeCell ref="B30:C30"/>
    <mergeCell ref="B32:C32"/>
    <mergeCell ref="B35:C35"/>
    <mergeCell ref="F35:G35"/>
    <mergeCell ref="B21:C21"/>
    <mergeCell ref="B22:C22"/>
    <mergeCell ref="B23:C23"/>
    <mergeCell ref="B24:C24"/>
    <mergeCell ref="B25:C25"/>
    <mergeCell ref="B26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 de cirugía</vt:lpstr>
      <vt:lpstr>Reporte de Cirugías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2022-03-08T17:43:42Z</cp:lastPrinted>
  <dcterms:created xsi:type="dcterms:W3CDTF">2015-06-05T18:19:34Z</dcterms:created>
  <dcterms:modified xsi:type="dcterms:W3CDTF">2022-03-09T21:49:44Z</dcterms:modified>
</cp:coreProperties>
</file>