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ajek/EXEP/HABZONE/"/>
    </mc:Choice>
  </mc:AlternateContent>
  <xr:revisionPtr revIDLastSave="0" documentId="13_ncr:1_{702D39FF-6C7E-2C4F-A2A6-F89000146FD2}" xr6:coauthVersionLast="47" xr6:coauthVersionMax="47" xr10:uidLastSave="{00000000-0000-0000-0000-000000000000}"/>
  <bookViews>
    <workbookView xWindow="1980" yWindow="760" windowWidth="32580" windowHeight="19280" xr2:uid="{00000000-000D-0000-FFFF-FFFF00000000}"/>
  </bookViews>
  <sheets>
    <sheet name="WS" sheetId="1" r:id="rId1"/>
  </sheets>
  <definedNames>
    <definedName name="Google_Sheet_Link_1410737029_1617599516" hidden="1">out</definedName>
    <definedName name="out" localSheetId="0">WS!$A$3:$BD$166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jkakdAYO1bfmjONlFEThs2luYk5Q=="/>
    </ext>
  </extLst>
</workbook>
</file>

<file path=xl/calcChain.xml><?xml version="1.0" encoding="utf-8"?>
<calcChain xmlns="http://schemas.openxmlformats.org/spreadsheetml/2006/main">
  <c r="AS128" i="1" l="1"/>
  <c r="AT128" i="1" s="1"/>
  <c r="AQ128" i="1"/>
  <c r="AE128" i="1"/>
  <c r="AF128" i="1" s="1"/>
  <c r="N128" i="1"/>
  <c r="I128" i="1"/>
  <c r="AS71" i="1"/>
  <c r="AT71" i="1" s="1"/>
  <c r="AQ71" i="1"/>
  <c r="AE71" i="1"/>
  <c r="AF71" i="1" s="1"/>
  <c r="I71" i="1"/>
  <c r="AS100" i="1"/>
  <c r="AT100" i="1" s="1"/>
  <c r="AQ100" i="1"/>
  <c r="AE100" i="1"/>
  <c r="AF100" i="1" s="1"/>
  <c r="N100" i="1"/>
  <c r="I100" i="1"/>
  <c r="AS92" i="1"/>
  <c r="AT92" i="1" s="1"/>
  <c r="AQ92" i="1"/>
  <c r="AU92" i="1" s="1"/>
  <c r="AV92" i="1" s="1"/>
  <c r="AE92" i="1"/>
  <c r="AF92" i="1" s="1"/>
  <c r="N92" i="1"/>
  <c r="I92" i="1"/>
  <c r="AS85" i="1"/>
  <c r="AT85" i="1" s="1"/>
  <c r="AQ85" i="1"/>
  <c r="AU85" i="1" s="1"/>
  <c r="AV85" i="1" s="1"/>
  <c r="AE85" i="1"/>
  <c r="AF85" i="1" s="1"/>
  <c r="I85" i="1"/>
  <c r="AS34" i="1"/>
  <c r="AQ34" i="1"/>
  <c r="AU34" i="1" s="1"/>
  <c r="AV34" i="1" s="1"/>
  <c r="AE34" i="1"/>
  <c r="AF34" i="1" s="1"/>
  <c r="I34" i="1"/>
  <c r="AS149" i="1"/>
  <c r="AT149" i="1" s="1"/>
  <c r="AQ149" i="1"/>
  <c r="AE149" i="1"/>
  <c r="AF149" i="1" s="1"/>
  <c r="I149" i="1"/>
  <c r="AS129" i="1"/>
  <c r="AT129" i="1" s="1"/>
  <c r="AQ129" i="1"/>
  <c r="AE129" i="1"/>
  <c r="AF129" i="1" s="1"/>
  <c r="I129" i="1"/>
  <c r="AS164" i="1"/>
  <c r="AQ164" i="1"/>
  <c r="AE164" i="1"/>
  <c r="AF164" i="1" s="1"/>
  <c r="N164" i="1"/>
  <c r="I164" i="1"/>
  <c r="AS165" i="1"/>
  <c r="AQ165" i="1"/>
  <c r="AE165" i="1"/>
  <c r="AF165" i="1" s="1"/>
  <c r="I165" i="1"/>
  <c r="AS74" i="1"/>
  <c r="AT74" i="1" s="1"/>
  <c r="AQ74" i="1"/>
  <c r="AE74" i="1"/>
  <c r="AF74" i="1" s="1"/>
  <c r="N74" i="1"/>
  <c r="I74" i="1"/>
  <c r="AS143" i="1"/>
  <c r="AT143" i="1" s="1"/>
  <c r="AQ143" i="1"/>
  <c r="AU143" i="1" s="1"/>
  <c r="AV143" i="1" s="1"/>
  <c r="AE143" i="1"/>
  <c r="AF143" i="1" s="1"/>
  <c r="I143" i="1"/>
  <c r="AS94" i="1"/>
  <c r="AQ94" i="1"/>
  <c r="AE94" i="1"/>
  <c r="AF94" i="1" s="1"/>
  <c r="I94" i="1"/>
  <c r="AS38" i="1"/>
  <c r="AT38" i="1" s="1"/>
  <c r="AQ38" i="1"/>
  <c r="AU38" i="1" s="1"/>
  <c r="AV38" i="1" s="1"/>
  <c r="AE38" i="1"/>
  <c r="AF38" i="1" s="1"/>
  <c r="I38" i="1"/>
  <c r="AS154" i="1"/>
  <c r="AQ154" i="1"/>
  <c r="AU154" i="1" s="1"/>
  <c r="AV154" i="1" s="1"/>
  <c r="AE154" i="1"/>
  <c r="AF154" i="1" s="1"/>
  <c r="N154" i="1"/>
  <c r="I154" i="1"/>
  <c r="AS96" i="1"/>
  <c r="AQ96" i="1"/>
  <c r="AE96" i="1"/>
  <c r="AF96" i="1" s="1"/>
  <c r="N96" i="1"/>
  <c r="I96" i="1"/>
  <c r="AS134" i="1"/>
  <c r="AT134" i="1" s="1"/>
  <c r="AQ134" i="1"/>
  <c r="AU134" i="1" s="1"/>
  <c r="AV134" i="1" s="1"/>
  <c r="AE134" i="1"/>
  <c r="AF134" i="1" s="1"/>
  <c r="I134" i="1"/>
  <c r="AS73" i="1"/>
  <c r="AQ73" i="1"/>
  <c r="AE73" i="1"/>
  <c r="AF73" i="1" s="1"/>
  <c r="I73" i="1"/>
  <c r="AS160" i="1"/>
  <c r="AT160" i="1" s="1"/>
  <c r="AQ160" i="1"/>
  <c r="AU160" i="1" s="1"/>
  <c r="AV160" i="1" s="1"/>
  <c r="AE160" i="1"/>
  <c r="AF160" i="1" s="1"/>
  <c r="N160" i="1"/>
  <c r="I160" i="1"/>
  <c r="AS82" i="1"/>
  <c r="AQ82" i="1"/>
  <c r="AE82" i="1"/>
  <c r="AF82" i="1" s="1"/>
  <c r="I82" i="1"/>
  <c r="AS93" i="1"/>
  <c r="AQ93" i="1"/>
  <c r="AU93" i="1" s="1"/>
  <c r="AV93" i="1" s="1"/>
  <c r="AE93" i="1"/>
  <c r="AF93" i="1" s="1"/>
  <c r="I93" i="1"/>
  <c r="AS23" i="1"/>
  <c r="AQ23" i="1"/>
  <c r="AE23" i="1"/>
  <c r="AF23" i="1" s="1"/>
  <c r="I23" i="1"/>
  <c r="AS69" i="1"/>
  <c r="AT69" i="1" s="1"/>
  <c r="AQ69" i="1"/>
  <c r="AE69" i="1"/>
  <c r="AF69" i="1" s="1"/>
  <c r="I69" i="1"/>
  <c r="AS108" i="1"/>
  <c r="AQ108" i="1"/>
  <c r="AE108" i="1"/>
  <c r="AF108" i="1" s="1"/>
  <c r="N108" i="1"/>
  <c r="I108" i="1"/>
  <c r="AS159" i="1"/>
  <c r="AT159" i="1" s="1"/>
  <c r="AQ159" i="1"/>
  <c r="AE159" i="1"/>
  <c r="AF159" i="1" s="1"/>
  <c r="I159" i="1"/>
  <c r="AS137" i="1"/>
  <c r="AT137" i="1" s="1"/>
  <c r="AQ137" i="1"/>
  <c r="AU137" i="1" s="1"/>
  <c r="AV137" i="1" s="1"/>
  <c r="AE137" i="1"/>
  <c r="AF137" i="1" s="1"/>
  <c r="N137" i="1"/>
  <c r="I137" i="1"/>
  <c r="AS15" i="1"/>
  <c r="AT15" i="1" s="1"/>
  <c r="AQ15" i="1"/>
  <c r="AU15" i="1" s="1"/>
  <c r="AV15" i="1" s="1"/>
  <c r="AE15" i="1"/>
  <c r="AF15" i="1" s="1"/>
  <c r="I15" i="1"/>
  <c r="AS140" i="1"/>
  <c r="AQ140" i="1"/>
  <c r="AE140" i="1"/>
  <c r="AF140" i="1" s="1"/>
  <c r="N140" i="1"/>
  <c r="I140" i="1"/>
  <c r="AS81" i="1"/>
  <c r="AT81" i="1" s="1"/>
  <c r="AQ81" i="1"/>
  <c r="AE81" i="1"/>
  <c r="AF81" i="1" s="1"/>
  <c r="N81" i="1"/>
  <c r="I81" i="1"/>
  <c r="AS75" i="1"/>
  <c r="AQ75" i="1"/>
  <c r="AE75" i="1"/>
  <c r="AF75" i="1" s="1"/>
  <c r="N75" i="1"/>
  <c r="I75" i="1"/>
  <c r="AS98" i="1"/>
  <c r="AT98" i="1" s="1"/>
  <c r="AQ98" i="1"/>
  <c r="AE98" i="1"/>
  <c r="AF98" i="1" s="1"/>
  <c r="I98" i="1"/>
  <c r="AS13" i="1"/>
  <c r="AT13" i="1" s="1"/>
  <c r="AQ13" i="1"/>
  <c r="AE13" i="1"/>
  <c r="AF13" i="1" s="1"/>
  <c r="I13" i="1"/>
  <c r="AS127" i="1"/>
  <c r="AT127" i="1" s="1"/>
  <c r="AQ127" i="1"/>
  <c r="AU127" i="1" s="1"/>
  <c r="AV127" i="1" s="1"/>
  <c r="AE127" i="1"/>
  <c r="AF127" i="1" s="1"/>
  <c r="I127" i="1"/>
  <c r="AS115" i="1"/>
  <c r="AQ115" i="1"/>
  <c r="AE115" i="1"/>
  <c r="AF115" i="1" s="1"/>
  <c r="I115" i="1"/>
  <c r="AS54" i="1"/>
  <c r="AQ54" i="1"/>
  <c r="AE54" i="1"/>
  <c r="AF54" i="1" s="1"/>
  <c r="I54" i="1"/>
  <c r="AS104" i="1"/>
  <c r="AT104" i="1" s="1"/>
  <c r="AQ104" i="1"/>
  <c r="AE104" i="1"/>
  <c r="AF104" i="1" s="1"/>
  <c r="N104" i="1"/>
  <c r="I104" i="1"/>
  <c r="AS148" i="1"/>
  <c r="AT148" i="1" s="1"/>
  <c r="AQ148" i="1"/>
  <c r="AE148" i="1"/>
  <c r="AF148" i="1" s="1"/>
  <c r="I148" i="1"/>
  <c r="AS166" i="1"/>
  <c r="AQ166" i="1"/>
  <c r="AE166" i="1"/>
  <c r="AF166" i="1" s="1"/>
  <c r="N166" i="1"/>
  <c r="I166" i="1"/>
  <c r="AS29" i="1"/>
  <c r="AT29" i="1" s="1"/>
  <c r="AQ29" i="1"/>
  <c r="AE29" i="1"/>
  <c r="AF29" i="1" s="1"/>
  <c r="I29" i="1"/>
  <c r="AS16" i="1"/>
  <c r="AT16" i="1" s="1"/>
  <c r="AQ16" i="1"/>
  <c r="AE16" i="1"/>
  <c r="AF16" i="1" s="1"/>
  <c r="N16" i="1"/>
  <c r="I16" i="1"/>
  <c r="AS91" i="1"/>
  <c r="AT91" i="1" s="1"/>
  <c r="AQ91" i="1"/>
  <c r="AE91" i="1"/>
  <c r="AF91" i="1" s="1"/>
  <c r="N91" i="1"/>
  <c r="I91" i="1"/>
  <c r="AS7" i="1"/>
  <c r="AT7" i="1" s="1"/>
  <c r="AQ7" i="1"/>
  <c r="AU7" i="1" s="1"/>
  <c r="AV7" i="1" s="1"/>
  <c r="AE7" i="1"/>
  <c r="AF7" i="1" s="1"/>
  <c r="I7" i="1"/>
  <c r="AS84" i="1"/>
  <c r="AT84" i="1" s="1"/>
  <c r="AQ84" i="1"/>
  <c r="AE84" i="1"/>
  <c r="AF84" i="1" s="1"/>
  <c r="N84" i="1"/>
  <c r="I84" i="1"/>
  <c r="AS40" i="1"/>
  <c r="AQ40" i="1"/>
  <c r="AU40" i="1" s="1"/>
  <c r="AV40" i="1" s="1"/>
  <c r="AE40" i="1"/>
  <c r="AF40" i="1" s="1"/>
  <c r="N40" i="1"/>
  <c r="I40" i="1"/>
  <c r="AS48" i="1"/>
  <c r="AT48" i="1" s="1"/>
  <c r="AQ48" i="1"/>
  <c r="AE48" i="1"/>
  <c r="AF48" i="1" s="1"/>
  <c r="N48" i="1"/>
  <c r="I48" i="1"/>
  <c r="AS103" i="1"/>
  <c r="AT103" i="1" s="1"/>
  <c r="AQ103" i="1"/>
  <c r="AE103" i="1"/>
  <c r="AF103" i="1" s="1"/>
  <c r="I103" i="1"/>
  <c r="AS147" i="1"/>
  <c r="AQ147" i="1"/>
  <c r="AE147" i="1"/>
  <c r="AF147" i="1" s="1"/>
  <c r="N147" i="1"/>
  <c r="I147" i="1"/>
  <c r="AS135" i="1"/>
  <c r="AQ135" i="1"/>
  <c r="AU135" i="1" s="1"/>
  <c r="AV135" i="1" s="1"/>
  <c r="AE135" i="1"/>
  <c r="AF135" i="1" s="1"/>
  <c r="N135" i="1"/>
  <c r="I135" i="1"/>
  <c r="AS102" i="1"/>
  <c r="AT102" i="1" s="1"/>
  <c r="AQ102" i="1"/>
  <c r="AE102" i="1"/>
  <c r="AF102" i="1" s="1"/>
  <c r="N102" i="1"/>
  <c r="I102" i="1"/>
  <c r="AS60" i="1"/>
  <c r="AT60" i="1" s="1"/>
  <c r="AQ60" i="1"/>
  <c r="AE60" i="1"/>
  <c r="AF60" i="1" s="1"/>
  <c r="I60" i="1"/>
  <c r="AS5" i="1"/>
  <c r="AQ5" i="1"/>
  <c r="AU5" i="1" s="1"/>
  <c r="AV5" i="1" s="1"/>
  <c r="AE5" i="1"/>
  <c r="AF5" i="1" s="1"/>
  <c r="I5" i="1"/>
  <c r="AS99" i="1"/>
  <c r="AT99" i="1" s="1"/>
  <c r="AQ99" i="1"/>
  <c r="AU99" i="1" s="1"/>
  <c r="AV99" i="1" s="1"/>
  <c r="AE99" i="1"/>
  <c r="AF99" i="1" s="1"/>
  <c r="I99" i="1"/>
  <c r="AS39" i="1"/>
  <c r="AT39" i="1" s="1"/>
  <c r="AQ39" i="1"/>
  <c r="AU39" i="1" s="1"/>
  <c r="AV39" i="1" s="1"/>
  <c r="AE39" i="1"/>
  <c r="AF39" i="1" s="1"/>
  <c r="I39" i="1"/>
  <c r="AS65" i="1"/>
  <c r="AT65" i="1" s="1"/>
  <c r="AQ65" i="1"/>
  <c r="AE65" i="1"/>
  <c r="AF65" i="1" s="1"/>
  <c r="I65" i="1"/>
  <c r="AS19" i="1"/>
  <c r="AT19" i="1" s="1"/>
  <c r="AQ19" i="1"/>
  <c r="AU19" i="1" s="1"/>
  <c r="AV19" i="1" s="1"/>
  <c r="AE19" i="1"/>
  <c r="AF19" i="1" s="1"/>
  <c r="I19" i="1"/>
  <c r="AS130" i="1"/>
  <c r="AT130" i="1" s="1"/>
  <c r="AQ130" i="1"/>
  <c r="AU130" i="1" s="1"/>
  <c r="AV130" i="1" s="1"/>
  <c r="AE130" i="1"/>
  <c r="AF130" i="1" s="1"/>
  <c r="I130" i="1"/>
  <c r="AS72" i="1"/>
  <c r="AQ72" i="1"/>
  <c r="AE72" i="1"/>
  <c r="AF72" i="1" s="1"/>
  <c r="N72" i="1"/>
  <c r="I72" i="1"/>
  <c r="AS67" i="1"/>
  <c r="AT67" i="1" s="1"/>
  <c r="AQ67" i="1"/>
  <c r="AE67" i="1"/>
  <c r="AF67" i="1" s="1"/>
  <c r="I67" i="1"/>
  <c r="AS46" i="1"/>
  <c r="AT46" i="1" s="1"/>
  <c r="AQ46" i="1"/>
  <c r="AU46" i="1" s="1"/>
  <c r="AV46" i="1" s="1"/>
  <c r="AE46" i="1"/>
  <c r="AF46" i="1" s="1"/>
  <c r="N46" i="1"/>
  <c r="I46" i="1"/>
  <c r="AS155" i="1"/>
  <c r="AT155" i="1" s="1"/>
  <c r="AQ155" i="1"/>
  <c r="AU155" i="1" s="1"/>
  <c r="AV155" i="1" s="1"/>
  <c r="AE155" i="1"/>
  <c r="AF155" i="1" s="1"/>
  <c r="I155" i="1"/>
  <c r="AS126" i="1"/>
  <c r="AQ126" i="1"/>
  <c r="AE126" i="1"/>
  <c r="AF126" i="1" s="1"/>
  <c r="N126" i="1"/>
  <c r="I126" i="1"/>
  <c r="AS59" i="1"/>
  <c r="AT59" i="1" s="1"/>
  <c r="AQ59" i="1"/>
  <c r="AU59" i="1" s="1"/>
  <c r="AV59" i="1" s="1"/>
  <c r="AE59" i="1"/>
  <c r="AF59" i="1" s="1"/>
  <c r="N59" i="1"/>
  <c r="I59" i="1"/>
  <c r="AS138" i="1"/>
  <c r="AT138" i="1" s="1"/>
  <c r="AQ138" i="1"/>
  <c r="AE138" i="1"/>
  <c r="AF138" i="1" s="1"/>
  <c r="N138" i="1"/>
  <c r="I138" i="1"/>
  <c r="AS55" i="1"/>
  <c r="AT55" i="1" s="1"/>
  <c r="AQ55" i="1"/>
  <c r="AU55" i="1" s="1"/>
  <c r="AV55" i="1" s="1"/>
  <c r="AE55" i="1"/>
  <c r="AF55" i="1" s="1"/>
  <c r="I55" i="1"/>
  <c r="AS145" i="1"/>
  <c r="AT145" i="1" s="1"/>
  <c r="AQ145" i="1"/>
  <c r="AE145" i="1"/>
  <c r="AF145" i="1" s="1"/>
  <c r="I145" i="1"/>
  <c r="AS35" i="1"/>
  <c r="AQ35" i="1"/>
  <c r="AE35" i="1"/>
  <c r="AF35" i="1" s="1"/>
  <c r="I35" i="1"/>
  <c r="AS64" i="1"/>
  <c r="AT64" i="1" s="1"/>
  <c r="AQ64" i="1"/>
  <c r="AE64" i="1"/>
  <c r="AF64" i="1" s="1"/>
  <c r="N64" i="1"/>
  <c r="I64" i="1"/>
  <c r="AS111" i="1"/>
  <c r="AT111" i="1" s="1"/>
  <c r="AQ111" i="1"/>
  <c r="AU111" i="1" s="1"/>
  <c r="AV111" i="1" s="1"/>
  <c r="AE111" i="1"/>
  <c r="AF111" i="1" s="1"/>
  <c r="N111" i="1"/>
  <c r="I111" i="1"/>
  <c r="AS50" i="1"/>
  <c r="AQ50" i="1"/>
  <c r="AU50" i="1" s="1"/>
  <c r="AV50" i="1" s="1"/>
  <c r="AE50" i="1"/>
  <c r="AF50" i="1" s="1"/>
  <c r="I50" i="1"/>
  <c r="AS61" i="1"/>
  <c r="AT61" i="1" s="1"/>
  <c r="AQ61" i="1"/>
  <c r="AE61" i="1"/>
  <c r="AF61" i="1" s="1"/>
  <c r="N61" i="1"/>
  <c r="I61" i="1"/>
  <c r="AS62" i="1"/>
  <c r="AQ62" i="1"/>
  <c r="AE62" i="1"/>
  <c r="AF62" i="1" s="1"/>
  <c r="I62" i="1"/>
  <c r="AS63" i="1"/>
  <c r="AT63" i="1" s="1"/>
  <c r="AQ63" i="1"/>
  <c r="AU63" i="1" s="1"/>
  <c r="AV63" i="1" s="1"/>
  <c r="AE63" i="1"/>
  <c r="AF63" i="1" s="1"/>
  <c r="N63" i="1"/>
  <c r="I63" i="1"/>
  <c r="AS3" i="1"/>
  <c r="AT3" i="1" s="1"/>
  <c r="AQ3" i="1"/>
  <c r="AE3" i="1"/>
  <c r="AF3" i="1" s="1"/>
  <c r="N3" i="1"/>
  <c r="I3" i="1"/>
  <c r="AS51" i="1"/>
  <c r="AT51" i="1" s="1"/>
  <c r="AQ51" i="1"/>
  <c r="AU51" i="1" s="1"/>
  <c r="AV51" i="1" s="1"/>
  <c r="AE51" i="1"/>
  <c r="AF51" i="1" s="1"/>
  <c r="N51" i="1"/>
  <c r="I51" i="1"/>
  <c r="AS27" i="1"/>
  <c r="AT27" i="1" s="1"/>
  <c r="AQ27" i="1"/>
  <c r="AE27" i="1"/>
  <c r="AF27" i="1" s="1"/>
  <c r="I27" i="1"/>
  <c r="AS44" i="1"/>
  <c r="AT44" i="1" s="1"/>
  <c r="AQ44" i="1"/>
  <c r="AE44" i="1"/>
  <c r="AF44" i="1" s="1"/>
  <c r="I44" i="1"/>
  <c r="AS52" i="1"/>
  <c r="AQ52" i="1"/>
  <c r="AE52" i="1"/>
  <c r="AF52" i="1" s="1"/>
  <c r="I52" i="1"/>
  <c r="AS161" i="1"/>
  <c r="AQ161" i="1"/>
  <c r="AU161" i="1" s="1"/>
  <c r="AV161" i="1" s="1"/>
  <c r="AE161" i="1"/>
  <c r="AF161" i="1" s="1"/>
  <c r="I161" i="1"/>
  <c r="AS162" i="1"/>
  <c r="AT162" i="1" s="1"/>
  <c r="AQ162" i="1"/>
  <c r="AU162" i="1" s="1"/>
  <c r="AV162" i="1" s="1"/>
  <c r="AE162" i="1"/>
  <c r="AF162" i="1" s="1"/>
  <c r="I162" i="1"/>
  <c r="AS87" i="1"/>
  <c r="AT87" i="1" s="1"/>
  <c r="AQ87" i="1"/>
  <c r="AE87" i="1"/>
  <c r="AF87" i="1" s="1"/>
  <c r="N87" i="1"/>
  <c r="I87" i="1"/>
  <c r="AS56" i="1"/>
  <c r="AQ56" i="1"/>
  <c r="AU56" i="1" s="1"/>
  <c r="AV56" i="1" s="1"/>
  <c r="AE56" i="1"/>
  <c r="AF56" i="1" s="1"/>
  <c r="N56" i="1"/>
  <c r="I56" i="1"/>
  <c r="AS57" i="1"/>
  <c r="AT57" i="1" s="1"/>
  <c r="AQ57" i="1"/>
  <c r="AU57" i="1" s="1"/>
  <c r="AV57" i="1" s="1"/>
  <c r="AE57" i="1"/>
  <c r="AF57" i="1" s="1"/>
  <c r="N57" i="1"/>
  <c r="I57" i="1"/>
  <c r="AS66" i="1"/>
  <c r="AT66" i="1" s="1"/>
  <c r="AQ66" i="1"/>
  <c r="AE66" i="1"/>
  <c r="AF66" i="1" s="1"/>
  <c r="I66" i="1"/>
  <c r="AS142" i="1"/>
  <c r="AT142" i="1" s="1"/>
  <c r="AQ142" i="1"/>
  <c r="AE142" i="1"/>
  <c r="AF142" i="1" s="1"/>
  <c r="N142" i="1"/>
  <c r="I142" i="1"/>
  <c r="AS9" i="1"/>
  <c r="AT9" i="1" s="1"/>
  <c r="AQ9" i="1"/>
  <c r="AU9" i="1" s="1"/>
  <c r="AV9" i="1" s="1"/>
  <c r="AE9" i="1"/>
  <c r="AF9" i="1" s="1"/>
  <c r="I9" i="1"/>
  <c r="AS113" i="1"/>
  <c r="AT113" i="1" s="1"/>
  <c r="AQ113" i="1"/>
  <c r="AU113" i="1" s="1"/>
  <c r="AV113" i="1" s="1"/>
  <c r="AE113" i="1"/>
  <c r="AF113" i="1" s="1"/>
  <c r="N113" i="1"/>
  <c r="I113" i="1"/>
  <c r="AS112" i="1"/>
  <c r="AT112" i="1" s="1"/>
  <c r="AQ112" i="1"/>
  <c r="AE112" i="1"/>
  <c r="AF112" i="1" s="1"/>
  <c r="I112" i="1"/>
  <c r="AS70" i="1"/>
  <c r="AT70" i="1" s="1"/>
  <c r="AQ70" i="1"/>
  <c r="AU70" i="1" s="1"/>
  <c r="AV70" i="1" s="1"/>
  <c r="AE70" i="1"/>
  <c r="AF70" i="1" s="1"/>
  <c r="N70" i="1"/>
  <c r="I70" i="1"/>
  <c r="AS158" i="1"/>
  <c r="AT158" i="1" s="1"/>
  <c r="AQ158" i="1"/>
  <c r="AU158" i="1" s="1"/>
  <c r="AV158" i="1" s="1"/>
  <c r="AE158" i="1"/>
  <c r="AF158" i="1" s="1"/>
  <c r="I158" i="1"/>
  <c r="AS141" i="1"/>
  <c r="AT141" i="1" s="1"/>
  <c r="AQ141" i="1"/>
  <c r="AE141" i="1"/>
  <c r="AF141" i="1" s="1"/>
  <c r="N141" i="1"/>
  <c r="I141" i="1"/>
  <c r="AS78" i="1"/>
  <c r="AQ78" i="1"/>
  <c r="AU78" i="1" s="1"/>
  <c r="AV78" i="1" s="1"/>
  <c r="AE78" i="1"/>
  <c r="AF78" i="1" s="1"/>
  <c r="N78" i="1"/>
  <c r="I78" i="1"/>
  <c r="AS68" i="1"/>
  <c r="AQ68" i="1"/>
  <c r="AE68" i="1"/>
  <c r="AF68" i="1" s="1"/>
  <c r="N68" i="1"/>
  <c r="I68" i="1"/>
  <c r="AS58" i="1"/>
  <c r="AQ58" i="1"/>
  <c r="AE58" i="1"/>
  <c r="AF58" i="1" s="1"/>
  <c r="N58" i="1"/>
  <c r="I58" i="1"/>
  <c r="AS136" i="1"/>
  <c r="AT136" i="1" s="1"/>
  <c r="AQ136" i="1"/>
  <c r="AU136" i="1" s="1"/>
  <c r="AV136" i="1" s="1"/>
  <c r="AE136" i="1"/>
  <c r="AF136" i="1" s="1"/>
  <c r="I136" i="1"/>
  <c r="AS24" i="1"/>
  <c r="AT24" i="1" s="1"/>
  <c r="AQ24" i="1"/>
  <c r="AE24" i="1"/>
  <c r="AF24" i="1" s="1"/>
  <c r="I24" i="1"/>
  <c r="AS118" i="1"/>
  <c r="AQ118" i="1"/>
  <c r="AE118" i="1"/>
  <c r="AF118" i="1" s="1"/>
  <c r="N118" i="1"/>
  <c r="I118" i="1"/>
  <c r="AS8" i="1"/>
  <c r="AQ8" i="1"/>
  <c r="AE8" i="1"/>
  <c r="AF8" i="1" s="1"/>
  <c r="N8" i="1"/>
  <c r="I8" i="1"/>
  <c r="AS79" i="1"/>
  <c r="AT79" i="1" s="1"/>
  <c r="AQ79" i="1"/>
  <c r="AE79" i="1"/>
  <c r="AF79" i="1" s="1"/>
  <c r="N79" i="1"/>
  <c r="I79" i="1"/>
  <c r="AS125" i="1"/>
  <c r="AQ125" i="1"/>
  <c r="AE125" i="1"/>
  <c r="AF125" i="1" s="1"/>
  <c r="I125" i="1"/>
  <c r="AS105" i="1"/>
  <c r="AT105" i="1" s="1"/>
  <c r="AQ105" i="1"/>
  <c r="AE105" i="1"/>
  <c r="AF105" i="1" s="1"/>
  <c r="N105" i="1"/>
  <c r="I105" i="1"/>
  <c r="AS42" i="1"/>
  <c r="AT42" i="1" s="1"/>
  <c r="AQ42" i="1"/>
  <c r="AE42" i="1"/>
  <c r="AF42" i="1" s="1"/>
  <c r="I42" i="1"/>
  <c r="AS131" i="1"/>
  <c r="AQ131" i="1"/>
  <c r="AU131" i="1" s="1"/>
  <c r="AV131" i="1" s="1"/>
  <c r="AE131" i="1"/>
  <c r="AF131" i="1" s="1"/>
  <c r="I131" i="1"/>
  <c r="AS14" i="1"/>
  <c r="AT14" i="1" s="1"/>
  <c r="AQ14" i="1"/>
  <c r="AU14" i="1" s="1"/>
  <c r="AV14" i="1" s="1"/>
  <c r="AE14" i="1"/>
  <c r="AF14" i="1" s="1"/>
  <c r="I14" i="1"/>
  <c r="AS36" i="1"/>
  <c r="AQ36" i="1"/>
  <c r="AE36" i="1"/>
  <c r="AF36" i="1" s="1"/>
  <c r="N36" i="1"/>
  <c r="I36" i="1"/>
  <c r="AS76" i="1"/>
  <c r="AT76" i="1" s="1"/>
  <c r="AQ76" i="1"/>
  <c r="AE76" i="1"/>
  <c r="AF76" i="1" s="1"/>
  <c r="N76" i="1"/>
  <c r="I76" i="1"/>
  <c r="AS133" i="1"/>
  <c r="AT133" i="1" s="1"/>
  <c r="AQ133" i="1"/>
  <c r="AU133" i="1" s="1"/>
  <c r="AV133" i="1" s="1"/>
  <c r="AE133" i="1"/>
  <c r="AF133" i="1" s="1"/>
  <c r="N133" i="1"/>
  <c r="I133" i="1"/>
  <c r="AS45" i="1"/>
  <c r="AT45" i="1" s="1"/>
  <c r="AQ45" i="1"/>
  <c r="AU45" i="1" s="1"/>
  <c r="AV45" i="1" s="1"/>
  <c r="AE45" i="1"/>
  <c r="AF45" i="1" s="1"/>
  <c r="I45" i="1"/>
  <c r="AS6" i="1"/>
  <c r="AT6" i="1" s="1"/>
  <c r="AQ6" i="1"/>
  <c r="AE6" i="1"/>
  <c r="AF6" i="1" s="1"/>
  <c r="I6" i="1"/>
  <c r="AS107" i="1"/>
  <c r="AQ107" i="1"/>
  <c r="AE107" i="1"/>
  <c r="AF107" i="1" s="1"/>
  <c r="I107" i="1"/>
  <c r="AS101" i="1"/>
  <c r="AT101" i="1" s="1"/>
  <c r="AQ101" i="1"/>
  <c r="AU101" i="1" s="1"/>
  <c r="AV101" i="1" s="1"/>
  <c r="AE101" i="1"/>
  <c r="AF101" i="1" s="1"/>
  <c r="I101" i="1"/>
  <c r="AS109" i="1"/>
  <c r="AT109" i="1" s="1"/>
  <c r="AQ109" i="1"/>
  <c r="AE109" i="1"/>
  <c r="AF109" i="1" s="1"/>
  <c r="N109" i="1"/>
  <c r="I109" i="1"/>
  <c r="AS33" i="1"/>
  <c r="AQ33" i="1"/>
  <c r="AE33" i="1"/>
  <c r="AF33" i="1" s="1"/>
  <c r="I33" i="1"/>
  <c r="AS123" i="1"/>
  <c r="AT123" i="1" s="1"/>
  <c r="AQ123" i="1"/>
  <c r="AU123" i="1" s="1"/>
  <c r="AV123" i="1" s="1"/>
  <c r="AE123" i="1"/>
  <c r="AF123" i="1" s="1"/>
  <c r="I123" i="1"/>
  <c r="AS122" i="1"/>
  <c r="AQ122" i="1"/>
  <c r="AE122" i="1"/>
  <c r="AF122" i="1" s="1"/>
  <c r="I122" i="1"/>
  <c r="AS132" i="1"/>
  <c r="AQ132" i="1"/>
  <c r="AE132" i="1"/>
  <c r="AF132" i="1" s="1"/>
  <c r="N132" i="1"/>
  <c r="I132" i="1"/>
  <c r="AS21" i="1"/>
  <c r="AQ21" i="1"/>
  <c r="AE21" i="1"/>
  <c r="AF21" i="1" s="1"/>
  <c r="I21" i="1"/>
  <c r="AS106" i="1"/>
  <c r="AQ106" i="1"/>
  <c r="AU106" i="1" s="1"/>
  <c r="AV106" i="1" s="1"/>
  <c r="AE106" i="1"/>
  <c r="AF106" i="1" s="1"/>
  <c r="I106" i="1"/>
  <c r="AS157" i="1"/>
  <c r="AQ157" i="1"/>
  <c r="AE157" i="1"/>
  <c r="AF157" i="1" s="1"/>
  <c r="I157" i="1"/>
  <c r="AS4" i="1"/>
  <c r="AT4" i="1" s="1"/>
  <c r="AQ4" i="1"/>
  <c r="AU4" i="1" s="1"/>
  <c r="AV4" i="1" s="1"/>
  <c r="AE4" i="1"/>
  <c r="AF4" i="1" s="1"/>
  <c r="I4" i="1"/>
  <c r="AS12" i="1"/>
  <c r="AT12" i="1" s="1"/>
  <c r="AQ12" i="1"/>
  <c r="AE12" i="1"/>
  <c r="AF12" i="1" s="1"/>
  <c r="I12" i="1"/>
  <c r="AS116" i="1"/>
  <c r="AQ116" i="1"/>
  <c r="AE116" i="1"/>
  <c r="AF116" i="1" s="1"/>
  <c r="N116" i="1"/>
  <c r="I116" i="1"/>
  <c r="AS119" i="1"/>
  <c r="AQ119" i="1"/>
  <c r="AE119" i="1"/>
  <c r="AF119" i="1" s="1"/>
  <c r="I119" i="1"/>
  <c r="AS121" i="1"/>
  <c r="AT121" i="1" s="1"/>
  <c r="AQ121" i="1"/>
  <c r="AE121" i="1"/>
  <c r="AF121" i="1" s="1"/>
  <c r="I121" i="1"/>
  <c r="AS88" i="1"/>
  <c r="AQ88" i="1"/>
  <c r="AE88" i="1"/>
  <c r="AF88" i="1" s="1"/>
  <c r="I88" i="1"/>
  <c r="AS120" i="1"/>
  <c r="AQ120" i="1"/>
  <c r="AE120" i="1"/>
  <c r="AF120" i="1" s="1"/>
  <c r="I120" i="1"/>
  <c r="AS30" i="1"/>
  <c r="AQ30" i="1"/>
  <c r="AU30" i="1" s="1"/>
  <c r="AV30" i="1" s="1"/>
  <c r="AE30" i="1"/>
  <c r="AF30" i="1" s="1"/>
  <c r="I30" i="1"/>
  <c r="AS49" i="1"/>
  <c r="AT49" i="1" s="1"/>
  <c r="AQ49" i="1"/>
  <c r="AU49" i="1" s="1"/>
  <c r="AV49" i="1" s="1"/>
  <c r="AE49" i="1"/>
  <c r="AF49" i="1" s="1"/>
  <c r="N49" i="1"/>
  <c r="I49" i="1"/>
  <c r="AS86" i="1"/>
  <c r="AQ86" i="1"/>
  <c r="AE86" i="1"/>
  <c r="AF86" i="1" s="1"/>
  <c r="N86" i="1"/>
  <c r="I86" i="1"/>
  <c r="AS77" i="1"/>
  <c r="AQ77" i="1"/>
  <c r="AU77" i="1" s="1"/>
  <c r="AV77" i="1" s="1"/>
  <c r="AE77" i="1"/>
  <c r="AF77" i="1" s="1"/>
  <c r="I77" i="1"/>
  <c r="AS26" i="1"/>
  <c r="AQ26" i="1"/>
  <c r="AE26" i="1"/>
  <c r="AF26" i="1" s="1"/>
  <c r="I26" i="1"/>
  <c r="AS17" i="1"/>
  <c r="AT17" i="1" s="1"/>
  <c r="AQ17" i="1"/>
  <c r="AE17" i="1"/>
  <c r="AF17" i="1" s="1"/>
  <c r="I17" i="1"/>
  <c r="AS18" i="1"/>
  <c r="AT18" i="1" s="1"/>
  <c r="AQ18" i="1"/>
  <c r="AU18" i="1" s="1"/>
  <c r="AV18" i="1" s="1"/>
  <c r="AE18" i="1"/>
  <c r="AF18" i="1" s="1"/>
  <c r="I18" i="1"/>
  <c r="AS124" i="1"/>
  <c r="AT124" i="1" s="1"/>
  <c r="AQ124" i="1"/>
  <c r="AE124" i="1"/>
  <c r="AF124" i="1" s="1"/>
  <c r="I124" i="1"/>
  <c r="AS80" i="1"/>
  <c r="AT80" i="1" s="1"/>
  <c r="AQ80" i="1"/>
  <c r="AU80" i="1" s="1"/>
  <c r="AV80" i="1" s="1"/>
  <c r="AE80" i="1"/>
  <c r="AF80" i="1" s="1"/>
  <c r="N80" i="1"/>
  <c r="I80" i="1"/>
  <c r="AS31" i="1"/>
  <c r="AT31" i="1" s="1"/>
  <c r="AQ31" i="1"/>
  <c r="AE31" i="1"/>
  <c r="AF31" i="1" s="1"/>
  <c r="I31" i="1"/>
  <c r="AS117" i="1"/>
  <c r="AQ117" i="1"/>
  <c r="AU117" i="1" s="1"/>
  <c r="AV117" i="1" s="1"/>
  <c r="AE117" i="1"/>
  <c r="AF117" i="1" s="1"/>
  <c r="N117" i="1"/>
  <c r="I117" i="1"/>
  <c r="AS22" i="1"/>
  <c r="AT22" i="1" s="1"/>
  <c r="AQ22" i="1"/>
  <c r="AU22" i="1" s="1"/>
  <c r="AV22" i="1" s="1"/>
  <c r="AE22" i="1"/>
  <c r="AF22" i="1" s="1"/>
  <c r="N22" i="1"/>
  <c r="I22" i="1"/>
  <c r="AS89" i="1"/>
  <c r="AQ89" i="1"/>
  <c r="AE89" i="1"/>
  <c r="AF89" i="1" s="1"/>
  <c r="N89" i="1"/>
  <c r="I89" i="1"/>
  <c r="AS146" i="1"/>
  <c r="AQ146" i="1"/>
  <c r="AU146" i="1" s="1"/>
  <c r="AV146" i="1" s="1"/>
  <c r="AE146" i="1"/>
  <c r="AF146" i="1" s="1"/>
  <c r="I146" i="1"/>
  <c r="AS37" i="1"/>
  <c r="AT37" i="1" s="1"/>
  <c r="AQ37" i="1"/>
  <c r="AE37" i="1"/>
  <c r="AF37" i="1" s="1"/>
  <c r="I37" i="1"/>
  <c r="AS83" i="1"/>
  <c r="AT83" i="1" s="1"/>
  <c r="AQ83" i="1"/>
  <c r="AE83" i="1"/>
  <c r="AF83" i="1" s="1"/>
  <c r="N83" i="1"/>
  <c r="I83" i="1"/>
  <c r="AS43" i="1"/>
  <c r="AT43" i="1" s="1"/>
  <c r="AQ43" i="1"/>
  <c r="AU43" i="1" s="1"/>
  <c r="AV43" i="1" s="1"/>
  <c r="AE43" i="1"/>
  <c r="AF43" i="1" s="1"/>
  <c r="N43" i="1"/>
  <c r="I43" i="1"/>
  <c r="AS10" i="1"/>
  <c r="AQ10" i="1"/>
  <c r="AE10" i="1"/>
  <c r="AF10" i="1" s="1"/>
  <c r="N10" i="1"/>
  <c r="I10" i="1"/>
  <c r="AS163" i="1"/>
  <c r="AT163" i="1" s="1"/>
  <c r="AQ163" i="1"/>
  <c r="AE163" i="1"/>
  <c r="AF163" i="1" s="1"/>
  <c r="N163" i="1"/>
  <c r="I163" i="1"/>
  <c r="AS152" i="1"/>
  <c r="AT152" i="1" s="1"/>
  <c r="AQ152" i="1"/>
  <c r="AE152" i="1"/>
  <c r="AF152" i="1" s="1"/>
  <c r="I152" i="1"/>
  <c r="AS110" i="1"/>
  <c r="AT110" i="1" s="1"/>
  <c r="AQ110" i="1"/>
  <c r="AU110" i="1" s="1"/>
  <c r="AV110" i="1" s="1"/>
  <c r="AE110" i="1"/>
  <c r="AF110" i="1" s="1"/>
  <c r="I110" i="1"/>
  <c r="AS151" i="1"/>
  <c r="AT151" i="1" s="1"/>
  <c r="AQ151" i="1"/>
  <c r="AU151" i="1" s="1"/>
  <c r="AV151" i="1" s="1"/>
  <c r="AE151" i="1"/>
  <c r="AF151" i="1" s="1"/>
  <c r="N151" i="1"/>
  <c r="I151" i="1"/>
  <c r="AS47" i="1"/>
  <c r="AT47" i="1" s="1"/>
  <c r="AQ47" i="1"/>
  <c r="AU47" i="1" s="1"/>
  <c r="AV47" i="1" s="1"/>
  <c r="AE47" i="1"/>
  <c r="AF47" i="1" s="1"/>
  <c r="N47" i="1"/>
  <c r="I47" i="1"/>
  <c r="AS25" i="1"/>
  <c r="AT25" i="1" s="1"/>
  <c r="AQ25" i="1"/>
  <c r="AE25" i="1"/>
  <c r="AF25" i="1" s="1"/>
  <c r="N25" i="1"/>
  <c r="I25" i="1"/>
  <c r="AS28" i="1"/>
  <c r="AT28" i="1" s="1"/>
  <c r="AQ28" i="1"/>
  <c r="AU28" i="1" s="1"/>
  <c r="AV28" i="1" s="1"/>
  <c r="AE28" i="1"/>
  <c r="AF28" i="1" s="1"/>
  <c r="N28" i="1"/>
  <c r="I28" i="1"/>
  <c r="AS53" i="1"/>
  <c r="AQ53" i="1"/>
  <c r="AE53" i="1"/>
  <c r="AF53" i="1" s="1"/>
  <c r="I53" i="1"/>
  <c r="AS114" i="1"/>
  <c r="AQ114" i="1"/>
  <c r="AU114" i="1" s="1"/>
  <c r="AV114" i="1" s="1"/>
  <c r="AE114" i="1"/>
  <c r="AF114" i="1" s="1"/>
  <c r="N114" i="1"/>
  <c r="I114" i="1"/>
  <c r="AS20" i="1"/>
  <c r="AT20" i="1" s="1"/>
  <c r="AQ20" i="1"/>
  <c r="AE20" i="1"/>
  <c r="AF20" i="1" s="1"/>
  <c r="N20" i="1"/>
  <c r="I20" i="1"/>
  <c r="AS90" i="1"/>
  <c r="AQ90" i="1"/>
  <c r="AE90" i="1"/>
  <c r="AF90" i="1" s="1"/>
  <c r="I90" i="1"/>
  <c r="AS153" i="1"/>
  <c r="AT153" i="1" s="1"/>
  <c r="AQ153" i="1"/>
  <c r="AE153" i="1"/>
  <c r="AF153" i="1" s="1"/>
  <c r="I153" i="1"/>
  <c r="AS32" i="1"/>
  <c r="AQ32" i="1"/>
  <c r="AE32" i="1"/>
  <c r="AF32" i="1" s="1"/>
  <c r="N32" i="1"/>
  <c r="I32" i="1"/>
  <c r="AS97" i="1"/>
  <c r="AT97" i="1" s="1"/>
  <c r="AQ97" i="1"/>
  <c r="AU97" i="1" s="1"/>
  <c r="AV97" i="1" s="1"/>
  <c r="AE97" i="1"/>
  <c r="AF97" i="1" s="1"/>
  <c r="N97" i="1"/>
  <c r="I97" i="1"/>
  <c r="AS144" i="1"/>
  <c r="AQ144" i="1"/>
  <c r="AE144" i="1"/>
  <c r="AF144" i="1" s="1"/>
  <c r="I144" i="1"/>
  <c r="AS11" i="1"/>
  <c r="AT11" i="1" s="1"/>
  <c r="AQ11" i="1"/>
  <c r="AE11" i="1"/>
  <c r="AF11" i="1" s="1"/>
  <c r="N11" i="1"/>
  <c r="I11" i="1"/>
  <c r="AS95" i="1"/>
  <c r="AQ95" i="1"/>
  <c r="AE95" i="1"/>
  <c r="AF95" i="1" s="1"/>
  <c r="N95" i="1"/>
  <c r="I95" i="1"/>
  <c r="AS139" i="1"/>
  <c r="AT139" i="1" s="1"/>
  <c r="AQ139" i="1"/>
  <c r="AU139" i="1" s="1"/>
  <c r="AV139" i="1" s="1"/>
  <c r="AE139" i="1"/>
  <c r="AF139" i="1" s="1"/>
  <c r="N139" i="1"/>
  <c r="I139" i="1"/>
  <c r="AS41" i="1"/>
  <c r="AT41" i="1" s="1"/>
  <c r="AQ41" i="1"/>
  <c r="AU41" i="1" s="1"/>
  <c r="AV41" i="1" s="1"/>
  <c r="AE41" i="1"/>
  <c r="AF41" i="1" s="1"/>
  <c r="I41" i="1"/>
  <c r="AS156" i="1"/>
  <c r="AQ156" i="1"/>
  <c r="AE156" i="1"/>
  <c r="AF156" i="1" s="1"/>
  <c r="I156" i="1"/>
  <c r="AS150" i="1"/>
  <c r="AT150" i="1" s="1"/>
  <c r="AQ150" i="1"/>
  <c r="AU150" i="1" s="1"/>
  <c r="AV150" i="1" s="1"/>
  <c r="AE150" i="1"/>
  <c r="AF150" i="1" s="1"/>
  <c r="N150" i="1"/>
  <c r="I150" i="1"/>
  <c r="AR150" i="1" l="1"/>
  <c r="AR107" i="1"/>
  <c r="AW69" i="1"/>
  <c r="AW78" i="1"/>
  <c r="AW105" i="1"/>
  <c r="AW12" i="1"/>
  <c r="AW129" i="1"/>
  <c r="AW62" i="1"/>
  <c r="AU62" i="1"/>
  <c r="AV62" i="1" s="1"/>
  <c r="AU12" i="1"/>
  <c r="AV12" i="1" s="1"/>
  <c r="AU72" i="1"/>
  <c r="AV72" i="1" s="1"/>
  <c r="AR72" i="1"/>
  <c r="AW125" i="1"/>
  <c r="AW83" i="1"/>
  <c r="AW89" i="1"/>
  <c r="AW77" i="1"/>
  <c r="AR146" i="1"/>
  <c r="AW107" i="1"/>
  <c r="AR133" i="1"/>
  <c r="AR99" i="1"/>
  <c r="AR154" i="1"/>
  <c r="AR141" i="1"/>
  <c r="AR116" i="1"/>
  <c r="AU105" i="1"/>
  <c r="AV105" i="1" s="1"/>
  <c r="AW100" i="1"/>
  <c r="AW156" i="1"/>
  <c r="AW132" i="1"/>
  <c r="AU132" i="1"/>
  <c r="AV132" i="1" s="1"/>
  <c r="AW86" i="1"/>
  <c r="AU86" i="1"/>
  <c r="AV86" i="1" s="1"/>
  <c r="AR144" i="1"/>
  <c r="AR90" i="1"/>
  <c r="AW90" i="1"/>
  <c r="AU90" i="1"/>
  <c r="AV90" i="1" s="1"/>
  <c r="AW153" i="1"/>
  <c r="AR56" i="1"/>
  <c r="AU119" i="1"/>
  <c r="AV119" i="1" s="1"/>
  <c r="AR119" i="1"/>
  <c r="AR53" i="1"/>
  <c r="AW136" i="1"/>
  <c r="AW52" i="1"/>
  <c r="AR52" i="1"/>
  <c r="AW37" i="1"/>
  <c r="AW51" i="1"/>
  <c r="AR152" i="1"/>
  <c r="AR26" i="1"/>
  <c r="AW25" i="1"/>
  <c r="AR157" i="1"/>
  <c r="AU107" i="1"/>
  <c r="AV107" i="1" s="1"/>
  <c r="AR6" i="1"/>
  <c r="AR91" i="1"/>
  <c r="AU91" i="1"/>
  <c r="AV91" i="1" s="1"/>
  <c r="AU75" i="1"/>
  <c r="AV75" i="1" s="1"/>
  <c r="AR75" i="1"/>
  <c r="AR66" i="1"/>
  <c r="AR145" i="1"/>
  <c r="AR130" i="1"/>
  <c r="AR69" i="1"/>
  <c r="AU69" i="1"/>
  <c r="AV69" i="1" s="1"/>
  <c r="AW64" i="1"/>
  <c r="AW135" i="1"/>
  <c r="AR64" i="1"/>
  <c r="AR38" i="1"/>
  <c r="AR164" i="1"/>
  <c r="AW92" i="1"/>
  <c r="AW55" i="1"/>
  <c r="AW38" i="1"/>
  <c r="AU164" i="1"/>
  <c r="AV164" i="1" s="1"/>
  <c r="AR92" i="1"/>
  <c r="AW108" i="1"/>
  <c r="AR22" i="1"/>
  <c r="AT157" i="1"/>
  <c r="AR156" i="1"/>
  <c r="AR139" i="1"/>
  <c r="AT144" i="1"/>
  <c r="AT90" i="1"/>
  <c r="AT89" i="1"/>
  <c r="AT77" i="1"/>
  <c r="AU144" i="1"/>
  <c r="AV144" i="1" s="1"/>
  <c r="AU152" i="1"/>
  <c r="AV152" i="1" s="1"/>
  <c r="AW152" i="1"/>
  <c r="AR20" i="1"/>
  <c r="AR28" i="1"/>
  <c r="AT116" i="1"/>
  <c r="AT156" i="1"/>
  <c r="AU156" i="1"/>
  <c r="AV156" i="1" s="1"/>
  <c r="AW95" i="1"/>
  <c r="AR32" i="1"/>
  <c r="AW32" i="1"/>
  <c r="AW114" i="1"/>
  <c r="AR151" i="1"/>
  <c r="AW117" i="1"/>
  <c r="AR117" i="1"/>
  <c r="AT106" i="1"/>
  <c r="AR114" i="1"/>
  <c r="AT10" i="1"/>
  <c r="AU95" i="1"/>
  <c r="AV95" i="1" s="1"/>
  <c r="AT32" i="1"/>
  <c r="AW139" i="1"/>
  <c r="AU32" i="1"/>
  <c r="AV32" i="1" s="1"/>
  <c r="AT114" i="1"/>
  <c r="AU163" i="1"/>
  <c r="AV163" i="1" s="1"/>
  <c r="AR163" i="1"/>
  <c r="AT146" i="1"/>
  <c r="AW163" i="1"/>
  <c r="AR10" i="1"/>
  <c r="AT36" i="1"/>
  <c r="AW122" i="1"/>
  <c r="AU122" i="1"/>
  <c r="AV122" i="1" s="1"/>
  <c r="AR33" i="1"/>
  <c r="AT107" i="1"/>
  <c r="AR131" i="1"/>
  <c r="AR43" i="1"/>
  <c r="AR124" i="1"/>
  <c r="AT26" i="1"/>
  <c r="AR122" i="1"/>
  <c r="AU76" i="1"/>
  <c r="AV76" i="1" s="1"/>
  <c r="AR76" i="1"/>
  <c r="AW17" i="1"/>
  <c r="AW120" i="1"/>
  <c r="AT88" i="1"/>
  <c r="AT21" i="1"/>
  <c r="AT33" i="1"/>
  <c r="AW131" i="1"/>
  <c r="AT30" i="1"/>
  <c r="AW21" i="1"/>
  <c r="AU33" i="1"/>
  <c r="AV33" i="1" s="1"/>
  <c r="AR125" i="1"/>
  <c r="AU125" i="1"/>
  <c r="AV125" i="1" s="1"/>
  <c r="AR8" i="1"/>
  <c r="AU8" i="1"/>
  <c r="AV8" i="1" s="1"/>
  <c r="AW97" i="1"/>
  <c r="AR86" i="1"/>
  <c r="AW49" i="1"/>
  <c r="AW33" i="1"/>
  <c r="AT8" i="1"/>
  <c r="AU68" i="1"/>
  <c r="AV68" i="1" s="1"/>
  <c r="AW68" i="1"/>
  <c r="AU142" i="1"/>
  <c r="AV142" i="1" s="1"/>
  <c r="AR142" i="1"/>
  <c r="AW11" i="1"/>
  <c r="AW110" i="1"/>
  <c r="AR4" i="1"/>
  <c r="AT68" i="1"/>
  <c r="AR12" i="1"/>
  <c r="AR42" i="1"/>
  <c r="AW19" i="1"/>
  <c r="AT50" i="1"/>
  <c r="AT131" i="1"/>
  <c r="AR70" i="1"/>
  <c r="AT72" i="1"/>
  <c r="AT56" i="1"/>
  <c r="AW3" i="1"/>
  <c r="AU3" i="1"/>
  <c r="AV3" i="1" s="1"/>
  <c r="AR3" i="1"/>
  <c r="AR161" i="1"/>
  <c r="AW46" i="1"/>
  <c r="AR103" i="1"/>
  <c r="AW103" i="1"/>
  <c r="AU103" i="1"/>
  <c r="AV103" i="1" s="1"/>
  <c r="AT115" i="1"/>
  <c r="AW161" i="1"/>
  <c r="AR147" i="1"/>
  <c r="AU147" i="1"/>
  <c r="AV147" i="1" s="1"/>
  <c r="AR35" i="1"/>
  <c r="AR67" i="1"/>
  <c r="AU84" i="1"/>
  <c r="AV84" i="1" s="1"/>
  <c r="AW84" i="1"/>
  <c r="AR111" i="1"/>
  <c r="AR46" i="1"/>
  <c r="AW130" i="1"/>
  <c r="AU52" i="1"/>
  <c r="AV52" i="1" s="1"/>
  <c r="AU64" i="1"/>
  <c r="AV64" i="1" s="1"/>
  <c r="AT35" i="1"/>
  <c r="AT126" i="1"/>
  <c r="AU104" i="1"/>
  <c r="AV104" i="1" s="1"/>
  <c r="AW104" i="1"/>
  <c r="AU35" i="1"/>
  <c r="AV35" i="1" s="1"/>
  <c r="AW29" i="1"/>
  <c r="AU29" i="1"/>
  <c r="AV29" i="1" s="1"/>
  <c r="AW35" i="1"/>
  <c r="AW60" i="1"/>
  <c r="AU60" i="1"/>
  <c r="AV60" i="1" s="1"/>
  <c r="AR78" i="1"/>
  <c r="AR62" i="1"/>
  <c r="AR60" i="1"/>
  <c r="AW147" i="1"/>
  <c r="AT75" i="1"/>
  <c r="AR48" i="1"/>
  <c r="AR140" i="1"/>
  <c r="AT93" i="1"/>
  <c r="AW91" i="1"/>
  <c r="AT140" i="1"/>
  <c r="AT154" i="1"/>
  <c r="AT135" i="1"/>
  <c r="AU48" i="1"/>
  <c r="AV48" i="1" s="1"/>
  <c r="AU98" i="1"/>
  <c r="AV98" i="1" s="1"/>
  <c r="AW98" i="1"/>
  <c r="AR159" i="1"/>
  <c r="AU159" i="1"/>
  <c r="AV159" i="1" s="1"/>
  <c r="AW159" i="1"/>
  <c r="AT108" i="1"/>
  <c r="AR82" i="1"/>
  <c r="AU82" i="1"/>
  <c r="AV82" i="1" s="1"/>
  <c r="AW39" i="1"/>
  <c r="AW164" i="1"/>
  <c r="AR34" i="1"/>
  <c r="AR129" i="1"/>
  <c r="AW74" i="1"/>
  <c r="AU74" i="1"/>
  <c r="AV74" i="1" s="1"/>
  <c r="AR74" i="1"/>
  <c r="AT165" i="1"/>
  <c r="AR149" i="1"/>
  <c r="AR134" i="1"/>
  <c r="AW134" i="1"/>
  <c r="AW85" i="1"/>
  <c r="AT96" i="1"/>
  <c r="AT164" i="1"/>
  <c r="AW154" i="1"/>
  <c r="AR85" i="1"/>
  <c r="AT95" i="1"/>
  <c r="AR153" i="1"/>
  <c r="AR37" i="1"/>
  <c r="AW6" i="1"/>
  <c r="AU6" i="1"/>
  <c r="AV6" i="1" s="1"/>
  <c r="AW58" i="1"/>
  <c r="AU58" i="1"/>
  <c r="AV58" i="1" s="1"/>
  <c r="AR58" i="1"/>
  <c r="AW44" i="1"/>
  <c r="AU44" i="1"/>
  <c r="AV44" i="1" s="1"/>
  <c r="AR44" i="1"/>
  <c r="AW145" i="1"/>
  <c r="AU145" i="1"/>
  <c r="AV145" i="1" s="1"/>
  <c r="AW54" i="1"/>
  <c r="AU54" i="1"/>
  <c r="AV54" i="1" s="1"/>
  <c r="AR54" i="1"/>
  <c r="AR120" i="1"/>
  <c r="AW88" i="1"/>
  <c r="AU88" i="1"/>
  <c r="AV88" i="1" s="1"/>
  <c r="AR106" i="1"/>
  <c r="AW106" i="1"/>
  <c r="AT122" i="1"/>
  <c r="AW24" i="1"/>
  <c r="AU24" i="1"/>
  <c r="AV24" i="1" s="1"/>
  <c r="AR24" i="1"/>
  <c r="AT58" i="1"/>
  <c r="AT54" i="1"/>
  <c r="AT94" i="1"/>
  <c r="AT125" i="1"/>
  <c r="AW66" i="1"/>
  <c r="AU66" i="1"/>
  <c r="AV66" i="1" s="1"/>
  <c r="AW31" i="1"/>
  <c r="AR11" i="1"/>
  <c r="AW144" i="1"/>
  <c r="AT117" i="1"/>
  <c r="AR31" i="1"/>
  <c r="AR17" i="1"/>
  <c r="AR88" i="1"/>
  <c r="AR121" i="1"/>
  <c r="AT119" i="1"/>
  <c r="AR101" i="1"/>
  <c r="AW112" i="1"/>
  <c r="AU112" i="1"/>
  <c r="AV112" i="1" s="1"/>
  <c r="AW87" i="1"/>
  <c r="AU87" i="1"/>
  <c r="AV87" i="1" s="1"/>
  <c r="AR87" i="1"/>
  <c r="AT147" i="1"/>
  <c r="AW81" i="1"/>
  <c r="AU81" i="1"/>
  <c r="AV81" i="1" s="1"/>
  <c r="AR81" i="1"/>
  <c r="AW42" i="1"/>
  <c r="AU42" i="1"/>
  <c r="AV42" i="1" s="1"/>
  <c r="AW126" i="1"/>
  <c r="AU126" i="1"/>
  <c r="AV126" i="1" s="1"/>
  <c r="AR126" i="1"/>
  <c r="AW93" i="1"/>
  <c r="AR80" i="1"/>
  <c r="AU124" i="1"/>
  <c r="AV124" i="1" s="1"/>
  <c r="AU153" i="1"/>
  <c r="AV153" i="1" s="1"/>
  <c r="AW124" i="1"/>
  <c r="AW18" i="1"/>
  <c r="AT120" i="1"/>
  <c r="AW14" i="1"/>
  <c r="AW8" i="1"/>
  <c r="AR112" i="1"/>
  <c r="AW61" i="1"/>
  <c r="AU61" i="1"/>
  <c r="AV61" i="1" s="1"/>
  <c r="AU23" i="1"/>
  <c r="AV23" i="1" s="1"/>
  <c r="AW23" i="1"/>
  <c r="AR23" i="1"/>
  <c r="AT73" i="1"/>
  <c r="AT78" i="1"/>
  <c r="AR83" i="1"/>
  <c r="AU37" i="1"/>
  <c r="AV37" i="1" s="1"/>
  <c r="AU20" i="1"/>
  <c r="AV20" i="1" s="1"/>
  <c r="AR25" i="1"/>
  <c r="AR97" i="1"/>
  <c r="AR110" i="1"/>
  <c r="AW20" i="1"/>
  <c r="AT53" i="1"/>
  <c r="AU83" i="1"/>
  <c r="AV83" i="1" s="1"/>
  <c r="AU89" i="1"/>
  <c r="AV89" i="1" s="1"/>
  <c r="AW22" i="1"/>
  <c r="AR18" i="1"/>
  <c r="AU17" i="1"/>
  <c r="AV17" i="1" s="1"/>
  <c r="AU120" i="1"/>
  <c r="AV120" i="1" s="1"/>
  <c r="AU121" i="1"/>
  <c r="AV121" i="1" s="1"/>
  <c r="AR132" i="1"/>
  <c r="AW123" i="1"/>
  <c r="AR123" i="1"/>
  <c r="AW36" i="1"/>
  <c r="AU36" i="1"/>
  <c r="AV36" i="1" s="1"/>
  <c r="AR36" i="1"/>
  <c r="AR105" i="1"/>
  <c r="AW79" i="1"/>
  <c r="AU79" i="1"/>
  <c r="AV79" i="1" s="1"/>
  <c r="AR136" i="1"/>
  <c r="AR57" i="1"/>
  <c r="AR61" i="1"/>
  <c r="AT23" i="1"/>
  <c r="AW10" i="1"/>
  <c r="AU10" i="1"/>
  <c r="AV10" i="1" s="1"/>
  <c r="AR14" i="1"/>
  <c r="AW53" i="1"/>
  <c r="AU53" i="1"/>
  <c r="AV53" i="1" s="1"/>
  <c r="AR47" i="1"/>
  <c r="AR89" i="1"/>
  <c r="AR41" i="1"/>
  <c r="AU11" i="1"/>
  <c r="AV11" i="1" s="1"/>
  <c r="AU25" i="1"/>
  <c r="AV25" i="1" s="1"/>
  <c r="AW47" i="1"/>
  <c r="AW43" i="1"/>
  <c r="AW146" i="1"/>
  <c r="AU31" i="1"/>
  <c r="AV31" i="1" s="1"/>
  <c r="AW80" i="1"/>
  <c r="AR77" i="1"/>
  <c r="AW116" i="1"/>
  <c r="AU116" i="1"/>
  <c r="AV116" i="1" s="1"/>
  <c r="AU21" i="1"/>
  <c r="AV21" i="1" s="1"/>
  <c r="AR21" i="1"/>
  <c r="AT132" i="1"/>
  <c r="AW109" i="1"/>
  <c r="AU109" i="1"/>
  <c r="AV109" i="1" s="1"/>
  <c r="AR109" i="1"/>
  <c r="AW101" i="1"/>
  <c r="AR79" i="1"/>
  <c r="AW118" i="1"/>
  <c r="AU118" i="1"/>
  <c r="AV118" i="1" s="1"/>
  <c r="AR118" i="1"/>
  <c r="AW141" i="1"/>
  <c r="AU141" i="1"/>
  <c r="AV141" i="1" s="1"/>
  <c r="AT52" i="1"/>
  <c r="AW27" i="1"/>
  <c r="AU27" i="1"/>
  <c r="AV27" i="1" s="1"/>
  <c r="AR27" i="1"/>
  <c r="AW150" i="1"/>
  <c r="AW41" i="1"/>
  <c r="AW28" i="1"/>
  <c r="AW151" i="1"/>
  <c r="AW30" i="1"/>
  <c r="AW121" i="1"/>
  <c r="AW119" i="1"/>
  <c r="AW138" i="1"/>
  <c r="AU138" i="1"/>
  <c r="AV138" i="1" s="1"/>
  <c r="AR138" i="1"/>
  <c r="AW59" i="1"/>
  <c r="AW65" i="1"/>
  <c r="AU65" i="1"/>
  <c r="AV65" i="1" s="1"/>
  <c r="AR65" i="1"/>
  <c r="AR5" i="1"/>
  <c r="AW5" i="1"/>
  <c r="AW13" i="1"/>
  <c r="AU13" i="1"/>
  <c r="AV13" i="1" s="1"/>
  <c r="AR13" i="1"/>
  <c r="AU165" i="1"/>
  <c r="AV165" i="1" s="1"/>
  <c r="AW165" i="1"/>
  <c r="AR165" i="1"/>
  <c r="AR30" i="1"/>
  <c r="AW157" i="1"/>
  <c r="AU157" i="1"/>
  <c r="AV157" i="1" s="1"/>
  <c r="AR95" i="1"/>
  <c r="AW26" i="1"/>
  <c r="AU26" i="1"/>
  <c r="AV26" i="1" s="1"/>
  <c r="AT86" i="1"/>
  <c r="AR49" i="1"/>
  <c r="AT118" i="1"/>
  <c r="AW57" i="1"/>
  <c r="AT161" i="1"/>
  <c r="AR51" i="1"/>
  <c r="AT62" i="1"/>
  <c r="AR127" i="1"/>
  <c r="AW127" i="1"/>
  <c r="AW45" i="1"/>
  <c r="AW158" i="1"/>
  <c r="AW113" i="1"/>
  <c r="AW9" i="1"/>
  <c r="AW162" i="1"/>
  <c r="AW63" i="1"/>
  <c r="AW50" i="1"/>
  <c r="AW99" i="1"/>
  <c r="AW140" i="1"/>
  <c r="AU140" i="1"/>
  <c r="AV140" i="1" s="1"/>
  <c r="AT82" i="1"/>
  <c r="AR73" i="1"/>
  <c r="AW73" i="1"/>
  <c r="AU73" i="1"/>
  <c r="AV73" i="1" s="1"/>
  <c r="AU94" i="1"/>
  <c r="AV94" i="1" s="1"/>
  <c r="AW94" i="1"/>
  <c r="AR94" i="1"/>
  <c r="AU149" i="1"/>
  <c r="AV149" i="1" s="1"/>
  <c r="AW149" i="1"/>
  <c r="AW102" i="1"/>
  <c r="AU102" i="1"/>
  <c r="AV102" i="1" s="1"/>
  <c r="AW148" i="1"/>
  <c r="AU148" i="1"/>
  <c r="AV148" i="1" s="1"/>
  <c r="AR148" i="1"/>
  <c r="AR137" i="1"/>
  <c r="AW137" i="1"/>
  <c r="AW4" i="1"/>
  <c r="AW133" i="1"/>
  <c r="AW76" i="1"/>
  <c r="AR68" i="1"/>
  <c r="AW70" i="1"/>
  <c r="AW142" i="1"/>
  <c r="AW56" i="1"/>
  <c r="AW111" i="1"/>
  <c r="AR155" i="1"/>
  <c r="AT5" i="1"/>
  <c r="AR102" i="1"/>
  <c r="AR29" i="1"/>
  <c r="AW166" i="1"/>
  <c r="AU166" i="1"/>
  <c r="AV166" i="1" s="1"/>
  <c r="AR166" i="1"/>
  <c r="AR15" i="1"/>
  <c r="AT34" i="1"/>
  <c r="AR71" i="1"/>
  <c r="AW71" i="1"/>
  <c r="AU71" i="1"/>
  <c r="AV71" i="1" s="1"/>
  <c r="AR45" i="1"/>
  <c r="AR158" i="1"/>
  <c r="AR113" i="1"/>
  <c r="AR9" i="1"/>
  <c r="AR162" i="1"/>
  <c r="AR63" i="1"/>
  <c r="AR50" i="1"/>
  <c r="AR19" i="1"/>
  <c r="AU96" i="1"/>
  <c r="AV96" i="1" s="1"/>
  <c r="AW96" i="1"/>
  <c r="AR59" i="1"/>
  <c r="AU67" i="1"/>
  <c r="AV67" i="1" s="1"/>
  <c r="AW72" i="1"/>
  <c r="AT166" i="1"/>
  <c r="AR104" i="1"/>
  <c r="AR160" i="1"/>
  <c r="AW160" i="1"/>
  <c r="AR96" i="1"/>
  <c r="AR55" i="1"/>
  <c r="AR40" i="1"/>
  <c r="AW40" i="1"/>
  <c r="AR84" i="1"/>
  <c r="AU128" i="1"/>
  <c r="AV128" i="1" s="1"/>
  <c r="AW128" i="1"/>
  <c r="AR128" i="1"/>
  <c r="AW155" i="1"/>
  <c r="AW67" i="1"/>
  <c r="AR39" i="1"/>
  <c r="AR135" i="1"/>
  <c r="AW48" i="1"/>
  <c r="AT40" i="1"/>
  <c r="AW16" i="1"/>
  <c r="AU16" i="1"/>
  <c r="AV16" i="1" s="1"/>
  <c r="AR16" i="1"/>
  <c r="AW115" i="1"/>
  <c r="AU115" i="1"/>
  <c r="AV115" i="1" s="1"/>
  <c r="AR115" i="1"/>
  <c r="AW143" i="1"/>
  <c r="AW7" i="1"/>
  <c r="AW15" i="1"/>
  <c r="AU129" i="1"/>
  <c r="AV129" i="1" s="1"/>
  <c r="AW82" i="1"/>
  <c r="AW34" i="1"/>
  <c r="AR7" i="1"/>
  <c r="AR98" i="1"/>
  <c r="AR108" i="1"/>
  <c r="AR93" i="1"/>
  <c r="AR143" i="1"/>
  <c r="AU100" i="1"/>
  <c r="AV100" i="1" s="1"/>
  <c r="AR100" i="1"/>
  <c r="AW75" i="1"/>
  <c r="AU108" i="1"/>
  <c r="AV108" i="1" s="1"/>
</calcChain>
</file>

<file path=xl/sharedStrings.xml><?xml version="1.0" encoding="utf-8"?>
<sst xmlns="http://schemas.openxmlformats.org/spreadsheetml/2006/main" count="4332" uniqueCount="1471">
  <si>
    <t>Vmag</t>
  </si>
  <si>
    <t>_</t>
  </si>
  <si>
    <t>A</t>
  </si>
  <si>
    <t>B</t>
  </si>
  <si>
    <t>C</t>
  </si>
  <si>
    <t>Y</t>
  </si>
  <si>
    <t>HIP#</t>
  </si>
  <si>
    <t>Comp (from CCDM, WDS, or assigned)</t>
  </si>
  <si>
    <t>TIC#</t>
  </si>
  <si>
    <t>HD#</t>
  </si>
  <si>
    <t>HR#</t>
  </si>
  <si>
    <t>GJ#</t>
  </si>
  <si>
    <t>ID/Con</t>
  </si>
  <si>
    <t>CommonID</t>
  </si>
  <si>
    <t>DistPc</t>
  </si>
  <si>
    <t>plx</t>
  </si>
  <si>
    <t>eplx</t>
  </si>
  <si>
    <t>Ref_plx</t>
  </si>
  <si>
    <t>_RAJ2000</t>
  </si>
  <si>
    <t>_DEJ2000</t>
  </si>
  <si>
    <t>eVmag</t>
  </si>
  <si>
    <t>Ref</t>
  </si>
  <si>
    <t>B-V</t>
  </si>
  <si>
    <t>eB-V</t>
  </si>
  <si>
    <t>Rcmag</t>
  </si>
  <si>
    <t>refRcmag</t>
  </si>
  <si>
    <t>SpT</t>
  </si>
  <si>
    <t>Ref_SpT</t>
  </si>
  <si>
    <t>Teff</t>
  </si>
  <si>
    <t>eTeff</t>
  </si>
  <si>
    <t>ref_Teff</t>
  </si>
  <si>
    <t>log(L/Lsun)</t>
  </si>
  <si>
    <t>e_logL</t>
  </si>
  <si>
    <t>ref(logL)</t>
  </si>
  <si>
    <t>R*[Rsun]</t>
  </si>
  <si>
    <t>Diam*[mas]</t>
  </si>
  <si>
    <t>Msun</t>
  </si>
  <si>
    <t>met</t>
  </si>
  <si>
    <t>e_met</t>
  </si>
  <si>
    <t>metratio</t>
  </si>
  <si>
    <t>ref_met</t>
  </si>
  <si>
    <t>log(g)</t>
  </si>
  <si>
    <t>elog(g)</t>
  </si>
  <si>
    <t>ref_logg</t>
  </si>
  <si>
    <t>logR'HK</t>
  </si>
  <si>
    <t>RefR'HK</t>
  </si>
  <si>
    <t>EEIDau</t>
  </si>
  <si>
    <t>EEIDmas</t>
  </si>
  <si>
    <t>Contrast</t>
  </si>
  <si>
    <t>Rcmag(EarthTwin)</t>
  </si>
  <si>
    <t>P(day)</t>
  </si>
  <si>
    <t>K(cm/s)</t>
  </si>
  <si>
    <t>a(uas)</t>
  </si>
  <si>
    <t>WDS_J</t>
  </si>
  <si>
    <t>Comp_WDS</t>
  </si>
  <si>
    <t>Sep"</t>
  </si>
  <si>
    <t>Del(Mag)</t>
  </si>
  <si>
    <t>sy_disksflag</t>
  </si>
  <si>
    <t>ref_disk</t>
  </si>
  <si>
    <t>groupflag</t>
  </si>
  <si>
    <t>[Fe/H]</t>
  </si>
  <si>
    <t>hip_name</t>
  </si>
  <si>
    <t>hip_compname</t>
  </si>
  <si>
    <t>tic_id</t>
  </si>
  <si>
    <t>hd_name</t>
  </si>
  <si>
    <t>hr_name</t>
  </si>
  <si>
    <t>gj_name</t>
  </si>
  <si>
    <t>constellation</t>
  </si>
  <si>
    <t>hostname</t>
  </si>
  <si>
    <t>sy_dist</t>
  </si>
  <si>
    <t>sy_plx</t>
  </si>
  <si>
    <t>sy_plxerr</t>
  </si>
  <si>
    <t>sy_plx_reflink</t>
  </si>
  <si>
    <t>ra</t>
  </si>
  <si>
    <t>dec</t>
  </si>
  <si>
    <t>sy_vmag</t>
  </si>
  <si>
    <t>sy_vmagerr</t>
  </si>
  <si>
    <t>sy_vmag_reflink</t>
  </si>
  <si>
    <t>sy_bvmag</t>
  </si>
  <si>
    <t>sy_bvmagerr</t>
  </si>
  <si>
    <t>sy_bvmag_reflink</t>
  </si>
  <si>
    <t>sy_rcmag</t>
  </si>
  <si>
    <t>sy_rcmag_reflink</t>
  </si>
  <si>
    <t>st_spectype</t>
  </si>
  <si>
    <t>st_spectype_reflink</t>
  </si>
  <si>
    <t>st_teff</t>
  </si>
  <si>
    <t>st_tefferr</t>
  </si>
  <si>
    <t>st_teff_reflink</t>
  </si>
  <si>
    <t>st_lum</t>
  </si>
  <si>
    <t>st_lumerr</t>
  </si>
  <si>
    <t>st_lum_reflink</t>
  </si>
  <si>
    <t>st_rad</t>
  </si>
  <si>
    <t>st_diam</t>
  </si>
  <si>
    <t>st_mass</t>
  </si>
  <si>
    <t>st_met</t>
  </si>
  <si>
    <t>st_meterr</t>
  </si>
  <si>
    <t>st_metratio</t>
  </si>
  <si>
    <t>st_met_reflink</t>
  </si>
  <si>
    <t>st_logg</t>
  </si>
  <si>
    <t>st_loggerr</t>
  </si>
  <si>
    <t>st_logg_reflink</t>
  </si>
  <si>
    <t>st_log_rhk</t>
  </si>
  <si>
    <t>st_log_rhk_reflink</t>
  </si>
  <si>
    <t>st_eei_orbsep</t>
  </si>
  <si>
    <t>st_eei_angsep</t>
  </si>
  <si>
    <t>st_etwin_bratio</t>
  </si>
  <si>
    <t>st_etwin_rcmag</t>
  </si>
  <si>
    <t>st_eei_orbper</t>
  </si>
  <si>
    <t>st_etwin_rvamp</t>
  </si>
  <si>
    <t>st_etwin_astamp</t>
  </si>
  <si>
    <t>wds_designation</t>
  </si>
  <si>
    <t>wds_comp</t>
  </si>
  <si>
    <t>wds_sep</t>
  </si>
  <si>
    <t>wds_deltamag</t>
  </si>
  <si>
    <t>sy_disks_flag</t>
  </si>
  <si>
    <t>sy_disks_flag_reflink</t>
  </si>
  <si>
    <t>target_group</t>
  </si>
  <si>
    <t>HIP_104214_</t>
  </si>
  <si>
    <t>TIC_165602000</t>
  </si>
  <si>
    <t>HD_201091_</t>
  </si>
  <si>
    <t>HR_8085_</t>
  </si>
  <si>
    <t>GJ_820A_</t>
  </si>
  <si>
    <t>61_Cyg_A</t>
  </si>
  <si>
    <t>61_Cygni_A</t>
  </si>
  <si>
    <t>2022yCat.1355....0G</t>
  </si>
  <si>
    <t>1998A&amp;AS..129..431H</t>
  </si>
  <si>
    <t>1997HIP...C......0E</t>
  </si>
  <si>
    <t>2022yCat.1360....0G</t>
  </si>
  <si>
    <t>K5V</t>
  </si>
  <si>
    <t>1989ApJS...71..245K</t>
  </si>
  <si>
    <t>2022A&amp;A...663A...4S</t>
  </si>
  <si>
    <t>2017ApJ...836...77Y</t>
  </si>
  <si>
    <t>1996ApJ...457L..99B</t>
  </si>
  <si>
    <t>21069+3845</t>
  </si>
  <si>
    <t>N</t>
  </si>
  <si>
    <t>HIP_108870_</t>
  </si>
  <si>
    <t>TIC_231698181</t>
  </si>
  <si>
    <t>HD_209100_</t>
  </si>
  <si>
    <t>HR_8387_</t>
  </si>
  <si>
    <t>GJ_845A_</t>
  </si>
  <si>
    <t>eps_Ind</t>
  </si>
  <si>
    <t>Epsilon_Indi</t>
  </si>
  <si>
    <t>1997yCat.2168....0M</t>
  </si>
  <si>
    <t>1980SAAOC...1..166C</t>
  </si>
  <si>
    <t>K4V(k)</t>
  </si>
  <si>
    <t>2006AJ....132..161G</t>
  </si>
  <si>
    <t>2019AJ....158..138S</t>
  </si>
  <si>
    <t>1996AJ....111..439H</t>
  </si>
  <si>
    <t>22034-5647</t>
  </si>
  <si>
    <t>2013ApJ...764...78R</t>
  </si>
  <si>
    <t>HIP_19849_</t>
  </si>
  <si>
    <t>TIC_67772871</t>
  </si>
  <si>
    <t>HD_26965_A</t>
  </si>
  <si>
    <t>HR_1325_A</t>
  </si>
  <si>
    <t>GJ_166A_</t>
  </si>
  <si>
    <t>40_Eri_A</t>
  </si>
  <si>
    <t>Keid</t>
  </si>
  <si>
    <t>K0.5V</t>
  </si>
  <si>
    <t>04153-0739</t>
  </si>
  <si>
    <t>HIP_96100_</t>
  </si>
  <si>
    <t>TIC_259237827</t>
  </si>
  <si>
    <t>HD_185144_</t>
  </si>
  <si>
    <t>HR_7462_</t>
  </si>
  <si>
    <t>GJ_764_</t>
  </si>
  <si>
    <t>sig_Dra</t>
  </si>
  <si>
    <t>Alsafi</t>
  </si>
  <si>
    <t>2010PASP..122.1437P</t>
  </si>
  <si>
    <t>K0V</t>
  </si>
  <si>
    <t>19324+6940</t>
  </si>
  <si>
    <t>2005PASJ...57...27T</t>
  </si>
  <si>
    <t>HIP_61317_</t>
  </si>
  <si>
    <t>TIC_458445966</t>
  </si>
  <si>
    <t>HD_109358_</t>
  </si>
  <si>
    <t>HR_4785_</t>
  </si>
  <si>
    <t>GJ_475_</t>
  </si>
  <si>
    <t>bet_CVn</t>
  </si>
  <si>
    <t>Chara</t>
  </si>
  <si>
    <t>1997A&amp;AS..124..349M</t>
  </si>
  <si>
    <t>G0V</t>
  </si>
  <si>
    <t>2012ApJ...757..112B</t>
  </si>
  <si>
    <t>2018ApJ...855...75R</t>
  </si>
  <si>
    <t>12337+4121</t>
  </si>
  <si>
    <t>HIP_3821_</t>
  </si>
  <si>
    <t>TIC_445258206</t>
  </si>
  <si>
    <t>HD_4614_A</t>
  </si>
  <si>
    <t>HR_219_A</t>
  </si>
  <si>
    <t>GJ_34A_</t>
  </si>
  <si>
    <t>eta_Cas_A</t>
  </si>
  <si>
    <t>Achird</t>
  </si>
  <si>
    <t>estimated</t>
  </si>
  <si>
    <t>F9V</t>
  </si>
  <si>
    <t>2010ApJ...725..875I</t>
  </si>
  <si>
    <t>00491+5749</t>
  </si>
  <si>
    <t>HIP_99240_</t>
  </si>
  <si>
    <t>TIC_409891396</t>
  </si>
  <si>
    <t>HD_190248_</t>
  </si>
  <si>
    <t>HR_7665_</t>
  </si>
  <si>
    <t>GJ_780_</t>
  </si>
  <si>
    <t>del_Pav</t>
  </si>
  <si>
    <t>Delta_Pavonis</t>
  </si>
  <si>
    <t>G8IV-V</t>
  </si>
  <si>
    <t>HIP_64394_</t>
  </si>
  <si>
    <t>TIC_445070560</t>
  </si>
  <si>
    <t>HD_114710_</t>
  </si>
  <si>
    <t>HR_4983_</t>
  </si>
  <si>
    <t>GJ_502_</t>
  </si>
  <si>
    <t>bet_Com</t>
  </si>
  <si>
    <t>Beta_Comae_Berenices</t>
  </si>
  <si>
    <t>F9.5V</t>
  </si>
  <si>
    <t>13119+2753</t>
  </si>
  <si>
    <t>HIP_15457_</t>
  </si>
  <si>
    <t>TIC_343813545</t>
  </si>
  <si>
    <t>HD_20630_</t>
  </si>
  <si>
    <t>HR_996_</t>
  </si>
  <si>
    <t>GJ_137_</t>
  </si>
  <si>
    <t>kap1_Cet</t>
  </si>
  <si>
    <t>Kappa1_Ceti</t>
  </si>
  <si>
    <t>G5V</t>
  </si>
  <si>
    <t>03194+0322</t>
  </si>
  <si>
    <t>HIP_105858_</t>
  </si>
  <si>
    <t>TIC_265488188</t>
  </si>
  <si>
    <t>HD_203608_</t>
  </si>
  <si>
    <t>HR_8181_</t>
  </si>
  <si>
    <t>GJ_827_</t>
  </si>
  <si>
    <t>gam_Pav</t>
  </si>
  <si>
    <t>Gamma_Pavonis</t>
  </si>
  <si>
    <t>F9V_Fe-1.4_CH-0.7</t>
  </si>
  <si>
    <t>HIP_57443_</t>
  </si>
  <si>
    <t>TIC_454082369</t>
  </si>
  <si>
    <t>HD_102365_</t>
  </si>
  <si>
    <t>HR_4523_</t>
  </si>
  <si>
    <t>GJ_442A_</t>
  </si>
  <si>
    <t>HR_4523</t>
  </si>
  <si>
    <t>G2V</t>
  </si>
  <si>
    <t>11467-4029</t>
  </si>
  <si>
    <t>HIP_7981_</t>
  </si>
  <si>
    <t>TIC_113710966</t>
  </si>
  <si>
    <t>HD_10476_</t>
  </si>
  <si>
    <t>HR_493_</t>
  </si>
  <si>
    <t>GJ_68_</t>
  </si>
  <si>
    <t>107_Psc</t>
  </si>
  <si>
    <t>107_Piscium</t>
  </si>
  <si>
    <t>K1V</t>
  </si>
  <si>
    <t>01425+2016</t>
  </si>
  <si>
    <t>HIP_77257_</t>
  </si>
  <si>
    <t>TIC_296740796</t>
  </si>
  <si>
    <t>HD_141004_</t>
  </si>
  <si>
    <t>HR_5868_</t>
  </si>
  <si>
    <t>GJ_598_</t>
  </si>
  <si>
    <t>lam_Ser</t>
  </si>
  <si>
    <t>Lambda_Serpentis</t>
  </si>
  <si>
    <t>G0-V(k)</t>
  </si>
  <si>
    <t>HIP_27072_</t>
  </si>
  <si>
    <t>TIC_93280676</t>
  </si>
  <si>
    <t>HD_38393_</t>
  </si>
  <si>
    <t>HR_1983_</t>
  </si>
  <si>
    <t>GJ_216A_</t>
  </si>
  <si>
    <t>gam_Lep_A</t>
  </si>
  <si>
    <t>Gamma_Leporis_A</t>
  </si>
  <si>
    <t>F6.5V</t>
  </si>
  <si>
    <t>05445-2227</t>
  </si>
  <si>
    <t>HIP_14632_</t>
  </si>
  <si>
    <t>TIC_116988032</t>
  </si>
  <si>
    <t>HD_19373_</t>
  </si>
  <si>
    <t>HR_937_</t>
  </si>
  <si>
    <t>GJ_124_</t>
  </si>
  <si>
    <t>iot_Per</t>
  </si>
  <si>
    <t>Iota_Persei</t>
  </si>
  <si>
    <t>03091+4937</t>
  </si>
  <si>
    <t>HIP_12777_</t>
  </si>
  <si>
    <t>TIC_302158903</t>
  </si>
  <si>
    <t>HD_16895_A</t>
  </si>
  <si>
    <t>HR_799_</t>
  </si>
  <si>
    <t>GJ_107A_</t>
  </si>
  <si>
    <t>tet_Per_A</t>
  </si>
  <si>
    <t>Theta_Persei_A</t>
  </si>
  <si>
    <t>F7V</t>
  </si>
  <si>
    <t>2001AJ....121.2148G</t>
  </si>
  <si>
    <t>2004ApJS..152..261W</t>
  </si>
  <si>
    <t>02442+4914</t>
  </si>
  <si>
    <t>HIP_24813_</t>
  </si>
  <si>
    <t>TIC_409104974</t>
  </si>
  <si>
    <t>HD_34411_</t>
  </si>
  <si>
    <t>HR_1729_</t>
  </si>
  <si>
    <t>GJ_197_</t>
  </si>
  <si>
    <t>lam_Aur</t>
  </si>
  <si>
    <t>Lambda_Aurigae</t>
  </si>
  <si>
    <t>G1.5V</t>
  </si>
  <si>
    <t>HIP_104217_</t>
  </si>
  <si>
    <t>TIC_165602023</t>
  </si>
  <si>
    <t>HD_201092_</t>
  </si>
  <si>
    <t>HR_8086_</t>
  </si>
  <si>
    <t>GJ_820B_</t>
  </si>
  <si>
    <t>61_Cyg_B</t>
  </si>
  <si>
    <t>61_Cygni_B</t>
  </si>
  <si>
    <t>K7V</t>
  </si>
  <si>
    <t>HIP_73184_</t>
  </si>
  <si>
    <t>TIC_287157634</t>
  </si>
  <si>
    <t>HD_131977_</t>
  </si>
  <si>
    <t>HR_5568_A</t>
  </si>
  <si>
    <t>GJ_570A_</t>
  </si>
  <si>
    <t>KX_Lib</t>
  </si>
  <si>
    <t>GJ_570A</t>
  </si>
  <si>
    <t>K4V</t>
  </si>
  <si>
    <t>14575-2125</t>
  </si>
  <si>
    <t>2005ApJS..159..141V</t>
  </si>
  <si>
    <t>N?</t>
  </si>
  <si>
    <t>HIP_105090_</t>
  </si>
  <si>
    <t>TIC_159746875</t>
  </si>
  <si>
    <t>HD_202560_</t>
  </si>
  <si>
    <t>GJ_825_</t>
  </si>
  <si>
    <t>AX_Mic</t>
  </si>
  <si>
    <t>Lacaille_8760</t>
  </si>
  <si>
    <t>M0V</t>
  </si>
  <si>
    <t>2006A&amp;A...460..695T</t>
  </si>
  <si>
    <t>2005ApJ...626..446R</t>
  </si>
  <si>
    <t>2016ApJ...826..171G</t>
  </si>
  <si>
    <t>2007ApJS..168..297T</t>
  </si>
  <si>
    <t>2018A&amp;A...616A.108B</t>
  </si>
  <si>
    <t>HIP_114622_</t>
  </si>
  <si>
    <t>TIC_283722336</t>
  </si>
  <si>
    <t>HD_219134_</t>
  </si>
  <si>
    <t>HR_8832_</t>
  </si>
  <si>
    <t>GJ_892_</t>
  </si>
  <si>
    <t>HR_8832</t>
  </si>
  <si>
    <t>K3V</t>
  </si>
  <si>
    <t>23133+5710</t>
  </si>
  <si>
    <t>HIP_3765_</t>
  </si>
  <si>
    <t>TIC_257393898</t>
  </si>
  <si>
    <t>HD_4628_</t>
  </si>
  <si>
    <t>HR_222_</t>
  </si>
  <si>
    <t>GJ_33_</t>
  </si>
  <si>
    <t>HR_222</t>
  </si>
  <si>
    <t>K2V</t>
  </si>
  <si>
    <t>2003AJ....126.2048G</t>
  </si>
  <si>
    <t>00484+0517</t>
  </si>
  <si>
    <t>HIP_22449_</t>
  </si>
  <si>
    <t>TIC_399665349</t>
  </si>
  <si>
    <t>HD_30652_</t>
  </si>
  <si>
    <t>HR_1543_</t>
  </si>
  <si>
    <t>GJ_178_</t>
  </si>
  <si>
    <t>pi3_Ori</t>
  </si>
  <si>
    <t>Tabit</t>
  </si>
  <si>
    <t>2007A&amp;A...474..653V</t>
  </si>
  <si>
    <t>F6V</t>
  </si>
  <si>
    <t>1973ARA&amp;A..11...29M</t>
  </si>
  <si>
    <t>04498+0658</t>
  </si>
  <si>
    <t>HIP_51459_</t>
  </si>
  <si>
    <t>TIC_416519065</t>
  </si>
  <si>
    <t>HD_90839_</t>
  </si>
  <si>
    <t>HR_4112_A</t>
  </si>
  <si>
    <t>GJ_395_</t>
  </si>
  <si>
    <t>36_UMa_A</t>
  </si>
  <si>
    <t>36_Ursa_Majoris_A</t>
  </si>
  <si>
    <t>F8V</t>
  </si>
  <si>
    <t>10306+5559</t>
  </si>
  <si>
    <t>HIP_17378_</t>
  </si>
  <si>
    <t>TIC_38511251</t>
  </si>
  <si>
    <t>HD_23249_</t>
  </si>
  <si>
    <t>HR_1136_</t>
  </si>
  <si>
    <t>GJ_150_</t>
  </si>
  <si>
    <t>del_Eri</t>
  </si>
  <si>
    <t>Rana</t>
  </si>
  <si>
    <t>K0+IV</t>
  </si>
  <si>
    <t>HIP_99825_</t>
  </si>
  <si>
    <t>TIC_326096771</t>
  </si>
  <si>
    <t>HD_192310_</t>
  </si>
  <si>
    <t>HR_7722_</t>
  </si>
  <si>
    <t>GJ_785_</t>
  </si>
  <si>
    <t>HR_7722</t>
  </si>
  <si>
    <t>K2+V</t>
  </si>
  <si>
    <t>HIP_56997_</t>
  </si>
  <si>
    <t>TIC_101641846</t>
  </si>
  <si>
    <t>HD_101501_</t>
  </si>
  <si>
    <t>HR_4496_</t>
  </si>
  <si>
    <t>GJ_434_</t>
  </si>
  <si>
    <t>61_UMa</t>
  </si>
  <si>
    <t>61_Ursae_Majoris</t>
  </si>
  <si>
    <t>G8V</t>
  </si>
  <si>
    <t>11411+3412</t>
  </si>
  <si>
    <t>HIP_8362_</t>
  </si>
  <si>
    <t>TIC_373694425</t>
  </si>
  <si>
    <t>HD_10780_</t>
  </si>
  <si>
    <t>HR_511_</t>
  </si>
  <si>
    <t>GJ_75_</t>
  </si>
  <si>
    <t xml:space="preserve">V987_Cas </t>
  </si>
  <si>
    <t>V987_Cassiopeiae</t>
  </si>
  <si>
    <t>G9V</t>
  </si>
  <si>
    <t>01477+6351</t>
  </si>
  <si>
    <t>HIP_78072_</t>
  </si>
  <si>
    <t>TIC_377415363</t>
  </si>
  <si>
    <t>HD_142860_</t>
  </si>
  <si>
    <t>HR_5933_</t>
  </si>
  <si>
    <t>GJ_603_</t>
  </si>
  <si>
    <t>gam_Ser</t>
  </si>
  <si>
    <t>Gamma_Serpentis</t>
  </si>
  <si>
    <t>15565+1540</t>
  </si>
  <si>
    <t>HIP_15371_</t>
  </si>
  <si>
    <t>TIC_279649049</t>
  </si>
  <si>
    <t>HD_20807_</t>
  </si>
  <si>
    <t>HR_1010_</t>
  </si>
  <si>
    <t>GJ_138_</t>
  </si>
  <si>
    <t>zet2_Ret_</t>
  </si>
  <si>
    <t>Zeta2_Reticuli</t>
  </si>
  <si>
    <t>G1V</t>
  </si>
  <si>
    <t>03182-6230</t>
  </si>
  <si>
    <t>HIP_49908_</t>
  </si>
  <si>
    <t>TIC_371520835</t>
  </si>
  <si>
    <t>HD_88230_</t>
  </si>
  <si>
    <t>GJ_380_</t>
  </si>
  <si>
    <t>Groombridge_1618</t>
  </si>
  <si>
    <t>1991ApJS...77..417K</t>
  </si>
  <si>
    <t>10114+4927</t>
  </si>
  <si>
    <t>HIP_84478_</t>
  </si>
  <si>
    <t>TIC_79841001</t>
  </si>
  <si>
    <t>HD_156026_</t>
  </si>
  <si>
    <t>GJ_664_</t>
  </si>
  <si>
    <t>36_Oph_C</t>
  </si>
  <si>
    <t>Guniibuu_C</t>
  </si>
  <si>
    <t>K5V(k)</t>
  </si>
  <si>
    <t>17153-2636</t>
  </si>
  <si>
    <t>HIP_7751_</t>
  </si>
  <si>
    <t>TIC_231005905</t>
  </si>
  <si>
    <t>HD_10360_</t>
  </si>
  <si>
    <t>HR_487_</t>
  </si>
  <si>
    <t>GJ_66A_</t>
  </si>
  <si>
    <t>p_Eri_A</t>
  </si>
  <si>
    <t>p_Eridani_A</t>
  </si>
  <si>
    <t>1995AJ....109.2828T</t>
  </si>
  <si>
    <t>2001KFNT...17e.409K</t>
  </si>
  <si>
    <t>01398-5612</t>
  </si>
  <si>
    <t>TIC_231005052</t>
  </si>
  <si>
    <t>HD_10361_</t>
  </si>
  <si>
    <t>HR_486_</t>
  </si>
  <si>
    <t>GJ_66B</t>
  </si>
  <si>
    <t>p_Eri_B</t>
  </si>
  <si>
    <t>p_Eridani_B</t>
  </si>
  <si>
    <t>HIP_12843_</t>
  </si>
  <si>
    <t>TIC_326242565</t>
  </si>
  <si>
    <t>HD_17206_</t>
  </si>
  <si>
    <t>HR_818_</t>
  </si>
  <si>
    <t>GJ_111_</t>
  </si>
  <si>
    <t>1_Eri</t>
  </si>
  <si>
    <t>1_Eridani</t>
  </si>
  <si>
    <t>2009ApJS..180..117A</t>
  </si>
  <si>
    <t>HIP_47592_</t>
  </si>
  <si>
    <t>TIC_11310083</t>
  </si>
  <si>
    <t>HD_84117_</t>
  </si>
  <si>
    <t>HR_3862_</t>
  </si>
  <si>
    <t>GJ_364_</t>
  </si>
  <si>
    <t>HR_3862</t>
  </si>
  <si>
    <t>HIP_53721_</t>
  </si>
  <si>
    <t>TIC_21535479</t>
  </si>
  <si>
    <t>HD_95128_</t>
  </si>
  <si>
    <t>HR_4277_</t>
  </si>
  <si>
    <t>GJ_407_</t>
  </si>
  <si>
    <t>47_UMa</t>
  </si>
  <si>
    <t>Chalawan</t>
  </si>
  <si>
    <t>G1.5IV-V_Fe-1</t>
  </si>
  <si>
    <t>HIP_25278_</t>
  </si>
  <si>
    <t>TIC_47346402</t>
  </si>
  <si>
    <t>HD_35296_</t>
  </si>
  <si>
    <t>HR_1780_</t>
  </si>
  <si>
    <t>GJ_202_</t>
  </si>
  <si>
    <t>111_Tau</t>
  </si>
  <si>
    <t>111_Tauri</t>
  </si>
  <si>
    <t>05244+1723</t>
  </si>
  <si>
    <t>HIP_15330_</t>
  </si>
  <si>
    <t>TIC_279649057</t>
  </si>
  <si>
    <t>HD_20766_</t>
  </si>
  <si>
    <t>HR_1006_</t>
  </si>
  <si>
    <t>GJ_136_</t>
  </si>
  <si>
    <t>zet1_Ret</t>
  </si>
  <si>
    <t>Zeta1_Reticuli</t>
  </si>
  <si>
    <t>G2IV</t>
  </si>
  <si>
    <t>HIP_80337_</t>
  </si>
  <si>
    <t>TIC_350673608</t>
  </si>
  <si>
    <t>HD_147513_</t>
  </si>
  <si>
    <t>HR_6094_</t>
  </si>
  <si>
    <t>GJ_9559_</t>
  </si>
  <si>
    <t>HR_6094</t>
  </si>
  <si>
    <t>G1V_CH-0.4(k)</t>
  </si>
  <si>
    <t>2005A&amp;A...443..609S</t>
  </si>
  <si>
    <t>16240-3912</t>
  </si>
  <si>
    <t>HIP_56452_</t>
  </si>
  <si>
    <t>TIC_57611256</t>
  </si>
  <si>
    <t>HD_100623_A</t>
  </si>
  <si>
    <t>HR_4458_A</t>
  </si>
  <si>
    <t>GJ_432A_</t>
  </si>
  <si>
    <t>20_Crt_A</t>
  </si>
  <si>
    <t>20_Crateris_A</t>
  </si>
  <si>
    <t>K0-V</t>
  </si>
  <si>
    <t>11345-3250</t>
  </si>
  <si>
    <t>HIP_81300_</t>
  </si>
  <si>
    <t>TIC_58092025</t>
  </si>
  <si>
    <t>HD_149661_</t>
  </si>
  <si>
    <t>HR_6171_</t>
  </si>
  <si>
    <t>GJ_631_</t>
  </si>
  <si>
    <t>12_Oph</t>
  </si>
  <si>
    <t>12_Ophiuchi</t>
  </si>
  <si>
    <t>K0V(k)</t>
  </si>
  <si>
    <t>16364-0219</t>
  </si>
  <si>
    <t>HIP_79672_</t>
  </si>
  <si>
    <t>TIC_135656809</t>
  </si>
  <si>
    <t>HD_146233_</t>
  </si>
  <si>
    <t>HR_6060_</t>
  </si>
  <si>
    <t>GJ_616_</t>
  </si>
  <si>
    <t>18_Sco</t>
  </si>
  <si>
    <t>18_Scorpiii</t>
  </si>
  <si>
    <t>G3+V</t>
  </si>
  <si>
    <t>16156-0822</t>
  </si>
  <si>
    <t>HIP_77760_</t>
  </si>
  <si>
    <t>TIC_157364190</t>
  </si>
  <si>
    <t>HD_142373_</t>
  </si>
  <si>
    <t>HR_5914_</t>
  </si>
  <si>
    <t>GJ_602_</t>
  </si>
  <si>
    <t>chi_Her</t>
  </si>
  <si>
    <t>Chi_Herculis</t>
  </si>
  <si>
    <t>G0V_Fe+0.4</t>
  </si>
  <si>
    <t>HIP_3909_</t>
  </si>
  <si>
    <t>TIC_3962869</t>
  </si>
  <si>
    <t>HD_4813_</t>
  </si>
  <si>
    <t>HR_235_</t>
  </si>
  <si>
    <t>GJ_37_</t>
  </si>
  <si>
    <t>19_Cet</t>
  </si>
  <si>
    <t>19_Ceti</t>
  </si>
  <si>
    <t>2008MNRAS.384..173F</t>
  </si>
  <si>
    <t>HIP_910_</t>
  </si>
  <si>
    <t>TIC_289673491</t>
  </si>
  <si>
    <t>HD_693_</t>
  </si>
  <si>
    <t>HR_33_</t>
  </si>
  <si>
    <t>GJ_10_</t>
  </si>
  <si>
    <t>6_Cet</t>
  </si>
  <si>
    <t>6_Ceti</t>
  </si>
  <si>
    <t>F8V_Fe-0.8_CH-0.5</t>
  </si>
  <si>
    <t>2009A&amp;A...493.1099S</t>
  </si>
  <si>
    <t>HIP_109422_</t>
  </si>
  <si>
    <t>TIC_97402436</t>
  </si>
  <si>
    <t>HD_210302_</t>
  </si>
  <si>
    <t>HR_8447_</t>
  </si>
  <si>
    <t>GJ_9770_</t>
  </si>
  <si>
    <t>tau_PsA</t>
  </si>
  <si>
    <t>Tau_Piscis_Austrini</t>
  </si>
  <si>
    <t>HIP_71681_</t>
  </si>
  <si>
    <t>TIC_471011144</t>
  </si>
  <si>
    <t>HD_128621_</t>
  </si>
  <si>
    <t>HR_5460_</t>
  </si>
  <si>
    <t>GJ_559B_</t>
  </si>
  <si>
    <t>alf_Cen_B</t>
  </si>
  <si>
    <t>Toliman</t>
  </si>
  <si>
    <t>2021AJ....162...14A</t>
  </si>
  <si>
    <t>1990A&amp;AS...83..357B</t>
  </si>
  <si>
    <t>1975MSS...C01....0H</t>
  </si>
  <si>
    <t>2017A&amp;A...597A.137K</t>
  </si>
  <si>
    <t>2021A&amp;A...646A..77G</t>
  </si>
  <si>
    <t>14396-6050</t>
  </si>
  <si>
    <t>HIP_8102_</t>
  </si>
  <si>
    <t>TIC_419015728</t>
  </si>
  <si>
    <t>HD_10700_</t>
  </si>
  <si>
    <t>HR_509_</t>
  </si>
  <si>
    <t>GJ_71_</t>
  </si>
  <si>
    <t>tau_Cet</t>
  </si>
  <si>
    <t>Tau_Ceti</t>
  </si>
  <si>
    <t>01441-1556</t>
  </si>
  <si>
    <t>2018MNRAS.475.3046S</t>
  </si>
  <si>
    <t>HIP_88601_</t>
  </si>
  <si>
    <t>TIC_1674663309</t>
  </si>
  <si>
    <t>HD_165341_A</t>
  </si>
  <si>
    <t>HR_6752_A</t>
  </si>
  <si>
    <t>GJ_702A_</t>
  </si>
  <si>
    <t>70_Oph_A</t>
  </si>
  <si>
    <t>70_Ophiuchi_A</t>
  </si>
  <si>
    <t>18055+0230</t>
  </si>
  <si>
    <t>HIP_84405_</t>
  </si>
  <si>
    <t>TIC_1277142191</t>
  </si>
  <si>
    <t>HD_155886_</t>
  </si>
  <si>
    <t>HR_6402_</t>
  </si>
  <si>
    <t>GJ_663A_</t>
  </si>
  <si>
    <t>36_Oph_A</t>
  </si>
  <si>
    <t>Guniibuu</t>
  </si>
  <si>
    <t>1981ApJS...45..437A</t>
  </si>
  <si>
    <t>1984ApJS...55..657C</t>
  </si>
  <si>
    <t>TIC_1277142190</t>
  </si>
  <si>
    <t>HD_155885_</t>
  </si>
  <si>
    <t>HR_6401_</t>
  </si>
  <si>
    <t>GJ_663B_</t>
  </si>
  <si>
    <t>36_Oph_B</t>
  </si>
  <si>
    <t>Guniibuu_B</t>
  </si>
  <si>
    <t>HIP_15510_</t>
  </si>
  <si>
    <t>TIC_301051051</t>
  </si>
  <si>
    <t>HD_20794_</t>
  </si>
  <si>
    <t>HR_1008_</t>
  </si>
  <si>
    <t>GJ_139_</t>
  </si>
  <si>
    <t>82_Eri</t>
  </si>
  <si>
    <t>82_Eridani</t>
  </si>
  <si>
    <t>G6V</t>
  </si>
  <si>
    <t>2016A&amp;A...593A..51M</t>
  </si>
  <si>
    <t>HIP_72659_</t>
  </si>
  <si>
    <t>TIC_1101124558</t>
  </si>
  <si>
    <t>HD_131156_A</t>
  </si>
  <si>
    <t>HR_5544_A</t>
  </si>
  <si>
    <t>GJ_566A_</t>
  </si>
  <si>
    <t>xi_Boo_A</t>
  </si>
  <si>
    <t>Xi_Bootis_A</t>
  </si>
  <si>
    <t>G8-V</t>
  </si>
  <si>
    <t>14514+1906</t>
  </si>
  <si>
    <t>HIP_64924_</t>
  </si>
  <si>
    <t>TIC_422478973</t>
  </si>
  <si>
    <t>HD_115617_</t>
  </si>
  <si>
    <t>HR_5019_</t>
  </si>
  <si>
    <t>GJ_506_</t>
  </si>
  <si>
    <t>61_Vir</t>
  </si>
  <si>
    <t>61_Virginis</t>
  </si>
  <si>
    <t>G6.5V</t>
  </si>
  <si>
    <t>13184-1819</t>
  </si>
  <si>
    <t>2008ApJ...674.1086T</t>
  </si>
  <si>
    <t>HIP_71683_</t>
  </si>
  <si>
    <t>TIC_471011145</t>
  </si>
  <si>
    <t>HD_128620_</t>
  </si>
  <si>
    <t>HR_5459_</t>
  </si>
  <si>
    <t>GJ_559A_</t>
  </si>
  <si>
    <t>alf_Cen_A</t>
  </si>
  <si>
    <t>Rigil_Kentaurus</t>
  </si>
  <si>
    <t>HIP_1599_</t>
  </si>
  <si>
    <t>TIC_425935521</t>
  </si>
  <si>
    <t>HD_1581_</t>
  </si>
  <si>
    <t>HR_77_</t>
  </si>
  <si>
    <t>GJ_17_</t>
  </si>
  <si>
    <t>zet_Tuc</t>
  </si>
  <si>
    <t>Zeta_Tucanae</t>
  </si>
  <si>
    <t>HIP_23693_</t>
  </si>
  <si>
    <t>TIC_381949122</t>
  </si>
  <si>
    <t>HD_33262_A</t>
  </si>
  <si>
    <t>HR_1674_A</t>
  </si>
  <si>
    <t>GJ_189_</t>
  </si>
  <si>
    <t>zet_Dor_A</t>
  </si>
  <si>
    <t>Zeta_Doradus_A</t>
  </si>
  <si>
    <t>F9V_Fe-0.5</t>
  </si>
  <si>
    <t xml:space="preserve">05055-5728	</t>
  </si>
  <si>
    <t>TIC_398120047</t>
  </si>
  <si>
    <t>HD_165341_B</t>
  </si>
  <si>
    <t>HR_6752_B</t>
  </si>
  <si>
    <t>GJ_702B_</t>
  </si>
  <si>
    <t>70_Oph_B</t>
  </si>
  <si>
    <t>70_Ophiuchi_B</t>
  </si>
  <si>
    <t>2018A&amp;A...616A...1G</t>
  </si>
  <si>
    <t>2008A&amp;A...482..631E</t>
  </si>
  <si>
    <t>1965AJ.....70...19E</t>
  </si>
  <si>
    <t>1967AJ.....72.1334C</t>
  </si>
  <si>
    <t>2015ApJ...800...85N</t>
  </si>
  <si>
    <t>HIP_47080_</t>
  </si>
  <si>
    <t>TIC_8915802</t>
  </si>
  <si>
    <t>HD_82885_A</t>
  </si>
  <si>
    <t>HR_3815_A</t>
  </si>
  <si>
    <t>GJ_356A_</t>
  </si>
  <si>
    <t>11_LMi_A</t>
  </si>
  <si>
    <t>11_Leo_Minoris_A</t>
  </si>
  <si>
    <t>G9-IV-V_Hdel1</t>
  </si>
  <si>
    <t xml:space="preserve">09357+3549	</t>
  </si>
  <si>
    <t>HIP_16852_</t>
  </si>
  <si>
    <t>TIC_311092847</t>
  </si>
  <si>
    <t>HD_22484_</t>
  </si>
  <si>
    <t>HR_1101_</t>
  </si>
  <si>
    <t>GJ_147_</t>
  </si>
  <si>
    <t>10_Tau</t>
  </si>
  <si>
    <t>10_Tauri</t>
  </si>
  <si>
    <t>F9IV-V</t>
  </si>
  <si>
    <t>HIP_5862_</t>
  </si>
  <si>
    <t>TIC_229092427</t>
  </si>
  <si>
    <t>HD_7570_</t>
  </si>
  <si>
    <t>HR_370_</t>
  </si>
  <si>
    <t>GJ_55_</t>
  </si>
  <si>
    <t>nu_Phe</t>
  </si>
  <si>
    <t>Nu_Phoenicis</t>
  </si>
  <si>
    <t>F9V_Fe+0.4</t>
  </si>
  <si>
    <t>HIP_86796_</t>
  </si>
  <si>
    <t>TIC_362661163</t>
  </si>
  <si>
    <t>HD_160691_</t>
  </si>
  <si>
    <t>HR_6585_</t>
  </si>
  <si>
    <t>GJ_691_</t>
  </si>
  <si>
    <t>mu_Ara</t>
  </si>
  <si>
    <t>Cervantes</t>
  </si>
  <si>
    <t>G3V</t>
  </si>
  <si>
    <t>HIP_22263_</t>
  </si>
  <si>
    <t>TIC_117979951</t>
  </si>
  <si>
    <t>HD_30495_</t>
  </si>
  <si>
    <t>HR_1532_</t>
  </si>
  <si>
    <t>GJ_177_</t>
  </si>
  <si>
    <t>58_Eri</t>
  </si>
  <si>
    <t>58_Eridani</t>
  </si>
  <si>
    <t>G1.5V(n)</t>
  </si>
  <si>
    <t>HIP_71284_</t>
  </si>
  <si>
    <t>TIC_157966796</t>
  </si>
  <si>
    <t>HD_128167_</t>
  </si>
  <si>
    <t>HR_5447_</t>
  </si>
  <si>
    <t>GJ_557_</t>
  </si>
  <si>
    <t>sig_Boo</t>
  </si>
  <si>
    <t>Sigma_Bootis</t>
  </si>
  <si>
    <t>F4VkF2mF1</t>
  </si>
  <si>
    <t>14347+2945</t>
  </si>
  <si>
    <t>HIP_84720_</t>
  </si>
  <si>
    <t>TIC_217157387</t>
  </si>
  <si>
    <t>HD_156274_A</t>
  </si>
  <si>
    <t>HR_6416_</t>
  </si>
  <si>
    <t>GJ_666A_</t>
  </si>
  <si>
    <t>41_Ara_A</t>
  </si>
  <si>
    <t>41_Arae_A</t>
  </si>
  <si>
    <t>17191-4638</t>
  </si>
  <si>
    <t>HIP_49081_</t>
  </si>
  <si>
    <t>TIC_172954294</t>
  </si>
  <si>
    <t>HD_86728_A</t>
  </si>
  <si>
    <t>HR_3951_A</t>
  </si>
  <si>
    <t>GJ_376A</t>
  </si>
  <si>
    <t>20_LMi_A</t>
  </si>
  <si>
    <t>20_Leo_Minoris_A</t>
  </si>
  <si>
    <t>G4IV</t>
  </si>
  <si>
    <t>10010+3155</t>
  </si>
  <si>
    <t>HIP_3093_</t>
  </si>
  <si>
    <t>TIC_434210589</t>
  </si>
  <si>
    <t>HD_3651_A</t>
  </si>
  <si>
    <t>HR_166_A</t>
  </si>
  <si>
    <t>GJ_27A</t>
  </si>
  <si>
    <t>54_Psc_A</t>
  </si>
  <si>
    <t>54_Piscium_A</t>
  </si>
  <si>
    <t>00394+2115</t>
  </si>
  <si>
    <t>HIP_78459_</t>
  </si>
  <si>
    <t>TIC_458494003</t>
  </si>
  <si>
    <t>HD_143761_</t>
  </si>
  <si>
    <t>HR_5968_</t>
  </si>
  <si>
    <t>GJ_9537_</t>
  </si>
  <si>
    <t>rho_CrB</t>
  </si>
  <si>
    <t>Rho_Coronae_Borealis</t>
  </si>
  <si>
    <t>G0IV</t>
  </si>
  <si>
    <t>16010+3318</t>
  </si>
  <si>
    <t>HIP_12653_</t>
  </si>
  <si>
    <t>TIC_166853853</t>
  </si>
  <si>
    <t>HD_17051_</t>
  </si>
  <si>
    <t>HR_810_</t>
  </si>
  <si>
    <t>GJ_108_</t>
  </si>
  <si>
    <t>iot_Hor</t>
  </si>
  <si>
    <t>Iota_Horologii</t>
  </si>
  <si>
    <t>F9V_Fe+0.3</t>
  </si>
  <si>
    <t>HIP_89042_</t>
  </si>
  <si>
    <t>TIC_303704858</t>
  </si>
  <si>
    <t>HD_165499_</t>
  </si>
  <si>
    <t>HR_6761_</t>
  </si>
  <si>
    <t>GJ_9616_</t>
  </si>
  <si>
    <t>iot_Pav</t>
  </si>
  <si>
    <t>Iota_Pavonis</t>
  </si>
  <si>
    <t>HIP_32439_</t>
  </si>
  <si>
    <t>TIC_141523112</t>
  </si>
  <si>
    <t>HD_46588_A</t>
  </si>
  <si>
    <t>HR_2401_A</t>
  </si>
  <si>
    <t>GJ_9215A</t>
  </si>
  <si>
    <t>1991ApJS...76..383D</t>
  </si>
  <si>
    <t>06462+7934</t>
  </si>
  <si>
    <t>HIP_40843_</t>
  </si>
  <si>
    <t>TIC_302188141</t>
  </si>
  <si>
    <t>HD_69897_</t>
  </si>
  <si>
    <t>HR_3262_</t>
  </si>
  <si>
    <t>GJ_303_</t>
  </si>
  <si>
    <t>chi_Cnc</t>
  </si>
  <si>
    <t>Chi_Cancri</t>
  </si>
  <si>
    <t>HIP_48113_</t>
  </si>
  <si>
    <t>TIC_23969522</t>
  </si>
  <si>
    <t>HD_84737_</t>
  </si>
  <si>
    <t>HR_3881_</t>
  </si>
  <si>
    <t>GJ_368_</t>
  </si>
  <si>
    <t>HR_3881</t>
  </si>
  <si>
    <t>G0(V)</t>
  </si>
  <si>
    <t>HIP_97675_</t>
  </si>
  <si>
    <t>TIC_408842743</t>
  </si>
  <si>
    <t>HD_187691_A</t>
  </si>
  <si>
    <t>HR_7560_</t>
  </si>
  <si>
    <t>GJ_9671_A</t>
  </si>
  <si>
    <t>omi_Aql_A</t>
  </si>
  <si>
    <t>Omicron_Aquilae_A</t>
  </si>
  <si>
    <t>19510+1025</t>
  </si>
  <si>
    <t>HIP_110649_</t>
  </si>
  <si>
    <t>TIC_259291108</t>
  </si>
  <si>
    <t>HD_212330_A</t>
  </si>
  <si>
    <t>HR_8531_A</t>
  </si>
  <si>
    <t>GJ_857A</t>
  </si>
  <si>
    <t>22249-5748</t>
  </si>
  <si>
    <t>HIP_42438_</t>
  </si>
  <si>
    <t>TIC_417762326</t>
  </si>
  <si>
    <t>HD_72905_</t>
  </si>
  <si>
    <t>HR_3391_</t>
  </si>
  <si>
    <t>GJ_311_</t>
  </si>
  <si>
    <t>3_UMa</t>
  </si>
  <si>
    <t>3_Ursae_Majoris_A</t>
  </si>
  <si>
    <t>G0.5V_Fe-0.5</t>
  </si>
  <si>
    <t>HIP_75181_</t>
  </si>
  <si>
    <t>TIC_136916387</t>
  </si>
  <si>
    <t>HD_136352_</t>
  </si>
  <si>
    <t>HR_5699_</t>
  </si>
  <si>
    <t>GJ_582_</t>
  </si>
  <si>
    <t>nu2_Lup</t>
  </si>
  <si>
    <t>Nu2_Lupi</t>
  </si>
  <si>
    <t>G2.5V_Hdel1</t>
  </si>
  <si>
    <t>HIP_77052_</t>
  </si>
  <si>
    <t>TIC_459427073</t>
  </si>
  <si>
    <t>HD_140538_A</t>
  </si>
  <si>
    <t>HR_5853_A</t>
  </si>
  <si>
    <t>GJ_9527A</t>
  </si>
  <si>
    <t>psi_Ser_A</t>
  </si>
  <si>
    <t>Psi_Serpentis_A</t>
  </si>
  <si>
    <t>2013ApJ...771...40B</t>
  </si>
  <si>
    <t>15440+0231</t>
  </si>
  <si>
    <t>HIP_3583_</t>
  </si>
  <si>
    <t>TIC_80431620</t>
  </si>
  <si>
    <t>HD_4391_</t>
  </si>
  <si>
    <t>HR_209_</t>
  </si>
  <si>
    <t>GJ_1021_</t>
  </si>
  <si>
    <t>HR_209</t>
  </si>
  <si>
    <t>G5V_Fe-0.8_CH-1</t>
  </si>
  <si>
    <t>00458-4733</t>
  </si>
  <si>
    <t>HIP_98767_</t>
  </si>
  <si>
    <t>TIC_105999792</t>
  </si>
  <si>
    <t>HD_190360_</t>
  </si>
  <si>
    <t>HR_7670_</t>
  </si>
  <si>
    <t>GJ_777A_</t>
  </si>
  <si>
    <t>GJ_777A</t>
  </si>
  <si>
    <t>G7V</t>
  </si>
  <si>
    <t>20036+2954</t>
  </si>
  <si>
    <t>HIP_38908_</t>
  </si>
  <si>
    <t>TIC_372914091</t>
  </si>
  <si>
    <t>HD_65907_A</t>
  </si>
  <si>
    <t>HR_3138_A</t>
  </si>
  <si>
    <t>GJ_294A_</t>
  </si>
  <si>
    <t>GJ_294A</t>
  </si>
  <si>
    <t>07578-6018</t>
  </si>
  <si>
    <t>HIP_29800_</t>
  </si>
  <si>
    <t>TIC_437886584</t>
  </si>
  <si>
    <t>HD_43386_</t>
  </si>
  <si>
    <t>HR_2241_</t>
  </si>
  <si>
    <t>GJ_9207_</t>
  </si>
  <si>
    <t>74_Ori</t>
  </si>
  <si>
    <t>74_Orionis</t>
  </si>
  <si>
    <t>F5V</t>
  </si>
  <si>
    <t>2000Priv.C........F</t>
  </si>
  <si>
    <t>06164+1216</t>
  </si>
  <si>
    <t>HIP_29650_</t>
  </si>
  <si>
    <t>TIC_46125330</t>
  </si>
  <si>
    <t>HD_43042_</t>
  </si>
  <si>
    <t>HR_2220_</t>
  </si>
  <si>
    <t>GJ_3390_</t>
  </si>
  <si>
    <t>71_Ori</t>
  </si>
  <si>
    <t>71_Orionis</t>
  </si>
  <si>
    <t>F5.5IV-V</t>
  </si>
  <si>
    <t>06148+1909</t>
  </si>
  <si>
    <t>HIP_54035_</t>
  </si>
  <si>
    <t>TIC_166646191</t>
  </si>
  <si>
    <t>HD_95735_</t>
  </si>
  <si>
    <t>GJ_411_</t>
  </si>
  <si>
    <t>Lalande_21185</t>
  </si>
  <si>
    <t>2015MNRAS.454.2863H</t>
  </si>
  <si>
    <t>M2V</t>
  </si>
  <si>
    <t>2019A&amp;A...625A..68S</t>
  </si>
  <si>
    <t>2005MNRAS.356..963W</t>
  </si>
  <si>
    <t>HIP_114046_</t>
  </si>
  <si>
    <t>TIC_155315739</t>
  </si>
  <si>
    <t>HD_217987_</t>
  </si>
  <si>
    <t>GJ_887_</t>
  </si>
  <si>
    <t xml:space="preserve">Lacaille_9352 </t>
  </si>
  <si>
    <t>M1.0V</t>
  </si>
  <si>
    <t>2012AJ....144...64D</t>
  </si>
  <si>
    <t>23059-3551</t>
  </si>
  <si>
    <t>HIP_113283_</t>
  </si>
  <si>
    <t>TIC_206686962</t>
  </si>
  <si>
    <t>HD_216803_</t>
  </si>
  <si>
    <t>HR_8721_</t>
  </si>
  <si>
    <t>GJ_879_</t>
  </si>
  <si>
    <t>TW_PsA</t>
  </si>
  <si>
    <t>Fomalhaut_B</t>
  </si>
  <si>
    <t>K4Ve</t>
  </si>
  <si>
    <t>TIC_93279196</t>
  </si>
  <si>
    <t>HD_38392_</t>
  </si>
  <si>
    <t>HR_1982_</t>
  </si>
  <si>
    <t>GJ_216B_</t>
  </si>
  <si>
    <t>gam_Lep_B</t>
  </si>
  <si>
    <t>Gamma_Leporis_B</t>
  </si>
  <si>
    <t>K2.5V</t>
  </si>
  <si>
    <t>2018MNRAS.479.1332M</t>
  </si>
  <si>
    <t>2018MNRAS.479.1332M0</t>
  </si>
  <si>
    <t>2004A&amp;A...423..517R</t>
  </si>
  <si>
    <t>HIP_23311_</t>
  </si>
  <si>
    <t>TIC_213041474</t>
  </si>
  <si>
    <t>HD_32147_</t>
  </si>
  <si>
    <t>HR_1614_</t>
  </si>
  <si>
    <t>GJ_183_</t>
  </si>
  <si>
    <t>K3+V</t>
  </si>
  <si>
    <t>HIP_13402_</t>
  </si>
  <si>
    <t>TIC_30016911</t>
  </si>
  <si>
    <t>HD_17925_</t>
  </si>
  <si>
    <t>HR_857_</t>
  </si>
  <si>
    <t>GJ_117_</t>
  </si>
  <si>
    <t>EP_Eri</t>
  </si>
  <si>
    <t>EP_Eridani</t>
  </si>
  <si>
    <t>K1.5V(k)</t>
  </si>
  <si>
    <t>02525-1246</t>
  </si>
  <si>
    <t>HIP_26779_</t>
  </si>
  <si>
    <t>TIC_311063391</t>
  </si>
  <si>
    <t>HD_37394_</t>
  </si>
  <si>
    <t>HR_1925_</t>
  </si>
  <si>
    <t>GJ_211_</t>
  </si>
  <si>
    <t>V538_Aur</t>
  </si>
  <si>
    <t>V538_Aurigae</t>
  </si>
  <si>
    <t>05413+5329</t>
  </si>
  <si>
    <t>HIP_544_</t>
  </si>
  <si>
    <t>TIC_238432056</t>
  </si>
  <si>
    <t>HD_166_</t>
  </si>
  <si>
    <t>HR_8_</t>
  </si>
  <si>
    <t>GJ_5_</t>
  </si>
  <si>
    <t>V439_And</t>
  </si>
  <si>
    <t>V439_Andromedae</t>
  </si>
  <si>
    <t>00066+2901</t>
  </si>
  <si>
    <t>HIP_35136_</t>
  </si>
  <si>
    <t>TIC_156890613</t>
  </si>
  <si>
    <t>HD_55575_</t>
  </si>
  <si>
    <t>HR_2721_</t>
  </si>
  <si>
    <t>GJ_1095_</t>
  </si>
  <si>
    <t>HR_2721</t>
  </si>
  <si>
    <t>HIP_34065_</t>
  </si>
  <si>
    <t>TIC_130645536</t>
  </si>
  <si>
    <t>HD_53705_</t>
  </si>
  <si>
    <t>HR_2667_</t>
  </si>
  <si>
    <t xml:space="preserve">GJ_9223A_ </t>
  </si>
  <si>
    <t>HR_2667</t>
  </si>
  <si>
    <t>07040-4337</t>
  </si>
  <si>
    <t>HIP_33277_</t>
  </si>
  <si>
    <t>TIC_80226651</t>
  </si>
  <si>
    <t>HD_50692_</t>
  </si>
  <si>
    <t>HR_2569_</t>
  </si>
  <si>
    <t>GJ_252_</t>
  </si>
  <si>
    <t>37_Gem</t>
  </si>
  <si>
    <t>37_Geminorum</t>
  </si>
  <si>
    <t>HIP_26394_</t>
  </si>
  <si>
    <t>TIC_261136679</t>
  </si>
  <si>
    <t>HD_39091_</t>
  </si>
  <si>
    <t>HR_2022_</t>
  </si>
  <si>
    <t>GJ_9189_</t>
  </si>
  <si>
    <t>pi_Men</t>
  </si>
  <si>
    <t>Pi_Mensae</t>
  </si>
  <si>
    <t>HIP_73996_</t>
  </si>
  <si>
    <t>TIC_229902025</t>
  </si>
  <si>
    <t>HD_134083_</t>
  </si>
  <si>
    <t>HR_5634_</t>
  </si>
  <si>
    <t>GJ_578_</t>
  </si>
  <si>
    <t>45_Boo</t>
  </si>
  <si>
    <t>45_Bootis</t>
  </si>
  <si>
    <t>15073+2452</t>
  </si>
  <si>
    <t>Johnson66*</t>
  </si>
  <si>
    <t>HIP_36439_</t>
  </si>
  <si>
    <t>TIC_328324648</t>
  </si>
  <si>
    <t>HD_58855_</t>
  </si>
  <si>
    <t>HR_2849</t>
  </si>
  <si>
    <t>GJ_9234_</t>
  </si>
  <si>
    <t>22_Lyn</t>
  </si>
  <si>
    <t>22_Lyncis</t>
  </si>
  <si>
    <t>2020A&amp;A...641A.110G</t>
  </si>
  <si>
    <t>07299+4940</t>
  </si>
  <si>
    <t>HIP_16537_</t>
  </si>
  <si>
    <t>TIC_118572803</t>
  </si>
  <si>
    <t>HD_22049_</t>
  </si>
  <si>
    <t>HR_1084_</t>
  </si>
  <si>
    <t>GJ_144_</t>
  </si>
  <si>
    <t>eps_Eri</t>
  </si>
  <si>
    <t>Ran</t>
  </si>
  <si>
    <t>03329-0927</t>
  </si>
  <si>
    <t>2009ApJ...690.1522B</t>
  </si>
  <si>
    <t>HIP_99461_</t>
  </si>
  <si>
    <t>TIC_389198736</t>
  </si>
  <si>
    <t>HD_191408_A</t>
  </si>
  <si>
    <t>HR_7703_A</t>
  </si>
  <si>
    <t>GJ_783A_</t>
  </si>
  <si>
    <t>GJ_783A</t>
  </si>
  <si>
    <t xml:space="preserve">20112-3606	</t>
  </si>
  <si>
    <t>HIP_29271_</t>
  </si>
  <si>
    <t>TIC_141810080</t>
  </si>
  <si>
    <t>HD_43834_A</t>
  </si>
  <si>
    <t>HR_2261_A</t>
  </si>
  <si>
    <t>GJ_231A</t>
  </si>
  <si>
    <t>alf_Men_A</t>
  </si>
  <si>
    <t>Alpha_Mensae_A</t>
  </si>
  <si>
    <t>06102-7445</t>
  </si>
  <si>
    <t>HIP_95447_</t>
  </si>
  <si>
    <t>TIC_359981217</t>
  </si>
  <si>
    <t>HD_182572_</t>
  </si>
  <si>
    <t>HR_7373_</t>
  </si>
  <si>
    <t>GJ_759_</t>
  </si>
  <si>
    <t>31_Aql</t>
  </si>
  <si>
    <t>31_Aquilae</t>
  </si>
  <si>
    <t>G7IV-V</t>
  </si>
  <si>
    <t>19250+1157</t>
  </si>
  <si>
    <t>HIP_32480_</t>
  </si>
  <si>
    <t>TIC_307754027</t>
  </si>
  <si>
    <t>HD_48682_</t>
  </si>
  <si>
    <t>HR_2483_</t>
  </si>
  <si>
    <t>GJ_245_</t>
  </si>
  <si>
    <t>56_Aur</t>
  </si>
  <si>
    <t>56_Aurigae</t>
  </si>
  <si>
    <t>2007AJ....133..862H</t>
  </si>
  <si>
    <t xml:space="preserve">06467+4335	</t>
  </si>
  <si>
    <t>2006ApJ...652.1674B</t>
  </si>
  <si>
    <t>HIP_84862_</t>
  </si>
  <si>
    <t>TIC_9728611</t>
  </si>
  <si>
    <t>HD_157214_</t>
  </si>
  <si>
    <t>HR_6458_</t>
  </si>
  <si>
    <t>GJ_672_</t>
  </si>
  <si>
    <t>72_Her</t>
  </si>
  <si>
    <t>72_Herculis</t>
  </si>
  <si>
    <t>17207+3228</t>
  </si>
  <si>
    <t>2020AJ....159..177E</t>
  </si>
  <si>
    <t>HIP_107649_</t>
  </si>
  <si>
    <t>TIC_147407292</t>
  </si>
  <si>
    <t>HD_207129_</t>
  </si>
  <si>
    <t>HR_8323_</t>
  </si>
  <si>
    <t>GJ_838_</t>
  </si>
  <si>
    <t>HR_8323</t>
  </si>
  <si>
    <t>G0VmF2</t>
  </si>
  <si>
    <t>21483-4718</t>
  </si>
  <si>
    <t>2010AJ....140.1051K</t>
  </si>
  <si>
    <t>HIP_23835_</t>
  </si>
  <si>
    <t>TIC_27136704</t>
  </si>
  <si>
    <t>HD_32923</t>
  </si>
  <si>
    <t>HR_1656</t>
  </si>
  <si>
    <t>GJ_188</t>
  </si>
  <si>
    <t>104_Tau</t>
  </si>
  <si>
    <t>104_Tauri</t>
  </si>
  <si>
    <t>05074+1839</t>
  </si>
  <si>
    <t>HIP_40693_</t>
  </si>
  <si>
    <t>TIC_307624961</t>
  </si>
  <si>
    <t>HD_69830_</t>
  </si>
  <si>
    <t>HR_3259_</t>
  </si>
  <si>
    <t>GJ_302_</t>
  </si>
  <si>
    <t>G8+V</t>
  </si>
  <si>
    <t>08184-1238</t>
  </si>
  <si>
    <t>HIP_43587_</t>
  </si>
  <si>
    <t>TIC_332064670</t>
  </si>
  <si>
    <t>HD_75732_A</t>
  </si>
  <si>
    <t>HR_3522_A</t>
  </si>
  <si>
    <t>GJ_324A_</t>
  </si>
  <si>
    <t>55_Cnc_A</t>
  </si>
  <si>
    <t>Copernicus</t>
  </si>
  <si>
    <t>K0IV-V</t>
  </si>
  <si>
    <t>08526+2820</t>
  </si>
  <si>
    <t>HIP_86736_</t>
  </si>
  <si>
    <t>TIC_238115675</t>
  </si>
  <si>
    <t>HD_160915_</t>
  </si>
  <si>
    <t>HR_6595_</t>
  </si>
  <si>
    <t>GJ_692_</t>
  </si>
  <si>
    <t>58_Oph</t>
  </si>
  <si>
    <t>58_Ophiuchi</t>
  </si>
  <si>
    <t>17434-2141</t>
  </si>
  <si>
    <t>2011A&amp;A...530A.138C</t>
  </si>
  <si>
    <t>HIP_7978_</t>
  </si>
  <si>
    <t>TIC_229137615</t>
  </si>
  <si>
    <t>HD_10647_</t>
  </si>
  <si>
    <t>HR_506_</t>
  </si>
  <si>
    <t>GJ_3109_</t>
  </si>
  <si>
    <t>q1_Eri</t>
  </si>
  <si>
    <t>q1_Eridani</t>
  </si>
  <si>
    <t>2006ApJ...636.1098B</t>
  </si>
  <si>
    <t>HIP_38423_</t>
  </si>
  <si>
    <t>TIC_150796339</t>
  </si>
  <si>
    <t>HD_64379_</t>
  </si>
  <si>
    <t>HR_3079_</t>
  </si>
  <si>
    <t>GJ_292A_</t>
  </si>
  <si>
    <t>212_Pup_A</t>
  </si>
  <si>
    <t>212_Puppis_A</t>
  </si>
  <si>
    <t>F5V_Fe-0.5</t>
  </si>
  <si>
    <t>2019A&amp;A...628A..94A</t>
  </si>
  <si>
    <t>07523-3442</t>
  </si>
  <si>
    <t>HIP_18859_</t>
  </si>
  <si>
    <t>TIC_9150015</t>
  </si>
  <si>
    <t>HD_25457_</t>
  </si>
  <si>
    <t>HR_1249_</t>
  </si>
  <si>
    <t>GJ_159_</t>
  </si>
  <si>
    <t>GJ_159</t>
  </si>
  <si>
    <t>2008ApJ...677..630H</t>
  </si>
  <si>
    <t>HIP_64583_</t>
  </si>
  <si>
    <t>TIC_255854921</t>
  </si>
  <si>
    <t>HD_114837_A</t>
  </si>
  <si>
    <t>HR_4989_A</t>
  </si>
  <si>
    <t>GJ_503A_</t>
  </si>
  <si>
    <t>GJ_503A</t>
  </si>
  <si>
    <t>F6V_Fe-0.4</t>
  </si>
  <si>
    <t>13143-5906</t>
  </si>
  <si>
    <t>HIP_950_</t>
  </si>
  <si>
    <t>TIC_70847587</t>
  </si>
  <si>
    <t>HD_739_</t>
  </si>
  <si>
    <t>HR_35_</t>
  </si>
  <si>
    <t>GJ_3013_</t>
  </si>
  <si>
    <t>tet_Scl</t>
  </si>
  <si>
    <t>Theta_Sculptoris</t>
  </si>
  <si>
    <t>HIP_32984_</t>
  </si>
  <si>
    <t>TIC_282210766</t>
  </si>
  <si>
    <t>HD_50281_</t>
  </si>
  <si>
    <t>GJ_250A_</t>
  </si>
  <si>
    <t>GJ_250A</t>
  </si>
  <si>
    <t>K3.5V</t>
  </si>
  <si>
    <t>06523-0510</t>
  </si>
  <si>
    <t>HIP_68184_</t>
  </si>
  <si>
    <t>TIC_202380743</t>
  </si>
  <si>
    <t>HD_122064_</t>
  </si>
  <si>
    <t>HR_5256_</t>
  </si>
  <si>
    <t>1984AJ.....89..702L</t>
  </si>
  <si>
    <t>HIP_88972_</t>
  </si>
  <si>
    <t>TIC_75946144</t>
  </si>
  <si>
    <t>HD_166620_</t>
  </si>
  <si>
    <t>HR_6806_</t>
  </si>
  <si>
    <t>GJ_706_</t>
  </si>
  <si>
    <t>HR_6806</t>
  </si>
  <si>
    <t>18096+3827</t>
  </si>
  <si>
    <t>HIP_100017_</t>
  </si>
  <si>
    <t>TIC_403585118</t>
  </si>
  <si>
    <t>HD_193664_</t>
  </si>
  <si>
    <t>HR_7783_</t>
  </si>
  <si>
    <t>GJ_788_</t>
  </si>
  <si>
    <t>HR_7783</t>
  </si>
  <si>
    <t>HIP_69965_</t>
  </si>
  <si>
    <t>TIC_83391616</t>
  </si>
  <si>
    <t>HD_125276_A</t>
  </si>
  <si>
    <t>HR_5356_A</t>
  </si>
  <si>
    <t>GJ_9476A_</t>
  </si>
  <si>
    <t>GJ_9476A</t>
  </si>
  <si>
    <t>F9V_Fe-1.5_CH-0.7</t>
  </si>
  <si>
    <t>2022A&amp;A...658A..57M</t>
  </si>
  <si>
    <t>14190-2549</t>
  </si>
  <si>
    <t>HIP_25110_</t>
  </si>
  <si>
    <t>TIC_142103211</t>
  </si>
  <si>
    <t>HD_33564_</t>
  </si>
  <si>
    <t>HR_1686_</t>
  </si>
  <si>
    <t>GJ_196_</t>
  </si>
  <si>
    <t>05226+7914</t>
  </si>
  <si>
    <t>HIP_19335_</t>
  </si>
  <si>
    <t>TIC_353257675</t>
  </si>
  <si>
    <t>HD_25998_</t>
  </si>
  <si>
    <t>HR_1278_</t>
  </si>
  <si>
    <t>GJ_9145_</t>
  </si>
  <si>
    <t>50_Per</t>
  </si>
  <si>
    <t>50_Persei</t>
  </si>
  <si>
    <t>HIP_51502_</t>
  </si>
  <si>
    <t>TIC_367631379</t>
  </si>
  <si>
    <t>HD_90089_A</t>
  </si>
  <si>
    <t>HR_4084_A</t>
  </si>
  <si>
    <t>GJ_9330A_</t>
  </si>
  <si>
    <t>GJ_9330A</t>
  </si>
  <si>
    <t>F4VkF2mF2</t>
  </si>
  <si>
    <t>2010A&amp;A...521A..12M</t>
  </si>
  <si>
    <t>10311+8234</t>
  </si>
  <si>
    <t>HIP_2021_</t>
  </si>
  <si>
    <t>TIC_267211065</t>
  </si>
  <si>
    <t>HD_2151_</t>
  </si>
  <si>
    <t>HR_98_</t>
  </si>
  <si>
    <t>GJ_19_</t>
  </si>
  <si>
    <t>bet_Hyi</t>
  </si>
  <si>
    <t>Beta_Hydri</t>
  </si>
  <si>
    <t>HIP_57757_</t>
  </si>
  <si>
    <t>TIC_366661076</t>
  </si>
  <si>
    <t>HD_102870_</t>
  </si>
  <si>
    <t>HR_4540_</t>
  </si>
  <si>
    <t>GJ_449_</t>
  </si>
  <si>
    <t>bet_Vir</t>
  </si>
  <si>
    <t>Zavijava</t>
  </si>
  <si>
    <t>11507+0146</t>
  </si>
  <si>
    <t>HIP_7513_</t>
  </si>
  <si>
    <t>TIC_189576919</t>
  </si>
  <si>
    <t>HD_9826_A</t>
  </si>
  <si>
    <t>HR_458_A</t>
  </si>
  <si>
    <t>GJ_61A</t>
  </si>
  <si>
    <t>ups_And_A</t>
  </si>
  <si>
    <t>Titawin</t>
  </si>
  <si>
    <t>01368+4124</t>
  </si>
  <si>
    <t>HIP_14879_</t>
  </si>
  <si>
    <t>TIC_88523071</t>
  </si>
  <si>
    <t>HD_20010_A</t>
  </si>
  <si>
    <t>HR_963_A</t>
  </si>
  <si>
    <t>GJ_127A_</t>
  </si>
  <si>
    <t>alf_For</t>
  </si>
  <si>
    <t>Dalim</t>
  </si>
  <si>
    <t>03121-2859</t>
  </si>
  <si>
    <t>HIP_116771_</t>
  </si>
  <si>
    <t>TIC_419919445</t>
  </si>
  <si>
    <t>HD_222368_</t>
  </si>
  <si>
    <t>HR_8969_</t>
  </si>
  <si>
    <t>GJ_904_</t>
  </si>
  <si>
    <t>iot_Psc</t>
  </si>
  <si>
    <t>Iota_Piscium</t>
  </si>
  <si>
    <t>23399+0538</t>
  </si>
  <si>
    <t>HIP_102485_</t>
  </si>
  <si>
    <t>TIC_269995013</t>
  </si>
  <si>
    <t>HD_197692_</t>
  </si>
  <si>
    <t>HR_7936_</t>
  </si>
  <si>
    <t>GJ_805_</t>
  </si>
  <si>
    <t>psi_Cap</t>
  </si>
  <si>
    <t>Psi_Capricorni</t>
  </si>
  <si>
    <t>2005AJ....129.1063L</t>
  </si>
  <si>
    <t>20461-2516</t>
  </si>
  <si>
    <t>HIP_70497_</t>
  </si>
  <si>
    <t>TIC_441709021</t>
  </si>
  <si>
    <t>HD_126660_A</t>
  </si>
  <si>
    <t>HR_5404_A</t>
  </si>
  <si>
    <t>GJ_549A_</t>
  </si>
  <si>
    <t>tet_Boo_A</t>
  </si>
  <si>
    <t>Theta_Bootis_A</t>
  </si>
  <si>
    <t>2013A&amp;A...552A..27M</t>
  </si>
  <si>
    <t>14252+5151</t>
  </si>
  <si>
    <t>HIP_27435_</t>
  </si>
  <si>
    <t>TIC_176521059</t>
  </si>
  <si>
    <t>HD_38858_</t>
  </si>
  <si>
    <t>HR_2007_</t>
  </si>
  <si>
    <t>GJ_1085_</t>
  </si>
  <si>
    <t>HIP_77358_</t>
  </si>
  <si>
    <t>TIC_179348425</t>
  </si>
  <si>
    <t>HD_140901_A</t>
  </si>
  <si>
    <t>HR_5864_A</t>
  </si>
  <si>
    <t>GJ_599A_</t>
  </si>
  <si>
    <t>GJ_599A</t>
  </si>
  <si>
    <t>15475-3755</t>
  </si>
  <si>
    <t>HIP_84893_</t>
  </si>
  <si>
    <t>TIC_75899957</t>
  </si>
  <si>
    <t>HD_156897_A</t>
  </si>
  <si>
    <t>HR_6445_A</t>
  </si>
  <si>
    <t>GJ_670A_</t>
  </si>
  <si>
    <t>xi_Oph_A</t>
  </si>
  <si>
    <t>Aggia</t>
  </si>
  <si>
    <t>F2V</t>
  </si>
  <si>
    <t>17210-2107</t>
  </si>
  <si>
    <t>HIP_4151_</t>
  </si>
  <si>
    <t>TIC_285544488</t>
  </si>
  <si>
    <t>HD_5015_</t>
  </si>
  <si>
    <t>HR_244_</t>
  </si>
  <si>
    <t>GJ_41_</t>
  </si>
  <si>
    <t>GJ_41</t>
  </si>
  <si>
    <t>HIP_64408_</t>
  </si>
  <si>
    <t>TIC_30293512</t>
  </si>
  <si>
    <t>HD_114613_</t>
  </si>
  <si>
    <t>HR_4979_</t>
  </si>
  <si>
    <t>GJ_9432_</t>
  </si>
  <si>
    <t>HR_4979</t>
  </si>
  <si>
    <t>G4V</t>
  </si>
  <si>
    <t>HIP_45038_</t>
  </si>
  <si>
    <t>TIC_219709102</t>
  </si>
  <si>
    <t>HD_78154_A</t>
  </si>
  <si>
    <t>HR_3616_A</t>
  </si>
  <si>
    <t>GJ_335A_</t>
  </si>
  <si>
    <t>13_UMa_A</t>
  </si>
  <si>
    <t>13_Ursa_Majoris_A</t>
  </si>
  <si>
    <t>09104+6708</t>
  </si>
  <si>
    <t>HIP_50564_</t>
  </si>
  <si>
    <t>TIC_95431211</t>
  </si>
  <si>
    <t>HD_89449_</t>
  </si>
  <si>
    <t>HR_4054_</t>
  </si>
  <si>
    <t>GJ_9324_</t>
  </si>
  <si>
    <t>40_Leo</t>
  </si>
  <si>
    <t>40_Leonis</t>
  </si>
  <si>
    <t>F6IV-V</t>
  </si>
  <si>
    <t>10197+1928</t>
  </si>
  <si>
    <t>HIP_97295_</t>
  </si>
  <si>
    <t>TIC_58445695</t>
  </si>
  <si>
    <t>HD_187013_</t>
  </si>
  <si>
    <t>HR_7534_A</t>
  </si>
  <si>
    <t>GJ_9670A_</t>
  </si>
  <si>
    <t>17_Cyg_A</t>
  </si>
  <si>
    <t>17_Cygni_A</t>
  </si>
  <si>
    <t>19464+3344</t>
  </si>
  <si>
    <t>HIP_5896_</t>
  </si>
  <si>
    <t>TIC_52194638</t>
  </si>
  <si>
    <t>HD_7788_A</t>
  </si>
  <si>
    <t>HR_377_A</t>
  </si>
  <si>
    <t>GJ_9049A</t>
  </si>
  <si>
    <t>kap_Tuc_A</t>
  </si>
  <si>
    <t>Kappa_Tucanae_A</t>
  </si>
  <si>
    <t>2020ApJ...898...27S</t>
  </si>
  <si>
    <t>01158-6853</t>
  </si>
  <si>
    <t>HIP_89348_</t>
  </si>
  <si>
    <t>TIC_233121747</t>
  </si>
  <si>
    <t>HD_168151_</t>
  </si>
  <si>
    <t>HR_6850_</t>
  </si>
  <si>
    <t>GJ_9619_</t>
  </si>
  <si>
    <t>36_Dra</t>
  </si>
  <si>
    <t>36_Draconis</t>
  </si>
  <si>
    <t>1976PASP...88...95C</t>
  </si>
  <si>
    <t>18139+6424</t>
  </si>
  <si>
    <t>HIP_111449_</t>
  </si>
  <si>
    <t>TIC_69889261</t>
  </si>
  <si>
    <t>HD_213845_A</t>
  </si>
  <si>
    <t>HR_8592_A</t>
  </si>
  <si>
    <t>GJ_9789A</t>
  </si>
  <si>
    <t>ups_Aqr_A</t>
  </si>
  <si>
    <t>Upsilon_Aquarii_A</t>
  </si>
  <si>
    <t xml:space="preserve"> 22347-2042</t>
  </si>
  <si>
    <t>TIC_1101124559</t>
  </si>
  <si>
    <t>HD_131156_B</t>
  </si>
  <si>
    <t>HR_5544_B</t>
  </si>
  <si>
    <t>GJ_566B_</t>
  </si>
  <si>
    <t>xi_Boo_B</t>
  </si>
  <si>
    <t>Xi_Bootis_B</t>
  </si>
  <si>
    <t>1981ApJS...45..437A1</t>
  </si>
  <si>
    <t>HIP_41926_</t>
  </si>
  <si>
    <t>TIC_393844873</t>
  </si>
  <si>
    <t>HD_72673_</t>
  </si>
  <si>
    <t>HR_3384_</t>
  </si>
  <si>
    <t>GJ_309_</t>
  </si>
  <si>
    <t>HR_3384</t>
  </si>
  <si>
    <t>HIP_10798_</t>
  </si>
  <si>
    <t>TIC_72748794</t>
  </si>
  <si>
    <t>HD_14412_</t>
  </si>
  <si>
    <t>HR_683_</t>
  </si>
  <si>
    <t>GJ_95_</t>
  </si>
  <si>
    <t>HR_683</t>
  </si>
  <si>
    <t>HIP_59199_</t>
  </si>
  <si>
    <t>TIC_421189312</t>
  </si>
  <si>
    <t>HD_105452_A</t>
  </si>
  <si>
    <t>HR_4623_A</t>
  </si>
  <si>
    <t>GJ_9389A</t>
  </si>
  <si>
    <t>alf_Crv_A</t>
  </si>
  <si>
    <t>Alchiba</t>
  </si>
  <si>
    <t>F1V</t>
  </si>
  <si>
    <t>HIP_50954_</t>
  </si>
  <si>
    <t>TIC_453620177</t>
  </si>
  <si>
    <t>HD_90589_</t>
  </si>
  <si>
    <t>HR_4102_</t>
  </si>
  <si>
    <t>GJ_391_</t>
  </si>
  <si>
    <t>HR_4102</t>
  </si>
  <si>
    <t>F3V</t>
  </si>
  <si>
    <t>HIP_112447_</t>
  </si>
  <si>
    <t>TIC_60716322</t>
  </si>
  <si>
    <t>HD_215648_A</t>
  </si>
  <si>
    <t>HR_8665_</t>
  </si>
  <si>
    <t>GJ_872A_</t>
  </si>
  <si>
    <t>xi_Peg_A</t>
  </si>
  <si>
    <t>Xi_Pegasi_A</t>
  </si>
  <si>
    <t>2018AJ....156..102S</t>
  </si>
  <si>
    <t>22467+1210</t>
  </si>
  <si>
    <t>HIP_43726_</t>
  </si>
  <si>
    <t>TIC_62569281</t>
  </si>
  <si>
    <t>HD_76151_</t>
  </si>
  <si>
    <t>HR_3538_</t>
  </si>
  <si>
    <t>GJ_327_</t>
  </si>
  <si>
    <t>HR_3538</t>
  </si>
  <si>
    <t>HIP_88694_</t>
  </si>
  <si>
    <t>TIC_329574145</t>
  </si>
  <si>
    <t>HD_165185_</t>
  </si>
  <si>
    <t>HR_6748_</t>
  </si>
  <si>
    <t>GJ_702.1_</t>
  </si>
  <si>
    <t>HR_6748</t>
  </si>
  <si>
    <t>2003AJ....125.1980K</t>
  </si>
  <si>
    <t>18064-3601</t>
  </si>
  <si>
    <t>HIP_62207_</t>
  </si>
  <si>
    <t>TIC_389853353</t>
  </si>
  <si>
    <t>HD_110897_</t>
  </si>
  <si>
    <t>HR_4845_</t>
  </si>
  <si>
    <t>GJ_484_</t>
  </si>
  <si>
    <t>10_CVn</t>
  </si>
  <si>
    <t>10_Canum_Venaticorum</t>
  </si>
  <si>
    <t>F9V_Fe-0.3</t>
  </si>
  <si>
    <t>HIP_107350_</t>
  </si>
  <si>
    <t>TIC_301880196</t>
  </si>
  <si>
    <t>HD_206860_</t>
  </si>
  <si>
    <t>HR_8314_</t>
  </si>
  <si>
    <t>GJ_9751_</t>
  </si>
  <si>
    <t>HN_Peg</t>
  </si>
  <si>
    <t>HN_Pegasi</t>
  </si>
  <si>
    <t>G0IV-V</t>
  </si>
  <si>
    <t>21445+1446</t>
  </si>
  <si>
    <t>HIP_17651_</t>
  </si>
  <si>
    <t>TIC_121078878</t>
  </si>
  <si>
    <t>HD_23754_</t>
  </si>
  <si>
    <t>HR_1173_</t>
  </si>
  <si>
    <t>GJ_155_</t>
  </si>
  <si>
    <t>27_Eri</t>
  </si>
  <si>
    <t>27_Eridani</t>
  </si>
  <si>
    <t>F5IV-V</t>
  </si>
  <si>
    <t>HIP_61174_</t>
  </si>
  <si>
    <t>TIC_1628071</t>
  </si>
  <si>
    <t>HD_109085_</t>
  </si>
  <si>
    <t>HR_4775_</t>
  </si>
  <si>
    <t>GJ_9411_</t>
  </si>
  <si>
    <t>eta_Crv</t>
  </si>
  <si>
    <t>Eta_Corvi</t>
  </si>
  <si>
    <t>2012A&amp;A...537A.120Z</t>
  </si>
  <si>
    <t>12321-1612</t>
  </si>
  <si>
    <t>HIP_98959_</t>
  </si>
  <si>
    <t>TIC_352402781</t>
  </si>
  <si>
    <t>HD_189567_</t>
  </si>
  <si>
    <t>HR_7644_</t>
  </si>
  <si>
    <t>GJ_776_</t>
  </si>
  <si>
    <t>GJ_776</t>
  </si>
  <si>
    <t>G2V_Fe-1.0</t>
  </si>
  <si>
    <t>HIP_44897_</t>
  </si>
  <si>
    <t>TIC_355127594</t>
  </si>
  <si>
    <t>HD_78366_</t>
  </si>
  <si>
    <t>HR_3625_</t>
  </si>
  <si>
    <t>GJ_334.2_</t>
  </si>
  <si>
    <t>HR_3625</t>
  </si>
  <si>
    <t>HIP_114948_</t>
  </si>
  <si>
    <t>TIC_234968549</t>
  </si>
  <si>
    <t>HD_219482_</t>
  </si>
  <si>
    <t>HR_8843_</t>
  </si>
  <si>
    <t>GJ_1282_</t>
  </si>
  <si>
    <t>HR_8843</t>
  </si>
  <si>
    <t>23170-6200</t>
  </si>
  <si>
    <t>HIP_114924_</t>
  </si>
  <si>
    <t>TIC_24467943</t>
  </si>
  <si>
    <t>HD_219623_</t>
  </si>
  <si>
    <t>HR_8853_</t>
  </si>
  <si>
    <t>GJ_4324_</t>
  </si>
  <si>
    <t>HR_8853</t>
  </si>
  <si>
    <t>23167+5313</t>
  </si>
  <si>
    <t>HIP_86486_</t>
  </si>
  <si>
    <t>TIC_96745915</t>
  </si>
  <si>
    <t>HD_160032_</t>
  </si>
  <si>
    <t>HR_6569_</t>
  </si>
  <si>
    <t>GJ_9597_</t>
  </si>
  <si>
    <t>lam_Ara</t>
  </si>
  <si>
    <t>Lambda_Arae</t>
  </si>
  <si>
    <t>F4V</t>
  </si>
  <si>
    <t>1989AJ.....98.1049G</t>
  </si>
  <si>
    <t>2012AJ....143..135V</t>
  </si>
  <si>
    <t>HIP_103389_</t>
  </si>
  <si>
    <t>TIC_29495621</t>
  </si>
  <si>
    <t>HD_199260_</t>
  </si>
  <si>
    <t>HR_8013_</t>
  </si>
  <si>
    <t>GJ_811_</t>
  </si>
  <si>
    <t>HR_8013</t>
  </si>
  <si>
    <t>HIP_16245_</t>
  </si>
  <si>
    <t>TIC_262843771</t>
  </si>
  <si>
    <t>HD_22001_A</t>
  </si>
  <si>
    <t>HR_1083_A</t>
  </si>
  <si>
    <t>GJ_9118A_</t>
  </si>
  <si>
    <t>kap_Ret_A</t>
  </si>
  <si>
    <t>Kappa_Reticuli_A</t>
  </si>
  <si>
    <t>2015ApJ...804..146D</t>
  </si>
  <si>
    <t>2013A&amp;A...551L...8P</t>
  </si>
  <si>
    <t>03294-6256</t>
  </si>
  <si>
    <t>HIP_51523_</t>
  </si>
  <si>
    <t>TIC_447823435</t>
  </si>
  <si>
    <t>HD_91324_</t>
  </si>
  <si>
    <t>HR_4134_</t>
  </si>
  <si>
    <t>GJ_9332_</t>
  </si>
  <si>
    <t>HR_4134</t>
  </si>
  <si>
    <t>F9V_Fe-0.8_CH-0.7</t>
  </si>
  <si>
    <t>10314-5343</t>
  </si>
  <si>
    <t>HIP_57939_</t>
  </si>
  <si>
    <t>TIC_309599261</t>
  </si>
  <si>
    <t>HD_103095_</t>
  </si>
  <si>
    <t>HR_4550_</t>
  </si>
  <si>
    <t>GJ_451_</t>
  </si>
  <si>
    <t>CF_UMa</t>
  </si>
  <si>
    <t>CF_Ursae_Majoris</t>
  </si>
  <si>
    <t>K1V_Fe-1.5</t>
  </si>
  <si>
    <t>HIP_64797_</t>
  </si>
  <si>
    <t>TIC_373765355</t>
  </si>
  <si>
    <t>HD_115404_A</t>
  </si>
  <si>
    <t>GJ_505A_</t>
  </si>
  <si>
    <t>GJ_505A</t>
  </si>
  <si>
    <t>K2.5V(k)</t>
  </si>
  <si>
    <t>13169+1701</t>
  </si>
  <si>
    <t>HIP_42808_</t>
  </si>
  <si>
    <t>TIC_181273463</t>
  </si>
  <si>
    <t>HD_74576_</t>
  </si>
  <si>
    <t>GJ_320_</t>
  </si>
  <si>
    <t>HIP_85235_</t>
  </si>
  <si>
    <t>TIC_219880402</t>
  </si>
  <si>
    <t>HD_158633_</t>
  </si>
  <si>
    <t>HR_6518_</t>
  </si>
  <si>
    <t>GJ_675_</t>
  </si>
  <si>
    <t>HR_6518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</si>
</sst>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#,##0.0000"/>
    <numFmt numFmtId="167" formatCode="0.00000000"/>
    <numFmt numFmtId="168" formatCode="0.0"/>
    <numFmt numFmtId="169" formatCode="#,##0.000"/>
  </numFmts>
  <fonts count="13">
    <font>
      <sz val="12"/>
      <color rgb="FF000000"/>
      <name val="Calibri"/>
    </font>
    <font>
      <sz val="11"/>
      <name val="Serif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i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i/>
      <sz val="11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7" fontId="4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center"/>
    </xf>
    <xf numFmtId="169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2" fontId="6" fillId="2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2" fillId="2" borderId="1" xfId="0" applyFont="1" applyFill="1" applyBorder="1"/>
    <xf numFmtId="2" fontId="2" fillId="2" borderId="1" xfId="0" applyNumberFormat="1" applyFont="1" applyFill="1" applyBorder="1"/>
    <xf numFmtId="165" fontId="2" fillId="2" borderId="1" xfId="0" applyNumberFormat="1" applyFont="1" applyFill="1" applyBorder="1"/>
    <xf numFmtId="166" fontId="2" fillId="2" borderId="1" xfId="0" applyNumberFormat="1" applyFont="1" applyFill="1" applyBorder="1"/>
    <xf numFmtId="164" fontId="2" fillId="2" borderId="1" xfId="0" applyNumberFormat="1" applyFont="1" applyFill="1" applyBorder="1"/>
    <xf numFmtId="169" fontId="2" fillId="2" borderId="1" xfId="0" applyNumberFormat="1" applyFont="1" applyFill="1" applyBorder="1"/>
    <xf numFmtId="4" fontId="2" fillId="2" borderId="1" xfId="0" applyNumberFormat="1" applyFont="1" applyFill="1" applyBorder="1"/>
    <xf numFmtId="168" fontId="4" fillId="2" borderId="1" xfId="0" applyNumberFormat="1" applyFont="1" applyFill="1" applyBorder="1"/>
    <xf numFmtId="2" fontId="4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167" fontId="7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/>
    <xf numFmtId="169" fontId="3" fillId="2" borderId="1" xfId="0" applyNumberFormat="1" applyFont="1" applyFill="1" applyBorder="1"/>
    <xf numFmtId="4" fontId="3" fillId="2" borderId="1" xfId="0" applyNumberFormat="1" applyFont="1" applyFill="1" applyBorder="1"/>
    <xf numFmtId="11" fontId="3" fillId="2" borderId="1" xfId="0" applyNumberFormat="1" applyFont="1" applyFill="1" applyBorder="1"/>
    <xf numFmtId="2" fontId="3" fillId="2" borderId="1" xfId="0" applyNumberFormat="1" applyFont="1" applyFill="1" applyBorder="1" applyAlignment="1">
      <alignment horizontal="left"/>
    </xf>
    <xf numFmtId="168" fontId="7" fillId="2" borderId="1" xfId="0" applyNumberFormat="1" applyFont="1" applyFill="1" applyBorder="1" applyAlignment="1">
      <alignment horizontal="right"/>
    </xf>
    <xf numFmtId="2" fontId="7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2" fontId="7" fillId="2" borderId="1" xfId="0" applyNumberFormat="1" applyFont="1" applyFill="1" applyBorder="1"/>
    <xf numFmtId="0" fontId="10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2" fontId="12" fillId="2" borderId="1" xfId="0" applyNumberFormat="1" applyFont="1" applyFill="1" applyBorder="1"/>
    <xf numFmtId="0" fontId="4" fillId="2" borderId="1" xfId="0" applyFont="1" applyFill="1" applyBorder="1"/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6"/>
  <sheetViews>
    <sheetView tabSelected="1" zoomScale="186" workbookViewId="0">
      <pane xSplit="1" ySplit="2" topLeftCell="B3" activePane="bottomRight" state="frozen"/>
      <selection pane="topRight" activeCell="AG1" sqref="AG1"/>
      <selection pane="bottomLeft" activeCell="A13" sqref="A13"/>
      <selection pane="bottomRight" activeCell="A167" sqref="A167:XFD167"/>
    </sheetView>
  </sheetViews>
  <sheetFormatPr baseColWidth="10" defaultColWidth="11.1640625" defaultRowHeight="15" customHeight="1"/>
  <cols>
    <col min="1" max="1" width="14.33203125" style="13" customWidth="1"/>
    <col min="2" max="2" width="12.5" style="13" customWidth="1"/>
    <col min="3" max="3" width="5.6640625" style="13" customWidth="1"/>
    <col min="4" max="4" width="12.1640625" style="13" customWidth="1"/>
    <col min="5" max="5" width="10.33203125" style="13" customWidth="1"/>
    <col min="6" max="6" width="11" style="13" customWidth="1"/>
    <col min="7" max="7" width="11.5" style="13" customWidth="1"/>
    <col min="8" max="8" width="20.1640625" style="13" customWidth="1"/>
    <col min="9" max="9" width="9.1640625" style="13" customWidth="1"/>
    <col min="10" max="10" width="9.5" style="13" customWidth="1"/>
    <col min="11" max="11" width="7.5" style="13" customWidth="1"/>
    <col min="12" max="12" width="17.1640625" style="13" customWidth="1"/>
    <col min="13" max="13" width="13.5" style="13" customWidth="1"/>
    <col min="14" max="14" width="13.33203125" style="13" customWidth="1"/>
    <col min="15" max="16" width="6.83203125" style="13" customWidth="1"/>
    <col min="17" max="17" width="19.5" style="13" customWidth="1"/>
    <col min="18" max="18" width="6.5" style="13" customWidth="1"/>
    <col min="19" max="19" width="5.6640625" style="13" customWidth="1"/>
    <col min="20" max="20" width="19.33203125" style="13" customWidth="1"/>
    <col min="21" max="21" width="6.5" style="13" customWidth="1"/>
    <col min="22" max="22" width="19.6640625" style="13" customWidth="1"/>
    <col min="23" max="23" width="13.1640625" style="13" customWidth="1"/>
    <col min="24" max="24" width="19" style="13" customWidth="1"/>
    <col min="25" max="25" width="6.33203125" style="13" customWidth="1"/>
    <col min="26" max="26" width="3.83203125" style="13" customWidth="1"/>
    <col min="27" max="27" width="12.83203125" style="13" customWidth="1"/>
    <col min="28" max="28" width="8.5" style="13" customWidth="1"/>
    <col min="29" max="29" width="7.1640625" style="13" customWidth="1"/>
    <col min="30" max="30" width="18.83203125" style="13" customWidth="1"/>
    <col min="31" max="31" width="6.5" style="13" customWidth="1"/>
    <col min="32" max="32" width="5.1640625" style="13" customWidth="1"/>
    <col min="33" max="33" width="4.5" style="13" customWidth="1"/>
    <col min="34" max="34" width="10.5" style="13" customWidth="1"/>
    <col min="35" max="35" width="9.5" style="13" customWidth="1"/>
    <col min="36" max="36" width="6.1640625" style="13" customWidth="1"/>
    <col min="37" max="37" width="8.1640625" style="13" customWidth="1"/>
    <col min="38" max="38" width="5.1640625" style="13" customWidth="1"/>
    <col min="39" max="39" width="5.33203125" style="13" customWidth="1"/>
    <col min="40" max="40" width="16.1640625" style="13" customWidth="1"/>
    <col min="41" max="41" width="6.5" style="13" customWidth="1"/>
    <col min="42" max="42" width="17.1640625" style="13" customWidth="1"/>
    <col min="43" max="43" width="6.1640625" style="13" customWidth="1"/>
    <col min="44" max="44" width="7.5" style="13" customWidth="1"/>
    <col min="45" max="45" width="8.33203125" style="13" customWidth="1"/>
    <col min="46" max="46" width="7" style="13" customWidth="1"/>
    <col min="47" max="47" width="6" style="13" customWidth="1"/>
    <col min="48" max="48" width="6.6640625" style="13" customWidth="1"/>
    <col min="49" max="49" width="6" style="13" customWidth="1"/>
    <col min="50" max="50" width="11.5" style="13" customWidth="1"/>
    <col min="51" max="51" width="8.83203125" style="56" customWidth="1"/>
    <col min="52" max="52" width="6.83203125" style="56" customWidth="1"/>
    <col min="53" max="53" width="10.6640625" style="56" customWidth="1"/>
    <col min="54" max="54" width="7" style="13" customWidth="1"/>
    <col min="55" max="55" width="21.1640625" style="13" customWidth="1"/>
    <col min="56" max="56" width="8.6640625" style="13" customWidth="1"/>
    <col min="57" max="16384" width="11.1640625" style="13"/>
  </cols>
  <sheetData>
    <row r="1" spans="1:56" ht="18" customHeight="1">
      <c r="A1" s="14" t="s">
        <v>8</v>
      </c>
      <c r="B1" s="14" t="s">
        <v>6</v>
      </c>
      <c r="C1" s="8" t="s">
        <v>7</v>
      </c>
      <c r="D1" s="14" t="s">
        <v>9</v>
      </c>
      <c r="E1" s="15" t="s">
        <v>10</v>
      </c>
      <c r="F1" s="14" t="s">
        <v>11</v>
      </c>
      <c r="G1" s="15" t="s">
        <v>12</v>
      </c>
      <c r="H1" s="15" t="s">
        <v>13</v>
      </c>
      <c r="I1" s="16" t="s">
        <v>14</v>
      </c>
      <c r="J1" s="17" t="s">
        <v>15</v>
      </c>
      <c r="K1" s="17" t="s">
        <v>16</v>
      </c>
      <c r="L1" s="8" t="s">
        <v>17</v>
      </c>
      <c r="M1" s="4" t="s">
        <v>18</v>
      </c>
      <c r="N1" s="4" t="s">
        <v>19</v>
      </c>
      <c r="O1" s="10" t="s">
        <v>0</v>
      </c>
      <c r="P1" s="5" t="s">
        <v>20</v>
      </c>
      <c r="Q1" s="6" t="s">
        <v>21</v>
      </c>
      <c r="R1" s="5" t="s">
        <v>22</v>
      </c>
      <c r="S1" s="5" t="s">
        <v>23</v>
      </c>
      <c r="T1" s="6" t="s">
        <v>21</v>
      </c>
      <c r="U1" s="18" t="s">
        <v>24</v>
      </c>
      <c r="V1" s="14" t="s">
        <v>25</v>
      </c>
      <c r="W1" s="14" t="s">
        <v>26</v>
      </c>
      <c r="X1" s="14" t="s">
        <v>27</v>
      </c>
      <c r="Y1" s="7" t="s">
        <v>28</v>
      </c>
      <c r="Z1" s="1" t="s">
        <v>29</v>
      </c>
      <c r="AA1" s="8" t="s">
        <v>30</v>
      </c>
      <c r="AB1" s="9" t="s">
        <v>31</v>
      </c>
      <c r="AC1" s="3" t="s">
        <v>32</v>
      </c>
      <c r="AD1" s="8" t="s">
        <v>33</v>
      </c>
      <c r="AE1" s="8" t="s">
        <v>34</v>
      </c>
      <c r="AF1" s="8" t="s">
        <v>35</v>
      </c>
      <c r="AG1" s="15" t="s">
        <v>36</v>
      </c>
      <c r="AH1" s="10" t="s">
        <v>37</v>
      </c>
      <c r="AI1" s="5" t="s">
        <v>38</v>
      </c>
      <c r="AJ1" s="1" t="s">
        <v>39</v>
      </c>
      <c r="AK1" s="14" t="s">
        <v>40</v>
      </c>
      <c r="AL1" s="5" t="s">
        <v>41</v>
      </c>
      <c r="AM1" s="5" t="s">
        <v>42</v>
      </c>
      <c r="AN1" s="14" t="s">
        <v>43</v>
      </c>
      <c r="AO1" s="18" t="s">
        <v>44</v>
      </c>
      <c r="AP1" s="14" t="s">
        <v>45</v>
      </c>
      <c r="AQ1" s="19" t="s">
        <v>46</v>
      </c>
      <c r="AR1" s="20" t="s">
        <v>47</v>
      </c>
      <c r="AS1" s="14" t="s">
        <v>48</v>
      </c>
      <c r="AT1" s="8" t="s">
        <v>49</v>
      </c>
      <c r="AU1" s="21" t="s">
        <v>50</v>
      </c>
      <c r="AV1" s="22" t="s">
        <v>51</v>
      </c>
      <c r="AW1" s="5" t="s">
        <v>52</v>
      </c>
      <c r="AX1" s="11" t="s">
        <v>53</v>
      </c>
      <c r="AY1" s="1" t="s">
        <v>54</v>
      </c>
      <c r="AZ1" s="2" t="s">
        <v>55</v>
      </c>
      <c r="BA1" s="12" t="s">
        <v>56</v>
      </c>
      <c r="BB1" s="1" t="s">
        <v>57</v>
      </c>
      <c r="BC1" s="8" t="s">
        <v>58</v>
      </c>
      <c r="BD1" s="1" t="s">
        <v>59</v>
      </c>
    </row>
    <row r="2" spans="1:56" ht="12.75" customHeight="1">
      <c r="A2" s="14" t="s">
        <v>63</v>
      </c>
      <c r="B2" s="14" t="s">
        <v>61</v>
      </c>
      <c r="C2" s="8" t="s">
        <v>62</v>
      </c>
      <c r="D2" s="14" t="s">
        <v>64</v>
      </c>
      <c r="E2" s="15" t="s">
        <v>65</v>
      </c>
      <c r="F2" s="14" t="s">
        <v>66</v>
      </c>
      <c r="G2" s="15" t="s">
        <v>67</v>
      </c>
      <c r="H2" s="15" t="s">
        <v>68</v>
      </c>
      <c r="I2" s="16" t="s">
        <v>69</v>
      </c>
      <c r="J2" s="17" t="s">
        <v>70</v>
      </c>
      <c r="K2" s="17" t="s">
        <v>71</v>
      </c>
      <c r="L2" s="8" t="s">
        <v>72</v>
      </c>
      <c r="M2" s="4" t="s">
        <v>73</v>
      </c>
      <c r="N2" s="4" t="s">
        <v>74</v>
      </c>
      <c r="O2" s="10" t="s">
        <v>75</v>
      </c>
      <c r="P2" s="5" t="s">
        <v>76</v>
      </c>
      <c r="Q2" s="6" t="s">
        <v>77</v>
      </c>
      <c r="R2" s="5" t="s">
        <v>78</v>
      </c>
      <c r="S2" s="5" t="s">
        <v>79</v>
      </c>
      <c r="T2" s="6" t="s">
        <v>80</v>
      </c>
      <c r="U2" s="18" t="s">
        <v>81</v>
      </c>
      <c r="V2" s="14" t="s">
        <v>82</v>
      </c>
      <c r="W2" s="14" t="s">
        <v>83</v>
      </c>
      <c r="X2" s="14" t="s">
        <v>84</v>
      </c>
      <c r="Y2" s="7" t="s">
        <v>85</v>
      </c>
      <c r="Z2" s="1" t="s">
        <v>86</v>
      </c>
      <c r="AA2" s="8" t="s">
        <v>87</v>
      </c>
      <c r="AB2" s="9" t="s">
        <v>88</v>
      </c>
      <c r="AC2" s="3" t="s">
        <v>89</v>
      </c>
      <c r="AD2" s="8" t="s">
        <v>90</v>
      </c>
      <c r="AE2" s="8" t="s">
        <v>91</v>
      </c>
      <c r="AF2" s="8" t="s">
        <v>92</v>
      </c>
      <c r="AG2" s="15" t="s">
        <v>93</v>
      </c>
      <c r="AH2" s="10" t="s">
        <v>94</v>
      </c>
      <c r="AI2" s="5" t="s">
        <v>95</v>
      </c>
      <c r="AJ2" s="1" t="s">
        <v>96</v>
      </c>
      <c r="AK2" s="14" t="s">
        <v>97</v>
      </c>
      <c r="AL2" s="5" t="s">
        <v>98</v>
      </c>
      <c r="AM2" s="5" t="s">
        <v>99</v>
      </c>
      <c r="AN2" s="14" t="s">
        <v>100</v>
      </c>
      <c r="AO2" s="18" t="s">
        <v>101</v>
      </c>
      <c r="AP2" s="14" t="s">
        <v>102</v>
      </c>
      <c r="AQ2" s="19" t="s">
        <v>103</v>
      </c>
      <c r="AR2" s="20" t="s">
        <v>104</v>
      </c>
      <c r="AS2" s="14" t="s">
        <v>105</v>
      </c>
      <c r="AT2" s="8" t="s">
        <v>106</v>
      </c>
      <c r="AU2" s="21" t="s">
        <v>107</v>
      </c>
      <c r="AV2" s="22" t="s">
        <v>108</v>
      </c>
      <c r="AW2" s="5" t="s">
        <v>109</v>
      </c>
      <c r="AX2" s="11" t="s">
        <v>110</v>
      </c>
      <c r="AY2" s="1" t="s">
        <v>111</v>
      </c>
      <c r="AZ2" s="2" t="s">
        <v>112</v>
      </c>
      <c r="BA2" s="2" t="s">
        <v>113</v>
      </c>
      <c r="BB2" s="1" t="s">
        <v>114</v>
      </c>
      <c r="BC2" s="1" t="s">
        <v>115</v>
      </c>
      <c r="BD2" s="1" t="s">
        <v>116</v>
      </c>
    </row>
    <row r="3" spans="1:56" ht="16.5" customHeight="1">
      <c r="A3" s="23" t="s">
        <v>910</v>
      </c>
      <c r="B3" s="14" t="s">
        <v>909</v>
      </c>
      <c r="C3" s="24" t="s">
        <v>1</v>
      </c>
      <c r="D3" s="23" t="s">
        <v>911</v>
      </c>
      <c r="E3" s="25" t="s">
        <v>912</v>
      </c>
      <c r="F3" s="23" t="s">
        <v>913</v>
      </c>
      <c r="G3" s="25" t="s">
        <v>914</v>
      </c>
      <c r="H3" s="25" t="s">
        <v>915</v>
      </c>
      <c r="I3" s="26">
        <f t="shared" ref="I3:I34" si="0">1000/$J3</f>
        <v>13.766159750777442</v>
      </c>
      <c r="J3" s="27">
        <v>72.641900000000007</v>
      </c>
      <c r="K3" s="27">
        <v>2.92E-2</v>
      </c>
      <c r="L3" s="28" t="s">
        <v>124</v>
      </c>
      <c r="M3" s="29">
        <v>1.6532666952449</v>
      </c>
      <c r="N3" s="29">
        <f>29.0215035260805</f>
        <v>29.021503526080501</v>
      </c>
      <c r="O3" s="30">
        <v>6.093</v>
      </c>
      <c r="P3" s="31">
        <v>3.0000000000000001E-3</v>
      </c>
      <c r="Q3" s="32" t="s">
        <v>125</v>
      </c>
      <c r="R3" s="31">
        <v>0.752</v>
      </c>
      <c r="S3" s="31">
        <v>3.0000000000000001E-3</v>
      </c>
      <c r="T3" s="32" t="s">
        <v>126</v>
      </c>
      <c r="U3" s="33">
        <v>5.63</v>
      </c>
      <c r="V3" s="25" t="s">
        <v>166</v>
      </c>
      <c r="W3" s="23" t="s">
        <v>378</v>
      </c>
      <c r="X3" s="23" t="s">
        <v>334</v>
      </c>
      <c r="Y3" s="7">
        <v>5491</v>
      </c>
      <c r="Z3" s="24">
        <v>18</v>
      </c>
      <c r="AA3" s="23" t="s">
        <v>130</v>
      </c>
      <c r="AB3" s="34">
        <v>-0.188915</v>
      </c>
      <c r="AC3" s="35">
        <v>1.0385399999999999E-2</v>
      </c>
      <c r="AD3" s="28" t="s">
        <v>146</v>
      </c>
      <c r="AE3" s="31">
        <f t="shared" ref="AE3:AE34" si="1">(10^$AB3)^(1/2)/($Y3/5771.8)^2</f>
        <v>0.88891894112553493</v>
      </c>
      <c r="AF3" s="31">
        <f t="shared" ref="AF3:AF34" si="2">1000*206264.8063*2*$AE3*695700/((1000/$J3)*206264.8063*149597870.7)</f>
        <v>0.60058702037363565</v>
      </c>
      <c r="AG3" s="25">
        <v>0.94</v>
      </c>
      <c r="AH3" s="10">
        <v>0.11</v>
      </c>
      <c r="AI3" s="31">
        <v>0.01</v>
      </c>
      <c r="AJ3" s="24" t="s">
        <v>60</v>
      </c>
      <c r="AK3" s="23" t="s">
        <v>130</v>
      </c>
      <c r="AL3" s="5">
        <v>4.55</v>
      </c>
      <c r="AM3" s="31">
        <v>0.03</v>
      </c>
      <c r="AN3" s="23" t="s">
        <v>130</v>
      </c>
      <c r="AO3" s="36">
        <v>-4.3840000000000003</v>
      </c>
      <c r="AP3" s="23" t="s">
        <v>191</v>
      </c>
      <c r="AQ3" s="37">
        <f t="shared" ref="AQ3:AQ34" si="3">SQRT(10^AB3)</f>
        <v>0.80453047594487614</v>
      </c>
      <c r="AR3" s="38">
        <f t="shared" ref="AR3:AR34" si="4">1000*$AQ3/I3</f>
        <v>58.442622380540101</v>
      </c>
      <c r="AS3" s="39">
        <f t="shared" ref="AS3:AS34" si="5">0.2*(1/3.14159265358)*(6378.136^2/(SQRT(10^(AB3))*149597870.7)^2)</f>
        <v>1.7878531733332095E-10</v>
      </c>
      <c r="AT3" s="40">
        <f t="shared" ref="AT3:AT34" si="6">$U3 - 2.5*LOG10($AS3)</f>
        <v>29.999170375804237</v>
      </c>
      <c r="AU3" s="41">
        <f t="shared" ref="AU3:AU34" si="7">365.25636*$AQ3^1.5 / $AG3^0.5</f>
        <v>271.86143815134056</v>
      </c>
      <c r="AV3" s="42">
        <f t="shared" ref="AV3:AV34" si="8">9 * $AG3^(-2/3) * ($AU3/365.25636)^(-1/3)</f>
        <v>10.349213173173952</v>
      </c>
      <c r="AW3" s="31">
        <f t="shared" ref="AW3:AW34" si="9">((398600441800000/($AG3*132712440042000000000))*$AQ3/$I3)/0.000001</f>
        <v>0.18673597041573431</v>
      </c>
      <c r="AX3" s="43" t="s">
        <v>916</v>
      </c>
      <c r="AY3" s="24" t="s">
        <v>2</v>
      </c>
      <c r="AZ3" s="44">
        <v>10.199999999999999</v>
      </c>
      <c r="BA3" s="45">
        <v>12.6</v>
      </c>
      <c r="BB3" s="24" t="s">
        <v>5</v>
      </c>
      <c r="BC3" s="46" t="s">
        <v>615</v>
      </c>
      <c r="BD3" s="24" t="s">
        <v>3</v>
      </c>
    </row>
    <row r="4" spans="1:56" ht="15.75" customHeight="1">
      <c r="A4" s="23" t="s">
        <v>528</v>
      </c>
      <c r="B4" s="14" t="s">
        <v>527</v>
      </c>
      <c r="C4" s="24" t="s">
        <v>1</v>
      </c>
      <c r="D4" s="23" t="s">
        <v>529</v>
      </c>
      <c r="E4" s="25" t="s">
        <v>530</v>
      </c>
      <c r="F4" s="23" t="s">
        <v>531</v>
      </c>
      <c r="G4" s="25" t="s">
        <v>532</v>
      </c>
      <c r="H4" s="25" t="s">
        <v>533</v>
      </c>
      <c r="I4" s="26">
        <f t="shared" si="0"/>
        <v>18.886133611840851</v>
      </c>
      <c r="J4" s="27">
        <v>52.948900000000002</v>
      </c>
      <c r="K4" s="27">
        <v>9.5799999999999996E-2</v>
      </c>
      <c r="L4" s="28" t="s">
        <v>124</v>
      </c>
      <c r="M4" s="29">
        <v>2.8160751597495999</v>
      </c>
      <c r="N4" s="29">
        <v>-15.467977923657299</v>
      </c>
      <c r="O4" s="30">
        <v>4.8949999999999996</v>
      </c>
      <c r="P4" s="31">
        <v>8.9999999999999993E-3</v>
      </c>
      <c r="Q4" s="32" t="s">
        <v>142</v>
      </c>
      <c r="R4" s="31">
        <v>0.49199999999999999</v>
      </c>
      <c r="S4" s="31">
        <v>2E-3</v>
      </c>
      <c r="T4" s="32" t="s">
        <v>142</v>
      </c>
      <c r="U4" s="33">
        <v>4.5750000000000002</v>
      </c>
      <c r="V4" s="25" t="s">
        <v>143</v>
      </c>
      <c r="W4" s="23" t="s">
        <v>534</v>
      </c>
      <c r="X4" s="23" t="s">
        <v>145</v>
      </c>
      <c r="Y4" s="7">
        <v>6190</v>
      </c>
      <c r="Z4" s="24">
        <v>13</v>
      </c>
      <c r="AA4" s="23" t="s">
        <v>130</v>
      </c>
      <c r="AB4" s="34">
        <v>0.47666500000000001</v>
      </c>
      <c r="AC4" s="35">
        <v>1.53049E-2</v>
      </c>
      <c r="AD4" s="28" t="s">
        <v>146</v>
      </c>
      <c r="AE4" s="31">
        <f t="shared" si="1"/>
        <v>1.5051290903423549</v>
      </c>
      <c r="AF4" s="31">
        <f t="shared" si="2"/>
        <v>0.74123732279119681</v>
      </c>
      <c r="AG4" s="25">
        <v>1.18</v>
      </c>
      <c r="AH4" s="10">
        <v>-0.36</v>
      </c>
      <c r="AI4" s="31">
        <v>0.02</v>
      </c>
      <c r="AJ4" s="24" t="s">
        <v>60</v>
      </c>
      <c r="AK4" s="23" t="s">
        <v>130</v>
      </c>
      <c r="AL4" s="5">
        <v>4.09</v>
      </c>
      <c r="AM4" s="31">
        <v>0.03</v>
      </c>
      <c r="AN4" s="23" t="s">
        <v>130</v>
      </c>
      <c r="AO4" s="36">
        <v>-4.9619999999999997</v>
      </c>
      <c r="AP4" s="23" t="s">
        <v>535</v>
      </c>
      <c r="AQ4" s="37">
        <f t="shared" si="3"/>
        <v>1.7311412302303129</v>
      </c>
      <c r="AR4" s="38">
        <f t="shared" si="4"/>
        <v>91.66202388534181</v>
      </c>
      <c r="AS4" s="39">
        <f t="shared" si="5"/>
        <v>3.8614627495587039E-11</v>
      </c>
      <c r="AT4" s="40">
        <f t="shared" si="6"/>
        <v>30.608120375804237</v>
      </c>
      <c r="AU4" s="41">
        <f t="shared" si="7"/>
        <v>765.87083781737499</v>
      </c>
      <c r="AV4" s="42">
        <f t="shared" si="8"/>
        <v>6.297022655090295</v>
      </c>
      <c r="AW4" s="31">
        <f t="shared" si="9"/>
        <v>0.23331011967549975</v>
      </c>
      <c r="AX4" s="43" t="s">
        <v>1</v>
      </c>
      <c r="AY4" s="24" t="s">
        <v>1</v>
      </c>
      <c r="AZ4" s="44" t="s">
        <v>1</v>
      </c>
      <c r="BA4" s="45" t="s">
        <v>1</v>
      </c>
      <c r="BB4" s="24" t="s">
        <v>134</v>
      </c>
      <c r="BC4" s="28" t="s">
        <v>1</v>
      </c>
      <c r="BD4" s="24" t="s">
        <v>2</v>
      </c>
    </row>
    <row r="5" spans="1:56" ht="15.75" customHeight="1">
      <c r="A5" s="23" t="s">
        <v>1090</v>
      </c>
      <c r="B5" s="14" t="s">
        <v>1089</v>
      </c>
      <c r="C5" s="24" t="s">
        <v>1</v>
      </c>
      <c r="D5" s="23" t="s">
        <v>1091</v>
      </c>
      <c r="E5" s="25" t="s">
        <v>1092</v>
      </c>
      <c r="F5" s="23" t="s">
        <v>1093</v>
      </c>
      <c r="G5" s="25" t="s">
        <v>1094</v>
      </c>
      <c r="H5" s="25" t="s">
        <v>1095</v>
      </c>
      <c r="I5" s="26">
        <f t="shared" si="0"/>
        <v>21.71906390834555</v>
      </c>
      <c r="J5" s="27">
        <v>46.042499999999997</v>
      </c>
      <c r="K5" s="27">
        <v>9.6100000000000005E-2</v>
      </c>
      <c r="L5" s="28" t="s">
        <v>124</v>
      </c>
      <c r="M5" s="29">
        <v>2.9334211537788999</v>
      </c>
      <c r="N5" s="29">
        <v>-35.133114709265897</v>
      </c>
      <c r="O5" s="30">
        <v>5.2409999999999997</v>
      </c>
      <c r="P5" s="31">
        <v>8.9999999999999993E-3</v>
      </c>
      <c r="Q5" s="32" t="s">
        <v>125</v>
      </c>
      <c r="R5" s="31">
        <v>0.45900000000000002</v>
      </c>
      <c r="S5" s="31">
        <v>2E-3</v>
      </c>
      <c r="T5" s="32" t="s">
        <v>126</v>
      </c>
      <c r="U5" s="33">
        <v>4.9509999999999996</v>
      </c>
      <c r="V5" s="25" t="s">
        <v>189</v>
      </c>
      <c r="W5" s="23" t="s">
        <v>839</v>
      </c>
      <c r="X5" s="23" t="s">
        <v>145</v>
      </c>
      <c r="Y5" s="7">
        <v>6495</v>
      </c>
      <c r="Z5" s="24">
        <v>85</v>
      </c>
      <c r="AA5" s="28" t="s">
        <v>149</v>
      </c>
      <c r="AB5" s="34">
        <v>0.48138199999999998</v>
      </c>
      <c r="AC5" s="35">
        <v>1.7660599999999999E-2</v>
      </c>
      <c r="AD5" s="28" t="s">
        <v>146</v>
      </c>
      <c r="AE5" s="31">
        <f t="shared" si="1"/>
        <v>1.3745332087374145</v>
      </c>
      <c r="AF5" s="31">
        <f t="shared" si="2"/>
        <v>0.58862773398649093</v>
      </c>
      <c r="AG5" s="25">
        <v>1.33</v>
      </c>
      <c r="AH5" s="10">
        <v>-0.11</v>
      </c>
      <c r="AI5" s="31">
        <v>0.04</v>
      </c>
      <c r="AJ5" s="24" t="s">
        <v>60</v>
      </c>
      <c r="AK5" s="23" t="s">
        <v>149</v>
      </c>
      <c r="AL5" s="5">
        <v>4.3</v>
      </c>
      <c r="AM5" s="31">
        <v>0.03</v>
      </c>
      <c r="AN5" s="23" t="s">
        <v>149</v>
      </c>
      <c r="AO5" s="36">
        <v>-4.7149999999999999</v>
      </c>
      <c r="AP5" s="23" t="s">
        <v>145</v>
      </c>
      <c r="AQ5" s="37">
        <f t="shared" si="3"/>
        <v>1.7405680206756451</v>
      </c>
      <c r="AR5" s="38">
        <f t="shared" si="4"/>
        <v>80.140103091958395</v>
      </c>
      <c r="AS5" s="39">
        <f t="shared" si="5"/>
        <v>3.8197492093943711E-11</v>
      </c>
      <c r="AT5" s="40">
        <f t="shared" si="6"/>
        <v>30.995912875804237</v>
      </c>
      <c r="AU5" s="41">
        <f t="shared" si="7"/>
        <v>727.29142362687855</v>
      </c>
      <c r="AV5" s="42">
        <f t="shared" si="8"/>
        <v>5.9152239134879654</v>
      </c>
      <c r="AW5" s="31">
        <f t="shared" si="9"/>
        <v>0.18097742196826361</v>
      </c>
      <c r="AX5" s="43" t="s">
        <v>1</v>
      </c>
      <c r="AY5" s="24" t="s">
        <v>1</v>
      </c>
      <c r="AZ5" s="44" t="s">
        <v>1</v>
      </c>
      <c r="BA5" s="45" t="s">
        <v>1</v>
      </c>
      <c r="BB5" s="24" t="s">
        <v>134</v>
      </c>
      <c r="BC5" s="28" t="s">
        <v>1</v>
      </c>
      <c r="BD5" s="50" t="s">
        <v>4</v>
      </c>
    </row>
    <row r="6" spans="1:56" ht="17.25" customHeight="1">
      <c r="A6" s="23" t="s">
        <v>624</v>
      </c>
      <c r="B6" s="14" t="s">
        <v>623</v>
      </c>
      <c r="C6" s="24" t="s">
        <v>1</v>
      </c>
      <c r="D6" s="23" t="s">
        <v>625</v>
      </c>
      <c r="E6" s="25" t="s">
        <v>626</v>
      </c>
      <c r="F6" s="23" t="s">
        <v>627</v>
      </c>
      <c r="G6" s="25" t="s">
        <v>628</v>
      </c>
      <c r="H6" s="25" t="s">
        <v>629</v>
      </c>
      <c r="I6" s="26">
        <f t="shared" si="0"/>
        <v>8.6071408283168047</v>
      </c>
      <c r="J6" s="27">
        <v>116.18259999999999</v>
      </c>
      <c r="K6" s="27">
        <v>0.13339999999999999</v>
      </c>
      <c r="L6" s="28" t="s">
        <v>124</v>
      </c>
      <c r="M6" s="29">
        <v>5.0177443062315996</v>
      </c>
      <c r="N6" s="29">
        <v>-64.874793663918794</v>
      </c>
      <c r="O6" s="30">
        <v>4.2229999999999999</v>
      </c>
      <c r="P6" s="31">
        <v>3.0000000000000001E-3</v>
      </c>
      <c r="Q6" s="32" t="s">
        <v>125</v>
      </c>
      <c r="R6" s="31">
        <v>0.57199999999999995</v>
      </c>
      <c r="S6" s="31">
        <v>6.0000000000000001E-3</v>
      </c>
      <c r="T6" s="32" t="s">
        <v>142</v>
      </c>
      <c r="U6" s="33">
        <v>3.8849999999999998</v>
      </c>
      <c r="V6" s="25" t="s">
        <v>143</v>
      </c>
      <c r="W6" s="23" t="s">
        <v>208</v>
      </c>
      <c r="X6" s="23" t="s">
        <v>145</v>
      </c>
      <c r="Y6" s="7">
        <v>5932</v>
      </c>
      <c r="Z6" s="24">
        <v>12</v>
      </c>
      <c r="AA6" s="23" t="s">
        <v>130</v>
      </c>
      <c r="AB6" s="34">
        <v>0.10102800000000001</v>
      </c>
      <c r="AC6" s="35">
        <v>1.33662E-2</v>
      </c>
      <c r="AD6" s="28" t="s">
        <v>146</v>
      </c>
      <c r="AE6" s="31">
        <f t="shared" si="1"/>
        <v>1.0634920873036435</v>
      </c>
      <c r="AF6" s="31">
        <f t="shared" si="2"/>
        <v>1.1492167336281589</v>
      </c>
      <c r="AG6" s="25">
        <v>1.1100000000000001</v>
      </c>
      <c r="AH6" s="10">
        <v>-0.21</v>
      </c>
      <c r="AI6" s="31">
        <v>0.01</v>
      </c>
      <c r="AJ6" s="24" t="s">
        <v>60</v>
      </c>
      <c r="AK6" s="23" t="s">
        <v>130</v>
      </c>
      <c r="AL6" s="5">
        <v>4.43</v>
      </c>
      <c r="AM6" s="31">
        <v>0.02</v>
      </c>
      <c r="AN6" s="23" t="s">
        <v>130</v>
      </c>
      <c r="AO6" s="36">
        <v>-4.8390000000000004</v>
      </c>
      <c r="AP6" s="23" t="s">
        <v>147</v>
      </c>
      <c r="AQ6" s="37">
        <f t="shared" si="3"/>
        <v>1.1233471815252973</v>
      </c>
      <c r="AR6" s="38">
        <f t="shared" si="4"/>
        <v>130.51339625228101</v>
      </c>
      <c r="AS6" s="39">
        <f t="shared" si="5"/>
        <v>9.1704120417911877E-11</v>
      </c>
      <c r="AT6" s="40">
        <f t="shared" si="6"/>
        <v>28.979027875804235</v>
      </c>
      <c r="AU6" s="41">
        <f t="shared" si="7"/>
        <v>412.76921306362419</v>
      </c>
      <c r="AV6" s="42">
        <f t="shared" si="8"/>
        <v>8.0597954515777737</v>
      </c>
      <c r="AW6" s="31">
        <f t="shared" si="9"/>
        <v>0.35314922208052896</v>
      </c>
      <c r="AX6" s="43" t="s">
        <v>1</v>
      </c>
      <c r="AY6" s="24" t="s">
        <v>1</v>
      </c>
      <c r="AZ6" s="44" t="s">
        <v>1</v>
      </c>
      <c r="BA6" s="45" t="s">
        <v>1</v>
      </c>
      <c r="BB6" s="24" t="s">
        <v>5</v>
      </c>
      <c r="BC6" s="46" t="s">
        <v>615</v>
      </c>
      <c r="BD6" s="24" t="s">
        <v>3</v>
      </c>
    </row>
    <row r="7" spans="1:56" ht="15.75" customHeight="1">
      <c r="A7" s="23" t="s">
        <v>1153</v>
      </c>
      <c r="B7" s="14" t="s">
        <v>1152</v>
      </c>
      <c r="C7" s="24" t="s">
        <v>1</v>
      </c>
      <c r="D7" s="23" t="s">
        <v>1154</v>
      </c>
      <c r="E7" s="25" t="s">
        <v>1155</v>
      </c>
      <c r="F7" s="23" t="s">
        <v>1156</v>
      </c>
      <c r="G7" s="25" t="s">
        <v>1157</v>
      </c>
      <c r="H7" s="25" t="s">
        <v>1158</v>
      </c>
      <c r="I7" s="26">
        <f t="shared" si="0"/>
        <v>7.458790184232118</v>
      </c>
      <c r="J7" s="27">
        <v>134.07</v>
      </c>
      <c r="K7" s="27">
        <v>0.11</v>
      </c>
      <c r="L7" s="28" t="s">
        <v>343</v>
      </c>
      <c r="M7" s="29">
        <v>6.43779316</v>
      </c>
      <c r="N7" s="29">
        <v>-77.254246120000005</v>
      </c>
      <c r="O7" s="30">
        <v>2.82</v>
      </c>
      <c r="P7" s="31">
        <v>0.01</v>
      </c>
      <c r="Q7" s="32" t="s">
        <v>126</v>
      </c>
      <c r="R7" s="31">
        <v>0.61699999999999999</v>
      </c>
      <c r="S7" s="31">
        <v>5.0000000000000001E-3</v>
      </c>
      <c r="T7" s="32" t="s">
        <v>142</v>
      </c>
      <c r="U7" s="33">
        <v>2.4449999999999998</v>
      </c>
      <c r="V7" s="25" t="s">
        <v>143</v>
      </c>
      <c r="W7" s="23" t="s">
        <v>178</v>
      </c>
      <c r="X7" s="23" t="s">
        <v>145</v>
      </c>
      <c r="Y7" s="7">
        <v>5806</v>
      </c>
      <c r="Z7" s="24">
        <v>18</v>
      </c>
      <c r="AA7" s="23" t="s">
        <v>130</v>
      </c>
      <c r="AB7" s="34">
        <v>0.54200000000000004</v>
      </c>
      <c r="AC7" s="35">
        <v>1.2E-2</v>
      </c>
      <c r="AD7" s="28" t="s">
        <v>305</v>
      </c>
      <c r="AE7" s="31">
        <f t="shared" si="1"/>
        <v>1.844456786629135</v>
      </c>
      <c r="AF7" s="31">
        <f t="shared" si="2"/>
        <v>2.2999938833542397</v>
      </c>
      <c r="AG7" s="25">
        <v>1.08</v>
      </c>
      <c r="AH7" s="10">
        <v>-0.12</v>
      </c>
      <c r="AI7" s="31">
        <v>0.02</v>
      </c>
      <c r="AJ7" s="24" t="s">
        <v>60</v>
      </c>
      <c r="AK7" s="23" t="s">
        <v>130</v>
      </c>
      <c r="AL7" s="5">
        <v>4</v>
      </c>
      <c r="AM7" s="31">
        <v>0.03</v>
      </c>
      <c r="AN7" s="23" t="s">
        <v>130</v>
      </c>
      <c r="AO7" s="36">
        <v>-4.9960000000000004</v>
      </c>
      <c r="AP7" s="23" t="s">
        <v>147</v>
      </c>
      <c r="AQ7" s="37">
        <f t="shared" si="3"/>
        <v>1.8663796908346701</v>
      </c>
      <c r="AR7" s="38">
        <f t="shared" si="4"/>
        <v>250.22552515020419</v>
      </c>
      <c r="AS7" s="39">
        <f t="shared" si="5"/>
        <v>3.3221317335788419E-11</v>
      </c>
      <c r="AT7" s="40">
        <f t="shared" si="6"/>
        <v>28.641457875804239</v>
      </c>
      <c r="AU7" s="41">
        <f t="shared" si="7"/>
        <v>896.16072990712109</v>
      </c>
      <c r="AV7" s="42">
        <f t="shared" si="8"/>
        <v>6.339144209867813</v>
      </c>
      <c r="AW7" s="31">
        <f t="shared" si="9"/>
        <v>0.69587942423527616</v>
      </c>
      <c r="AX7" s="43" t="s">
        <v>1</v>
      </c>
      <c r="AY7" s="24" t="s">
        <v>1</v>
      </c>
      <c r="AZ7" s="44" t="s">
        <v>1</v>
      </c>
      <c r="BA7" s="45" t="s">
        <v>1</v>
      </c>
      <c r="BB7" s="24" t="s">
        <v>134</v>
      </c>
      <c r="BC7" s="28" t="s">
        <v>1</v>
      </c>
      <c r="BD7" s="50" t="s">
        <v>4</v>
      </c>
    </row>
    <row r="8" spans="1:56" ht="15.75" customHeight="1">
      <c r="A8" s="23" t="s">
        <v>718</v>
      </c>
      <c r="B8" s="14" t="s">
        <v>717</v>
      </c>
      <c r="C8" s="24" t="s">
        <v>2</v>
      </c>
      <c r="D8" s="23" t="s">
        <v>719</v>
      </c>
      <c r="E8" s="25" t="s">
        <v>720</v>
      </c>
      <c r="F8" s="23" t="s">
        <v>721</v>
      </c>
      <c r="G8" s="25" t="s">
        <v>722</v>
      </c>
      <c r="H8" s="25" t="s">
        <v>723</v>
      </c>
      <c r="I8" s="26">
        <f t="shared" si="0"/>
        <v>11.108050226159902</v>
      </c>
      <c r="J8" s="27">
        <v>90.024799999999999</v>
      </c>
      <c r="K8" s="27">
        <v>4.82E-2</v>
      </c>
      <c r="L8" s="28" t="s">
        <v>124</v>
      </c>
      <c r="M8" s="29">
        <v>9.8408558033525004</v>
      </c>
      <c r="N8" s="29">
        <f>21.2504758054778</f>
        <v>21.250475805477802</v>
      </c>
      <c r="O8" s="30">
        <v>5.8630000000000004</v>
      </c>
      <c r="P8" s="31">
        <v>1.2999999999999999E-2</v>
      </c>
      <c r="Q8" s="32" t="s">
        <v>125</v>
      </c>
      <c r="R8" s="31">
        <v>0.85099999999999998</v>
      </c>
      <c r="S8" s="31">
        <v>8.0000000000000002E-3</v>
      </c>
      <c r="T8" s="32" t="s">
        <v>177</v>
      </c>
      <c r="U8" s="33">
        <v>5.42</v>
      </c>
      <c r="V8" s="25" t="s">
        <v>166</v>
      </c>
      <c r="W8" s="23" t="s">
        <v>157</v>
      </c>
      <c r="X8" s="23" t="s">
        <v>129</v>
      </c>
      <c r="Y8" s="7">
        <v>5203</v>
      </c>
      <c r="Z8" s="24">
        <v>23</v>
      </c>
      <c r="AA8" s="23" t="s">
        <v>130</v>
      </c>
      <c r="AB8" s="34">
        <v>-0.274146</v>
      </c>
      <c r="AC8" s="35">
        <v>9.0433200000000005E-3</v>
      </c>
      <c r="AD8" s="28" t="s">
        <v>146</v>
      </c>
      <c r="AE8" s="31">
        <f t="shared" si="1"/>
        <v>0.89751537260561387</v>
      </c>
      <c r="AF8" s="31">
        <f t="shared" si="2"/>
        <v>0.7515028779187618</v>
      </c>
      <c r="AG8" s="25">
        <v>0.86</v>
      </c>
      <c r="AH8" s="10">
        <v>0.14000000000000001</v>
      </c>
      <c r="AI8" s="31">
        <v>0.02</v>
      </c>
      <c r="AJ8" s="24" t="s">
        <v>60</v>
      </c>
      <c r="AK8" s="23" t="s">
        <v>130</v>
      </c>
      <c r="AL8" s="5">
        <v>4.47</v>
      </c>
      <c r="AM8" s="31">
        <v>0.03</v>
      </c>
      <c r="AN8" s="23" t="s">
        <v>130</v>
      </c>
      <c r="AO8" s="36">
        <v>-4.9909999999999997</v>
      </c>
      <c r="AP8" s="23" t="s">
        <v>132</v>
      </c>
      <c r="AQ8" s="37">
        <f t="shared" si="3"/>
        <v>0.72933490698576697</v>
      </c>
      <c r="AR8" s="38">
        <f t="shared" si="4"/>
        <v>65.658229134412281</v>
      </c>
      <c r="AS8" s="39">
        <f t="shared" si="5"/>
        <v>2.1755188452182269E-10</v>
      </c>
      <c r="AT8" s="40">
        <f t="shared" si="6"/>
        <v>29.576092875804235</v>
      </c>
      <c r="AU8" s="41">
        <f t="shared" si="7"/>
        <v>245.32344864491762</v>
      </c>
      <c r="AV8" s="42">
        <f t="shared" si="8"/>
        <v>11.363962287918962</v>
      </c>
      <c r="AW8" s="31">
        <f t="shared" si="9"/>
        <v>0.22930675870623074</v>
      </c>
      <c r="AX8" s="43" t="s">
        <v>724</v>
      </c>
      <c r="AY8" s="24" t="s">
        <v>2</v>
      </c>
      <c r="AZ8" s="44">
        <v>42.9</v>
      </c>
      <c r="BA8" s="45">
        <v>12.32</v>
      </c>
      <c r="BB8" s="24" t="s">
        <v>134</v>
      </c>
      <c r="BC8" s="28" t="s">
        <v>1</v>
      </c>
      <c r="BD8" s="24" t="s">
        <v>3</v>
      </c>
    </row>
    <row r="9" spans="1:56" ht="15.75" customHeight="1">
      <c r="A9" s="23" t="s">
        <v>810</v>
      </c>
      <c r="B9" s="14" t="s">
        <v>809</v>
      </c>
      <c r="C9" s="24" t="s">
        <v>2</v>
      </c>
      <c r="D9" s="23" t="s">
        <v>811</v>
      </c>
      <c r="E9" s="25" t="s">
        <v>812</v>
      </c>
      <c r="F9" s="23" t="s">
        <v>813</v>
      </c>
      <c r="G9" s="25" t="s">
        <v>1</v>
      </c>
      <c r="H9" s="25" t="s">
        <v>814</v>
      </c>
      <c r="I9" s="26">
        <f t="shared" si="0"/>
        <v>15.048705134166729</v>
      </c>
      <c r="J9" s="27">
        <v>66.450900000000004</v>
      </c>
      <c r="K9" s="27">
        <v>4.4600000000000001E-2</v>
      </c>
      <c r="L9" s="28" t="s">
        <v>124</v>
      </c>
      <c r="M9" s="29">
        <v>11.439970539640001</v>
      </c>
      <c r="N9" s="29">
        <v>-47.551984068670002</v>
      </c>
      <c r="O9" s="30">
        <v>5.7949999999999999</v>
      </c>
      <c r="P9" s="31">
        <v>0</v>
      </c>
      <c r="Q9" s="32" t="s">
        <v>125</v>
      </c>
      <c r="R9" s="31">
        <v>0.63500000000000001</v>
      </c>
      <c r="S9" s="31">
        <v>3.0000000000000001E-3</v>
      </c>
      <c r="T9" s="32" t="s">
        <v>126</v>
      </c>
      <c r="U9" s="33">
        <v>5.42</v>
      </c>
      <c r="V9" s="25" t="s">
        <v>166</v>
      </c>
      <c r="W9" s="23" t="s">
        <v>815</v>
      </c>
      <c r="X9" s="23" t="s">
        <v>145</v>
      </c>
      <c r="Y9" s="7">
        <v>5887</v>
      </c>
      <c r="Z9" s="24">
        <v>33</v>
      </c>
      <c r="AA9" s="23" t="s">
        <v>130</v>
      </c>
      <c r="AB9" s="34">
        <v>-3.46336E-2</v>
      </c>
      <c r="AC9" s="35">
        <v>1.17859E-2</v>
      </c>
      <c r="AD9" s="28" t="s">
        <v>146</v>
      </c>
      <c r="AE9" s="31">
        <f t="shared" si="1"/>
        <v>0.92367178167892594</v>
      </c>
      <c r="AF9" s="31">
        <f t="shared" si="2"/>
        <v>0.57088039698776116</v>
      </c>
      <c r="AG9" s="25">
        <v>0.98</v>
      </c>
      <c r="AH9" s="10">
        <v>-0.04</v>
      </c>
      <c r="AI9" s="31">
        <v>0.03</v>
      </c>
      <c r="AJ9" s="24" t="s">
        <v>60</v>
      </c>
      <c r="AK9" s="23" t="s">
        <v>130</v>
      </c>
      <c r="AL9" s="5">
        <v>4.6500000000000004</v>
      </c>
      <c r="AM9" s="31">
        <v>0.09</v>
      </c>
      <c r="AN9" s="23" t="s">
        <v>130</v>
      </c>
      <c r="AO9" s="36">
        <v>-4.55</v>
      </c>
      <c r="AP9" s="23" t="s">
        <v>147</v>
      </c>
      <c r="AQ9" s="37">
        <f t="shared" si="3"/>
        <v>0.96091107747332916</v>
      </c>
      <c r="AR9" s="38">
        <f t="shared" si="4"/>
        <v>63.853405918072447</v>
      </c>
      <c r="AS9" s="39">
        <f t="shared" si="5"/>
        <v>1.2532867541369201E-10</v>
      </c>
      <c r="AT9" s="40">
        <f t="shared" si="6"/>
        <v>30.174873875804238</v>
      </c>
      <c r="AU9" s="41">
        <f t="shared" si="7"/>
        <v>347.54380289639306</v>
      </c>
      <c r="AV9" s="42">
        <f t="shared" si="8"/>
        <v>9.2744437510659807</v>
      </c>
      <c r="AW9" s="31">
        <f t="shared" si="9"/>
        <v>0.19569698429977495</v>
      </c>
      <c r="AX9" s="43" t="s">
        <v>816</v>
      </c>
      <c r="AY9" s="24" t="s">
        <v>2</v>
      </c>
      <c r="AZ9" s="44">
        <v>16.399999999999999</v>
      </c>
      <c r="BA9" s="45">
        <v>7.64</v>
      </c>
      <c r="BB9" s="24" t="s">
        <v>134</v>
      </c>
      <c r="BC9" s="28" t="s">
        <v>1</v>
      </c>
      <c r="BD9" s="24" t="s">
        <v>3</v>
      </c>
    </row>
    <row r="10" spans="1:56" ht="15.75" customHeight="1">
      <c r="A10" s="23" t="s">
        <v>328</v>
      </c>
      <c r="B10" s="14" t="s">
        <v>327</v>
      </c>
      <c r="C10" s="24" t="s">
        <v>1</v>
      </c>
      <c r="D10" s="23" t="s">
        <v>329</v>
      </c>
      <c r="E10" s="25" t="s">
        <v>330</v>
      </c>
      <c r="F10" s="23" t="s">
        <v>331</v>
      </c>
      <c r="G10" s="25" t="s">
        <v>1</v>
      </c>
      <c r="H10" s="25" t="s">
        <v>332</v>
      </c>
      <c r="I10" s="26">
        <f t="shared" si="0"/>
        <v>7.4352316966901322</v>
      </c>
      <c r="J10" s="27">
        <v>134.4948</v>
      </c>
      <c r="K10" s="27">
        <v>5.7799999999999997E-2</v>
      </c>
      <c r="L10" s="28" t="s">
        <v>124</v>
      </c>
      <c r="M10" s="29">
        <v>12.0957332295496</v>
      </c>
      <c r="N10" s="29">
        <f>5.2806137458206</f>
        <v>5.2806137458205997</v>
      </c>
      <c r="O10" s="30">
        <v>5.7290000000000001</v>
      </c>
      <c r="P10" s="31">
        <v>1E-3</v>
      </c>
      <c r="Q10" s="32" t="s">
        <v>125</v>
      </c>
      <c r="R10" s="31">
        <v>0.89</v>
      </c>
      <c r="S10" s="31">
        <v>8.0000000000000002E-3</v>
      </c>
      <c r="T10" s="32" t="s">
        <v>126</v>
      </c>
      <c r="U10" s="33">
        <v>5.21</v>
      </c>
      <c r="V10" s="25" t="s">
        <v>143</v>
      </c>
      <c r="W10" s="23" t="s">
        <v>333</v>
      </c>
      <c r="X10" s="23" t="s">
        <v>334</v>
      </c>
      <c r="Y10" s="7">
        <v>5007</v>
      </c>
      <c r="Z10" s="24">
        <v>20</v>
      </c>
      <c r="AA10" s="23" t="s">
        <v>130</v>
      </c>
      <c r="AB10" s="34">
        <v>-0.52256000000000002</v>
      </c>
      <c r="AC10" s="35">
        <v>1.1265900000000001E-2</v>
      </c>
      <c r="AD10" s="28" t="s">
        <v>146</v>
      </c>
      <c r="AE10" s="31">
        <f t="shared" si="1"/>
        <v>0.72809385365451118</v>
      </c>
      <c r="AF10" s="31">
        <f t="shared" si="2"/>
        <v>0.91079249913230764</v>
      </c>
      <c r="AG10" s="25">
        <v>0.78</v>
      </c>
      <c r="AH10" s="10">
        <v>-0.26</v>
      </c>
      <c r="AI10" s="31">
        <v>0.01</v>
      </c>
      <c r="AJ10" s="24" t="s">
        <v>60</v>
      </c>
      <c r="AK10" s="23" t="s">
        <v>130</v>
      </c>
      <c r="AL10" s="5">
        <v>4.62</v>
      </c>
      <c r="AM10" s="31">
        <v>0.03</v>
      </c>
      <c r="AN10" s="23" t="s">
        <v>130</v>
      </c>
      <c r="AO10" s="36">
        <v>-4.8520000000000003</v>
      </c>
      <c r="AP10" s="23" t="s">
        <v>132</v>
      </c>
      <c r="AQ10" s="37">
        <f t="shared" si="3"/>
        <v>0.54792359162463355</v>
      </c>
      <c r="AR10" s="38">
        <f t="shared" si="4"/>
        <v>73.692873870836763</v>
      </c>
      <c r="AS10" s="39">
        <f t="shared" si="5"/>
        <v>3.8545781006382355E-10</v>
      </c>
      <c r="AT10" s="40">
        <f t="shared" si="6"/>
        <v>28.745057875804239</v>
      </c>
      <c r="AU10" s="41">
        <f t="shared" si="7"/>
        <v>167.73762341897682</v>
      </c>
      <c r="AV10" s="42">
        <f t="shared" si="8"/>
        <v>13.766869894939811</v>
      </c>
      <c r="AW10" s="31">
        <f t="shared" si="9"/>
        <v>0.28376382679233064</v>
      </c>
      <c r="AX10" s="43" t="s">
        <v>335</v>
      </c>
      <c r="AY10" s="24" t="s">
        <v>2</v>
      </c>
      <c r="AZ10" s="44" t="s">
        <v>1</v>
      </c>
      <c r="BA10" s="45" t="s">
        <v>1</v>
      </c>
      <c r="BB10" s="24" t="s">
        <v>134</v>
      </c>
      <c r="BC10" s="28" t="s">
        <v>1</v>
      </c>
      <c r="BD10" s="24" t="s">
        <v>2</v>
      </c>
    </row>
    <row r="11" spans="1:56">
      <c r="A11" s="23" t="s">
        <v>183</v>
      </c>
      <c r="B11" s="14" t="s">
        <v>182</v>
      </c>
      <c r="C11" s="24" t="s">
        <v>2</v>
      </c>
      <c r="D11" s="23" t="s">
        <v>184</v>
      </c>
      <c r="E11" s="25" t="s">
        <v>185</v>
      </c>
      <c r="F11" s="23" t="s">
        <v>186</v>
      </c>
      <c r="G11" s="25" t="s">
        <v>187</v>
      </c>
      <c r="H11" s="25" t="s">
        <v>188</v>
      </c>
      <c r="I11" s="26">
        <f t="shared" si="0"/>
        <v>5.009819245721614</v>
      </c>
      <c r="J11" s="27">
        <v>199.608</v>
      </c>
      <c r="K11" s="27">
        <v>0.1208</v>
      </c>
      <c r="L11" s="28" t="s">
        <v>124</v>
      </c>
      <c r="M11" s="29">
        <v>12.2762274762175</v>
      </c>
      <c r="N11" s="29">
        <f>57.81517728881</f>
        <v>57.815177288809998</v>
      </c>
      <c r="O11" s="30">
        <v>3.444</v>
      </c>
      <c r="P11" s="31">
        <v>7.0000000000000001E-3</v>
      </c>
      <c r="Q11" s="32" t="s">
        <v>177</v>
      </c>
      <c r="R11" s="31">
        <v>0.58699999999999997</v>
      </c>
      <c r="S11" s="31">
        <v>3.0000000000000001E-3</v>
      </c>
      <c r="T11" s="32" t="s">
        <v>126</v>
      </c>
      <c r="U11" s="33">
        <v>3.097</v>
      </c>
      <c r="V11" s="25" t="s">
        <v>189</v>
      </c>
      <c r="W11" s="23" t="s">
        <v>190</v>
      </c>
      <c r="X11" s="23" t="s">
        <v>129</v>
      </c>
      <c r="Y11" s="7">
        <v>5907</v>
      </c>
      <c r="Z11" s="24">
        <v>12</v>
      </c>
      <c r="AA11" s="23" t="s">
        <v>130</v>
      </c>
      <c r="AB11" s="34">
        <v>9.7604300000000005E-2</v>
      </c>
      <c r="AC11" s="35">
        <v>6.5914500000000004E-3</v>
      </c>
      <c r="AD11" s="28" t="s">
        <v>179</v>
      </c>
      <c r="AE11" s="31">
        <f t="shared" si="1"/>
        <v>1.0682939182168778</v>
      </c>
      <c r="AF11" s="31">
        <f t="shared" si="2"/>
        <v>1.9833313930418963</v>
      </c>
      <c r="AG11" s="25">
        <v>1.1399999999999999</v>
      </c>
      <c r="AH11" s="10">
        <v>-0.28000000000000003</v>
      </c>
      <c r="AI11" s="31">
        <v>0.01</v>
      </c>
      <c r="AJ11" s="24" t="s">
        <v>60</v>
      </c>
      <c r="AK11" s="23" t="s">
        <v>130</v>
      </c>
      <c r="AL11" s="5">
        <v>4.41</v>
      </c>
      <c r="AM11" s="31">
        <v>0.02</v>
      </c>
      <c r="AN11" s="23" t="s">
        <v>130</v>
      </c>
      <c r="AO11" s="36">
        <v>-4.9489999999999998</v>
      </c>
      <c r="AP11" s="23" t="s">
        <v>191</v>
      </c>
      <c r="AQ11" s="37">
        <f t="shared" si="3"/>
        <v>1.1189280212595429</v>
      </c>
      <c r="AR11" s="38">
        <f t="shared" si="4"/>
        <v>223.34698446757486</v>
      </c>
      <c r="AS11" s="39">
        <f t="shared" si="5"/>
        <v>9.242991415412413E-11</v>
      </c>
      <c r="AT11" s="40">
        <f t="shared" si="6"/>
        <v>28.182468625804241</v>
      </c>
      <c r="AU11" s="41">
        <f t="shared" si="7"/>
        <v>404.90075457760139</v>
      </c>
      <c r="AV11" s="42">
        <f t="shared" si="8"/>
        <v>7.9687281037083162</v>
      </c>
      <c r="AW11" s="31">
        <f t="shared" si="9"/>
        <v>0.58843891147444871</v>
      </c>
      <c r="AX11" s="43" t="s">
        <v>192</v>
      </c>
      <c r="AY11" s="24" t="s">
        <v>2</v>
      </c>
      <c r="AZ11" s="44">
        <v>13.6</v>
      </c>
      <c r="BA11" s="45">
        <v>3.84</v>
      </c>
      <c r="BB11" s="24" t="s">
        <v>134</v>
      </c>
      <c r="BC11" s="28" t="s">
        <v>1</v>
      </c>
      <c r="BD11" s="24" t="s">
        <v>2</v>
      </c>
    </row>
    <row r="12" spans="1:56">
      <c r="A12" s="23" t="s">
        <v>520</v>
      </c>
      <c r="B12" s="14" t="s">
        <v>519</v>
      </c>
      <c r="C12" s="24" t="s">
        <v>1</v>
      </c>
      <c r="D12" s="23" t="s">
        <v>521</v>
      </c>
      <c r="E12" s="25" t="s">
        <v>522</v>
      </c>
      <c r="F12" s="23" t="s">
        <v>523</v>
      </c>
      <c r="G12" s="25" t="s">
        <v>524</v>
      </c>
      <c r="H12" s="25" t="s">
        <v>525</v>
      </c>
      <c r="I12" s="26">
        <f t="shared" si="0"/>
        <v>15.923009066561363</v>
      </c>
      <c r="J12" s="27">
        <v>62.802199999999999</v>
      </c>
      <c r="K12" s="27">
        <v>9.5100000000000004E-2</v>
      </c>
      <c r="L12" s="28" t="s">
        <v>124</v>
      </c>
      <c r="M12" s="29">
        <v>12.5316206769625</v>
      </c>
      <c r="N12" s="29">
        <v>-10.6443288478994</v>
      </c>
      <c r="O12" s="30">
        <v>5.1760000000000002</v>
      </c>
      <c r="P12" s="31">
        <v>2E-3</v>
      </c>
      <c r="Q12" s="32" t="s">
        <v>125</v>
      </c>
      <c r="R12" s="31">
        <v>0.51400000000000001</v>
      </c>
      <c r="S12" s="31">
        <v>1.0999999999999999E-2</v>
      </c>
      <c r="T12" s="32" t="s">
        <v>126</v>
      </c>
      <c r="U12" s="33">
        <v>4.8499999999999996</v>
      </c>
      <c r="V12" s="25" t="s">
        <v>143</v>
      </c>
      <c r="W12" s="23" t="s">
        <v>276</v>
      </c>
      <c r="X12" s="23" t="s">
        <v>334</v>
      </c>
      <c r="Y12" s="7">
        <v>6208</v>
      </c>
      <c r="Z12" s="24">
        <v>15</v>
      </c>
      <c r="AA12" s="23" t="s">
        <v>130</v>
      </c>
      <c r="AB12" s="34">
        <v>0.250552</v>
      </c>
      <c r="AC12" s="35">
        <v>1.52059E-2</v>
      </c>
      <c r="AD12" s="28" t="s">
        <v>146</v>
      </c>
      <c r="AE12" s="31">
        <f t="shared" si="1"/>
        <v>1.1534403266856874</v>
      </c>
      <c r="AF12" s="31">
        <f t="shared" si="2"/>
        <v>0.6737465832371935</v>
      </c>
      <c r="AG12" s="25">
        <v>1.21</v>
      </c>
      <c r="AH12" s="10">
        <v>-0.12</v>
      </c>
      <c r="AI12" s="31">
        <v>0.01</v>
      </c>
      <c r="AJ12" s="24" t="s">
        <v>60</v>
      </c>
      <c r="AK12" s="23" t="s">
        <v>130</v>
      </c>
      <c r="AL12" s="5">
        <v>4.3899999999999997</v>
      </c>
      <c r="AM12" s="31">
        <v>0.03</v>
      </c>
      <c r="AN12" s="23" t="s">
        <v>130</v>
      </c>
      <c r="AO12" s="36">
        <v>-4.8650000000000002</v>
      </c>
      <c r="AP12" s="23" t="s">
        <v>191</v>
      </c>
      <c r="AQ12" s="37">
        <f t="shared" si="3"/>
        <v>1.3343691723635218</v>
      </c>
      <c r="AR12" s="38">
        <f t="shared" si="4"/>
        <v>83.801319636608369</v>
      </c>
      <c r="AS12" s="39">
        <f t="shared" si="5"/>
        <v>6.4992740463545248E-11</v>
      </c>
      <c r="AT12" s="40">
        <f t="shared" si="6"/>
        <v>30.317837875804237</v>
      </c>
      <c r="AU12" s="41">
        <f t="shared" si="7"/>
        <v>511.8221792542783</v>
      </c>
      <c r="AV12" s="42">
        <f t="shared" si="8"/>
        <v>7.0829116451227723</v>
      </c>
      <c r="AW12" s="31">
        <f t="shared" si="9"/>
        <v>0.20801355145716061</v>
      </c>
      <c r="AX12" s="43" t="s">
        <v>1</v>
      </c>
      <c r="AY12" s="24" t="s">
        <v>1</v>
      </c>
      <c r="AZ12" s="44" t="s">
        <v>1</v>
      </c>
      <c r="BA12" s="45" t="s">
        <v>1</v>
      </c>
      <c r="BB12" s="24" t="s">
        <v>134</v>
      </c>
      <c r="BC12" s="28" t="s">
        <v>1</v>
      </c>
      <c r="BD12" s="24" t="s">
        <v>2</v>
      </c>
    </row>
    <row r="13" spans="1:56">
      <c r="A13" s="23" t="s">
        <v>1231</v>
      </c>
      <c r="B13" s="14" t="s">
        <v>1230</v>
      </c>
      <c r="C13" s="24" t="s">
        <v>1</v>
      </c>
      <c r="D13" s="23" t="s">
        <v>1232</v>
      </c>
      <c r="E13" s="25" t="s">
        <v>1233</v>
      </c>
      <c r="F13" s="23" t="s">
        <v>1234</v>
      </c>
      <c r="G13" s="25" t="s">
        <v>1</v>
      </c>
      <c r="H13" s="25" t="s">
        <v>1235</v>
      </c>
      <c r="I13" s="26">
        <f t="shared" si="0"/>
        <v>18.800667799720248</v>
      </c>
      <c r="J13" s="27">
        <v>53.189599999999999</v>
      </c>
      <c r="K13" s="27">
        <v>0.1273</v>
      </c>
      <c r="L13" s="28" t="s">
        <v>645</v>
      </c>
      <c r="M13" s="29">
        <v>13.267486</v>
      </c>
      <c r="N13" s="29">
        <v>61.12397</v>
      </c>
      <c r="O13" s="30">
        <v>4.8</v>
      </c>
      <c r="P13" s="31">
        <v>0.01</v>
      </c>
      <c r="Q13" s="32" t="s">
        <v>126</v>
      </c>
      <c r="R13" s="31">
        <v>0.54</v>
      </c>
      <c r="S13" s="31">
        <v>8.0000000000000002E-3</v>
      </c>
      <c r="T13" s="32" t="s">
        <v>126</v>
      </c>
      <c r="U13" s="33">
        <v>4.4969999999999999</v>
      </c>
      <c r="V13" s="25" t="s">
        <v>952</v>
      </c>
      <c r="W13" s="23" t="s">
        <v>354</v>
      </c>
      <c r="X13" s="23" t="s">
        <v>277</v>
      </c>
      <c r="Y13" s="7">
        <v>6105</v>
      </c>
      <c r="Z13" s="24">
        <v>23</v>
      </c>
      <c r="AA13" s="23" t="s">
        <v>130</v>
      </c>
      <c r="AB13" s="34">
        <v>0.535547</v>
      </c>
      <c r="AC13" s="35">
        <v>7.7200000000000003E-3</v>
      </c>
      <c r="AD13" s="28" t="s">
        <v>179</v>
      </c>
      <c r="AE13" s="31">
        <f t="shared" si="1"/>
        <v>1.6558641785685331</v>
      </c>
      <c r="AF13" s="31">
        <f t="shared" si="2"/>
        <v>0.81917751359316515</v>
      </c>
      <c r="AG13" s="25">
        <v>1.18</v>
      </c>
      <c r="AH13" s="10">
        <v>0.05</v>
      </c>
      <c r="AI13" s="31">
        <v>0.02</v>
      </c>
      <c r="AJ13" s="24" t="s">
        <v>60</v>
      </c>
      <c r="AK13" s="23" t="s">
        <v>130</v>
      </c>
      <c r="AL13" s="5">
        <v>4.1100000000000003</v>
      </c>
      <c r="AM13" s="31">
        <v>0.05</v>
      </c>
      <c r="AN13" s="23" t="s">
        <v>130</v>
      </c>
      <c r="AO13" s="36">
        <v>-4.3979999999999997</v>
      </c>
      <c r="AP13" s="23" t="s">
        <v>318</v>
      </c>
      <c r="AQ13" s="37">
        <f t="shared" si="3"/>
        <v>1.85256519286499</v>
      </c>
      <c r="AR13" s="38">
        <f t="shared" si="4"/>
        <v>98.537201582411654</v>
      </c>
      <c r="AS13" s="39">
        <f t="shared" si="5"/>
        <v>3.3718624480362905E-11</v>
      </c>
      <c r="AT13" s="40">
        <f t="shared" si="6"/>
        <v>30.677325375804237</v>
      </c>
      <c r="AU13" s="41">
        <f t="shared" si="7"/>
        <v>847.84611237634294</v>
      </c>
      <c r="AV13" s="42">
        <f t="shared" si="8"/>
        <v>6.0871605399624729</v>
      </c>
      <c r="AW13" s="31">
        <f t="shared" si="9"/>
        <v>0.25080971725475643</v>
      </c>
      <c r="AX13" s="43"/>
      <c r="AY13" s="24" t="s">
        <v>2</v>
      </c>
      <c r="AZ13" s="44">
        <v>13.5</v>
      </c>
      <c r="BA13" s="45">
        <v>6.16</v>
      </c>
      <c r="BB13" s="24" t="s">
        <v>134</v>
      </c>
      <c r="BC13" s="28" t="s">
        <v>1</v>
      </c>
      <c r="BD13" s="24" t="s">
        <v>4</v>
      </c>
    </row>
    <row r="14" spans="1:56">
      <c r="A14" s="23" t="s">
        <v>668</v>
      </c>
      <c r="B14" s="14" t="s">
        <v>667</v>
      </c>
      <c r="C14" s="24" t="s">
        <v>1</v>
      </c>
      <c r="D14" s="23" t="s">
        <v>669</v>
      </c>
      <c r="E14" s="25" t="s">
        <v>670</v>
      </c>
      <c r="F14" s="23" t="s">
        <v>671</v>
      </c>
      <c r="G14" s="25" t="s">
        <v>672</v>
      </c>
      <c r="H14" s="25" t="s">
        <v>673</v>
      </c>
      <c r="I14" s="26">
        <f t="shared" si="0"/>
        <v>15.260884826102217</v>
      </c>
      <c r="J14" s="27">
        <v>65.527000000000001</v>
      </c>
      <c r="K14" s="27">
        <v>7.0400000000000004E-2</v>
      </c>
      <c r="L14" s="28" t="s">
        <v>124</v>
      </c>
      <c r="M14" s="29">
        <v>18.796339284324201</v>
      </c>
      <c r="N14" s="29">
        <v>-45.531664605744197</v>
      </c>
      <c r="O14" s="30">
        <v>4.9660000000000002</v>
      </c>
      <c r="P14" s="31">
        <v>2E-3</v>
      </c>
      <c r="Q14" s="32" t="s">
        <v>125</v>
      </c>
      <c r="R14" s="31">
        <v>0.57099999999999995</v>
      </c>
      <c r="S14" s="31">
        <v>6.0000000000000001E-3</v>
      </c>
      <c r="T14" s="32" t="s">
        <v>142</v>
      </c>
      <c r="U14" s="33">
        <v>4.6399999999999997</v>
      </c>
      <c r="V14" s="25" t="s">
        <v>143</v>
      </c>
      <c r="W14" s="23" t="s">
        <v>674</v>
      </c>
      <c r="X14" s="23" t="s">
        <v>145</v>
      </c>
      <c r="Y14" s="7">
        <v>6110</v>
      </c>
      <c r="Z14" s="24">
        <v>12</v>
      </c>
      <c r="AA14" s="23" t="s">
        <v>130</v>
      </c>
      <c r="AB14" s="34">
        <v>0.301811</v>
      </c>
      <c r="AC14" s="35">
        <v>1.4102E-2</v>
      </c>
      <c r="AD14" s="28" t="s">
        <v>146</v>
      </c>
      <c r="AE14" s="31">
        <f t="shared" si="1"/>
        <v>1.2631229534377166</v>
      </c>
      <c r="AF14" s="31">
        <f t="shared" si="2"/>
        <v>0.76982586638552553</v>
      </c>
      <c r="AG14" s="25">
        <v>1.1399999999999999</v>
      </c>
      <c r="AH14" s="10">
        <v>0.16</v>
      </c>
      <c r="AI14" s="31">
        <v>0.01</v>
      </c>
      <c r="AJ14" s="24" t="s">
        <v>60</v>
      </c>
      <c r="AK14" s="23" t="s">
        <v>130</v>
      </c>
      <c r="AL14" s="5">
        <v>4.34</v>
      </c>
      <c r="AM14" s="31">
        <v>0.03</v>
      </c>
      <c r="AN14" s="23" t="s">
        <v>130</v>
      </c>
      <c r="AO14" s="36">
        <v>-4.95</v>
      </c>
      <c r="AP14" s="23" t="s">
        <v>147</v>
      </c>
      <c r="AQ14" s="37">
        <f t="shared" si="3"/>
        <v>1.4154857448274802</v>
      </c>
      <c r="AR14" s="38">
        <f t="shared" si="4"/>
        <v>92.752534401310299</v>
      </c>
      <c r="AS14" s="39">
        <f t="shared" si="5"/>
        <v>5.7757162587503892E-11</v>
      </c>
      <c r="AT14" s="40">
        <f t="shared" si="6"/>
        <v>30.235985375804237</v>
      </c>
      <c r="AU14" s="41">
        <f t="shared" si="7"/>
        <v>576.10760883044543</v>
      </c>
      <c r="AV14" s="42">
        <f t="shared" si="8"/>
        <v>7.0849588760513909</v>
      </c>
      <c r="AW14" s="31">
        <f t="shared" si="9"/>
        <v>0.24436954235004288</v>
      </c>
      <c r="AX14" s="43" t="s">
        <v>1</v>
      </c>
      <c r="AY14" s="24" t="s">
        <v>1</v>
      </c>
      <c r="AZ14" s="44" t="s">
        <v>1</v>
      </c>
      <c r="BA14" s="45" t="s">
        <v>1</v>
      </c>
      <c r="BB14" s="24" t="s">
        <v>5</v>
      </c>
      <c r="BC14" s="46" t="s">
        <v>596</v>
      </c>
      <c r="BD14" s="24" t="s">
        <v>3</v>
      </c>
    </row>
    <row r="15" spans="1:56">
      <c r="A15" s="23" t="s">
        <v>1269</v>
      </c>
      <c r="B15" s="14" t="s">
        <v>1268</v>
      </c>
      <c r="C15" s="24" t="s">
        <v>2</v>
      </c>
      <c r="D15" s="23" t="s">
        <v>1270</v>
      </c>
      <c r="E15" s="25" t="s">
        <v>1271</v>
      </c>
      <c r="F15" s="23" t="s">
        <v>1272</v>
      </c>
      <c r="G15" s="25" t="s">
        <v>1273</v>
      </c>
      <c r="H15" s="25" t="s">
        <v>1274</v>
      </c>
      <c r="I15" s="26">
        <f t="shared" si="0"/>
        <v>23.260574257057257</v>
      </c>
      <c r="J15" s="27">
        <v>42.991199999999999</v>
      </c>
      <c r="K15" s="27">
        <v>1.0581</v>
      </c>
      <c r="L15" s="28" t="s">
        <v>124</v>
      </c>
      <c r="M15" s="29">
        <v>18.9420379295962</v>
      </c>
      <c r="N15" s="29">
        <v>-68.875944810292495</v>
      </c>
      <c r="O15" s="30">
        <v>4.9119999999999999</v>
      </c>
      <c r="P15" s="31">
        <v>8.0000000000000002E-3</v>
      </c>
      <c r="Q15" s="32" t="s">
        <v>429</v>
      </c>
      <c r="R15" s="31">
        <v>0.40145199999999998</v>
      </c>
      <c r="S15" s="31" t="s">
        <v>1</v>
      </c>
      <c r="T15" s="40" t="s">
        <v>124</v>
      </c>
      <c r="U15" s="33">
        <v>4.6619999999999999</v>
      </c>
      <c r="V15" s="25" t="s">
        <v>189</v>
      </c>
      <c r="W15" s="23" t="s">
        <v>839</v>
      </c>
      <c r="X15" s="23" t="s">
        <v>145</v>
      </c>
      <c r="Y15" s="7">
        <v>6436</v>
      </c>
      <c r="Z15" s="24">
        <v>5</v>
      </c>
      <c r="AA15" s="28" t="s">
        <v>124</v>
      </c>
      <c r="AB15" s="34">
        <v>0.59106499999999995</v>
      </c>
      <c r="AC15" s="35">
        <v>7.2936700000000004E-3</v>
      </c>
      <c r="AD15" s="28" t="s">
        <v>645</v>
      </c>
      <c r="AE15" s="31">
        <f t="shared" si="1"/>
        <v>1.5882650409953132</v>
      </c>
      <c r="AF15" s="31">
        <f t="shared" si="2"/>
        <v>0.63508101676711259</v>
      </c>
      <c r="AG15" s="49">
        <v>1.35</v>
      </c>
      <c r="AH15" s="10">
        <v>0.03</v>
      </c>
      <c r="AI15" s="31">
        <v>0.05</v>
      </c>
      <c r="AJ15" s="44" t="s">
        <v>60</v>
      </c>
      <c r="AK15" s="23" t="s">
        <v>316</v>
      </c>
      <c r="AL15" s="5">
        <v>4.0209999999999999</v>
      </c>
      <c r="AM15" s="31">
        <v>3.6999999999999998E-2</v>
      </c>
      <c r="AN15" s="40" t="s">
        <v>124</v>
      </c>
      <c r="AO15" s="36">
        <v>-4.2720000000000002</v>
      </c>
      <c r="AP15" s="23" t="s">
        <v>1275</v>
      </c>
      <c r="AQ15" s="37">
        <f t="shared" si="3"/>
        <v>1.9748426592860009</v>
      </c>
      <c r="AR15" s="38">
        <f t="shared" si="4"/>
        <v>84.900855733896336</v>
      </c>
      <c r="AS15" s="39">
        <f t="shared" si="5"/>
        <v>2.9672343619303276E-11</v>
      </c>
      <c r="AT15" s="40">
        <f t="shared" si="6"/>
        <v>30.981120375804238</v>
      </c>
      <c r="AU15" s="41">
        <f t="shared" si="7"/>
        <v>872.42811454667606</v>
      </c>
      <c r="AV15" s="42">
        <f t="shared" si="8"/>
        <v>5.5120021105565682</v>
      </c>
      <c r="AW15" s="31">
        <f t="shared" si="9"/>
        <v>0.18888803152986502</v>
      </c>
      <c r="AX15" s="43" t="s">
        <v>1276</v>
      </c>
      <c r="AY15" s="24" t="s">
        <v>2</v>
      </c>
      <c r="AZ15" s="44">
        <v>4.5999999999999996</v>
      </c>
      <c r="BA15" s="45">
        <v>2.66</v>
      </c>
      <c r="BB15" s="24" t="s">
        <v>134</v>
      </c>
      <c r="BC15" s="28" t="s">
        <v>1</v>
      </c>
      <c r="BD15" s="50" t="s">
        <v>4</v>
      </c>
    </row>
    <row r="16" spans="1:56">
      <c r="A16" s="23" t="s">
        <v>1168</v>
      </c>
      <c r="B16" s="14" t="s">
        <v>1167</v>
      </c>
      <c r="C16" s="24" t="s">
        <v>2</v>
      </c>
      <c r="D16" s="23" t="s">
        <v>1169</v>
      </c>
      <c r="E16" s="25" t="s">
        <v>1170</v>
      </c>
      <c r="F16" s="23" t="s">
        <v>1171</v>
      </c>
      <c r="G16" s="25" t="s">
        <v>1172</v>
      </c>
      <c r="H16" s="25" t="s">
        <v>1173</v>
      </c>
      <c r="I16" s="26">
        <f t="shared" si="0"/>
        <v>13.491635186184565</v>
      </c>
      <c r="J16" s="27">
        <v>74.12</v>
      </c>
      <c r="K16" s="27">
        <v>0.19</v>
      </c>
      <c r="L16" s="28" t="s">
        <v>343</v>
      </c>
      <c r="M16" s="29">
        <v>24.1993397682946</v>
      </c>
      <c r="N16" s="29">
        <f>41.4054587133414</f>
        <v>41.405458713341403</v>
      </c>
      <c r="O16" s="30">
        <v>4.0999999999999996</v>
      </c>
      <c r="P16" s="31">
        <v>0.01</v>
      </c>
      <c r="Q16" s="32" t="s">
        <v>126</v>
      </c>
      <c r="R16" s="31">
        <v>0.53600000000000003</v>
      </c>
      <c r="S16" s="31">
        <v>7.0000000000000001E-3</v>
      </c>
      <c r="T16" s="32" t="s">
        <v>126</v>
      </c>
      <c r="U16" s="33">
        <v>3.7719999999999998</v>
      </c>
      <c r="V16" s="25" t="s">
        <v>189</v>
      </c>
      <c r="W16" s="23" t="s">
        <v>354</v>
      </c>
      <c r="X16" s="23" t="s">
        <v>277</v>
      </c>
      <c r="Y16" s="7">
        <v>6154</v>
      </c>
      <c r="Z16" s="24">
        <v>10</v>
      </c>
      <c r="AA16" s="23" t="s">
        <v>130</v>
      </c>
      <c r="AB16" s="34">
        <v>0.52541199999999999</v>
      </c>
      <c r="AC16" s="35">
        <v>1.53835E-2</v>
      </c>
      <c r="AD16" s="28" t="s">
        <v>146</v>
      </c>
      <c r="AE16" s="31">
        <f t="shared" si="1"/>
        <v>1.610695939557975</v>
      </c>
      <c r="AF16" s="31">
        <f t="shared" si="2"/>
        <v>1.1103900499695258</v>
      </c>
      <c r="AG16" s="25">
        <v>1.18</v>
      </c>
      <c r="AH16" s="10">
        <v>0.08</v>
      </c>
      <c r="AI16" s="31">
        <v>0.01</v>
      </c>
      <c r="AJ16" s="24" t="s">
        <v>60</v>
      </c>
      <c r="AK16" s="23" t="s">
        <v>130</v>
      </c>
      <c r="AL16" s="5">
        <v>4.17</v>
      </c>
      <c r="AM16" s="31">
        <v>0.02</v>
      </c>
      <c r="AN16" s="23" t="s">
        <v>130</v>
      </c>
      <c r="AO16" s="36">
        <v>-4.9800000000000004</v>
      </c>
      <c r="AP16" s="23" t="s">
        <v>191</v>
      </c>
      <c r="AQ16" s="37">
        <f t="shared" si="3"/>
        <v>1.8310744385251678</v>
      </c>
      <c r="AR16" s="38">
        <f t="shared" si="4"/>
        <v>135.71923738348545</v>
      </c>
      <c r="AS16" s="39">
        <f t="shared" si="5"/>
        <v>3.4514759350743837E-11</v>
      </c>
      <c r="AT16" s="40">
        <f t="shared" si="6"/>
        <v>29.926987875804237</v>
      </c>
      <c r="AU16" s="41">
        <f t="shared" si="7"/>
        <v>833.13577420762215</v>
      </c>
      <c r="AV16" s="42">
        <f t="shared" si="8"/>
        <v>6.1227778976011535</v>
      </c>
      <c r="AW16" s="31">
        <f t="shared" si="9"/>
        <v>0.34545027672329437</v>
      </c>
      <c r="AX16" s="43" t="s">
        <v>1174</v>
      </c>
      <c r="AY16" s="24" t="s">
        <v>2</v>
      </c>
      <c r="AZ16" s="44">
        <v>55.6</v>
      </c>
      <c r="BA16" s="45">
        <v>9.4499999999999993</v>
      </c>
      <c r="BB16" s="24" t="s">
        <v>134</v>
      </c>
      <c r="BC16" s="28" t="s">
        <v>1</v>
      </c>
      <c r="BD16" s="50" t="s">
        <v>4</v>
      </c>
    </row>
    <row r="17" spans="1:56">
      <c r="A17" s="23" t="s">
        <v>431</v>
      </c>
      <c r="B17" s="14" t="s">
        <v>421</v>
      </c>
      <c r="C17" s="24" t="s">
        <v>3</v>
      </c>
      <c r="D17" s="23" t="s">
        <v>432</v>
      </c>
      <c r="E17" s="25" t="s">
        <v>433</v>
      </c>
      <c r="F17" s="23" t="s">
        <v>434</v>
      </c>
      <c r="G17" s="25" t="s">
        <v>435</v>
      </c>
      <c r="H17" s="25" t="s">
        <v>436</v>
      </c>
      <c r="I17" s="26">
        <f t="shared" si="0"/>
        <v>8.1894179616866261</v>
      </c>
      <c r="J17" s="27">
        <v>122.1088</v>
      </c>
      <c r="K17" s="27">
        <v>3.6499999999999998E-2</v>
      </c>
      <c r="L17" s="28" t="s">
        <v>124</v>
      </c>
      <c r="M17" s="29">
        <v>24.948186303551701</v>
      </c>
      <c r="N17" s="29">
        <v>-56.196448108297503</v>
      </c>
      <c r="O17" s="30">
        <v>5.8760000000000003</v>
      </c>
      <c r="P17" s="31">
        <v>1.2999999999999999E-2</v>
      </c>
      <c r="Q17" s="32" t="s">
        <v>428</v>
      </c>
      <c r="R17" s="31">
        <v>0.89900000000000002</v>
      </c>
      <c r="S17" s="31">
        <v>8.9999999999999993E-3</v>
      </c>
      <c r="T17" s="32" t="s">
        <v>429</v>
      </c>
      <c r="U17" s="33">
        <v>5.3769999999999998</v>
      </c>
      <c r="V17" s="25" t="s">
        <v>189</v>
      </c>
      <c r="W17" s="23" t="s">
        <v>333</v>
      </c>
      <c r="X17" s="23" t="s">
        <v>145</v>
      </c>
      <c r="Y17" s="7">
        <v>5111</v>
      </c>
      <c r="Z17" s="24">
        <v>34</v>
      </c>
      <c r="AA17" s="23" t="s">
        <v>130</v>
      </c>
      <c r="AB17" s="34">
        <v>-0.52300000000000002</v>
      </c>
      <c r="AC17" s="35" t="s">
        <v>1</v>
      </c>
      <c r="AD17" s="28" t="s">
        <v>189</v>
      </c>
      <c r="AE17" s="31">
        <f t="shared" si="1"/>
        <v>0.69841054146363146</v>
      </c>
      <c r="AF17" s="31">
        <f t="shared" si="2"/>
        <v>0.79320297803399775</v>
      </c>
      <c r="AG17" s="25">
        <v>0.77</v>
      </c>
      <c r="AH17" s="10">
        <v>-0.19</v>
      </c>
      <c r="AI17" s="31">
        <v>0.03</v>
      </c>
      <c r="AJ17" s="24" t="s">
        <v>60</v>
      </c>
      <c r="AK17" s="23" t="s">
        <v>130</v>
      </c>
      <c r="AL17" s="5">
        <v>4.63</v>
      </c>
      <c r="AM17" s="31">
        <v>0.06</v>
      </c>
      <c r="AN17" s="23" t="s">
        <v>130</v>
      </c>
      <c r="AO17" s="36">
        <v>-4.8810000000000002</v>
      </c>
      <c r="AP17" s="23" t="s">
        <v>147</v>
      </c>
      <c r="AQ17" s="37">
        <f t="shared" si="3"/>
        <v>0.54764610096189403</v>
      </c>
      <c r="AR17" s="38">
        <f t="shared" si="4"/>
        <v>66.872408213135728</v>
      </c>
      <c r="AS17" s="39">
        <f t="shared" si="5"/>
        <v>3.8584852969601628E-10</v>
      </c>
      <c r="AT17" s="40">
        <f t="shared" si="6"/>
        <v>28.91095787580424</v>
      </c>
      <c r="AU17" s="41">
        <f t="shared" si="7"/>
        <v>168.69508297251937</v>
      </c>
      <c r="AV17" s="42">
        <f t="shared" si="8"/>
        <v>13.859486725896051</v>
      </c>
      <c r="AW17" s="31">
        <f t="shared" si="9"/>
        <v>0.26084491792100478</v>
      </c>
      <c r="AX17" s="43" t="s">
        <v>430</v>
      </c>
      <c r="AY17" s="24" t="s">
        <v>3</v>
      </c>
      <c r="AZ17" s="44">
        <v>11.3</v>
      </c>
      <c r="BA17" s="45">
        <v>-0.12</v>
      </c>
      <c r="BB17" s="24" t="s">
        <v>134</v>
      </c>
      <c r="BC17" s="28" t="s">
        <v>1</v>
      </c>
      <c r="BD17" s="24" t="s">
        <v>2</v>
      </c>
    </row>
    <row r="18" spans="1:56">
      <c r="A18" s="23" t="s">
        <v>422</v>
      </c>
      <c r="B18" s="14" t="s">
        <v>421</v>
      </c>
      <c r="C18" s="24" t="s">
        <v>2</v>
      </c>
      <c r="D18" s="23" t="s">
        <v>423</v>
      </c>
      <c r="E18" s="25" t="s">
        <v>424</v>
      </c>
      <c r="F18" s="23" t="s">
        <v>425</v>
      </c>
      <c r="G18" s="25" t="s">
        <v>426</v>
      </c>
      <c r="H18" s="25" t="s">
        <v>427</v>
      </c>
      <c r="I18" s="26">
        <f t="shared" si="0"/>
        <v>8.1964861663804722</v>
      </c>
      <c r="J18" s="27">
        <v>122.0035</v>
      </c>
      <c r="K18" s="27">
        <v>3.1899999999999998E-2</v>
      </c>
      <c r="L18" s="28" t="s">
        <v>124</v>
      </c>
      <c r="M18" s="29">
        <v>24.949219565949999</v>
      </c>
      <c r="N18" s="29">
        <v>-56.193317864550004</v>
      </c>
      <c r="O18" s="30">
        <v>5.7640000000000002</v>
      </c>
      <c r="P18" s="31">
        <v>1.2E-2</v>
      </c>
      <c r="Q18" s="32" t="s">
        <v>428</v>
      </c>
      <c r="R18" s="31">
        <v>0.85799999999999998</v>
      </c>
      <c r="S18" s="31">
        <v>1.6E-2</v>
      </c>
      <c r="T18" s="37" t="s">
        <v>429</v>
      </c>
      <c r="U18" s="33">
        <v>5.2619999999999996</v>
      </c>
      <c r="V18" s="25" t="s">
        <v>189</v>
      </c>
      <c r="W18" s="23" t="s">
        <v>333</v>
      </c>
      <c r="X18" s="23" t="s">
        <v>145</v>
      </c>
      <c r="Y18" s="7">
        <v>5025</v>
      </c>
      <c r="Z18" s="24">
        <v>21</v>
      </c>
      <c r="AA18" s="23" t="s">
        <v>130</v>
      </c>
      <c r="AB18" s="34">
        <v>-0.47899999999999998</v>
      </c>
      <c r="AC18" s="35" t="s">
        <v>1</v>
      </c>
      <c r="AD18" s="28" t="s">
        <v>189</v>
      </c>
      <c r="AE18" s="31">
        <f t="shared" si="1"/>
        <v>0.7600644420623921</v>
      </c>
      <c r="AF18" s="31">
        <f t="shared" si="2"/>
        <v>0.86248051476758836</v>
      </c>
      <c r="AG18" s="25">
        <v>0.78</v>
      </c>
      <c r="AH18" s="10">
        <v>-0.24</v>
      </c>
      <c r="AI18" s="31">
        <v>0.02</v>
      </c>
      <c r="AJ18" s="24" t="s">
        <v>60</v>
      </c>
      <c r="AK18" s="23" t="s">
        <v>130</v>
      </c>
      <c r="AL18" s="5">
        <v>4.5999999999999996</v>
      </c>
      <c r="AM18" s="31">
        <v>0.05</v>
      </c>
      <c r="AN18" s="23" t="s">
        <v>130</v>
      </c>
      <c r="AO18" s="36">
        <v>-4.7530000000000001</v>
      </c>
      <c r="AP18" s="23" t="s">
        <v>147</v>
      </c>
      <c r="AQ18" s="37">
        <f t="shared" si="3"/>
        <v>0.57610281855985601</v>
      </c>
      <c r="AR18" s="38">
        <f t="shared" si="4"/>
        <v>70.286560224167403</v>
      </c>
      <c r="AS18" s="39">
        <f t="shared" si="5"/>
        <v>3.4867182079632878E-10</v>
      </c>
      <c r="AT18" s="40">
        <f t="shared" si="6"/>
        <v>28.905957875804237</v>
      </c>
      <c r="AU18" s="41">
        <f t="shared" si="7"/>
        <v>180.84249303672607</v>
      </c>
      <c r="AV18" s="42">
        <f t="shared" si="8"/>
        <v>13.425955645334778</v>
      </c>
      <c r="AW18" s="31">
        <f t="shared" si="9"/>
        <v>0.27064738086123558</v>
      </c>
      <c r="AX18" s="43" t="s">
        <v>430</v>
      </c>
      <c r="AY18" s="24" t="s">
        <v>2</v>
      </c>
      <c r="AZ18" s="44">
        <v>11.3</v>
      </c>
      <c r="BA18" s="45">
        <v>0.12</v>
      </c>
      <c r="BB18" s="24" t="s">
        <v>134</v>
      </c>
      <c r="BC18" s="28" t="s">
        <v>1</v>
      </c>
      <c r="BD18" s="24" t="s">
        <v>2</v>
      </c>
    </row>
    <row r="19" spans="1:56" ht="13.5" customHeight="1">
      <c r="A19" s="23" t="s">
        <v>1057</v>
      </c>
      <c r="B19" s="14" t="s">
        <v>1056</v>
      </c>
      <c r="C19" s="24" t="s">
        <v>1</v>
      </c>
      <c r="D19" s="23" t="s">
        <v>1058</v>
      </c>
      <c r="E19" s="25" t="s">
        <v>1059</v>
      </c>
      <c r="F19" s="23" t="s">
        <v>1060</v>
      </c>
      <c r="G19" s="25" t="s">
        <v>1061</v>
      </c>
      <c r="H19" s="25" t="s">
        <v>1062</v>
      </c>
      <c r="I19" s="26">
        <f t="shared" si="0"/>
        <v>17.348792263826553</v>
      </c>
      <c r="J19" s="27">
        <v>57.640900000000002</v>
      </c>
      <c r="K19" s="27">
        <v>4.53E-2</v>
      </c>
      <c r="L19" s="28" t="s">
        <v>124</v>
      </c>
      <c r="M19" s="29">
        <v>25.622143823729999</v>
      </c>
      <c r="N19" s="29">
        <v>-53.74083095924</v>
      </c>
      <c r="O19" s="30">
        <v>5.52</v>
      </c>
      <c r="P19" s="31">
        <v>0.01</v>
      </c>
      <c r="Q19" s="32" t="s">
        <v>126</v>
      </c>
      <c r="R19" s="31">
        <v>0.55100000000000005</v>
      </c>
      <c r="S19" s="31">
        <v>3.0000000000000001E-3</v>
      </c>
      <c r="T19" s="32" t="s">
        <v>126</v>
      </c>
      <c r="U19" s="33">
        <v>5.21</v>
      </c>
      <c r="V19" s="25" t="s">
        <v>166</v>
      </c>
      <c r="W19" s="23" t="s">
        <v>190</v>
      </c>
      <c r="X19" s="23" t="s">
        <v>129</v>
      </c>
      <c r="Y19" s="7">
        <v>6155</v>
      </c>
      <c r="Z19" s="24">
        <v>17</v>
      </c>
      <c r="AA19" s="28" t="s">
        <v>130</v>
      </c>
      <c r="AB19" s="34">
        <v>0.19037100000000001</v>
      </c>
      <c r="AC19" s="35">
        <v>1.38774E-2</v>
      </c>
      <c r="AD19" s="28" t="s">
        <v>146</v>
      </c>
      <c r="AE19" s="31">
        <f t="shared" si="1"/>
        <v>1.0948432196872415</v>
      </c>
      <c r="AF19" s="31">
        <f t="shared" si="2"/>
        <v>0.58696103701214042</v>
      </c>
      <c r="AG19" s="25">
        <v>1.1399999999999999</v>
      </c>
      <c r="AH19" s="10">
        <v>-0.04</v>
      </c>
      <c r="AI19" s="31">
        <v>0.01</v>
      </c>
      <c r="AJ19" s="24" t="s">
        <v>60</v>
      </c>
      <c r="AK19" s="23" t="s">
        <v>130</v>
      </c>
      <c r="AL19" s="5">
        <v>4.4400000000000004</v>
      </c>
      <c r="AM19" s="31">
        <v>0.03</v>
      </c>
      <c r="AN19" s="23" t="s">
        <v>130</v>
      </c>
      <c r="AO19" s="36">
        <v>-4.6749999999999998</v>
      </c>
      <c r="AP19" s="23" t="s">
        <v>145</v>
      </c>
      <c r="AQ19" s="37">
        <f t="shared" si="3"/>
        <v>1.2450462942590645</v>
      </c>
      <c r="AR19" s="38">
        <f t="shared" si="4"/>
        <v>71.765588942757319</v>
      </c>
      <c r="AS19" s="39">
        <f t="shared" si="5"/>
        <v>7.4652756724489729E-11</v>
      </c>
      <c r="AT19" s="40">
        <f t="shared" si="6"/>
        <v>30.52738537580424</v>
      </c>
      <c r="AU19" s="41">
        <f t="shared" si="7"/>
        <v>475.25162568677308</v>
      </c>
      <c r="AV19" s="42">
        <f t="shared" si="8"/>
        <v>7.5543540277004544</v>
      </c>
      <c r="AW19" s="31">
        <f t="shared" si="9"/>
        <v>0.18907649520976491</v>
      </c>
      <c r="AX19" s="43" t="s">
        <v>1</v>
      </c>
      <c r="AY19" s="24" t="s">
        <v>1</v>
      </c>
      <c r="AZ19" s="44" t="s">
        <v>1</v>
      </c>
      <c r="BA19" s="45" t="s">
        <v>1</v>
      </c>
      <c r="BB19" s="24" t="s">
        <v>5</v>
      </c>
      <c r="BC19" s="46" t="s">
        <v>1063</v>
      </c>
      <c r="BD19" s="50" t="s">
        <v>4</v>
      </c>
    </row>
    <row r="20" spans="1:56">
      <c r="A20" s="23" t="s">
        <v>236</v>
      </c>
      <c r="B20" s="14" t="s">
        <v>235</v>
      </c>
      <c r="C20" s="24" t="s">
        <v>1</v>
      </c>
      <c r="D20" s="23" t="s">
        <v>237</v>
      </c>
      <c r="E20" s="25" t="s">
        <v>238</v>
      </c>
      <c r="F20" s="23" t="s">
        <v>239</v>
      </c>
      <c r="G20" s="25" t="s">
        <v>240</v>
      </c>
      <c r="H20" s="25" t="s">
        <v>241</v>
      </c>
      <c r="I20" s="26">
        <f t="shared" si="0"/>
        <v>7.6438924534907366</v>
      </c>
      <c r="J20" s="27">
        <v>130.82339999999999</v>
      </c>
      <c r="K20" s="27">
        <v>0.1532</v>
      </c>
      <c r="L20" s="28" t="s">
        <v>124</v>
      </c>
      <c r="M20" s="29">
        <v>25.624010521366699</v>
      </c>
      <c r="N20" s="29">
        <f>20.2685126826972</f>
        <v>20.2685126826972</v>
      </c>
      <c r="O20" s="30">
        <v>5.2409999999999997</v>
      </c>
      <c r="P20" s="31">
        <v>3.0000000000000001E-3</v>
      </c>
      <c r="Q20" s="32" t="s">
        <v>125</v>
      </c>
      <c r="R20" s="31">
        <v>0.83599999999999997</v>
      </c>
      <c r="S20" s="31">
        <v>8.0000000000000002E-3</v>
      </c>
      <c r="T20" s="32" t="s">
        <v>126</v>
      </c>
      <c r="U20" s="33">
        <v>4.78</v>
      </c>
      <c r="V20" s="25" t="s">
        <v>166</v>
      </c>
      <c r="W20" s="23" t="s">
        <v>242</v>
      </c>
      <c r="X20" s="23" t="s">
        <v>129</v>
      </c>
      <c r="Y20" s="7">
        <v>5204</v>
      </c>
      <c r="Z20" s="24">
        <v>11</v>
      </c>
      <c r="AA20" s="23" t="s">
        <v>130</v>
      </c>
      <c r="AB20" s="34">
        <v>-0.34341300000000002</v>
      </c>
      <c r="AC20" s="35">
        <v>9.6093499999999991E-3</v>
      </c>
      <c r="AD20" s="28" t="s">
        <v>146</v>
      </c>
      <c r="AE20" s="31">
        <f t="shared" si="1"/>
        <v>0.82840263551182569</v>
      </c>
      <c r="AF20" s="31">
        <f t="shared" si="2"/>
        <v>1.0079836572224954</v>
      </c>
      <c r="AG20" s="25">
        <v>0.85</v>
      </c>
      <c r="AH20" s="10">
        <v>-0.04</v>
      </c>
      <c r="AI20" s="31">
        <v>0.01</v>
      </c>
      <c r="AJ20" s="24" t="s">
        <v>60</v>
      </c>
      <c r="AK20" s="23" t="s">
        <v>130</v>
      </c>
      <c r="AL20" s="5">
        <v>4.49</v>
      </c>
      <c r="AM20" s="31">
        <v>0.03</v>
      </c>
      <c r="AN20" s="23" t="s">
        <v>130</v>
      </c>
      <c r="AO20" s="36">
        <v>-4.9119999999999999</v>
      </c>
      <c r="AP20" s="23" t="s">
        <v>132</v>
      </c>
      <c r="AQ20" s="37">
        <f t="shared" si="3"/>
        <v>0.67343161349492775</v>
      </c>
      <c r="AR20" s="38">
        <f t="shared" si="4"/>
        <v>88.100613344892338</v>
      </c>
      <c r="AS20" s="39">
        <f t="shared" si="5"/>
        <v>2.5517013869533813E-10</v>
      </c>
      <c r="AT20" s="40">
        <f t="shared" si="6"/>
        <v>28.76292537580424</v>
      </c>
      <c r="AU20" s="41">
        <f t="shared" si="7"/>
        <v>218.94174438456093</v>
      </c>
      <c r="AV20" s="42">
        <f t="shared" si="8"/>
        <v>11.895598475882091</v>
      </c>
      <c r="AW20" s="31">
        <f t="shared" si="9"/>
        <v>0.31130503702779322</v>
      </c>
      <c r="AX20" s="43" t="s">
        <v>243</v>
      </c>
      <c r="AY20" s="24" t="s">
        <v>2</v>
      </c>
      <c r="AZ20" s="44">
        <v>54.1</v>
      </c>
      <c r="BA20" s="45">
        <v>6.36</v>
      </c>
      <c r="BB20" s="24" t="s">
        <v>134</v>
      </c>
      <c r="BC20" s="28" t="s">
        <v>1</v>
      </c>
      <c r="BD20" s="24" t="s">
        <v>2</v>
      </c>
    </row>
    <row r="21" spans="1:56">
      <c r="A21" s="23" t="s">
        <v>557</v>
      </c>
      <c r="B21" s="14" t="s">
        <v>556</v>
      </c>
      <c r="C21" s="24" t="s">
        <v>1</v>
      </c>
      <c r="D21" s="23" t="s">
        <v>558</v>
      </c>
      <c r="E21" s="25" t="s">
        <v>559</v>
      </c>
      <c r="F21" s="23" t="s">
        <v>560</v>
      </c>
      <c r="G21" s="25" t="s">
        <v>561</v>
      </c>
      <c r="H21" s="25" t="s">
        <v>562</v>
      </c>
      <c r="I21" s="26">
        <f t="shared" si="0"/>
        <v>3.6521715629504721</v>
      </c>
      <c r="J21" s="27">
        <v>273.80970000000002</v>
      </c>
      <c r="K21" s="27">
        <v>0.1701</v>
      </c>
      <c r="L21" s="28" t="s">
        <v>124</v>
      </c>
      <c r="M21" s="29">
        <v>26.017013071634199</v>
      </c>
      <c r="N21" s="29">
        <v>-15.9374798910214</v>
      </c>
      <c r="O21" s="30">
        <v>3.496</v>
      </c>
      <c r="P21" s="31">
        <v>3.0000000000000001E-3</v>
      </c>
      <c r="Q21" s="32" t="s">
        <v>125</v>
      </c>
      <c r="R21" s="31">
        <v>0.72699999999999998</v>
      </c>
      <c r="S21" s="31">
        <v>7.0000000000000001E-3</v>
      </c>
      <c r="T21" s="32" t="s">
        <v>126</v>
      </c>
      <c r="U21" s="33">
        <v>3.0649999999999999</v>
      </c>
      <c r="V21" s="25" t="s">
        <v>143</v>
      </c>
      <c r="W21" s="23" t="s">
        <v>378</v>
      </c>
      <c r="X21" s="23" t="s">
        <v>129</v>
      </c>
      <c r="Y21" s="7">
        <v>5356</v>
      </c>
      <c r="Z21" s="24">
        <v>11</v>
      </c>
      <c r="AA21" s="23" t="s">
        <v>130</v>
      </c>
      <c r="AB21" s="34">
        <v>-0.29608099999999998</v>
      </c>
      <c r="AC21" s="35">
        <v>9.9549700000000005E-3</v>
      </c>
      <c r="AD21" s="28" t="s">
        <v>146</v>
      </c>
      <c r="AE21" s="31">
        <f t="shared" si="1"/>
        <v>0.8258495015592886</v>
      </c>
      <c r="AF21" s="31">
        <f t="shared" si="2"/>
        <v>2.1031794390188514</v>
      </c>
      <c r="AG21" s="25">
        <v>0.94</v>
      </c>
      <c r="AH21" s="10">
        <v>-0.51</v>
      </c>
      <c r="AI21" s="31">
        <v>0.01</v>
      </c>
      <c r="AJ21" s="24" t="s">
        <v>60</v>
      </c>
      <c r="AK21" s="23" t="s">
        <v>130</v>
      </c>
      <c r="AL21" s="5">
        <v>4.53</v>
      </c>
      <c r="AM21" s="31">
        <v>0.03</v>
      </c>
      <c r="AN21" s="23" t="s">
        <v>130</v>
      </c>
      <c r="AO21" s="36">
        <v>-4.9580000000000002</v>
      </c>
      <c r="AP21" s="23" t="s">
        <v>132</v>
      </c>
      <c r="AQ21" s="37">
        <f t="shared" si="3"/>
        <v>0.71114719274554894</v>
      </c>
      <c r="AR21" s="38">
        <f t="shared" si="4"/>
        <v>194.71899950150097</v>
      </c>
      <c r="AS21" s="39">
        <f t="shared" si="5"/>
        <v>2.2882203818844055E-10</v>
      </c>
      <c r="AT21" s="40">
        <f t="shared" si="6"/>
        <v>27.166255375804237</v>
      </c>
      <c r="AU21" s="41">
        <f t="shared" si="7"/>
        <v>225.92958781341542</v>
      </c>
      <c r="AV21" s="42">
        <f t="shared" si="8"/>
        <v>11.007756970634301</v>
      </c>
      <c r="AW21" s="31">
        <f t="shared" si="9"/>
        <v>0.62216649166655058</v>
      </c>
      <c r="AX21" s="43" t="s">
        <v>563</v>
      </c>
      <c r="AY21" s="24" t="s">
        <v>2</v>
      </c>
      <c r="AZ21" s="44">
        <v>160.5</v>
      </c>
      <c r="BA21" s="45">
        <v>10.32</v>
      </c>
      <c r="BB21" s="24" t="s">
        <v>5</v>
      </c>
      <c r="BC21" s="46" t="s">
        <v>564</v>
      </c>
      <c r="BD21" s="24" t="s">
        <v>3</v>
      </c>
    </row>
    <row r="22" spans="1:56">
      <c r="A22" s="23" t="s">
        <v>381</v>
      </c>
      <c r="B22" s="14" t="s">
        <v>380</v>
      </c>
      <c r="C22" s="24" t="s">
        <v>1</v>
      </c>
      <c r="D22" s="23" t="s">
        <v>382</v>
      </c>
      <c r="E22" s="25" t="s">
        <v>383</v>
      </c>
      <c r="F22" s="23" t="s">
        <v>384</v>
      </c>
      <c r="G22" s="25" t="s">
        <v>385</v>
      </c>
      <c r="H22" s="25" t="s">
        <v>386</v>
      </c>
      <c r="I22" s="26">
        <f t="shared" si="0"/>
        <v>10.041148627073749</v>
      </c>
      <c r="J22" s="27">
        <v>99.590199999999996</v>
      </c>
      <c r="K22" s="27">
        <v>4.3799999999999999E-2</v>
      </c>
      <c r="L22" s="28" t="s">
        <v>124</v>
      </c>
      <c r="M22" s="29">
        <v>26.936810149182499</v>
      </c>
      <c r="N22" s="29">
        <f>63.8525030561092</f>
        <v>63.8525030561092</v>
      </c>
      <c r="O22" s="30">
        <v>5.6260000000000003</v>
      </c>
      <c r="P22" s="31">
        <v>6.0000000000000001E-3</v>
      </c>
      <c r="Q22" s="32" t="s">
        <v>125</v>
      </c>
      <c r="R22" s="31">
        <v>0.80400000000000005</v>
      </c>
      <c r="S22" s="31">
        <v>0.01</v>
      </c>
      <c r="T22" s="32" t="s">
        <v>126</v>
      </c>
      <c r="U22" s="33">
        <v>5.23</v>
      </c>
      <c r="V22" s="25" t="s">
        <v>166</v>
      </c>
      <c r="W22" s="23" t="s">
        <v>387</v>
      </c>
      <c r="X22" s="23" t="s">
        <v>334</v>
      </c>
      <c r="Y22" s="7">
        <v>5358</v>
      </c>
      <c r="Z22" s="24">
        <v>11</v>
      </c>
      <c r="AA22" s="23" t="s">
        <v>130</v>
      </c>
      <c r="AB22" s="34">
        <v>-0.28734999999999999</v>
      </c>
      <c r="AC22" s="35">
        <v>8.4174999999999996E-3</v>
      </c>
      <c r="AD22" s="28" t="s">
        <v>179</v>
      </c>
      <c r="AE22" s="31">
        <f t="shared" si="1"/>
        <v>0.83357010185131009</v>
      </c>
      <c r="AF22" s="31">
        <f t="shared" si="2"/>
        <v>0.77212092208740035</v>
      </c>
      <c r="AG22" s="25">
        <v>0.9</v>
      </c>
      <c r="AH22" s="10">
        <v>0.03</v>
      </c>
      <c r="AI22" s="31">
        <v>0.02</v>
      </c>
      <c r="AJ22" s="24" t="s">
        <v>60</v>
      </c>
      <c r="AK22" s="23" t="s">
        <v>130</v>
      </c>
      <c r="AL22" s="5">
        <v>4.4800000000000004</v>
      </c>
      <c r="AM22" s="31">
        <v>0.03</v>
      </c>
      <c r="AN22" s="23" t="s">
        <v>130</v>
      </c>
      <c r="AO22" s="36">
        <v>-4.681</v>
      </c>
      <c r="AP22" s="23" t="s">
        <v>132</v>
      </c>
      <c r="AQ22" s="37">
        <f t="shared" si="3"/>
        <v>0.71833164659991777</v>
      </c>
      <c r="AR22" s="38">
        <f t="shared" si="4"/>
        <v>71.538792351215122</v>
      </c>
      <c r="AS22" s="39">
        <f t="shared" si="5"/>
        <v>2.2426776225309758E-10</v>
      </c>
      <c r="AT22" s="40">
        <f t="shared" si="6"/>
        <v>29.353082875804237</v>
      </c>
      <c r="AU22" s="41">
        <f t="shared" si="7"/>
        <v>234.40346761792156</v>
      </c>
      <c r="AV22" s="42">
        <f t="shared" si="8"/>
        <v>11.193315746402044</v>
      </c>
      <c r="AW22" s="31">
        <f t="shared" si="9"/>
        <v>0.23874002591206839</v>
      </c>
      <c r="AX22" s="43" t="s">
        <v>388</v>
      </c>
      <c r="AY22" s="24" t="s">
        <v>2</v>
      </c>
      <c r="AZ22" s="44">
        <v>10.199999999999999</v>
      </c>
      <c r="BA22" s="45">
        <v>6.86</v>
      </c>
      <c r="BB22" s="24" t="s">
        <v>134</v>
      </c>
      <c r="BC22" s="28" t="s">
        <v>1</v>
      </c>
      <c r="BD22" s="24" t="s">
        <v>2</v>
      </c>
    </row>
    <row r="23" spans="1:56">
      <c r="A23" s="23" t="s">
        <v>1308</v>
      </c>
      <c r="B23" s="14" t="s">
        <v>1307</v>
      </c>
      <c r="C23" s="24" t="s">
        <v>1</v>
      </c>
      <c r="D23" s="23" t="s">
        <v>1309</v>
      </c>
      <c r="E23" s="25" t="s">
        <v>1310</v>
      </c>
      <c r="F23" s="23" t="s">
        <v>1311</v>
      </c>
      <c r="G23" s="25" t="s">
        <v>1</v>
      </c>
      <c r="H23" s="25" t="s">
        <v>1312</v>
      </c>
      <c r="I23" s="26">
        <f t="shared" si="0"/>
        <v>12.834663860153503</v>
      </c>
      <c r="J23" s="27">
        <v>77.914000000000001</v>
      </c>
      <c r="K23" s="27">
        <v>2.9499999999999998E-2</v>
      </c>
      <c r="L23" s="28" t="s">
        <v>124</v>
      </c>
      <c r="M23" s="29">
        <v>34.743769923402503</v>
      </c>
      <c r="N23" s="29">
        <v>-25.9456871647855</v>
      </c>
      <c r="O23" s="30">
        <v>6.3360000000000003</v>
      </c>
      <c r="P23" s="31">
        <v>5.0000000000000001E-3</v>
      </c>
      <c r="Q23" s="32" t="s">
        <v>125</v>
      </c>
      <c r="R23" s="31">
        <v>0.72399999999999998</v>
      </c>
      <c r="S23" s="31">
        <v>3.0000000000000001E-3</v>
      </c>
      <c r="T23" s="32" t="s">
        <v>126</v>
      </c>
      <c r="U23" s="33">
        <v>5.97</v>
      </c>
      <c r="V23" s="25" t="s">
        <v>166</v>
      </c>
      <c r="W23" s="23" t="s">
        <v>378</v>
      </c>
      <c r="X23" s="23" t="s">
        <v>145</v>
      </c>
      <c r="Y23" s="7">
        <v>5401</v>
      </c>
      <c r="Z23" s="24">
        <v>14</v>
      </c>
      <c r="AA23" s="23" t="s">
        <v>130</v>
      </c>
      <c r="AB23" s="34">
        <v>-0.35089900000000002</v>
      </c>
      <c r="AC23" s="35">
        <v>9.3352399999999999E-3</v>
      </c>
      <c r="AD23" s="28" t="s">
        <v>146</v>
      </c>
      <c r="AE23" s="31">
        <f t="shared" si="1"/>
        <v>0.76247339269055314</v>
      </c>
      <c r="AF23" s="31">
        <f t="shared" si="2"/>
        <v>0.55254389031108619</v>
      </c>
      <c r="AG23" s="25">
        <v>0.94</v>
      </c>
      <c r="AH23" s="10">
        <v>-0.49</v>
      </c>
      <c r="AI23" s="31">
        <v>0.01</v>
      </c>
      <c r="AJ23" s="24" t="s">
        <v>60</v>
      </c>
      <c r="AK23" s="23" t="s">
        <v>130</v>
      </c>
      <c r="AL23" s="5">
        <v>4.59</v>
      </c>
      <c r="AM23" s="31">
        <v>0.03</v>
      </c>
      <c r="AN23" s="23" t="s">
        <v>130</v>
      </c>
      <c r="AO23" s="36">
        <v>-4.8499999999999996</v>
      </c>
      <c r="AP23" s="23" t="s">
        <v>278</v>
      </c>
      <c r="AQ23" s="37">
        <f t="shared" si="3"/>
        <v>0.66765253145245518</v>
      </c>
      <c r="AR23" s="38">
        <f t="shared" si="4"/>
        <v>52.019479335586588</v>
      </c>
      <c r="AS23" s="39">
        <f t="shared" si="5"/>
        <v>2.5960667191439941E-10</v>
      </c>
      <c r="AT23" s="40">
        <f t="shared" si="6"/>
        <v>29.934210375804238</v>
      </c>
      <c r="AU23" s="41">
        <f t="shared" si="7"/>
        <v>205.52261163275668</v>
      </c>
      <c r="AV23" s="42">
        <f t="shared" si="8"/>
        <v>11.360653986065763</v>
      </c>
      <c r="AW23" s="31">
        <f t="shared" si="9"/>
        <v>0.16621273239591117</v>
      </c>
      <c r="AX23" s="43" t="s">
        <v>1</v>
      </c>
      <c r="AY23" s="24" t="s">
        <v>1</v>
      </c>
      <c r="AZ23" s="44" t="s">
        <v>1</v>
      </c>
      <c r="BA23" s="45" t="s">
        <v>1</v>
      </c>
      <c r="BB23" s="24" t="s">
        <v>134</v>
      </c>
      <c r="BC23" s="28" t="s">
        <v>1</v>
      </c>
      <c r="BD23" s="50" t="s">
        <v>4</v>
      </c>
    </row>
    <row r="24" spans="1:56">
      <c r="A24" s="23" t="s">
        <v>735</v>
      </c>
      <c r="B24" s="14" t="s">
        <v>734</v>
      </c>
      <c r="C24" s="24" t="s">
        <v>1</v>
      </c>
      <c r="D24" s="23" t="s">
        <v>736</v>
      </c>
      <c r="E24" s="25" t="s">
        <v>737</v>
      </c>
      <c r="F24" s="23" t="s">
        <v>738</v>
      </c>
      <c r="G24" s="25" t="s">
        <v>739</v>
      </c>
      <c r="H24" s="25" t="s">
        <v>740</v>
      </c>
      <c r="I24" s="26">
        <f t="shared" si="0"/>
        <v>17.357163561759389</v>
      </c>
      <c r="J24" s="27">
        <v>57.613100000000003</v>
      </c>
      <c r="K24" s="27">
        <v>3.8300000000000001E-2</v>
      </c>
      <c r="L24" s="28" t="s">
        <v>124</v>
      </c>
      <c r="M24" s="29">
        <v>40.639444449592503</v>
      </c>
      <c r="N24" s="29">
        <v>-50.800293093934997</v>
      </c>
      <c r="O24" s="30">
        <v>5.3949999999999996</v>
      </c>
      <c r="P24" s="31">
        <v>1E-3</v>
      </c>
      <c r="Q24" s="32" t="s">
        <v>125</v>
      </c>
      <c r="R24" s="31">
        <v>0.56100000000000005</v>
      </c>
      <c r="S24" s="31">
        <v>7.0000000000000001E-3</v>
      </c>
      <c r="T24" s="32" t="s">
        <v>126</v>
      </c>
      <c r="U24" s="33">
        <v>5.085</v>
      </c>
      <c r="V24" s="25" t="s">
        <v>143</v>
      </c>
      <c r="W24" s="23" t="s">
        <v>741</v>
      </c>
      <c r="X24" s="23" t="s">
        <v>145</v>
      </c>
      <c r="Y24" s="7">
        <v>6157</v>
      </c>
      <c r="Z24" s="24">
        <v>18</v>
      </c>
      <c r="AA24" s="23" t="s">
        <v>130</v>
      </c>
      <c r="AB24" s="34">
        <v>0.23985200000000001</v>
      </c>
      <c r="AC24" s="35">
        <v>1.41949E-2</v>
      </c>
      <c r="AD24" s="28" t="s">
        <v>146</v>
      </c>
      <c r="AE24" s="31">
        <f t="shared" si="1"/>
        <v>1.1582711535942933</v>
      </c>
      <c r="AF24" s="31">
        <f t="shared" si="2"/>
        <v>0.62066616586761425</v>
      </c>
      <c r="AG24" s="25">
        <v>1.1399999999999999</v>
      </c>
      <c r="AH24" s="10">
        <v>0.15</v>
      </c>
      <c r="AI24" s="31">
        <v>0.02</v>
      </c>
      <c r="AJ24" s="24" t="s">
        <v>60</v>
      </c>
      <c r="AK24" s="23" t="s">
        <v>130</v>
      </c>
      <c r="AL24" s="5">
        <v>4.43</v>
      </c>
      <c r="AM24" s="31">
        <v>0.03</v>
      </c>
      <c r="AN24" s="23" t="s">
        <v>130</v>
      </c>
      <c r="AO24" s="36">
        <v>-4.585</v>
      </c>
      <c r="AP24" s="23" t="s">
        <v>535</v>
      </c>
      <c r="AQ24" s="37">
        <f t="shared" si="3"/>
        <v>1.3180321382166167</v>
      </c>
      <c r="AR24" s="38">
        <f t="shared" si="4"/>
        <v>75.935917382287769</v>
      </c>
      <c r="AS24" s="39">
        <f t="shared" si="5"/>
        <v>6.6613898301263862E-11</v>
      </c>
      <c r="AT24" s="40">
        <f t="shared" si="6"/>
        <v>30.526087875804237</v>
      </c>
      <c r="AU24" s="41">
        <f t="shared" si="7"/>
        <v>517.6477863203188</v>
      </c>
      <c r="AV24" s="42">
        <f t="shared" si="8"/>
        <v>7.3422147649167444</v>
      </c>
      <c r="AW24" s="31">
        <f t="shared" si="9"/>
        <v>0.20006380955966829</v>
      </c>
      <c r="AX24" s="43" t="s">
        <v>1</v>
      </c>
      <c r="AY24" s="24" t="s">
        <v>1</v>
      </c>
      <c r="AZ24" s="44" t="s">
        <v>1</v>
      </c>
      <c r="BA24" s="45" t="s">
        <v>1</v>
      </c>
      <c r="BB24" s="24" t="s">
        <v>134</v>
      </c>
      <c r="BC24" s="28" t="s">
        <v>1</v>
      </c>
      <c r="BD24" s="24" t="s">
        <v>3</v>
      </c>
    </row>
    <row r="25" spans="1:56">
      <c r="A25" s="23" t="s">
        <v>270</v>
      </c>
      <c r="B25" s="14" t="s">
        <v>269</v>
      </c>
      <c r="C25" s="24" t="s">
        <v>2</v>
      </c>
      <c r="D25" s="23" t="s">
        <v>271</v>
      </c>
      <c r="E25" s="25" t="s">
        <v>272</v>
      </c>
      <c r="F25" s="23" t="s">
        <v>273</v>
      </c>
      <c r="G25" s="25" t="s">
        <v>274</v>
      </c>
      <c r="H25" s="25" t="s">
        <v>275</v>
      </c>
      <c r="I25" s="26">
        <f t="shared" si="0"/>
        <v>11.150136589173217</v>
      </c>
      <c r="J25" s="27">
        <v>89.685000000000002</v>
      </c>
      <c r="K25" s="27">
        <v>0.1638</v>
      </c>
      <c r="L25" s="28" t="s">
        <v>124</v>
      </c>
      <c r="M25" s="29">
        <v>41.0499442308762</v>
      </c>
      <c r="N25" s="29">
        <f>49.228448519215</f>
        <v>49.228448519215</v>
      </c>
      <c r="O25" s="30">
        <v>4.0999999999999996</v>
      </c>
      <c r="P25" s="31">
        <v>0.01</v>
      </c>
      <c r="Q25" s="32" t="s">
        <v>126</v>
      </c>
      <c r="R25" s="31">
        <v>0.51400000000000001</v>
      </c>
      <c r="S25" s="31">
        <v>2E-3</v>
      </c>
      <c r="T25" s="32" t="s">
        <v>126</v>
      </c>
      <c r="U25" s="33">
        <v>3.7949999999999999</v>
      </c>
      <c r="V25" s="25" t="s">
        <v>189</v>
      </c>
      <c r="W25" s="23" t="s">
        <v>276</v>
      </c>
      <c r="X25" s="23" t="s">
        <v>277</v>
      </c>
      <c r="Y25" s="7">
        <v>6263</v>
      </c>
      <c r="Z25" s="24">
        <v>67</v>
      </c>
      <c r="AA25" s="23" t="s">
        <v>130</v>
      </c>
      <c r="AB25" s="34">
        <v>0.35153200000000001</v>
      </c>
      <c r="AC25" s="35">
        <v>1.01157E-2</v>
      </c>
      <c r="AD25" s="28" t="s">
        <v>131</v>
      </c>
      <c r="AE25" s="31">
        <f t="shared" si="1"/>
        <v>1.2729862839401993</v>
      </c>
      <c r="AF25" s="31">
        <f t="shared" si="2"/>
        <v>1.0618669986278151</v>
      </c>
      <c r="AG25" s="25">
        <v>1.21</v>
      </c>
      <c r="AH25" s="10">
        <v>0.01</v>
      </c>
      <c r="AI25" s="31">
        <v>0.01</v>
      </c>
      <c r="AJ25" s="24" t="s">
        <v>60</v>
      </c>
      <c r="AK25" s="23" t="s">
        <v>130</v>
      </c>
      <c r="AL25" s="5">
        <v>4.3899999999999997</v>
      </c>
      <c r="AM25" s="31">
        <v>0.04</v>
      </c>
      <c r="AN25" s="23" t="s">
        <v>130</v>
      </c>
      <c r="AO25" s="36">
        <v>-4.97</v>
      </c>
      <c r="AP25" s="23" t="s">
        <v>278</v>
      </c>
      <c r="AQ25" s="37">
        <f t="shared" si="3"/>
        <v>1.4988770155951221</v>
      </c>
      <c r="AR25" s="38">
        <f t="shared" si="4"/>
        <v>134.42678514364854</v>
      </c>
      <c r="AS25" s="39">
        <f t="shared" si="5"/>
        <v>5.1509205320879611E-11</v>
      </c>
      <c r="AT25" s="40">
        <f t="shared" si="6"/>
        <v>29.515287875804241</v>
      </c>
      <c r="AU25" s="41">
        <f t="shared" si="7"/>
        <v>609.33216173433982</v>
      </c>
      <c r="AV25" s="42">
        <f t="shared" si="8"/>
        <v>6.6829286478301748</v>
      </c>
      <c r="AW25" s="31">
        <f t="shared" si="9"/>
        <v>0.33367723933172566</v>
      </c>
      <c r="AX25" s="43" t="s">
        <v>279</v>
      </c>
      <c r="AY25" s="24" t="s">
        <v>2</v>
      </c>
      <c r="AZ25" s="44">
        <v>21.2</v>
      </c>
      <c r="BA25" s="45">
        <v>5.84</v>
      </c>
      <c r="BB25" s="24" t="s">
        <v>134</v>
      </c>
      <c r="BC25" s="28" t="s">
        <v>1</v>
      </c>
      <c r="BD25" s="24" t="s">
        <v>2</v>
      </c>
    </row>
    <row r="26" spans="1:56">
      <c r="A26" s="23" t="s">
        <v>438</v>
      </c>
      <c r="B26" s="14" t="s">
        <v>437</v>
      </c>
      <c r="C26" s="24" t="s">
        <v>1</v>
      </c>
      <c r="D26" s="23" t="s">
        <v>439</v>
      </c>
      <c r="E26" s="25" t="s">
        <v>440</v>
      </c>
      <c r="F26" s="23" t="s">
        <v>441</v>
      </c>
      <c r="G26" s="25" t="s">
        <v>442</v>
      </c>
      <c r="H26" s="25" t="s">
        <v>443</v>
      </c>
      <c r="I26" s="26">
        <f t="shared" si="0"/>
        <v>14.276353077053759</v>
      </c>
      <c r="J26" s="27">
        <v>70.045900000000003</v>
      </c>
      <c r="K26" s="27">
        <v>0.15989999999999999</v>
      </c>
      <c r="L26" s="28" t="s">
        <v>124</v>
      </c>
      <c r="M26" s="29">
        <v>41.275828336206203</v>
      </c>
      <c r="N26" s="29">
        <v>-18.5726228277553</v>
      </c>
      <c r="O26" s="30">
        <v>4.4649999999999999</v>
      </c>
      <c r="P26" s="31">
        <v>7.0000000000000001E-3</v>
      </c>
      <c r="Q26" s="32" t="s">
        <v>142</v>
      </c>
      <c r="R26" s="31">
        <v>0.47899999999999998</v>
      </c>
      <c r="S26" s="31">
        <v>1.0999999999999999E-2</v>
      </c>
      <c r="T26" s="32" t="s">
        <v>142</v>
      </c>
      <c r="U26" s="33">
        <v>4.1719999999999997</v>
      </c>
      <c r="V26" s="25" t="s">
        <v>143</v>
      </c>
      <c r="W26" s="23" t="s">
        <v>276</v>
      </c>
      <c r="X26" s="23" t="s">
        <v>444</v>
      </c>
      <c r="Y26" s="7">
        <v>6330</v>
      </c>
      <c r="Z26" s="24">
        <v>52</v>
      </c>
      <c r="AA26" s="23" t="s">
        <v>130</v>
      </c>
      <c r="AB26" s="34">
        <v>0.41784500000000002</v>
      </c>
      <c r="AC26" s="35">
        <v>1.71475E-2</v>
      </c>
      <c r="AD26" s="28" t="s">
        <v>146</v>
      </c>
      <c r="AE26" s="31">
        <f t="shared" si="1"/>
        <v>1.3450475187188073</v>
      </c>
      <c r="AF26" s="31">
        <f t="shared" si="2"/>
        <v>0.87628814116316012</v>
      </c>
      <c r="AG26" s="25">
        <v>1.21</v>
      </c>
      <c r="AH26" s="10">
        <v>7.0000000000000007E-2</v>
      </c>
      <c r="AI26" s="31">
        <v>0.05</v>
      </c>
      <c r="AJ26" s="24" t="s">
        <v>60</v>
      </c>
      <c r="AK26" s="23" t="s">
        <v>130</v>
      </c>
      <c r="AL26" s="5">
        <v>4.3600000000000003</v>
      </c>
      <c r="AM26" s="31">
        <v>0.09</v>
      </c>
      <c r="AN26" s="23" t="s">
        <v>130</v>
      </c>
      <c r="AO26" s="36">
        <v>-4.4610000000000003</v>
      </c>
      <c r="AP26" s="23" t="s">
        <v>318</v>
      </c>
      <c r="AQ26" s="37">
        <f t="shared" si="3"/>
        <v>1.6177913164645481</v>
      </c>
      <c r="AR26" s="38">
        <f t="shared" si="4"/>
        <v>113.3196487739441</v>
      </c>
      <c r="AS26" s="39">
        <f t="shared" si="5"/>
        <v>4.4215226049420682E-11</v>
      </c>
      <c r="AT26" s="40">
        <f t="shared" si="6"/>
        <v>30.058070375804238</v>
      </c>
      <c r="AU26" s="41">
        <f t="shared" si="7"/>
        <v>683.26449170463275</v>
      </c>
      <c r="AV26" s="42">
        <f t="shared" si="8"/>
        <v>6.4326300363127107</v>
      </c>
      <c r="AW26" s="31">
        <f t="shared" si="9"/>
        <v>0.28128462288616302</v>
      </c>
      <c r="AX26" s="43" t="s">
        <v>1</v>
      </c>
      <c r="AY26" s="24" t="s">
        <v>1</v>
      </c>
      <c r="AZ26" s="44" t="s">
        <v>1</v>
      </c>
      <c r="BA26" s="45" t="s">
        <v>1</v>
      </c>
      <c r="BB26" s="24" t="s">
        <v>134</v>
      </c>
      <c r="BC26" s="28" t="s">
        <v>1</v>
      </c>
      <c r="BD26" s="24" t="s">
        <v>2</v>
      </c>
    </row>
    <row r="27" spans="1:56" ht="18.75" customHeight="1">
      <c r="A27" s="23" t="s">
        <v>893</v>
      </c>
      <c r="B27" s="14" t="s">
        <v>892</v>
      </c>
      <c r="C27" s="24" t="s">
        <v>1</v>
      </c>
      <c r="D27" s="23" t="s">
        <v>894</v>
      </c>
      <c r="E27" s="25" t="s">
        <v>895</v>
      </c>
      <c r="F27" s="23" t="s">
        <v>896</v>
      </c>
      <c r="G27" s="25" t="s">
        <v>897</v>
      </c>
      <c r="H27" s="25" t="s">
        <v>898</v>
      </c>
      <c r="I27" s="26">
        <f t="shared" si="0"/>
        <v>10.360547036883547</v>
      </c>
      <c r="J27" s="27">
        <v>96.52</v>
      </c>
      <c r="K27" s="27">
        <v>2.58E-2</v>
      </c>
      <c r="L27" s="28" t="s">
        <v>124</v>
      </c>
      <c r="M27" s="29">
        <v>43.1338674400046</v>
      </c>
      <c r="N27" s="29">
        <v>-12.7697133489508</v>
      </c>
      <c r="O27" s="30">
        <v>6.0380000000000003</v>
      </c>
      <c r="P27" s="31">
        <v>1.2E-2</v>
      </c>
      <c r="Q27" s="32" t="s">
        <v>125</v>
      </c>
      <c r="R27" s="31">
        <v>0.86699999999999999</v>
      </c>
      <c r="S27" s="31">
        <v>8.0000000000000002E-3</v>
      </c>
      <c r="T27" s="32" t="s">
        <v>142</v>
      </c>
      <c r="U27" s="33">
        <v>5.5250000000000004</v>
      </c>
      <c r="V27" s="25" t="s">
        <v>143</v>
      </c>
      <c r="W27" s="23" t="s">
        <v>899</v>
      </c>
      <c r="X27" s="23" t="s">
        <v>145</v>
      </c>
      <c r="Y27" s="7">
        <v>5199</v>
      </c>
      <c r="Z27" s="24">
        <v>20</v>
      </c>
      <c r="AA27" s="23" t="s">
        <v>130</v>
      </c>
      <c r="AB27" s="34">
        <v>-0.39692100000000002</v>
      </c>
      <c r="AC27" s="35">
        <v>9.6954599999999995E-3</v>
      </c>
      <c r="AD27" s="28" t="s">
        <v>146</v>
      </c>
      <c r="AE27" s="31">
        <f t="shared" si="1"/>
        <v>0.78040925804560501</v>
      </c>
      <c r="AF27" s="31">
        <f t="shared" si="2"/>
        <v>0.70059383771390871</v>
      </c>
      <c r="AG27" s="25">
        <v>0.82</v>
      </c>
      <c r="AH27" s="10">
        <v>7.0000000000000007E-2</v>
      </c>
      <c r="AI27" s="31">
        <v>0.01</v>
      </c>
      <c r="AJ27" s="24" t="s">
        <v>60</v>
      </c>
      <c r="AK27" s="23" t="s">
        <v>130</v>
      </c>
      <c r="AL27" s="5">
        <v>4.55</v>
      </c>
      <c r="AM27" s="31">
        <v>0.02</v>
      </c>
      <c r="AN27" s="23" t="s">
        <v>130</v>
      </c>
      <c r="AO27" s="36">
        <v>-4.3109999999999999</v>
      </c>
      <c r="AP27" s="23" t="s">
        <v>132</v>
      </c>
      <c r="AQ27" s="37">
        <f t="shared" si="3"/>
        <v>0.6331979497822211</v>
      </c>
      <c r="AR27" s="38">
        <f t="shared" si="4"/>
        <v>61.116266112979986</v>
      </c>
      <c r="AS27" s="39">
        <f t="shared" si="5"/>
        <v>2.8862759438201802E-10</v>
      </c>
      <c r="AT27" s="40">
        <f t="shared" si="6"/>
        <v>29.374155375804236</v>
      </c>
      <c r="AU27" s="41">
        <f t="shared" si="7"/>
        <v>203.23575285159555</v>
      </c>
      <c r="AV27" s="42">
        <f t="shared" si="8"/>
        <v>12.490097634520811</v>
      </c>
      <c r="AW27" s="31">
        <f t="shared" si="9"/>
        <v>0.22385618719922254</v>
      </c>
      <c r="AX27" s="43" t="s">
        <v>900</v>
      </c>
      <c r="AY27" s="24" t="s">
        <v>2</v>
      </c>
      <c r="AZ27" s="44">
        <v>15.4</v>
      </c>
      <c r="BA27" s="45">
        <v>13.3</v>
      </c>
      <c r="BB27" s="24" t="s">
        <v>5</v>
      </c>
      <c r="BC27" s="46" t="s">
        <v>615</v>
      </c>
      <c r="BD27" s="24" t="s">
        <v>3</v>
      </c>
    </row>
    <row r="28" spans="1:56">
      <c r="A28" s="23" t="s">
        <v>262</v>
      </c>
      <c r="B28" s="14" t="s">
        <v>261</v>
      </c>
      <c r="C28" s="24" t="s">
        <v>1</v>
      </c>
      <c r="D28" s="23" t="s">
        <v>263</v>
      </c>
      <c r="E28" s="25" t="s">
        <v>264</v>
      </c>
      <c r="F28" s="23" t="s">
        <v>265</v>
      </c>
      <c r="G28" s="25" t="s">
        <v>266</v>
      </c>
      <c r="H28" s="25" t="s">
        <v>267</v>
      </c>
      <c r="I28" s="26">
        <f t="shared" si="0"/>
        <v>10.57739905988077</v>
      </c>
      <c r="J28" s="27">
        <v>94.541200000000003</v>
      </c>
      <c r="K28" s="27">
        <v>0.14480000000000001</v>
      </c>
      <c r="L28" s="28" t="s">
        <v>124</v>
      </c>
      <c r="M28" s="29">
        <v>47.266747088337098</v>
      </c>
      <c r="N28" s="29">
        <f>49.6132783481508</f>
        <v>49.6132783481508</v>
      </c>
      <c r="O28" s="30">
        <v>4.05</v>
      </c>
      <c r="P28" s="31">
        <v>0.01</v>
      </c>
      <c r="Q28" s="32" t="s">
        <v>126</v>
      </c>
      <c r="R28" s="31">
        <v>0.59499999999999997</v>
      </c>
      <c r="S28" s="31">
        <v>7.0000000000000001E-3</v>
      </c>
      <c r="T28" s="32" t="s">
        <v>126</v>
      </c>
      <c r="U28" s="33">
        <v>3.71</v>
      </c>
      <c r="V28" s="25" t="s">
        <v>166</v>
      </c>
      <c r="W28" s="23" t="s">
        <v>178</v>
      </c>
      <c r="X28" s="23" t="s">
        <v>129</v>
      </c>
      <c r="Y28" s="7">
        <v>5952</v>
      </c>
      <c r="Z28" s="24">
        <v>12</v>
      </c>
      <c r="AA28" s="28" t="s">
        <v>149</v>
      </c>
      <c r="AB28" s="34">
        <v>0.34842899999999999</v>
      </c>
      <c r="AC28" s="35">
        <v>1.34374E-2</v>
      </c>
      <c r="AD28" s="28" t="s">
        <v>146</v>
      </c>
      <c r="AE28" s="31">
        <f t="shared" si="1"/>
        <v>1.4044659112506006</v>
      </c>
      <c r="AF28" s="31">
        <f t="shared" si="2"/>
        <v>1.2349770869818963</v>
      </c>
      <c r="AG28" s="25">
        <v>1.08</v>
      </c>
      <c r="AH28" s="10">
        <v>0.09</v>
      </c>
      <c r="AI28" s="31">
        <v>0.01</v>
      </c>
      <c r="AJ28" s="24" t="s">
        <v>60</v>
      </c>
      <c r="AK28" s="23" t="s">
        <v>130</v>
      </c>
      <c r="AL28" s="5">
        <v>4.22</v>
      </c>
      <c r="AM28" s="31">
        <v>0.02</v>
      </c>
      <c r="AN28" s="23" t="s">
        <v>130</v>
      </c>
      <c r="AO28" s="36">
        <v>-5.0279999999999996</v>
      </c>
      <c r="AP28" s="23" t="s">
        <v>191</v>
      </c>
      <c r="AQ28" s="37">
        <f t="shared" si="3"/>
        <v>1.4935318895664664</v>
      </c>
      <c r="AR28" s="38">
        <f t="shared" si="4"/>
        <v>141.20029707788123</v>
      </c>
      <c r="AS28" s="39">
        <f t="shared" si="5"/>
        <v>5.1878552458569038E-11</v>
      </c>
      <c r="AT28" s="40">
        <f t="shared" si="6"/>
        <v>29.422530375804236</v>
      </c>
      <c r="AU28" s="41">
        <f t="shared" si="7"/>
        <v>641.51624594403643</v>
      </c>
      <c r="AV28" s="42">
        <f t="shared" si="8"/>
        <v>7.0863627769368378</v>
      </c>
      <c r="AW28" s="31">
        <f t="shared" si="9"/>
        <v>0.39267928950663145</v>
      </c>
      <c r="AX28" s="43" t="s">
        <v>268</v>
      </c>
      <c r="AY28" s="24" t="s">
        <v>2</v>
      </c>
      <c r="AZ28" s="44">
        <v>154.4</v>
      </c>
      <c r="BA28" s="45">
        <v>8.35</v>
      </c>
      <c r="BB28" s="24" t="s">
        <v>134</v>
      </c>
      <c r="BC28" s="28" t="s">
        <v>1</v>
      </c>
      <c r="BD28" s="24" t="s">
        <v>2</v>
      </c>
    </row>
    <row r="29" spans="1:56" ht="18.75" customHeight="1">
      <c r="A29" s="23" t="s">
        <v>1176</v>
      </c>
      <c r="B29" s="14" t="s">
        <v>1175</v>
      </c>
      <c r="C29" s="24" t="s">
        <v>2</v>
      </c>
      <c r="D29" s="23" t="s">
        <v>1177</v>
      </c>
      <c r="E29" s="25" t="s">
        <v>1178</v>
      </c>
      <c r="F29" s="23" t="s">
        <v>1179</v>
      </c>
      <c r="G29" s="25" t="s">
        <v>1180</v>
      </c>
      <c r="H29" s="25" t="s">
        <v>1181</v>
      </c>
      <c r="I29" s="26">
        <f t="shared" si="0"/>
        <v>13.998994872168177</v>
      </c>
      <c r="J29" s="27">
        <v>71.433700000000002</v>
      </c>
      <c r="K29" s="27">
        <v>0.13200000000000001</v>
      </c>
      <c r="L29" s="28" t="s">
        <v>124</v>
      </c>
      <c r="M29" s="29">
        <v>48.018874183263797</v>
      </c>
      <c r="N29" s="29">
        <v>-28.987621986758601</v>
      </c>
      <c r="O29" s="30">
        <v>3.8</v>
      </c>
      <c r="P29" s="31">
        <v>0.01</v>
      </c>
      <c r="Q29" s="32" t="s">
        <v>126</v>
      </c>
      <c r="R29" s="31">
        <v>0.54300000000000004</v>
      </c>
      <c r="S29" s="31">
        <v>1.4999999999999999E-2</v>
      </c>
      <c r="T29" s="32" t="s">
        <v>126</v>
      </c>
      <c r="U29" s="33">
        <v>3.54</v>
      </c>
      <c r="V29" s="25" t="s">
        <v>143</v>
      </c>
      <c r="W29" s="23" t="s">
        <v>344</v>
      </c>
      <c r="X29" s="23" t="s">
        <v>145</v>
      </c>
      <c r="Y29" s="7">
        <v>6195</v>
      </c>
      <c r="Z29" s="24">
        <v>50</v>
      </c>
      <c r="AA29" s="23" t="s">
        <v>130</v>
      </c>
      <c r="AB29" s="34">
        <v>0.62839400000000001</v>
      </c>
      <c r="AC29" s="35">
        <v>1.50563E-2</v>
      </c>
      <c r="AD29" s="28" t="s">
        <v>146</v>
      </c>
      <c r="AE29" s="31">
        <f t="shared" si="1"/>
        <v>1.7895215235743822</v>
      </c>
      <c r="AF29" s="31">
        <f t="shared" si="2"/>
        <v>1.1889583979654459</v>
      </c>
      <c r="AG29" s="25">
        <v>1.25</v>
      </c>
      <c r="AH29" s="10">
        <v>-0.22</v>
      </c>
      <c r="AI29" s="31">
        <v>0.05</v>
      </c>
      <c r="AJ29" s="24" t="s">
        <v>60</v>
      </c>
      <c r="AK29" s="23" t="s">
        <v>130</v>
      </c>
      <c r="AL29" s="5">
        <v>3.95</v>
      </c>
      <c r="AM29" s="31">
        <v>0.1</v>
      </c>
      <c r="AN29" s="23" t="s">
        <v>130</v>
      </c>
      <c r="AO29" s="36">
        <v>-4.8330000000000002</v>
      </c>
      <c r="AP29" s="23" t="s">
        <v>318</v>
      </c>
      <c r="AQ29" s="37">
        <f t="shared" si="3"/>
        <v>2.0615648461180029</v>
      </c>
      <c r="AR29" s="38">
        <f t="shared" si="4"/>
        <v>147.26520474813961</v>
      </c>
      <c r="AS29" s="39">
        <f t="shared" si="5"/>
        <v>2.7228445622251411E-11</v>
      </c>
      <c r="AT29" s="40">
        <f t="shared" si="6"/>
        <v>29.952442875804238</v>
      </c>
      <c r="AU29" s="41">
        <f t="shared" si="7"/>
        <v>967.02628805407278</v>
      </c>
      <c r="AV29" s="42">
        <f t="shared" si="8"/>
        <v>5.6064635496190363</v>
      </c>
      <c r="AW29" s="31">
        <f t="shared" si="9"/>
        <v>0.35384761612882049</v>
      </c>
      <c r="AX29" s="43" t="s">
        <v>1182</v>
      </c>
      <c r="AY29" s="24" t="s">
        <v>2</v>
      </c>
      <c r="AZ29" s="44">
        <v>5.4</v>
      </c>
      <c r="BA29" s="45">
        <v>3.21</v>
      </c>
      <c r="BB29" s="24" t="s">
        <v>134</v>
      </c>
      <c r="BC29" s="28" t="s">
        <v>1</v>
      </c>
      <c r="BD29" s="50" t="s">
        <v>4</v>
      </c>
    </row>
    <row r="30" spans="1:56">
      <c r="A30" s="23" t="s">
        <v>468</v>
      </c>
      <c r="B30" s="14" t="s">
        <v>467</v>
      </c>
      <c r="C30" s="24" t="s">
        <v>1</v>
      </c>
      <c r="D30" s="23" t="s">
        <v>469</v>
      </c>
      <c r="E30" s="25" t="s">
        <v>470</v>
      </c>
      <c r="F30" s="23" t="s">
        <v>471</v>
      </c>
      <c r="G30" s="25" t="s">
        <v>472</v>
      </c>
      <c r="H30" s="25" t="s">
        <v>473</v>
      </c>
      <c r="I30" s="26">
        <f t="shared" si="0"/>
        <v>12.044709963384081</v>
      </c>
      <c r="J30" s="27">
        <v>83.024000000000001</v>
      </c>
      <c r="K30" s="27">
        <v>4.3799999999999999E-2</v>
      </c>
      <c r="L30" s="28" t="s">
        <v>124</v>
      </c>
      <c r="M30" s="29">
        <v>49.442347728954203</v>
      </c>
      <c r="N30" s="29">
        <v>-62.575320126845597</v>
      </c>
      <c r="O30" s="30">
        <v>5.5129999999999999</v>
      </c>
      <c r="P30" s="31">
        <v>4.0000000000000001E-3</v>
      </c>
      <c r="Q30" s="32" t="s">
        <v>125</v>
      </c>
      <c r="R30" s="31">
        <v>0.64100000000000001</v>
      </c>
      <c r="S30" s="31">
        <v>7.0000000000000001E-3</v>
      </c>
      <c r="T30" s="32" t="s">
        <v>126</v>
      </c>
      <c r="U30" s="33">
        <v>5.16</v>
      </c>
      <c r="V30" s="25" t="s">
        <v>143</v>
      </c>
      <c r="W30" s="23" t="s">
        <v>474</v>
      </c>
      <c r="X30" s="23" t="s">
        <v>129</v>
      </c>
      <c r="Y30" s="7">
        <v>5710</v>
      </c>
      <c r="Z30" s="24">
        <v>13</v>
      </c>
      <c r="AA30" s="23" t="s">
        <v>130</v>
      </c>
      <c r="AB30" s="34">
        <v>-9.9966200000000005E-2</v>
      </c>
      <c r="AC30" s="35">
        <v>1.15222E-2</v>
      </c>
      <c r="AD30" s="28" t="s">
        <v>146</v>
      </c>
      <c r="AE30" s="31">
        <f t="shared" si="1"/>
        <v>0.91068300345868636</v>
      </c>
      <c r="AF30" s="31">
        <f t="shared" si="2"/>
        <v>0.70323013265973477</v>
      </c>
      <c r="AG30" s="25">
        <v>1.01</v>
      </c>
      <c r="AH30" s="10">
        <v>-0.23</v>
      </c>
      <c r="AI30" s="31">
        <v>0.02</v>
      </c>
      <c r="AJ30" s="24" t="s">
        <v>60</v>
      </c>
      <c r="AK30" s="23" t="s">
        <v>130</v>
      </c>
      <c r="AL30" s="5">
        <v>4.5</v>
      </c>
      <c r="AM30" s="31">
        <v>0.03</v>
      </c>
      <c r="AN30" s="23" t="s">
        <v>130</v>
      </c>
      <c r="AO30" s="36">
        <v>-4.6459999999999999</v>
      </c>
      <c r="AP30" s="23" t="s">
        <v>147</v>
      </c>
      <c r="AQ30" s="37">
        <f t="shared" si="3"/>
        <v>0.89128562066955397</v>
      </c>
      <c r="AR30" s="38">
        <f t="shared" si="4"/>
        <v>73.998097370469054</v>
      </c>
      <c r="AS30" s="39">
        <f t="shared" si="5"/>
        <v>1.4567433683007486E-10</v>
      </c>
      <c r="AT30" s="40">
        <f t="shared" si="6"/>
        <v>29.751542375804238</v>
      </c>
      <c r="AU30" s="41">
        <f t="shared" si="7"/>
        <v>305.81758181778463</v>
      </c>
      <c r="AV30" s="42">
        <f t="shared" si="8"/>
        <v>9.4857870885034004</v>
      </c>
      <c r="AW30" s="31">
        <f t="shared" si="9"/>
        <v>0.22005200051883916</v>
      </c>
      <c r="AX30" s="43" t="s">
        <v>405</v>
      </c>
      <c r="AY30" s="24" t="s">
        <v>3</v>
      </c>
      <c r="AZ30" s="44">
        <v>309.10000000000002</v>
      </c>
      <c r="BA30" s="45">
        <v>-0.27</v>
      </c>
      <c r="BB30" s="24" t="s">
        <v>134</v>
      </c>
      <c r="BC30" s="28" t="s">
        <v>1</v>
      </c>
      <c r="BD30" s="24" t="s">
        <v>2</v>
      </c>
    </row>
    <row r="31" spans="1:56">
      <c r="A31" s="23" t="s">
        <v>398</v>
      </c>
      <c r="B31" s="14" t="s">
        <v>397</v>
      </c>
      <c r="C31" s="24" t="s">
        <v>1</v>
      </c>
      <c r="D31" s="23" t="s">
        <v>399</v>
      </c>
      <c r="E31" s="25" t="s">
        <v>400</v>
      </c>
      <c r="F31" s="23" t="s">
        <v>401</v>
      </c>
      <c r="G31" s="25" t="s">
        <v>402</v>
      </c>
      <c r="H31" s="25" t="s">
        <v>403</v>
      </c>
      <c r="I31" s="26">
        <f t="shared" si="0"/>
        <v>12.039402556687527</v>
      </c>
      <c r="J31" s="27">
        <v>83.060599999999994</v>
      </c>
      <c r="K31" s="27">
        <v>6.08E-2</v>
      </c>
      <c r="L31" s="28" t="s">
        <v>124</v>
      </c>
      <c r="M31" s="29">
        <v>49.553412010048802</v>
      </c>
      <c r="N31" s="29">
        <v>-62.506362419731097</v>
      </c>
      <c r="O31" s="30">
        <v>5.2320000000000002</v>
      </c>
      <c r="P31" s="31">
        <v>1E-3</v>
      </c>
      <c r="Q31" s="32" t="s">
        <v>125</v>
      </c>
      <c r="R31" s="31">
        <v>0.6</v>
      </c>
      <c r="S31" s="31">
        <v>8.9999999999999993E-3</v>
      </c>
      <c r="T31" s="32" t="s">
        <v>126</v>
      </c>
      <c r="U31" s="33">
        <v>4.8849999999999998</v>
      </c>
      <c r="V31" s="25" t="s">
        <v>143</v>
      </c>
      <c r="W31" s="23" t="s">
        <v>404</v>
      </c>
      <c r="X31" s="23" t="s">
        <v>129</v>
      </c>
      <c r="Y31" s="7">
        <v>5847</v>
      </c>
      <c r="Z31" s="24">
        <v>13</v>
      </c>
      <c r="AA31" s="23" t="s">
        <v>130</v>
      </c>
      <c r="AB31" s="34">
        <v>7.3465700000000002E-3</v>
      </c>
      <c r="AC31" s="35">
        <v>1.1875399999999999E-2</v>
      </c>
      <c r="AD31" s="28" t="s">
        <v>146</v>
      </c>
      <c r="AE31" s="31">
        <f t="shared" si="1"/>
        <v>0.98271966113778875</v>
      </c>
      <c r="AF31" s="31">
        <f t="shared" si="2"/>
        <v>0.75919142819700058</v>
      </c>
      <c r="AG31" s="25">
        <v>1.07</v>
      </c>
      <c r="AH31" s="10">
        <v>-0.23</v>
      </c>
      <c r="AI31" s="31">
        <v>0.01</v>
      </c>
      <c r="AJ31" s="24" t="s">
        <v>60</v>
      </c>
      <c r="AK31" s="23" t="s">
        <v>130</v>
      </c>
      <c r="AL31" s="5">
        <v>4.46</v>
      </c>
      <c r="AM31" s="31">
        <v>0.02</v>
      </c>
      <c r="AN31" s="23" t="s">
        <v>130</v>
      </c>
      <c r="AO31" s="36">
        <v>-4.7869999999999999</v>
      </c>
      <c r="AP31" s="23" t="s">
        <v>147</v>
      </c>
      <c r="AQ31" s="37">
        <f t="shared" si="3"/>
        <v>1.0084939216589117</v>
      </c>
      <c r="AR31" s="38">
        <f t="shared" si="4"/>
        <v>83.766110229342203</v>
      </c>
      <c r="AS31" s="39">
        <f t="shared" si="5"/>
        <v>1.1378113971867561E-10</v>
      </c>
      <c r="AT31" s="40">
        <f t="shared" si="6"/>
        <v>29.744824300804233</v>
      </c>
      <c r="AU31" s="41">
        <f t="shared" si="7"/>
        <v>357.61508123938137</v>
      </c>
      <c r="AV31" s="42">
        <f t="shared" si="8"/>
        <v>8.6639109151216545</v>
      </c>
      <c r="AW31" s="31">
        <f t="shared" si="9"/>
        <v>0.235131445020939</v>
      </c>
      <c r="AX31" s="43" t="s">
        <v>405</v>
      </c>
      <c r="AY31" s="24" t="s">
        <v>2</v>
      </c>
      <c r="AZ31" s="44">
        <v>309.10000000000002</v>
      </c>
      <c r="BA31" s="45">
        <v>0.27</v>
      </c>
      <c r="BB31" s="24" t="s">
        <v>306</v>
      </c>
      <c r="BC31" s="28" t="s">
        <v>1</v>
      </c>
      <c r="BD31" s="24" t="s">
        <v>2</v>
      </c>
    </row>
    <row r="32" spans="1:56">
      <c r="A32" s="23" t="s">
        <v>211</v>
      </c>
      <c r="B32" s="14" t="s">
        <v>210</v>
      </c>
      <c r="C32" s="24" t="s">
        <v>1</v>
      </c>
      <c r="D32" s="23" t="s">
        <v>212</v>
      </c>
      <c r="E32" s="25" t="s">
        <v>213</v>
      </c>
      <c r="F32" s="23" t="s">
        <v>214</v>
      </c>
      <c r="G32" s="25" t="s">
        <v>215</v>
      </c>
      <c r="H32" s="25" t="s">
        <v>216</v>
      </c>
      <c r="I32" s="26">
        <f t="shared" si="0"/>
        <v>9.2762399318010846</v>
      </c>
      <c r="J32" s="27">
        <v>107.8023</v>
      </c>
      <c r="K32" s="27">
        <v>0.18379999999999999</v>
      </c>
      <c r="L32" s="28" t="s">
        <v>124</v>
      </c>
      <c r="M32" s="29">
        <v>49.840401335400003</v>
      </c>
      <c r="N32" s="29">
        <f>3.3701986497</f>
        <v>3.3701986496999998</v>
      </c>
      <c r="O32" s="30">
        <v>4.8499999999999996</v>
      </c>
      <c r="P32" s="31">
        <v>8.0000000000000002E-3</v>
      </c>
      <c r="Q32" s="32" t="s">
        <v>125</v>
      </c>
      <c r="R32" s="31">
        <v>0.68100000000000005</v>
      </c>
      <c r="S32" s="31">
        <v>6.0000000000000001E-3</v>
      </c>
      <c r="T32" s="32" t="s">
        <v>126</v>
      </c>
      <c r="U32" s="33">
        <v>4.4379999999999997</v>
      </c>
      <c r="V32" s="25" t="s">
        <v>143</v>
      </c>
      <c r="W32" s="23" t="s">
        <v>217</v>
      </c>
      <c r="X32" s="23" t="s">
        <v>129</v>
      </c>
      <c r="Y32" s="7">
        <v>5709</v>
      </c>
      <c r="Z32" s="24">
        <v>11</v>
      </c>
      <c r="AA32" s="23" t="s">
        <v>130</v>
      </c>
      <c r="AB32" s="34">
        <v>-6.6872200000000007E-2</v>
      </c>
      <c r="AC32" s="35">
        <v>1.1721199999999999E-2</v>
      </c>
      <c r="AD32" s="28" t="s">
        <v>146</v>
      </c>
      <c r="AE32" s="31">
        <f t="shared" si="1"/>
        <v>0.94638176066203084</v>
      </c>
      <c r="AF32" s="31">
        <f t="shared" si="2"/>
        <v>0.94890115535766928</v>
      </c>
      <c r="AG32" s="25">
        <v>0.98</v>
      </c>
      <c r="AH32" s="10">
        <v>0.04</v>
      </c>
      <c r="AI32" s="31">
        <v>0.01</v>
      </c>
      <c r="AJ32" s="24" t="s">
        <v>60</v>
      </c>
      <c r="AK32" s="23" t="s">
        <v>130</v>
      </c>
      <c r="AL32" s="5">
        <v>4.51</v>
      </c>
      <c r="AM32" s="31">
        <v>0.02</v>
      </c>
      <c r="AN32" s="23" t="s">
        <v>130</v>
      </c>
      <c r="AO32" s="36">
        <v>-4.42</v>
      </c>
      <c r="AP32" s="23" t="s">
        <v>132</v>
      </c>
      <c r="AQ32" s="37">
        <f t="shared" si="3"/>
        <v>0.92589960751133005</v>
      </c>
      <c r="AR32" s="38">
        <f t="shared" si="4"/>
        <v>99.814107258818652</v>
      </c>
      <c r="AS32" s="39">
        <f t="shared" si="5"/>
        <v>1.3498609991675408E-10</v>
      </c>
      <c r="AT32" s="40">
        <f t="shared" si="6"/>
        <v>29.112277375804236</v>
      </c>
      <c r="AU32" s="41">
        <f t="shared" si="7"/>
        <v>328.72338391107354</v>
      </c>
      <c r="AV32" s="42">
        <f t="shared" si="8"/>
        <v>9.4481661427820196</v>
      </c>
      <c r="AW32" s="31">
        <f t="shared" si="9"/>
        <v>0.30590881567362976</v>
      </c>
      <c r="AX32" s="43" t="s">
        <v>218</v>
      </c>
      <c r="AY32" s="24" t="s">
        <v>2</v>
      </c>
      <c r="AZ32" s="44">
        <v>263.60000000000002</v>
      </c>
      <c r="BA32" s="45">
        <v>3.94</v>
      </c>
      <c r="BB32" s="24" t="s">
        <v>134</v>
      </c>
      <c r="BC32" s="28" t="s">
        <v>1</v>
      </c>
      <c r="BD32" s="24" t="s">
        <v>2</v>
      </c>
    </row>
    <row r="33" spans="1:56">
      <c r="A33" s="23" t="s">
        <v>589</v>
      </c>
      <c r="B33" s="14" t="s">
        <v>588</v>
      </c>
      <c r="C33" s="24" t="s">
        <v>1</v>
      </c>
      <c r="D33" s="23" t="s">
        <v>590</v>
      </c>
      <c r="E33" s="25" t="s">
        <v>591</v>
      </c>
      <c r="F33" s="23" t="s">
        <v>592</v>
      </c>
      <c r="G33" s="25" t="s">
        <v>593</v>
      </c>
      <c r="H33" s="25" t="s">
        <v>594</v>
      </c>
      <c r="I33" s="26">
        <f t="shared" si="0"/>
        <v>6.0414126756087629</v>
      </c>
      <c r="J33" s="27">
        <v>165.52420000000001</v>
      </c>
      <c r="K33" s="27">
        <v>7.8399999999999997E-2</v>
      </c>
      <c r="L33" s="28" t="s">
        <v>124</v>
      </c>
      <c r="M33" s="29">
        <v>49.981878800927497</v>
      </c>
      <c r="N33" s="29">
        <v>-43.069781996784997</v>
      </c>
      <c r="O33" s="30">
        <v>4.258</v>
      </c>
      <c r="P33" s="31">
        <v>4.0000000000000001E-3</v>
      </c>
      <c r="Q33" s="32" t="s">
        <v>125</v>
      </c>
      <c r="R33" s="31">
        <v>0.70799999999999996</v>
      </c>
      <c r="S33" s="31">
        <v>4.0000000000000001E-3</v>
      </c>
      <c r="T33" s="32" t="s">
        <v>142</v>
      </c>
      <c r="U33" s="33">
        <v>3.85</v>
      </c>
      <c r="V33" s="25" t="s">
        <v>143</v>
      </c>
      <c r="W33" s="23" t="s">
        <v>595</v>
      </c>
      <c r="X33" s="23" t="s">
        <v>129</v>
      </c>
      <c r="Y33" s="7">
        <v>5432</v>
      </c>
      <c r="Z33" s="24">
        <v>12</v>
      </c>
      <c r="AA33" s="23" t="s">
        <v>130</v>
      </c>
      <c r="AB33" s="34">
        <v>-0.18423600000000001</v>
      </c>
      <c r="AC33" s="35">
        <v>9.1275200000000001E-3</v>
      </c>
      <c r="AD33" s="28" t="s">
        <v>146</v>
      </c>
      <c r="AE33" s="31">
        <f t="shared" si="1"/>
        <v>0.91324020978491849</v>
      </c>
      <c r="AF33" s="31">
        <f t="shared" si="2"/>
        <v>1.4059604682015958</v>
      </c>
      <c r="AG33" s="25">
        <v>0.97</v>
      </c>
      <c r="AH33" s="10">
        <v>-0.39</v>
      </c>
      <c r="AI33" s="31">
        <v>0.01</v>
      </c>
      <c r="AJ33" s="24" t="s">
        <v>60</v>
      </c>
      <c r="AK33" s="23" t="s">
        <v>130</v>
      </c>
      <c r="AL33" s="5">
        <v>4.46</v>
      </c>
      <c r="AM33" s="31">
        <v>0.03</v>
      </c>
      <c r="AN33" s="23" t="s">
        <v>130</v>
      </c>
      <c r="AO33" s="36">
        <v>-4.9980000000000002</v>
      </c>
      <c r="AP33" s="23" t="s">
        <v>147</v>
      </c>
      <c r="AQ33" s="37">
        <f t="shared" si="3"/>
        <v>0.80887609360643786</v>
      </c>
      <c r="AR33" s="38">
        <f t="shared" si="4"/>
        <v>133.88856829333074</v>
      </c>
      <c r="AS33" s="39">
        <f t="shared" si="5"/>
        <v>1.768694599191088E-10</v>
      </c>
      <c r="AT33" s="40">
        <f t="shared" si="6"/>
        <v>28.23086787580424</v>
      </c>
      <c r="AU33" s="41">
        <f t="shared" si="7"/>
        <v>269.79563542250099</v>
      </c>
      <c r="AV33" s="42">
        <f t="shared" si="8"/>
        <v>10.160513151139167</v>
      </c>
      <c r="AW33" s="31">
        <f t="shared" si="9"/>
        <v>0.41457003179904917</v>
      </c>
      <c r="AX33" s="43" t="s">
        <v>1</v>
      </c>
      <c r="AY33" s="24" t="s">
        <v>1</v>
      </c>
      <c r="AZ33" s="44" t="s">
        <v>1</v>
      </c>
      <c r="BA33" s="45" t="s">
        <v>1</v>
      </c>
      <c r="BB33" s="24" t="s">
        <v>5</v>
      </c>
      <c r="BC33" s="46" t="s">
        <v>596</v>
      </c>
      <c r="BD33" s="24" t="s">
        <v>3</v>
      </c>
    </row>
    <row r="34" spans="1:56">
      <c r="A34" s="23" t="s">
        <v>1429</v>
      </c>
      <c r="B34" s="14" t="s">
        <v>1428</v>
      </c>
      <c r="C34" s="24" t="s">
        <v>2</v>
      </c>
      <c r="D34" s="23" t="s">
        <v>1430</v>
      </c>
      <c r="E34" s="25" t="s">
        <v>1431</v>
      </c>
      <c r="F34" s="23" t="s">
        <v>1432</v>
      </c>
      <c r="G34" s="25" t="s">
        <v>1433</v>
      </c>
      <c r="H34" s="25" t="s">
        <v>1434</v>
      </c>
      <c r="I34" s="26">
        <f t="shared" si="0"/>
        <v>21.781604563681789</v>
      </c>
      <c r="J34" s="27">
        <v>45.910299999999999</v>
      </c>
      <c r="K34" s="27">
        <v>9.3399999999999997E-2</v>
      </c>
      <c r="L34" s="28" t="s">
        <v>124</v>
      </c>
      <c r="M34" s="29">
        <v>52.344489252691197</v>
      </c>
      <c r="N34" s="29">
        <v>-62.937528939337497</v>
      </c>
      <c r="O34" s="30">
        <v>4.7030000000000003</v>
      </c>
      <c r="P34" s="31">
        <v>5.0000000000000001E-3</v>
      </c>
      <c r="Q34" s="32" t="s">
        <v>125</v>
      </c>
      <c r="R34" s="31">
        <v>0.39100000000000001</v>
      </c>
      <c r="S34" s="31">
        <v>3.0000000000000001E-3</v>
      </c>
      <c r="T34" s="32" t="s">
        <v>126</v>
      </c>
      <c r="U34" s="33">
        <v>4.46</v>
      </c>
      <c r="V34" s="25" t="s">
        <v>189</v>
      </c>
      <c r="W34" s="23" t="s">
        <v>1327</v>
      </c>
      <c r="X34" s="23" t="s">
        <v>145</v>
      </c>
      <c r="Y34" s="7">
        <v>6662</v>
      </c>
      <c r="Z34" s="24">
        <v>129</v>
      </c>
      <c r="AA34" s="28" t="s">
        <v>146</v>
      </c>
      <c r="AB34" s="34">
        <v>0.68811100000000003</v>
      </c>
      <c r="AC34" s="35">
        <v>1.78852E-2</v>
      </c>
      <c r="AD34" s="28" t="s">
        <v>146</v>
      </c>
      <c r="AE34" s="31">
        <f t="shared" si="1"/>
        <v>1.6575582180497022</v>
      </c>
      <c r="AF34" s="31">
        <f t="shared" si="2"/>
        <v>0.7077917702198836</v>
      </c>
      <c r="AG34" s="25">
        <v>1.32</v>
      </c>
      <c r="AH34" s="10">
        <v>-0.17</v>
      </c>
      <c r="AI34" s="31">
        <v>0.06</v>
      </c>
      <c r="AJ34" s="44" t="s">
        <v>60</v>
      </c>
      <c r="AK34" s="23" t="s">
        <v>316</v>
      </c>
      <c r="AL34" s="5">
        <v>4.3099999999999996</v>
      </c>
      <c r="AM34" s="31">
        <v>0.14000000000000001</v>
      </c>
      <c r="AN34" s="23" t="s">
        <v>1435</v>
      </c>
      <c r="AO34" s="36">
        <v>-5.0369999999999999</v>
      </c>
      <c r="AP34" s="23" t="s">
        <v>1436</v>
      </c>
      <c r="AQ34" s="37">
        <f t="shared" si="3"/>
        <v>2.2082869196418051</v>
      </c>
      <c r="AR34" s="38">
        <f t="shared" si="4"/>
        <v>101.38311496683116</v>
      </c>
      <c r="AS34" s="39">
        <f t="shared" si="5"/>
        <v>2.3730443217158646E-11</v>
      </c>
      <c r="AT34" s="40">
        <f t="shared" si="6"/>
        <v>31.021735375804237</v>
      </c>
      <c r="AU34" s="41">
        <f t="shared" si="7"/>
        <v>1043.2636391571311</v>
      </c>
      <c r="AV34" s="42">
        <f t="shared" si="8"/>
        <v>5.27142211031952</v>
      </c>
      <c r="AW34" s="31">
        <f t="shared" si="9"/>
        <v>0.23068419529706916</v>
      </c>
      <c r="AX34" s="43" t="s">
        <v>1437</v>
      </c>
      <c r="AY34" s="24" t="s">
        <v>2</v>
      </c>
      <c r="AZ34" s="44">
        <v>54.4</v>
      </c>
      <c r="BA34" s="45">
        <v>6</v>
      </c>
      <c r="BB34" s="24" t="s">
        <v>134</v>
      </c>
      <c r="BC34" s="28" t="s">
        <v>1</v>
      </c>
      <c r="BD34" s="50" t="s">
        <v>4</v>
      </c>
    </row>
    <row r="35" spans="1:56">
      <c r="A35" s="23" t="s">
        <v>963</v>
      </c>
      <c r="B35" s="14" t="s">
        <v>962</v>
      </c>
      <c r="C35" s="24" t="s">
        <v>1</v>
      </c>
      <c r="D35" s="23" t="s">
        <v>964</v>
      </c>
      <c r="E35" s="25" t="s">
        <v>965</v>
      </c>
      <c r="F35" s="23" t="s">
        <v>966</v>
      </c>
      <c r="G35" s="25" t="s">
        <v>967</v>
      </c>
      <c r="H35" s="25" t="s">
        <v>968</v>
      </c>
      <c r="I35" s="26">
        <f t="shared" ref="I35:I66" si="10">1000/$J35</f>
        <v>3.2198103338524744</v>
      </c>
      <c r="J35" s="27">
        <v>310.57729999999998</v>
      </c>
      <c r="K35" s="27">
        <v>0.13550000000000001</v>
      </c>
      <c r="L35" s="28" t="s">
        <v>124</v>
      </c>
      <c r="M35" s="29">
        <v>53.232685379178001</v>
      </c>
      <c r="N35" s="29">
        <v>-9.4582609712264993</v>
      </c>
      <c r="O35" s="30">
        <v>3.718</v>
      </c>
      <c r="P35" s="31">
        <v>3.0000000000000001E-3</v>
      </c>
      <c r="Q35" s="32" t="s">
        <v>125</v>
      </c>
      <c r="R35" s="31">
        <v>0.88100000000000001</v>
      </c>
      <c r="S35" s="31">
        <v>7.0000000000000001E-3</v>
      </c>
      <c r="T35" s="32" t="s">
        <v>126</v>
      </c>
      <c r="U35" s="33">
        <v>3.2250000000000001</v>
      </c>
      <c r="V35" s="25" t="s">
        <v>143</v>
      </c>
      <c r="W35" s="23" t="s">
        <v>333</v>
      </c>
      <c r="X35" s="23" t="s">
        <v>129</v>
      </c>
      <c r="Y35" s="7">
        <v>5098</v>
      </c>
      <c r="Z35" s="24">
        <v>10</v>
      </c>
      <c r="AA35" s="23" t="s">
        <v>130</v>
      </c>
      <c r="AB35" s="34">
        <v>-0.47067199999999998</v>
      </c>
      <c r="AC35" s="35">
        <v>1.0096900000000001E-2</v>
      </c>
      <c r="AD35" s="28" t="s">
        <v>146</v>
      </c>
      <c r="AE35" s="31">
        <f t="shared" ref="AE35:AE66" si="11">(10^$AB35)^(1/2)/($Y35/5771.8)^2</f>
        <v>0.7455673574603181</v>
      </c>
      <c r="AF35" s="31">
        <f t="shared" ref="AF35:AF66" si="12">1000*206264.8063*2*$AE35*695700/((1000/$J35)*206264.8063*149597870.7)</f>
        <v>2.1536899551240096</v>
      </c>
      <c r="AG35" s="25">
        <v>0.78</v>
      </c>
      <c r="AH35" s="10">
        <v>-0.08</v>
      </c>
      <c r="AI35" s="31">
        <v>0.01</v>
      </c>
      <c r="AJ35" s="24" t="s">
        <v>60</v>
      </c>
      <c r="AK35" s="23" t="s">
        <v>130</v>
      </c>
      <c r="AL35" s="5">
        <v>4.55</v>
      </c>
      <c r="AM35" s="31">
        <v>0.02</v>
      </c>
      <c r="AN35" s="23" t="s">
        <v>130</v>
      </c>
      <c r="AO35" s="36">
        <v>-4.4550000000000001</v>
      </c>
      <c r="AP35" s="23" t="s">
        <v>132</v>
      </c>
      <c r="AQ35" s="37">
        <f t="shared" ref="AQ35:AQ66" si="13">SQRT(10^AB35)</f>
        <v>0.58165303696225001</v>
      </c>
      <c r="AR35" s="38">
        <f t="shared" ref="AR35:AR66" si="14">1000*$AQ35/I35</f>
        <v>180.64822975653578</v>
      </c>
      <c r="AS35" s="39">
        <f t="shared" ref="AS35:AS66" si="15">0.2*(1/3.14159265358)*(6378.136^2/(SQRT(10^(AB35))*149597870.7)^2)</f>
        <v>3.4204941317428563E-10</v>
      </c>
      <c r="AT35" s="40">
        <f t="shared" ref="AT35:AT66" si="16">$U35 - 2.5*LOG10($AS35)</f>
        <v>26.889777875804239</v>
      </c>
      <c r="AU35" s="41">
        <f t="shared" ref="AU35:AU66" si="17">365.25636*$AQ35^1.5 / $AG35^0.5</f>
        <v>183.46215284430775</v>
      </c>
      <c r="AV35" s="42">
        <f t="shared" ref="AV35:AV66" si="18">9 * $AG35^(-2/3) * ($AU35/365.25636)^(-1/3)</f>
        <v>13.361745886634303</v>
      </c>
      <c r="AW35" s="31">
        <f t="shared" ref="AW35:AW66" si="19">((398600441800000/($AG35*132712440042000000000))*$AQ35/$I35)/0.000001</f>
        <v>0.69560909062688869</v>
      </c>
      <c r="AX35" s="43" t="s">
        <v>969</v>
      </c>
      <c r="AY35" s="24" t="s">
        <v>2</v>
      </c>
      <c r="AZ35" s="44">
        <v>15</v>
      </c>
      <c r="BA35" s="45">
        <v>15.52</v>
      </c>
      <c r="BB35" s="24" t="s">
        <v>5</v>
      </c>
      <c r="BC35" s="46" t="s">
        <v>970</v>
      </c>
      <c r="BD35" s="50" t="s">
        <v>4</v>
      </c>
    </row>
    <row r="36" spans="1:56">
      <c r="A36" s="23" t="s">
        <v>660</v>
      </c>
      <c r="B36" s="14" t="s">
        <v>659</v>
      </c>
      <c r="C36" s="24" t="s">
        <v>1</v>
      </c>
      <c r="D36" s="23" t="s">
        <v>661</v>
      </c>
      <c r="E36" s="25" t="s">
        <v>662</v>
      </c>
      <c r="F36" s="23" t="s">
        <v>663</v>
      </c>
      <c r="G36" s="25" t="s">
        <v>664</v>
      </c>
      <c r="H36" s="25" t="s">
        <v>665</v>
      </c>
      <c r="I36" s="26">
        <f t="shared" si="10"/>
        <v>13.920403134874785</v>
      </c>
      <c r="J36" s="27">
        <v>71.837000000000003</v>
      </c>
      <c r="K36" s="27">
        <v>0.15029999999999999</v>
      </c>
      <c r="L36" s="28" t="s">
        <v>124</v>
      </c>
      <c r="M36" s="29">
        <v>54.218265435070002</v>
      </c>
      <c r="N36" s="29">
        <f>0.4016644716192</f>
        <v>0.40166447161919999</v>
      </c>
      <c r="O36" s="30">
        <v>4.2910000000000004</v>
      </c>
      <c r="P36" s="31">
        <v>6.0000000000000001E-3</v>
      </c>
      <c r="Q36" s="32" t="s">
        <v>125</v>
      </c>
      <c r="R36" s="31">
        <v>0.57499999999999996</v>
      </c>
      <c r="S36" s="31">
        <v>8.0000000000000002E-3</v>
      </c>
      <c r="T36" s="32" t="s">
        <v>126</v>
      </c>
      <c r="U36" s="33">
        <v>3.9550000000000001</v>
      </c>
      <c r="V36" s="25" t="s">
        <v>143</v>
      </c>
      <c r="W36" s="23" t="s">
        <v>666</v>
      </c>
      <c r="X36" s="23" t="s">
        <v>129</v>
      </c>
      <c r="Y36" s="7">
        <v>5996</v>
      </c>
      <c r="Z36" s="24">
        <v>9</v>
      </c>
      <c r="AA36" s="23" t="s">
        <v>130</v>
      </c>
      <c r="AB36" s="34">
        <v>0.48682300000000001</v>
      </c>
      <c r="AC36" s="35">
        <v>1.7119200000000001E-2</v>
      </c>
      <c r="AD36" s="28" t="s">
        <v>131</v>
      </c>
      <c r="AE36" s="31">
        <f t="shared" si="11"/>
        <v>1.6229711480287681</v>
      </c>
      <c r="AF36" s="31">
        <f t="shared" si="12"/>
        <v>1.0843901740869868</v>
      </c>
      <c r="AG36" s="25">
        <v>1.1399999999999999</v>
      </c>
      <c r="AH36" s="10">
        <v>-0.08</v>
      </c>
      <c r="AI36" s="31">
        <v>0.01</v>
      </c>
      <c r="AJ36" s="24" t="s">
        <v>60</v>
      </c>
      <c r="AK36" s="23" t="s">
        <v>130</v>
      </c>
      <c r="AL36" s="5">
        <v>4.0999999999999996</v>
      </c>
      <c r="AM36" s="31">
        <v>0.02</v>
      </c>
      <c r="AN36" s="23" t="s">
        <v>130</v>
      </c>
      <c r="AO36" s="36">
        <v>-5.12</v>
      </c>
      <c r="AP36" s="23" t="s">
        <v>278</v>
      </c>
      <c r="AQ36" s="37">
        <f t="shared" si="13"/>
        <v>1.7515054781889816</v>
      </c>
      <c r="AR36" s="38">
        <f t="shared" si="14"/>
        <v>125.82289903666188</v>
      </c>
      <c r="AS36" s="39">
        <f t="shared" si="15"/>
        <v>3.7721925210414327E-11</v>
      </c>
      <c r="AT36" s="40">
        <f t="shared" si="16"/>
        <v>30.013515375804239</v>
      </c>
      <c r="AU36" s="41">
        <f t="shared" si="17"/>
        <v>792.980688636938</v>
      </c>
      <c r="AV36" s="42">
        <f t="shared" si="18"/>
        <v>6.3691918948874884</v>
      </c>
      <c r="AW36" s="31">
        <f t="shared" si="19"/>
        <v>0.33149804965663932</v>
      </c>
      <c r="AX36" s="43" t="s">
        <v>1</v>
      </c>
      <c r="AY36" s="24" t="s">
        <v>1</v>
      </c>
      <c r="AZ36" s="44" t="s">
        <v>1</v>
      </c>
      <c r="BA36" s="45" t="s">
        <v>1</v>
      </c>
      <c r="BB36" s="24" t="s">
        <v>5</v>
      </c>
      <c r="BC36" s="46" t="s">
        <v>615</v>
      </c>
      <c r="BD36" s="24" t="s">
        <v>3</v>
      </c>
    </row>
    <row r="37" spans="1:56">
      <c r="A37" s="23" t="s">
        <v>357</v>
      </c>
      <c r="B37" s="14" t="s">
        <v>356</v>
      </c>
      <c r="C37" s="24" t="s">
        <v>1</v>
      </c>
      <c r="D37" s="23" t="s">
        <v>358</v>
      </c>
      <c r="E37" s="25" t="s">
        <v>359</v>
      </c>
      <c r="F37" s="23" t="s">
        <v>360</v>
      </c>
      <c r="G37" s="25" t="s">
        <v>361</v>
      </c>
      <c r="H37" s="25" t="s">
        <v>362</v>
      </c>
      <c r="I37" s="26">
        <f t="shared" si="10"/>
        <v>9.0888104019617284</v>
      </c>
      <c r="J37" s="27">
        <v>110.0254</v>
      </c>
      <c r="K37" s="27">
        <v>0.19439999999999999</v>
      </c>
      <c r="L37" s="28" t="s">
        <v>124</v>
      </c>
      <c r="M37" s="29">
        <v>55.812085574812897</v>
      </c>
      <c r="N37" s="29">
        <v>-9.7633919321941995</v>
      </c>
      <c r="O37" s="30">
        <v>3.5369999999999999</v>
      </c>
      <c r="P37" s="31">
        <v>8.0000000000000002E-3</v>
      </c>
      <c r="Q37" s="32" t="s">
        <v>125</v>
      </c>
      <c r="R37" s="31">
        <v>0.92200000000000004</v>
      </c>
      <c r="S37" s="31">
        <v>7.0000000000000001E-3</v>
      </c>
      <c r="T37" s="32" t="s">
        <v>177</v>
      </c>
      <c r="U37" s="33">
        <v>3.02</v>
      </c>
      <c r="V37" s="25" t="s">
        <v>143</v>
      </c>
      <c r="W37" s="23" t="s">
        <v>363</v>
      </c>
      <c r="X37" s="23" t="s">
        <v>129</v>
      </c>
      <c r="Y37" s="7">
        <v>5045</v>
      </c>
      <c r="Z37" s="24">
        <v>24</v>
      </c>
      <c r="AA37" s="23" t="s">
        <v>130</v>
      </c>
      <c r="AB37" s="34">
        <v>0.46846300000000002</v>
      </c>
      <c r="AC37" s="35">
        <v>1.5099E-2</v>
      </c>
      <c r="AD37" s="28" t="s">
        <v>131</v>
      </c>
      <c r="AE37" s="31">
        <f t="shared" si="11"/>
        <v>2.244562518976037</v>
      </c>
      <c r="AF37" s="31">
        <f t="shared" si="12"/>
        <v>2.2969484559668705</v>
      </c>
      <c r="AG37" s="25">
        <v>0.87</v>
      </c>
      <c r="AH37" s="10">
        <v>0.09</v>
      </c>
      <c r="AI37" s="31">
        <v>0.02</v>
      </c>
      <c r="AJ37" s="24" t="s">
        <v>60</v>
      </c>
      <c r="AK37" s="23" t="s">
        <v>130</v>
      </c>
      <c r="AL37" s="5">
        <v>3.78</v>
      </c>
      <c r="AM37" s="31">
        <v>0.03</v>
      </c>
      <c r="AN37" s="23" t="s">
        <v>130</v>
      </c>
      <c r="AO37" s="36">
        <v>-5.1840000000000002</v>
      </c>
      <c r="AP37" s="23" t="s">
        <v>132</v>
      </c>
      <c r="AQ37" s="37">
        <f t="shared" si="13"/>
        <v>1.7148711733386361</v>
      </c>
      <c r="AR37" s="38">
        <f t="shared" si="14"/>
        <v>188.67938679505281</v>
      </c>
      <c r="AS37" s="39">
        <f t="shared" si="15"/>
        <v>3.9350825706213219E-11</v>
      </c>
      <c r="AT37" s="40">
        <f t="shared" si="16"/>
        <v>29.032615375804237</v>
      </c>
      <c r="AU37" s="41">
        <f t="shared" si="17"/>
        <v>879.3978722456535</v>
      </c>
      <c r="AV37" s="42">
        <f t="shared" si="18"/>
        <v>7.3682971717645831</v>
      </c>
      <c r="AW37" s="31">
        <f t="shared" si="19"/>
        <v>0.65137538831611541</v>
      </c>
      <c r="AX37" s="43" t="s">
        <v>1</v>
      </c>
      <c r="AY37" s="24" t="s">
        <v>1</v>
      </c>
      <c r="AZ37" s="44" t="s">
        <v>1</v>
      </c>
      <c r="BA37" s="45" t="s">
        <v>1</v>
      </c>
      <c r="BB37" s="24" t="s">
        <v>134</v>
      </c>
      <c r="BC37" s="28" t="s">
        <v>1</v>
      </c>
      <c r="BD37" s="24" t="s">
        <v>2</v>
      </c>
    </row>
    <row r="38" spans="1:56" ht="18" customHeight="1">
      <c r="A38" s="23" t="s">
        <v>1369</v>
      </c>
      <c r="B38" s="14" t="s">
        <v>1368</v>
      </c>
      <c r="C38" s="24" t="s">
        <v>1</v>
      </c>
      <c r="D38" s="23" t="s">
        <v>1370</v>
      </c>
      <c r="E38" s="25" t="s">
        <v>1371</v>
      </c>
      <c r="F38" s="23" t="s">
        <v>1372</v>
      </c>
      <c r="G38" s="25" t="s">
        <v>1373</v>
      </c>
      <c r="H38" s="25" t="s">
        <v>1374</v>
      </c>
      <c r="I38" s="26">
        <f t="shared" si="10"/>
        <v>17.784701955072286</v>
      </c>
      <c r="J38" s="27">
        <v>56.228099999999998</v>
      </c>
      <c r="K38" s="27">
        <v>0.13930000000000001</v>
      </c>
      <c r="L38" s="28" t="s">
        <v>124</v>
      </c>
      <c r="M38" s="29">
        <v>56.712030494374197</v>
      </c>
      <c r="N38" s="29">
        <v>-23.249722802974699</v>
      </c>
      <c r="O38" s="30">
        <v>4.21</v>
      </c>
      <c r="P38" s="31">
        <v>5.0000000000000001E-3</v>
      </c>
      <c r="Q38" s="32" t="s">
        <v>125</v>
      </c>
      <c r="R38" s="31">
        <v>0.42799999999999999</v>
      </c>
      <c r="S38" s="31">
        <v>7.0000000000000001E-3</v>
      </c>
      <c r="T38" s="32" t="s">
        <v>142</v>
      </c>
      <c r="U38" s="33">
        <v>3.97</v>
      </c>
      <c r="V38" s="25" t="s">
        <v>143</v>
      </c>
      <c r="W38" s="23" t="s">
        <v>1375</v>
      </c>
      <c r="X38" s="23" t="s">
        <v>145</v>
      </c>
      <c r="Y38" s="7">
        <v>6685</v>
      </c>
      <c r="Z38" s="24">
        <v>80</v>
      </c>
      <c r="AA38" s="28" t="s">
        <v>1055</v>
      </c>
      <c r="AB38" s="34">
        <v>0.70486499999999996</v>
      </c>
      <c r="AC38" s="35">
        <v>1.8275199999999998E-2</v>
      </c>
      <c r="AD38" s="28" t="s">
        <v>146</v>
      </c>
      <c r="AE38" s="31">
        <f t="shared" si="11"/>
        <v>1.6782328758879161</v>
      </c>
      <c r="AF38" s="31">
        <f t="shared" si="12"/>
        <v>0.8776719525919543</v>
      </c>
      <c r="AG38" s="25">
        <v>1.33</v>
      </c>
      <c r="AH38" s="10">
        <v>0.08</v>
      </c>
      <c r="AI38" s="31">
        <v>0.06</v>
      </c>
      <c r="AJ38" s="24" t="s">
        <v>60</v>
      </c>
      <c r="AK38" s="23" t="s">
        <v>316</v>
      </c>
      <c r="AL38" s="5">
        <v>4.1406000000000001</v>
      </c>
      <c r="AM38" s="31">
        <v>9.1899999999999996E-2</v>
      </c>
      <c r="AN38" s="23" t="s">
        <v>146</v>
      </c>
      <c r="AO38" s="36">
        <v>-4.8550000000000004</v>
      </c>
      <c r="AP38" s="23" t="s">
        <v>535</v>
      </c>
      <c r="AQ38" s="37">
        <f t="shared" si="13"/>
        <v>2.2512954830903897</v>
      </c>
      <c r="AR38" s="38">
        <f t="shared" si="14"/>
        <v>126.58606755275473</v>
      </c>
      <c r="AS38" s="39">
        <f t="shared" si="15"/>
        <v>2.2832415007205675E-11</v>
      </c>
      <c r="AT38" s="40">
        <f t="shared" si="16"/>
        <v>30.573620375804236</v>
      </c>
      <c r="AU38" s="41">
        <f t="shared" si="17"/>
        <v>1069.8446428041141</v>
      </c>
      <c r="AV38" s="42">
        <f t="shared" si="18"/>
        <v>5.2011626952083905</v>
      </c>
      <c r="AW38" s="31">
        <f t="shared" si="19"/>
        <v>0.28586462056968365</v>
      </c>
      <c r="AX38" s="43" t="s">
        <v>1</v>
      </c>
      <c r="AY38" s="24" t="s">
        <v>1</v>
      </c>
      <c r="AZ38" s="44" t="s">
        <v>1</v>
      </c>
      <c r="BA38" s="45" t="s">
        <v>1</v>
      </c>
      <c r="BB38" s="24" t="s">
        <v>134</v>
      </c>
      <c r="BC38" s="28" t="s">
        <v>1</v>
      </c>
      <c r="BD38" s="50" t="s">
        <v>4</v>
      </c>
    </row>
    <row r="39" spans="1:56" ht="16.5" customHeight="1">
      <c r="A39" s="23" t="s">
        <v>1075</v>
      </c>
      <c r="B39" s="14" t="s">
        <v>1074</v>
      </c>
      <c r="C39" s="24" t="s">
        <v>1</v>
      </c>
      <c r="D39" s="23" t="s">
        <v>1076</v>
      </c>
      <c r="E39" s="25" t="s">
        <v>1077</v>
      </c>
      <c r="F39" s="23" t="s">
        <v>1078</v>
      </c>
      <c r="G39" s="25" t="s">
        <v>1</v>
      </c>
      <c r="H39" s="25" t="s">
        <v>1079</v>
      </c>
      <c r="I39" s="26">
        <f t="shared" si="10"/>
        <v>18.707008955045186</v>
      </c>
      <c r="J39" s="27">
        <v>53.4559</v>
      </c>
      <c r="K39" s="27">
        <v>7.0199999999999999E-2</v>
      </c>
      <c r="L39" s="28" t="s">
        <v>124</v>
      </c>
      <c r="M39" s="29">
        <v>60.653101133130001</v>
      </c>
      <c r="N39" s="29">
        <v>-0.26892220032000003</v>
      </c>
      <c r="O39" s="30">
        <v>5.3609999999999998</v>
      </c>
      <c r="P39" s="31">
        <v>1.2E-2</v>
      </c>
      <c r="Q39" s="32" t="s">
        <v>125</v>
      </c>
      <c r="R39" s="31">
        <v>0.51600000000000001</v>
      </c>
      <c r="S39" s="31">
        <v>7.0000000000000001E-3</v>
      </c>
      <c r="T39" s="32" t="s">
        <v>126</v>
      </c>
      <c r="U39" s="33">
        <v>5.0449999999999999</v>
      </c>
      <c r="V39" s="25" t="s">
        <v>143</v>
      </c>
      <c r="W39" s="23" t="s">
        <v>276</v>
      </c>
      <c r="X39" s="23" t="s">
        <v>334</v>
      </c>
      <c r="Y39" s="7">
        <v>6268</v>
      </c>
      <c r="Z39" s="24">
        <v>26</v>
      </c>
      <c r="AA39" s="23" t="s">
        <v>130</v>
      </c>
      <c r="AB39" s="34">
        <v>0.30619800000000003</v>
      </c>
      <c r="AC39" s="35">
        <v>1.56191E-2</v>
      </c>
      <c r="AD39" s="28" t="s">
        <v>146</v>
      </c>
      <c r="AE39" s="31">
        <f t="shared" si="11"/>
        <v>1.2063228995656738</v>
      </c>
      <c r="AF39" s="31">
        <f t="shared" si="12"/>
        <v>0.59977147218568339</v>
      </c>
      <c r="AG39" s="25">
        <v>1.21</v>
      </c>
      <c r="AH39" s="10">
        <v>0.1</v>
      </c>
      <c r="AI39" s="31">
        <v>0.03</v>
      </c>
      <c r="AJ39" s="24" t="s">
        <v>60</v>
      </c>
      <c r="AK39" s="23" t="s">
        <v>130</v>
      </c>
      <c r="AL39" s="5">
        <v>4.34</v>
      </c>
      <c r="AM39" s="31">
        <v>0.04</v>
      </c>
      <c r="AN39" s="23" t="s">
        <v>130</v>
      </c>
      <c r="AO39" s="36">
        <v>-4.3899999999999997</v>
      </c>
      <c r="AP39" s="23" t="s">
        <v>278</v>
      </c>
      <c r="AQ39" s="37">
        <f t="shared" si="13"/>
        <v>1.4226530523536998</v>
      </c>
      <c r="AR39" s="38">
        <f t="shared" si="14"/>
        <v>76.049199301314147</v>
      </c>
      <c r="AS39" s="39">
        <f t="shared" si="15"/>
        <v>5.717666887618957E-11</v>
      </c>
      <c r="AT39" s="40">
        <f t="shared" si="16"/>
        <v>30.651952875804241</v>
      </c>
      <c r="AU39" s="41">
        <f t="shared" si="17"/>
        <v>563.4476885840761</v>
      </c>
      <c r="AV39" s="42">
        <f t="shared" si="18"/>
        <v>6.85962420726855</v>
      </c>
      <c r="AW39" s="31">
        <f t="shared" si="19"/>
        <v>0.1887710611328986</v>
      </c>
      <c r="AX39" s="43" t="s">
        <v>1</v>
      </c>
      <c r="AY39" s="24" t="s">
        <v>1</v>
      </c>
      <c r="AZ39" s="44" t="s">
        <v>1</v>
      </c>
      <c r="BA39" s="45" t="s">
        <v>1</v>
      </c>
      <c r="BB39" s="24" t="s">
        <v>5</v>
      </c>
      <c r="BC39" s="46" t="s">
        <v>1080</v>
      </c>
      <c r="BD39" s="50" t="s">
        <v>4</v>
      </c>
    </row>
    <row r="40" spans="1:56" ht="15.75" customHeight="1">
      <c r="A40" s="23" t="s">
        <v>1137</v>
      </c>
      <c r="B40" s="14" t="s">
        <v>1136</v>
      </c>
      <c r="C40" s="24" t="s">
        <v>1</v>
      </c>
      <c r="D40" s="23" t="s">
        <v>1138</v>
      </c>
      <c r="E40" s="25" t="s">
        <v>1139</v>
      </c>
      <c r="F40" s="23" t="s">
        <v>1140</v>
      </c>
      <c r="G40" s="25" t="s">
        <v>1141</v>
      </c>
      <c r="H40" s="25" t="s">
        <v>1142</v>
      </c>
      <c r="I40" s="26">
        <f t="shared" si="10"/>
        <v>21.191918250056158</v>
      </c>
      <c r="J40" s="27">
        <v>47.187800000000003</v>
      </c>
      <c r="K40" s="27">
        <v>7.3400000000000007E-2</v>
      </c>
      <c r="L40" s="28" t="s">
        <v>124</v>
      </c>
      <c r="M40" s="29">
        <v>62.15257148893</v>
      </c>
      <c r="N40" s="29">
        <f>38.03973855725</f>
        <v>38.039738557249997</v>
      </c>
      <c r="O40" s="30">
        <v>5.52</v>
      </c>
      <c r="P40" s="31">
        <v>0.01</v>
      </c>
      <c r="Q40" s="32" t="s">
        <v>126</v>
      </c>
      <c r="R40" s="31">
        <v>0.52</v>
      </c>
      <c r="S40" s="31">
        <v>5.0000000000000001E-3</v>
      </c>
      <c r="T40" s="32" t="s">
        <v>126</v>
      </c>
      <c r="U40" s="33">
        <v>5.218</v>
      </c>
      <c r="V40" s="25" t="s">
        <v>189</v>
      </c>
      <c r="W40" s="23" t="s">
        <v>354</v>
      </c>
      <c r="X40" s="23" t="s">
        <v>334</v>
      </c>
      <c r="Y40" s="7">
        <v>6381</v>
      </c>
      <c r="Z40" s="24">
        <v>74</v>
      </c>
      <c r="AA40" s="23" t="s">
        <v>130</v>
      </c>
      <c r="AB40" s="34">
        <v>0.36274099999999998</v>
      </c>
      <c r="AC40" s="35">
        <v>1.6370699999999998E-2</v>
      </c>
      <c r="AD40" s="28" t="s">
        <v>146</v>
      </c>
      <c r="AE40" s="31">
        <f t="shared" si="11"/>
        <v>1.242268744314347</v>
      </c>
      <c r="AF40" s="31">
        <f t="shared" si="12"/>
        <v>0.54522012180139767</v>
      </c>
      <c r="AG40" s="25">
        <v>1.18</v>
      </c>
      <c r="AH40" s="10">
        <v>0.19</v>
      </c>
      <c r="AI40" s="31">
        <v>0.08</v>
      </c>
      <c r="AJ40" s="24" t="s">
        <v>60</v>
      </c>
      <c r="AK40" s="23" t="s">
        <v>130</v>
      </c>
      <c r="AL40" s="5">
        <v>4.6100000000000003</v>
      </c>
      <c r="AM40" s="31">
        <v>0.14000000000000001</v>
      </c>
      <c r="AN40" s="23" t="s">
        <v>130</v>
      </c>
      <c r="AO40" s="36">
        <v>-4.4009999999999998</v>
      </c>
      <c r="AP40" s="23" t="s">
        <v>132</v>
      </c>
      <c r="AQ40" s="37">
        <f t="shared" si="13"/>
        <v>1.5183451271320942</v>
      </c>
      <c r="AR40" s="38">
        <f t="shared" si="14"/>
        <v>71.647366190083829</v>
      </c>
      <c r="AS40" s="39">
        <f t="shared" si="15"/>
        <v>5.0196778909230829E-11</v>
      </c>
      <c r="AT40" s="40">
        <f t="shared" si="16"/>
        <v>30.966310375804238</v>
      </c>
      <c r="AU40" s="41">
        <f t="shared" si="17"/>
        <v>629.08963994619648</v>
      </c>
      <c r="AV40" s="42">
        <f t="shared" si="18"/>
        <v>6.7238227425447716</v>
      </c>
      <c r="AW40" s="31">
        <f t="shared" si="19"/>
        <v>0.1823662065453911</v>
      </c>
      <c r="AX40" s="43" t="s">
        <v>1</v>
      </c>
      <c r="AY40" s="24" t="s">
        <v>1</v>
      </c>
      <c r="AZ40" s="44" t="s">
        <v>1</v>
      </c>
      <c r="BA40" s="45" t="s">
        <v>1</v>
      </c>
      <c r="BB40" s="24" t="s">
        <v>134</v>
      </c>
      <c r="BC40" s="28" t="s">
        <v>1</v>
      </c>
      <c r="BD40" s="50" t="s">
        <v>4</v>
      </c>
    </row>
    <row r="41" spans="1:56" ht="15.75" customHeight="1">
      <c r="A41" s="23" t="s">
        <v>151</v>
      </c>
      <c r="B41" s="14" t="s">
        <v>150</v>
      </c>
      <c r="C41" s="24" t="s">
        <v>2</v>
      </c>
      <c r="D41" s="23" t="s">
        <v>152</v>
      </c>
      <c r="E41" s="25" t="s">
        <v>153</v>
      </c>
      <c r="F41" s="23" t="s">
        <v>154</v>
      </c>
      <c r="G41" s="25" t="s">
        <v>155</v>
      </c>
      <c r="H41" s="25" t="s">
        <v>156</v>
      </c>
      <c r="I41" s="26">
        <f t="shared" si="10"/>
        <v>5.009819245721614</v>
      </c>
      <c r="J41" s="27">
        <v>199.608</v>
      </c>
      <c r="K41" s="27">
        <v>0.1208</v>
      </c>
      <c r="L41" s="28" t="s">
        <v>124</v>
      </c>
      <c r="M41" s="29">
        <v>63.817998412477102</v>
      </c>
      <c r="N41" s="29">
        <v>-7.6528696608382996</v>
      </c>
      <c r="O41" s="30">
        <v>4.415</v>
      </c>
      <c r="P41" s="31">
        <v>3.0000000000000001E-3</v>
      </c>
      <c r="Q41" s="32" t="s">
        <v>125</v>
      </c>
      <c r="R41" s="31">
        <v>0.82</v>
      </c>
      <c r="S41" s="31">
        <v>0</v>
      </c>
      <c r="T41" s="32" t="s">
        <v>126</v>
      </c>
      <c r="U41" s="33">
        <v>3.96</v>
      </c>
      <c r="V41" s="25" t="s">
        <v>143</v>
      </c>
      <c r="W41" s="23" t="s">
        <v>157</v>
      </c>
      <c r="X41" s="23" t="s">
        <v>145</v>
      </c>
      <c r="Y41" s="7">
        <v>5133</v>
      </c>
      <c r="Z41" s="24">
        <v>43</v>
      </c>
      <c r="AA41" s="23" t="s">
        <v>130</v>
      </c>
      <c r="AB41" s="34">
        <v>-0.38749699999999998</v>
      </c>
      <c r="AC41" s="35">
        <v>6.40006E-3</v>
      </c>
      <c r="AD41" s="28" t="s">
        <v>131</v>
      </c>
      <c r="AE41" s="31">
        <f t="shared" si="11"/>
        <v>0.80934095808066842</v>
      </c>
      <c r="AF41" s="31">
        <f t="shared" si="12"/>
        <v>1.502574621519206</v>
      </c>
      <c r="AG41" s="25">
        <v>0.86</v>
      </c>
      <c r="AH41" s="10">
        <v>-0.28999999999999998</v>
      </c>
      <c r="AI41" s="31">
        <v>0.01</v>
      </c>
      <c r="AJ41" s="24" t="s">
        <v>60</v>
      </c>
      <c r="AK41" s="23" t="s">
        <v>130</v>
      </c>
      <c r="AL41" s="5">
        <v>4.5199999999999996</v>
      </c>
      <c r="AM41" s="31">
        <v>0.02</v>
      </c>
      <c r="AN41" s="23" t="s">
        <v>130</v>
      </c>
      <c r="AO41" s="36">
        <v>-4.8719999999999999</v>
      </c>
      <c r="AP41" s="23" t="s">
        <v>132</v>
      </c>
      <c r="AQ41" s="37">
        <f t="shared" si="13"/>
        <v>0.64010541331288684</v>
      </c>
      <c r="AR41" s="38">
        <f t="shared" si="14"/>
        <v>127.77016134055873</v>
      </c>
      <c r="AS41" s="39">
        <f t="shared" si="15"/>
        <v>2.8243196634394535E-10</v>
      </c>
      <c r="AT41" s="40">
        <f t="shared" si="16"/>
        <v>27.832715375804241</v>
      </c>
      <c r="AU41" s="41">
        <f t="shared" si="17"/>
        <v>201.70924841568547</v>
      </c>
      <c r="AV41" s="42">
        <f t="shared" si="18"/>
        <v>12.130188055183124</v>
      </c>
      <c r="AW41" s="31">
        <f t="shared" si="19"/>
        <v>0.4462283241967599</v>
      </c>
      <c r="AX41" s="43" t="s">
        <v>158</v>
      </c>
      <c r="AY41" s="24" t="s">
        <v>2</v>
      </c>
      <c r="AZ41" s="44">
        <v>82.7</v>
      </c>
      <c r="BA41" s="45">
        <v>4.88</v>
      </c>
      <c r="BB41" s="24" t="s">
        <v>134</v>
      </c>
      <c r="BC41" s="28" t="s">
        <v>1</v>
      </c>
      <c r="BD41" s="24" t="s">
        <v>2</v>
      </c>
    </row>
    <row r="42" spans="1:56" ht="15.75" customHeight="1">
      <c r="A42" s="23" t="s">
        <v>684</v>
      </c>
      <c r="B42" s="14" t="s">
        <v>683</v>
      </c>
      <c r="C42" s="24" t="s">
        <v>1</v>
      </c>
      <c r="D42" s="23" t="s">
        <v>685</v>
      </c>
      <c r="E42" s="25" t="s">
        <v>686</v>
      </c>
      <c r="F42" s="23" t="s">
        <v>687</v>
      </c>
      <c r="G42" s="25" t="s">
        <v>688</v>
      </c>
      <c r="H42" s="25" t="s">
        <v>689</v>
      </c>
      <c r="I42" s="26">
        <f t="shared" si="10"/>
        <v>13.239965099451998</v>
      </c>
      <c r="J42" s="27">
        <v>75.528899999999993</v>
      </c>
      <c r="K42" s="27">
        <v>5.3900000000000003E-2</v>
      </c>
      <c r="L42" s="28" t="s">
        <v>124</v>
      </c>
      <c r="M42" s="29">
        <v>71.901215428910007</v>
      </c>
      <c r="N42" s="29">
        <v>-16.934455686820002</v>
      </c>
      <c r="O42" s="30">
        <v>5.4889999999999999</v>
      </c>
      <c r="P42" s="31">
        <v>7.0000000000000001E-3</v>
      </c>
      <c r="Q42" s="32" t="s">
        <v>125</v>
      </c>
      <c r="R42" s="31">
        <v>0.63200000000000001</v>
      </c>
      <c r="S42" s="31">
        <v>6.0000000000000001E-3</v>
      </c>
      <c r="T42" s="32" t="s">
        <v>126</v>
      </c>
      <c r="U42" s="33">
        <v>5.1150000000000002</v>
      </c>
      <c r="V42" s="25" t="s">
        <v>143</v>
      </c>
      <c r="W42" s="23" t="s">
        <v>690</v>
      </c>
      <c r="X42" s="23" t="s">
        <v>145</v>
      </c>
      <c r="Y42" s="7">
        <v>5833</v>
      </c>
      <c r="Z42" s="24">
        <v>10</v>
      </c>
      <c r="AA42" s="23" t="s">
        <v>130</v>
      </c>
      <c r="AB42" s="34">
        <v>-1.49195E-2</v>
      </c>
      <c r="AC42" s="35">
        <v>1.2182E-2</v>
      </c>
      <c r="AD42" s="28" t="s">
        <v>146</v>
      </c>
      <c r="AE42" s="31">
        <f t="shared" si="11"/>
        <v>0.96245148033039718</v>
      </c>
      <c r="AF42" s="31">
        <f t="shared" si="12"/>
        <v>0.6761119181086559</v>
      </c>
      <c r="AG42" s="25">
        <v>1.04</v>
      </c>
      <c r="AH42" s="10">
        <v>0</v>
      </c>
      <c r="AI42" s="31">
        <v>0.01</v>
      </c>
      <c r="AJ42" s="24" t="s">
        <v>60</v>
      </c>
      <c r="AK42" s="23" t="s">
        <v>130</v>
      </c>
      <c r="AL42" s="5">
        <v>4.49</v>
      </c>
      <c r="AM42" s="31">
        <v>0.02</v>
      </c>
      <c r="AN42" s="23" t="s">
        <v>130</v>
      </c>
      <c r="AO42" s="36">
        <v>-4.5110000000000001</v>
      </c>
      <c r="AP42" s="23" t="s">
        <v>132</v>
      </c>
      <c r="AQ42" s="37">
        <f t="shared" si="13"/>
        <v>0.98296996950154336</v>
      </c>
      <c r="AR42" s="38">
        <f t="shared" si="14"/>
        <v>74.242640529485115</v>
      </c>
      <c r="AS42" s="39">
        <f t="shared" si="15"/>
        <v>1.1976677344415438E-10</v>
      </c>
      <c r="AT42" s="40">
        <f t="shared" si="16"/>
        <v>29.919159125804242</v>
      </c>
      <c r="AU42" s="41">
        <f t="shared" si="17"/>
        <v>349.05309416603257</v>
      </c>
      <c r="AV42" s="42">
        <f t="shared" si="18"/>
        <v>8.9013466593686861</v>
      </c>
      <c r="AW42" s="31">
        <f t="shared" si="19"/>
        <v>0.21441058016755496</v>
      </c>
      <c r="AX42" s="43" t="s">
        <v>1</v>
      </c>
      <c r="AY42" s="24" t="s">
        <v>1</v>
      </c>
      <c r="AZ42" s="44" t="s">
        <v>1</v>
      </c>
      <c r="BA42" s="45" t="s">
        <v>1</v>
      </c>
      <c r="BB42" s="24" t="s">
        <v>5</v>
      </c>
      <c r="BC42" s="46" t="s">
        <v>615</v>
      </c>
      <c r="BD42" s="24" t="s">
        <v>3</v>
      </c>
    </row>
    <row r="43" spans="1:56" ht="15.75" customHeight="1">
      <c r="A43" s="23" t="s">
        <v>337</v>
      </c>
      <c r="B43" s="14" t="s">
        <v>336</v>
      </c>
      <c r="C43" s="24" t="s">
        <v>1</v>
      </c>
      <c r="D43" s="23" t="s">
        <v>338</v>
      </c>
      <c r="E43" s="25" t="s">
        <v>339</v>
      </c>
      <c r="F43" s="23" t="s">
        <v>340</v>
      </c>
      <c r="G43" s="25" t="s">
        <v>341</v>
      </c>
      <c r="H43" s="25" t="s">
        <v>342</v>
      </c>
      <c r="I43" s="26">
        <f t="shared" si="10"/>
        <v>8.0684202033241892</v>
      </c>
      <c r="J43" s="27">
        <v>123.94</v>
      </c>
      <c r="K43" s="27">
        <v>0.17</v>
      </c>
      <c r="L43" s="28" t="s">
        <v>343</v>
      </c>
      <c r="M43" s="29">
        <v>72.460045440399995</v>
      </c>
      <c r="N43" s="29">
        <f>6.9612745261</f>
        <v>6.9612745261000004</v>
      </c>
      <c r="O43" s="30">
        <v>3.1840000000000002</v>
      </c>
      <c r="P43" s="31">
        <v>2E-3</v>
      </c>
      <c r="Q43" s="32" t="s">
        <v>125</v>
      </c>
      <c r="R43" s="31">
        <v>0.48399999999999999</v>
      </c>
      <c r="S43" s="31">
        <v>3.0000000000000001E-3</v>
      </c>
      <c r="T43" s="32" t="s">
        <v>126</v>
      </c>
      <c r="U43" s="33">
        <v>2.92</v>
      </c>
      <c r="V43" s="25" t="s">
        <v>143</v>
      </c>
      <c r="W43" s="23" t="s">
        <v>344</v>
      </c>
      <c r="X43" s="23" t="s">
        <v>345</v>
      </c>
      <c r="Y43" s="7">
        <v>6443</v>
      </c>
      <c r="Z43" s="24">
        <v>14</v>
      </c>
      <c r="AA43" s="23" t="s">
        <v>130</v>
      </c>
      <c r="AB43" s="34">
        <v>0.43297099999999999</v>
      </c>
      <c r="AC43" s="35">
        <v>8.3333699999999997E-3</v>
      </c>
      <c r="AD43" s="28" t="s">
        <v>131</v>
      </c>
      <c r="AE43" s="31">
        <f t="shared" si="11"/>
        <v>1.3210881134396801</v>
      </c>
      <c r="AF43" s="31">
        <f t="shared" si="12"/>
        <v>1.5228946598161306</v>
      </c>
      <c r="AG43" s="25">
        <v>1.25</v>
      </c>
      <c r="AH43" s="10">
        <v>0.03</v>
      </c>
      <c r="AI43" s="31">
        <v>0.03</v>
      </c>
      <c r="AJ43" s="24" t="s">
        <v>60</v>
      </c>
      <c r="AK43" s="23" t="s">
        <v>130</v>
      </c>
      <c r="AL43" s="5">
        <v>4.3</v>
      </c>
      <c r="AM43" s="31">
        <v>0.03</v>
      </c>
      <c r="AN43" s="23" t="s">
        <v>130</v>
      </c>
      <c r="AO43" s="36">
        <v>-4.6500000000000004</v>
      </c>
      <c r="AP43" s="23" t="s">
        <v>278</v>
      </c>
      <c r="AQ43" s="37">
        <f t="shared" si="13"/>
        <v>1.6462110025674925</v>
      </c>
      <c r="AR43" s="38">
        <f t="shared" si="14"/>
        <v>204.03139165821503</v>
      </c>
      <c r="AS43" s="39">
        <f t="shared" si="15"/>
        <v>4.2701767311375977E-11</v>
      </c>
      <c r="AT43" s="40">
        <f t="shared" si="16"/>
        <v>28.843885375804241</v>
      </c>
      <c r="AU43" s="41">
        <f t="shared" si="17"/>
        <v>690.03485808370328</v>
      </c>
      <c r="AV43" s="42">
        <f t="shared" si="18"/>
        <v>6.2740034465346763</v>
      </c>
      <c r="AW43" s="31">
        <f t="shared" si="19"/>
        <v>0.49024494059664936</v>
      </c>
      <c r="AX43" s="43" t="s">
        <v>346</v>
      </c>
      <c r="AY43" s="24" t="s">
        <v>2</v>
      </c>
      <c r="AZ43" s="44">
        <v>73.2</v>
      </c>
      <c r="BA43" s="45">
        <v>8.09</v>
      </c>
      <c r="BB43" s="24" t="s">
        <v>134</v>
      </c>
      <c r="BC43" s="28" t="s">
        <v>1</v>
      </c>
      <c r="BD43" s="24" t="s">
        <v>2</v>
      </c>
    </row>
    <row r="44" spans="1:56" ht="15.75" customHeight="1">
      <c r="A44" s="23" t="s">
        <v>887</v>
      </c>
      <c r="B44" s="14" t="s">
        <v>886</v>
      </c>
      <c r="C44" s="24" t="s">
        <v>1</v>
      </c>
      <c r="D44" s="23" t="s">
        <v>888</v>
      </c>
      <c r="E44" s="25" t="s">
        <v>889</v>
      </c>
      <c r="F44" s="23" t="s">
        <v>890</v>
      </c>
      <c r="G44" s="25" t="s">
        <v>1</v>
      </c>
      <c r="H44" s="25" t="s">
        <v>889</v>
      </c>
      <c r="I44" s="26">
        <f t="shared" si="10"/>
        <v>8.8439615641430418</v>
      </c>
      <c r="J44" s="27">
        <v>113.0715</v>
      </c>
      <c r="K44" s="27">
        <v>2.2200000000000001E-2</v>
      </c>
      <c r="L44" s="28" t="s">
        <v>124</v>
      </c>
      <c r="M44" s="29">
        <v>75.204163938436693</v>
      </c>
      <c r="N44" s="29">
        <v>-5.7536734242199996</v>
      </c>
      <c r="O44" s="30">
        <v>6.202</v>
      </c>
      <c r="P44" s="31">
        <v>8.0000000000000002E-3</v>
      </c>
      <c r="Q44" s="32" t="s">
        <v>125</v>
      </c>
      <c r="R44" s="31">
        <v>1.0529999999999999</v>
      </c>
      <c r="S44" s="31">
        <v>0.01</v>
      </c>
      <c r="T44" s="32" t="s">
        <v>142</v>
      </c>
      <c r="U44" s="33">
        <v>5.61</v>
      </c>
      <c r="V44" s="25" t="s">
        <v>143</v>
      </c>
      <c r="W44" s="23" t="s">
        <v>891</v>
      </c>
      <c r="X44" s="23" t="s">
        <v>334</v>
      </c>
      <c r="Y44" s="7">
        <v>4810</v>
      </c>
      <c r="Z44" s="24">
        <v>20</v>
      </c>
      <c r="AA44" s="23" t="s">
        <v>130</v>
      </c>
      <c r="AB44" s="34">
        <v>-0.53725800000000001</v>
      </c>
      <c r="AC44" s="35">
        <v>1.3877199999999999E-2</v>
      </c>
      <c r="AD44" s="28" t="s">
        <v>146</v>
      </c>
      <c r="AE44" s="31">
        <f t="shared" si="11"/>
        <v>0.77571715313311385</v>
      </c>
      <c r="AF44" s="31">
        <f t="shared" si="12"/>
        <v>0.81579893767027412</v>
      </c>
      <c r="AG44" s="25">
        <v>0.75</v>
      </c>
      <c r="AH44" s="10">
        <v>0.31</v>
      </c>
      <c r="AI44" s="31">
        <v>0.02</v>
      </c>
      <c r="AJ44" s="24" t="s">
        <v>60</v>
      </c>
      <c r="AK44" s="23" t="s">
        <v>130</v>
      </c>
      <c r="AL44" s="5">
        <v>4.46</v>
      </c>
      <c r="AM44" s="31">
        <v>0.04</v>
      </c>
      <c r="AN44" s="23" t="s">
        <v>130</v>
      </c>
      <c r="AO44" s="36">
        <v>-4.9480000000000004</v>
      </c>
      <c r="AP44" s="23" t="s">
        <v>132</v>
      </c>
      <c r="AQ44" s="37">
        <f t="shared" si="13"/>
        <v>0.53872980081926958</v>
      </c>
      <c r="AR44" s="38">
        <f t="shared" si="14"/>
        <v>60.914986673336045</v>
      </c>
      <c r="AS44" s="39">
        <f t="shared" si="15"/>
        <v>3.987262696959219E-10</v>
      </c>
      <c r="AT44" s="40">
        <f t="shared" si="16"/>
        <v>29.108312875804238</v>
      </c>
      <c r="AU44" s="41">
        <f t="shared" si="17"/>
        <v>166.7721989409485</v>
      </c>
      <c r="AV44" s="42">
        <f t="shared" si="18"/>
        <v>14.158797736338267</v>
      </c>
      <c r="AW44" s="31">
        <f t="shared" si="19"/>
        <v>0.24394337704939231</v>
      </c>
      <c r="AX44" s="43" t="s">
        <v>1</v>
      </c>
      <c r="AY44" s="24" t="s">
        <v>1</v>
      </c>
      <c r="AZ44" s="44" t="s">
        <v>1</v>
      </c>
      <c r="BA44" s="45" t="s">
        <v>1</v>
      </c>
      <c r="BB44" s="24" t="s">
        <v>134</v>
      </c>
      <c r="BC44" s="28" t="s">
        <v>1</v>
      </c>
      <c r="BD44" s="24" t="s">
        <v>3</v>
      </c>
    </row>
    <row r="45" spans="1:56" ht="17.25" customHeight="1">
      <c r="A45" s="23" t="s">
        <v>631</v>
      </c>
      <c r="B45" s="14" t="s">
        <v>630</v>
      </c>
      <c r="C45" s="24" t="s">
        <v>1</v>
      </c>
      <c r="D45" s="23" t="s">
        <v>632</v>
      </c>
      <c r="E45" s="25" t="s">
        <v>633</v>
      </c>
      <c r="F45" s="23" t="s">
        <v>634</v>
      </c>
      <c r="G45" s="25" t="s">
        <v>635</v>
      </c>
      <c r="H45" s="25" t="s">
        <v>636</v>
      </c>
      <c r="I45" s="26">
        <f t="shared" si="10"/>
        <v>11.692719995603536</v>
      </c>
      <c r="J45" s="27">
        <v>85.523300000000006</v>
      </c>
      <c r="K45" s="27">
        <v>7.5499999999999998E-2</v>
      </c>
      <c r="L45" s="28" t="s">
        <v>124</v>
      </c>
      <c r="M45" s="29">
        <v>76.377731975570001</v>
      </c>
      <c r="N45" s="29">
        <v>-57.472704694119997</v>
      </c>
      <c r="O45" s="30">
        <v>4.7009999999999996</v>
      </c>
      <c r="P45" s="31">
        <v>0</v>
      </c>
      <c r="Q45" s="32" t="s">
        <v>125</v>
      </c>
      <c r="R45" s="31">
        <v>0.52200000000000002</v>
      </c>
      <c r="S45" s="31">
        <v>4.0000000000000001E-3</v>
      </c>
      <c r="T45" s="32" t="s">
        <v>142</v>
      </c>
      <c r="U45" s="33">
        <v>4.375</v>
      </c>
      <c r="V45" s="25" t="s">
        <v>143</v>
      </c>
      <c r="W45" s="23" t="s">
        <v>637</v>
      </c>
      <c r="X45" s="23" t="s">
        <v>145</v>
      </c>
      <c r="Y45" s="7">
        <v>6158</v>
      </c>
      <c r="Z45" s="24">
        <v>23</v>
      </c>
      <c r="AA45" s="23" t="s">
        <v>130</v>
      </c>
      <c r="AB45" s="34">
        <v>0.166184</v>
      </c>
      <c r="AC45" s="35">
        <v>1.37381E-2</v>
      </c>
      <c r="AD45" s="28" t="s">
        <v>146</v>
      </c>
      <c r="AE45" s="31">
        <f t="shared" si="11"/>
        <v>1.0637392361706333</v>
      </c>
      <c r="AF45" s="31">
        <f t="shared" si="12"/>
        <v>0.84614777295145205</v>
      </c>
      <c r="AG45" s="25">
        <v>1.1399999999999999</v>
      </c>
      <c r="AH45" s="10">
        <v>-0.18</v>
      </c>
      <c r="AI45" s="31">
        <v>0.03</v>
      </c>
      <c r="AJ45" s="24" t="s">
        <v>60</v>
      </c>
      <c r="AK45" s="23" t="s">
        <v>130</v>
      </c>
      <c r="AL45" s="5">
        <v>4.43</v>
      </c>
      <c r="AM45" s="31">
        <v>0.05</v>
      </c>
      <c r="AN45" s="23" t="s">
        <v>130</v>
      </c>
      <c r="AO45" s="36">
        <v>-4.4260000000000002</v>
      </c>
      <c r="AP45" s="23" t="s">
        <v>535</v>
      </c>
      <c r="AQ45" s="37">
        <f t="shared" si="13"/>
        <v>1.2108546111952216</v>
      </c>
      <c r="AR45" s="38">
        <f t="shared" si="14"/>
        <v>103.55628216963231</v>
      </c>
      <c r="AS45" s="39">
        <f t="shared" si="15"/>
        <v>7.8928318326460701E-11</v>
      </c>
      <c r="AT45" s="40">
        <f t="shared" si="16"/>
        <v>29.631917875804238</v>
      </c>
      <c r="AU45" s="41">
        <f t="shared" si="17"/>
        <v>455.80948803885371</v>
      </c>
      <c r="AV45" s="42">
        <f t="shared" si="18"/>
        <v>7.6602701125018582</v>
      </c>
      <c r="AW45" s="31">
        <f t="shared" si="19"/>
        <v>0.27283352896616325</v>
      </c>
      <c r="AX45" s="43" t="s">
        <v>638</v>
      </c>
      <c r="AY45" s="24" t="s">
        <v>2</v>
      </c>
      <c r="AZ45" s="44">
        <v>321.60000000000002</v>
      </c>
      <c r="BA45" s="45">
        <v>4.34</v>
      </c>
      <c r="BB45" s="24" t="s">
        <v>5</v>
      </c>
      <c r="BC45" s="46" t="s">
        <v>615</v>
      </c>
      <c r="BD45" s="24" t="s">
        <v>3</v>
      </c>
    </row>
    <row r="46" spans="1:56" ht="15.75" customHeight="1">
      <c r="A46" s="23" t="s">
        <v>1024</v>
      </c>
      <c r="B46" s="14" t="s">
        <v>1023</v>
      </c>
      <c r="C46" s="24"/>
      <c r="D46" s="23" t="s">
        <v>1025</v>
      </c>
      <c r="E46" s="25" t="s">
        <v>1026</v>
      </c>
      <c r="F46" s="23" t="s">
        <v>1027</v>
      </c>
      <c r="G46" s="25" t="s">
        <v>1028</v>
      </c>
      <c r="H46" s="25" t="s">
        <v>1029</v>
      </c>
      <c r="I46" s="26">
        <f t="shared" si="10"/>
        <v>15.917179730426643</v>
      </c>
      <c r="J46" s="27">
        <v>62.825200000000002</v>
      </c>
      <c r="K46" s="27">
        <v>0.1094</v>
      </c>
      <c r="L46" s="28" t="s">
        <v>124</v>
      </c>
      <c r="M46" s="29">
        <v>76.862523201152499</v>
      </c>
      <c r="N46" s="29">
        <f>18.6450499357072</f>
        <v>18.645049935707199</v>
      </c>
      <c r="O46" s="30">
        <v>4.915</v>
      </c>
      <c r="P46" s="31">
        <v>4.0000000000000001E-3</v>
      </c>
      <c r="Q46" s="32" t="s">
        <v>125</v>
      </c>
      <c r="R46" s="31">
        <v>0.64500000000000002</v>
      </c>
      <c r="S46" s="31">
        <v>5.0000000000000001E-3</v>
      </c>
      <c r="T46" s="32" t="s">
        <v>177</v>
      </c>
      <c r="U46" s="33">
        <v>4.53</v>
      </c>
      <c r="V46" s="25" t="s">
        <v>166</v>
      </c>
      <c r="W46" s="23" t="s">
        <v>404</v>
      </c>
      <c r="X46" s="23" t="s">
        <v>334</v>
      </c>
      <c r="Y46" s="7">
        <v>5691</v>
      </c>
      <c r="Z46" s="24">
        <v>17</v>
      </c>
      <c r="AA46" s="23" t="s">
        <v>130</v>
      </c>
      <c r="AB46" s="34">
        <v>6.4000000000000001E-2</v>
      </c>
      <c r="AC46" s="35" t="s">
        <v>1</v>
      </c>
      <c r="AD46" s="28" t="s">
        <v>146</v>
      </c>
      <c r="AE46" s="31">
        <f t="shared" si="11"/>
        <v>1.1072492032962225</v>
      </c>
      <c r="AF46" s="31">
        <f t="shared" si="12"/>
        <v>0.64700232790768331</v>
      </c>
      <c r="AG46" s="49">
        <v>1.04</v>
      </c>
      <c r="AH46" s="10">
        <v>-0.2</v>
      </c>
      <c r="AI46" s="31">
        <v>0.02</v>
      </c>
      <c r="AJ46" s="44" t="s">
        <v>60</v>
      </c>
      <c r="AK46" s="23" t="s">
        <v>130</v>
      </c>
      <c r="AL46" s="5">
        <v>4.0599999999999996</v>
      </c>
      <c r="AM46" s="31">
        <v>0.03</v>
      </c>
      <c r="AN46" s="23" t="s">
        <v>130</v>
      </c>
      <c r="AO46" s="36">
        <v>-5.1032000000000002</v>
      </c>
      <c r="AP46" s="23" t="s">
        <v>554</v>
      </c>
      <c r="AQ46" s="37">
        <f t="shared" si="13"/>
        <v>1.0764652136298349</v>
      </c>
      <c r="AR46" s="38">
        <f t="shared" si="14"/>
        <v>67.629142339337122</v>
      </c>
      <c r="AS46" s="39">
        <f t="shared" si="15"/>
        <v>9.9865814785206018E-11</v>
      </c>
      <c r="AT46" s="40">
        <f t="shared" si="16"/>
        <v>29.531457875804239</v>
      </c>
      <c r="AU46" s="41">
        <f t="shared" si="17"/>
        <v>400.01945806897788</v>
      </c>
      <c r="AV46" s="42">
        <f t="shared" si="18"/>
        <v>8.5060090371214159</v>
      </c>
      <c r="AW46" s="31">
        <f t="shared" si="19"/>
        <v>0.19531099031226751</v>
      </c>
      <c r="AX46" s="43" t="s">
        <v>1030</v>
      </c>
      <c r="AY46" s="24" t="s">
        <v>2</v>
      </c>
      <c r="AZ46" s="51">
        <v>0.1</v>
      </c>
      <c r="BA46" s="45">
        <v>0</v>
      </c>
      <c r="BB46" s="24" t="s">
        <v>134</v>
      </c>
      <c r="BC46" s="28" t="s">
        <v>1</v>
      </c>
      <c r="BD46" s="50" t="s">
        <v>4</v>
      </c>
    </row>
    <row r="47" spans="1:56" ht="15.75" customHeight="1">
      <c r="A47" s="23" t="s">
        <v>281</v>
      </c>
      <c r="B47" s="14" t="s">
        <v>280</v>
      </c>
      <c r="C47" s="24" t="s">
        <v>1</v>
      </c>
      <c r="D47" s="23" t="s">
        <v>282</v>
      </c>
      <c r="E47" s="25" t="s">
        <v>283</v>
      </c>
      <c r="F47" s="23" t="s">
        <v>284</v>
      </c>
      <c r="G47" s="25" t="s">
        <v>285</v>
      </c>
      <c r="H47" s="25" t="s">
        <v>286</v>
      </c>
      <c r="I47" s="26">
        <f t="shared" si="10"/>
        <v>12.562482648070844</v>
      </c>
      <c r="J47" s="27">
        <v>79.602099999999993</v>
      </c>
      <c r="K47" s="27">
        <v>0.10050000000000001</v>
      </c>
      <c r="L47" s="28" t="s">
        <v>124</v>
      </c>
      <c r="M47" s="29">
        <v>79.785314374633799</v>
      </c>
      <c r="N47" s="29">
        <f>40.0990514113722</f>
        <v>40.099051411372201</v>
      </c>
      <c r="O47" s="30">
        <v>4.7050000000000001</v>
      </c>
      <c r="P47" s="31">
        <v>0.01</v>
      </c>
      <c r="Q47" s="32" t="s">
        <v>126</v>
      </c>
      <c r="R47" s="31">
        <v>0.624</v>
      </c>
      <c r="S47" s="31">
        <v>1.4999999999999999E-2</v>
      </c>
      <c r="T47" s="32" t="s">
        <v>126</v>
      </c>
      <c r="U47" s="33">
        <v>4.319</v>
      </c>
      <c r="V47" s="25" t="s">
        <v>189</v>
      </c>
      <c r="W47" s="23" t="s">
        <v>287</v>
      </c>
      <c r="X47" s="23" t="s">
        <v>129</v>
      </c>
      <c r="Y47" s="7">
        <v>5854</v>
      </c>
      <c r="Z47" s="24">
        <v>13</v>
      </c>
      <c r="AA47" s="23" t="s">
        <v>130</v>
      </c>
      <c r="AB47" s="34">
        <v>0.23854800000000001</v>
      </c>
      <c r="AC47" s="35">
        <v>5.5170000000000002E-3</v>
      </c>
      <c r="AD47" s="28" t="s">
        <v>179</v>
      </c>
      <c r="AE47" s="31">
        <f t="shared" si="11"/>
        <v>1.2793551198980544</v>
      </c>
      <c r="AF47" s="31">
        <f t="shared" si="12"/>
        <v>0.94720116507287144</v>
      </c>
      <c r="AG47" s="25">
        <v>1.08</v>
      </c>
      <c r="AH47" s="10">
        <v>0.06</v>
      </c>
      <c r="AI47" s="31">
        <v>0.01</v>
      </c>
      <c r="AJ47" s="24" t="s">
        <v>60</v>
      </c>
      <c r="AK47" s="23" t="s">
        <v>130</v>
      </c>
      <c r="AL47" s="5">
        <v>4.24</v>
      </c>
      <c r="AM47" s="31">
        <v>0.06</v>
      </c>
      <c r="AN47" s="23" t="s">
        <v>130</v>
      </c>
      <c r="AO47" s="33">
        <v>-5.085</v>
      </c>
      <c r="AP47" s="23" t="s">
        <v>191</v>
      </c>
      <c r="AQ47" s="37">
        <f t="shared" si="13"/>
        <v>1.3160548802901852</v>
      </c>
      <c r="AR47" s="38">
        <f t="shared" si="14"/>
        <v>104.76073218634734</v>
      </c>
      <c r="AS47" s="39">
        <f t="shared" si="15"/>
        <v>6.68142118352272E-11</v>
      </c>
      <c r="AT47" s="40">
        <f t="shared" si="16"/>
        <v>29.756827875804237</v>
      </c>
      <c r="AU47" s="41">
        <f t="shared" si="17"/>
        <v>530.63624255014088</v>
      </c>
      <c r="AV47" s="42">
        <f t="shared" si="18"/>
        <v>7.5490731155880084</v>
      </c>
      <c r="AW47" s="31">
        <f t="shared" si="19"/>
        <v>0.29134053351487932</v>
      </c>
      <c r="AX47" s="43" t="s">
        <v>1</v>
      </c>
      <c r="AY47" s="24" t="s">
        <v>1</v>
      </c>
      <c r="AZ47" s="44" t="s">
        <v>1</v>
      </c>
      <c r="BA47" s="45" t="s">
        <v>1</v>
      </c>
      <c r="BB47" s="24" t="s">
        <v>134</v>
      </c>
      <c r="BC47" s="28" t="s">
        <v>1</v>
      </c>
      <c r="BD47" s="24" t="s">
        <v>2</v>
      </c>
    </row>
    <row r="48" spans="1:56" ht="15" customHeight="1">
      <c r="A48" s="23" t="s">
        <v>1131</v>
      </c>
      <c r="B48" s="14" t="s">
        <v>1130</v>
      </c>
      <c r="C48" s="24" t="s">
        <v>1</v>
      </c>
      <c r="D48" s="23" t="s">
        <v>1132</v>
      </c>
      <c r="E48" s="25" t="s">
        <v>1133</v>
      </c>
      <c r="F48" s="23" t="s">
        <v>1134</v>
      </c>
      <c r="G48" s="25" t="s">
        <v>1</v>
      </c>
      <c r="H48" s="25" t="s">
        <v>1133</v>
      </c>
      <c r="I48" s="26">
        <f t="shared" si="10"/>
        <v>20.785785848205563</v>
      </c>
      <c r="J48" s="27">
        <v>48.1098</v>
      </c>
      <c r="K48" s="27">
        <v>7.2700000000000001E-2</v>
      </c>
      <c r="L48" s="28" t="s">
        <v>124</v>
      </c>
      <c r="M48" s="29">
        <v>80.639710835040006</v>
      </c>
      <c r="N48" s="29">
        <f>79.23115073442</f>
        <v>79.231150734419998</v>
      </c>
      <c r="O48" s="30">
        <v>5.08</v>
      </c>
      <c r="P48" s="31">
        <v>0.01</v>
      </c>
      <c r="Q48" s="32" t="s">
        <v>126</v>
      </c>
      <c r="R48" s="31">
        <v>0.50600000000000001</v>
      </c>
      <c r="S48" s="31">
        <v>2E-3</v>
      </c>
      <c r="T48" s="32" t="s">
        <v>126</v>
      </c>
      <c r="U48" s="33">
        <v>4.79</v>
      </c>
      <c r="V48" s="25" t="s">
        <v>166</v>
      </c>
      <c r="W48" s="23" t="s">
        <v>276</v>
      </c>
      <c r="X48" s="23" t="s">
        <v>334</v>
      </c>
      <c r="Y48" s="7">
        <v>6354</v>
      </c>
      <c r="Z48" s="24">
        <v>32</v>
      </c>
      <c r="AA48" s="23" t="s">
        <v>130</v>
      </c>
      <c r="AB48" s="34">
        <v>0.51707700000000001</v>
      </c>
      <c r="AC48" s="35">
        <v>1.6510500000000001E-2</v>
      </c>
      <c r="AD48" s="28" t="s">
        <v>146</v>
      </c>
      <c r="AE48" s="31">
        <f t="shared" si="11"/>
        <v>1.4964652166757046</v>
      </c>
      <c r="AF48" s="31">
        <f t="shared" si="12"/>
        <v>0.66961745378703574</v>
      </c>
      <c r="AG48" s="25">
        <v>1.21</v>
      </c>
      <c r="AH48" s="10">
        <v>0.12</v>
      </c>
      <c r="AI48" s="31">
        <v>0.04</v>
      </c>
      <c r="AJ48" s="24" t="s">
        <v>60</v>
      </c>
      <c r="AK48" s="23" t="s">
        <v>130</v>
      </c>
      <c r="AL48" s="5">
        <v>4.2</v>
      </c>
      <c r="AM48" s="31">
        <v>0.08</v>
      </c>
      <c r="AN48" s="23" t="s">
        <v>130</v>
      </c>
      <c r="AO48" s="36">
        <v>-4.9790000000000001</v>
      </c>
      <c r="AP48" s="23" t="s">
        <v>535</v>
      </c>
      <c r="AQ48" s="37">
        <f t="shared" si="13"/>
        <v>1.813587442412034</v>
      </c>
      <c r="AR48" s="38">
        <f t="shared" si="14"/>
        <v>87.251329136954467</v>
      </c>
      <c r="AS48" s="39">
        <f t="shared" si="15"/>
        <v>3.5183565577372673E-11</v>
      </c>
      <c r="AT48" s="40">
        <f t="shared" si="16"/>
        <v>30.924150375804238</v>
      </c>
      <c r="AU48" s="41">
        <f t="shared" si="17"/>
        <v>810.98505615538215</v>
      </c>
      <c r="AV48" s="42">
        <f t="shared" si="18"/>
        <v>6.0754797025955041</v>
      </c>
      <c r="AW48" s="31">
        <f t="shared" si="19"/>
        <v>0.21657724391260061</v>
      </c>
      <c r="AX48" s="43" t="s">
        <v>1135</v>
      </c>
      <c r="AY48" s="24" t="s">
        <v>2</v>
      </c>
      <c r="AZ48" s="44">
        <v>31.1</v>
      </c>
      <c r="BA48" s="45">
        <v>4</v>
      </c>
      <c r="BB48" s="24" t="s">
        <v>134</v>
      </c>
      <c r="BC48" s="28" t="s">
        <v>1</v>
      </c>
      <c r="BD48" s="50" t="s">
        <v>4</v>
      </c>
    </row>
    <row r="49" spans="1:56" ht="19.5" customHeight="1">
      <c r="A49" s="23" t="s">
        <v>460</v>
      </c>
      <c r="B49" s="14" t="s">
        <v>459</v>
      </c>
      <c r="C49" s="24" t="s">
        <v>1</v>
      </c>
      <c r="D49" s="23" t="s">
        <v>461</v>
      </c>
      <c r="E49" s="25" t="s">
        <v>462</v>
      </c>
      <c r="F49" s="23" t="s">
        <v>463</v>
      </c>
      <c r="G49" s="25" t="s">
        <v>464</v>
      </c>
      <c r="H49" s="25" t="s">
        <v>465</v>
      </c>
      <c r="I49" s="26">
        <f t="shared" si="10"/>
        <v>14.579214705179121</v>
      </c>
      <c r="J49" s="27">
        <v>68.590800000000002</v>
      </c>
      <c r="K49" s="27">
        <v>0.104</v>
      </c>
      <c r="L49" s="28" t="s">
        <v>124</v>
      </c>
      <c r="M49" s="29">
        <v>81.106096959119995</v>
      </c>
      <c r="N49" s="29">
        <f>17.38353511554</f>
        <v>17.383535115539999</v>
      </c>
      <c r="O49" s="30">
        <v>5.0090000000000003</v>
      </c>
      <c r="P49" s="31">
        <v>1.0999999999999999E-2</v>
      </c>
      <c r="Q49" s="32" t="s">
        <v>125</v>
      </c>
      <c r="R49" s="31">
        <v>0.54400000000000004</v>
      </c>
      <c r="S49" s="31">
        <v>4.0000000000000001E-3</v>
      </c>
      <c r="T49" s="32" t="s">
        <v>126</v>
      </c>
      <c r="U49" s="33">
        <v>4.7</v>
      </c>
      <c r="V49" s="25" t="s">
        <v>166</v>
      </c>
      <c r="W49" s="23" t="s">
        <v>354</v>
      </c>
      <c r="X49" s="23" t="s">
        <v>334</v>
      </c>
      <c r="Y49" s="7">
        <v>6131</v>
      </c>
      <c r="Z49" s="24">
        <v>18</v>
      </c>
      <c r="AA49" s="23" t="s">
        <v>130</v>
      </c>
      <c r="AB49" s="34">
        <v>0.249863</v>
      </c>
      <c r="AC49" s="35">
        <v>1.3941200000000001E-2</v>
      </c>
      <c r="AD49" s="28" t="s">
        <v>146</v>
      </c>
      <c r="AE49" s="31">
        <f t="shared" si="11"/>
        <v>1.181656954850099</v>
      </c>
      <c r="AF49" s="31">
        <f t="shared" si="12"/>
        <v>0.75384814523192234</v>
      </c>
      <c r="AG49" s="25">
        <v>1.18</v>
      </c>
      <c r="AH49" s="10">
        <v>0.01</v>
      </c>
      <c r="AI49" s="31">
        <v>0.02</v>
      </c>
      <c r="AJ49" s="24" t="s">
        <v>60</v>
      </c>
      <c r="AK49" s="23" t="s">
        <v>130</v>
      </c>
      <c r="AL49" s="5">
        <v>4.29</v>
      </c>
      <c r="AM49" s="31">
        <v>0.03</v>
      </c>
      <c r="AN49" s="23" t="s">
        <v>130</v>
      </c>
      <c r="AO49" s="36">
        <v>-4.3780000000000001</v>
      </c>
      <c r="AP49" s="23" t="s">
        <v>132</v>
      </c>
      <c r="AQ49" s="37">
        <f t="shared" si="13"/>
        <v>1.333311116309907</v>
      </c>
      <c r="AR49" s="38">
        <f t="shared" si="14"/>
        <v>91.452876116589565</v>
      </c>
      <c r="AS49" s="39">
        <f t="shared" si="15"/>
        <v>6.5095932053929039E-11</v>
      </c>
      <c r="AT49" s="40">
        <f t="shared" si="16"/>
        <v>30.166115375804235</v>
      </c>
      <c r="AU49" s="41">
        <f t="shared" si="17"/>
        <v>517.67123447857523</v>
      </c>
      <c r="AV49" s="42">
        <f t="shared" si="18"/>
        <v>7.1752288264460322</v>
      </c>
      <c r="AW49" s="31">
        <f t="shared" si="19"/>
        <v>0.23277776953867002</v>
      </c>
      <c r="AX49" s="43" t="s">
        <v>466</v>
      </c>
      <c r="AY49" s="24" t="s">
        <v>2</v>
      </c>
      <c r="AZ49" s="44">
        <v>106.7</v>
      </c>
      <c r="BA49" s="45">
        <v>3.73</v>
      </c>
      <c r="BB49" s="24" t="s">
        <v>134</v>
      </c>
      <c r="BC49" s="28" t="s">
        <v>1</v>
      </c>
      <c r="BD49" s="24" t="s">
        <v>2</v>
      </c>
    </row>
    <row r="50" spans="1:56" ht="15.75" customHeight="1">
      <c r="A50" s="23" t="s">
        <v>938</v>
      </c>
      <c r="B50" s="14" t="s">
        <v>937</v>
      </c>
      <c r="C50" s="24" t="s">
        <v>1</v>
      </c>
      <c r="D50" s="23" t="s">
        <v>939</v>
      </c>
      <c r="E50" s="25" t="s">
        <v>940</v>
      </c>
      <c r="F50" s="23" t="s">
        <v>941</v>
      </c>
      <c r="G50" s="25" t="s">
        <v>942</v>
      </c>
      <c r="H50" s="25" t="s">
        <v>943</v>
      </c>
      <c r="I50" s="26">
        <f t="shared" si="10"/>
        <v>18.287386275316603</v>
      </c>
      <c r="J50" s="27">
        <v>54.682499999999997</v>
      </c>
      <c r="K50" s="27">
        <v>3.5400000000000001E-2</v>
      </c>
      <c r="L50" s="28" t="s">
        <v>124</v>
      </c>
      <c r="M50" s="29">
        <v>84.291195186130807</v>
      </c>
      <c r="N50" s="29">
        <v>-80.469120709240002</v>
      </c>
      <c r="O50" s="30">
        <v>5.6660000000000004</v>
      </c>
      <c r="P50" s="31">
        <v>6.0000000000000001E-3</v>
      </c>
      <c r="Q50" s="32" t="s">
        <v>125</v>
      </c>
      <c r="R50" s="31">
        <v>0.6</v>
      </c>
      <c r="S50" s="31">
        <v>3.0000000000000001E-3</v>
      </c>
      <c r="T50" s="32" t="s">
        <v>126</v>
      </c>
      <c r="U50" s="33">
        <v>5.31</v>
      </c>
      <c r="V50" s="25" t="s">
        <v>189</v>
      </c>
      <c r="W50" s="23" t="s">
        <v>178</v>
      </c>
      <c r="X50" s="23" t="s">
        <v>145</v>
      </c>
      <c r="Y50" s="7">
        <v>5982</v>
      </c>
      <c r="Z50" s="24">
        <v>15</v>
      </c>
      <c r="AA50" s="23" t="s">
        <v>130</v>
      </c>
      <c r="AB50" s="34">
        <v>0.18556800000000001</v>
      </c>
      <c r="AC50" s="35">
        <v>1.32102E-2</v>
      </c>
      <c r="AD50" s="28" t="s">
        <v>146</v>
      </c>
      <c r="AE50" s="31">
        <f t="shared" si="11"/>
        <v>1.1526931976852908</v>
      </c>
      <c r="AF50" s="31">
        <f t="shared" si="12"/>
        <v>0.5862578606987312</v>
      </c>
      <c r="AG50" s="25">
        <v>1.08</v>
      </c>
      <c r="AH50" s="10">
        <v>0.09</v>
      </c>
      <c r="AI50" s="31">
        <v>0.01</v>
      </c>
      <c r="AJ50" s="24" t="s">
        <v>60</v>
      </c>
      <c r="AK50" s="23" t="s">
        <v>130</v>
      </c>
      <c r="AL50" s="5">
        <v>4.3899999999999997</v>
      </c>
      <c r="AM50" s="31">
        <v>0.03</v>
      </c>
      <c r="AN50" s="23" t="s">
        <v>130</v>
      </c>
      <c r="AO50" s="36">
        <v>-4.9000000000000004</v>
      </c>
      <c r="AP50" s="23" t="s">
        <v>482</v>
      </c>
      <c r="AQ50" s="37">
        <f t="shared" si="13"/>
        <v>1.238180613859118</v>
      </c>
      <c r="AR50" s="38">
        <f t="shared" si="14"/>
        <v>67.706811417351204</v>
      </c>
      <c r="AS50" s="39">
        <f t="shared" si="15"/>
        <v>7.5482947375292732E-11</v>
      </c>
      <c r="AT50" s="40">
        <f t="shared" si="16"/>
        <v>30.615377875804239</v>
      </c>
      <c r="AU50" s="41">
        <f t="shared" si="17"/>
        <v>484.24139168899967</v>
      </c>
      <c r="AV50" s="42">
        <f t="shared" si="18"/>
        <v>7.7828494872381597</v>
      </c>
      <c r="AW50" s="31">
        <f t="shared" si="19"/>
        <v>0.18829324833120181</v>
      </c>
      <c r="AX50" s="43" t="s">
        <v>1</v>
      </c>
      <c r="AY50" s="24" t="s">
        <v>1</v>
      </c>
      <c r="AZ50" s="44" t="s">
        <v>1</v>
      </c>
      <c r="BA50" s="45" t="s">
        <v>1</v>
      </c>
      <c r="BB50" s="24" t="s">
        <v>5</v>
      </c>
      <c r="BC50" s="46" t="s">
        <v>564</v>
      </c>
      <c r="BD50" s="24" t="s">
        <v>3</v>
      </c>
    </row>
    <row r="51" spans="1:56" ht="15.75" customHeight="1">
      <c r="A51" s="23" t="s">
        <v>902</v>
      </c>
      <c r="B51" s="14" t="s">
        <v>901</v>
      </c>
      <c r="C51" s="24" t="s">
        <v>1</v>
      </c>
      <c r="D51" s="23" t="s">
        <v>903</v>
      </c>
      <c r="E51" s="25" t="s">
        <v>904</v>
      </c>
      <c r="F51" s="23" t="s">
        <v>905</v>
      </c>
      <c r="G51" s="25" t="s">
        <v>906</v>
      </c>
      <c r="H51" s="25" t="s">
        <v>907</v>
      </c>
      <c r="I51" s="26">
        <f t="shared" si="10"/>
        <v>12.270134370241488</v>
      </c>
      <c r="J51" s="27">
        <v>81.498699999999999</v>
      </c>
      <c r="K51" s="27">
        <v>2.53E-2</v>
      </c>
      <c r="L51" s="28" t="s">
        <v>124</v>
      </c>
      <c r="M51" s="29">
        <v>85.334732000179599</v>
      </c>
      <c r="N51" s="29">
        <f>53.4810580051906</f>
        <v>53.481058005190597</v>
      </c>
      <c r="O51" s="30">
        <v>6.2</v>
      </c>
      <c r="P51" s="31">
        <v>8.0000000000000002E-3</v>
      </c>
      <c r="Q51" s="32" t="s">
        <v>125</v>
      </c>
      <c r="R51" s="31">
        <v>0.84</v>
      </c>
      <c r="S51" s="31">
        <v>6.0000000000000001E-3</v>
      </c>
      <c r="T51" s="32" t="s">
        <v>126</v>
      </c>
      <c r="U51" s="33">
        <v>5.73</v>
      </c>
      <c r="V51" s="25" t="s">
        <v>166</v>
      </c>
      <c r="W51" s="23" t="s">
        <v>242</v>
      </c>
      <c r="X51" s="23" t="s">
        <v>648</v>
      </c>
      <c r="Y51" s="7">
        <v>5226</v>
      </c>
      <c r="Z51" s="24">
        <v>36</v>
      </c>
      <c r="AA51" s="23" t="s">
        <v>130</v>
      </c>
      <c r="AB51" s="34">
        <v>-0.32086300000000001</v>
      </c>
      <c r="AC51" s="35">
        <v>1.03614E-2</v>
      </c>
      <c r="AD51" s="28" t="s">
        <v>146</v>
      </c>
      <c r="AE51" s="31">
        <f t="shared" si="11"/>
        <v>0.84304787279188531</v>
      </c>
      <c r="AF51" s="31">
        <f t="shared" si="12"/>
        <v>0.63904215121733698</v>
      </c>
      <c r="AG51" s="25">
        <v>0.88</v>
      </c>
      <c r="AH51" s="10">
        <v>0.1</v>
      </c>
      <c r="AI51" s="31">
        <v>0.01</v>
      </c>
      <c r="AJ51" s="24" t="s">
        <v>60</v>
      </c>
      <c r="AK51" s="23" t="s">
        <v>130</v>
      </c>
      <c r="AL51" s="5">
        <v>4.5199999999999996</v>
      </c>
      <c r="AM51" s="31">
        <v>0.03</v>
      </c>
      <c r="AN51" s="23" t="s">
        <v>130</v>
      </c>
      <c r="AO51" s="36">
        <v>-4.4539999999999997</v>
      </c>
      <c r="AP51" s="23" t="s">
        <v>132</v>
      </c>
      <c r="AQ51" s="37">
        <f t="shared" si="13"/>
        <v>0.69114393292192966</v>
      </c>
      <c r="AR51" s="38">
        <f t="shared" si="14"/>
        <v>56.327332046024466</v>
      </c>
      <c r="AS51" s="39">
        <f t="shared" si="15"/>
        <v>2.42258960659999E-10</v>
      </c>
      <c r="AT51" s="40">
        <f t="shared" si="16"/>
        <v>29.769300375804235</v>
      </c>
      <c r="AU51" s="41">
        <f t="shared" si="17"/>
        <v>223.72226148320635</v>
      </c>
      <c r="AV51" s="42">
        <f t="shared" si="18"/>
        <v>11.540295337588805</v>
      </c>
      <c r="AW51" s="31">
        <f t="shared" si="19"/>
        <v>0.19224836311035237</v>
      </c>
      <c r="AX51" s="43" t="s">
        <v>908</v>
      </c>
      <c r="AY51" s="24" t="s">
        <v>2</v>
      </c>
      <c r="AZ51" s="44">
        <v>97.9</v>
      </c>
      <c r="BA51" s="45">
        <v>3.55</v>
      </c>
      <c r="BB51" s="24" t="s">
        <v>134</v>
      </c>
      <c r="BC51" s="28" t="s">
        <v>1</v>
      </c>
      <c r="BD51" s="24" t="s">
        <v>3</v>
      </c>
    </row>
    <row r="52" spans="1:56" ht="15.75" customHeight="1">
      <c r="A52" s="23" t="s">
        <v>876</v>
      </c>
      <c r="B52" s="14" t="s">
        <v>252</v>
      </c>
      <c r="C52" s="24" t="s">
        <v>3</v>
      </c>
      <c r="D52" s="23" t="s">
        <v>877</v>
      </c>
      <c r="E52" s="25" t="s">
        <v>878</v>
      </c>
      <c r="F52" s="23" t="s">
        <v>879</v>
      </c>
      <c r="G52" s="25" t="s">
        <v>880</v>
      </c>
      <c r="H52" s="25" t="s">
        <v>881</v>
      </c>
      <c r="I52" s="26">
        <f t="shared" si="10"/>
        <v>8.8915682147776085</v>
      </c>
      <c r="J52" s="27">
        <v>112.4661</v>
      </c>
      <c r="K52" s="27">
        <v>2.2499999999999999E-2</v>
      </c>
      <c r="L52" s="28" t="s">
        <v>124</v>
      </c>
      <c r="M52" s="29">
        <v>86.110569681467098</v>
      </c>
      <c r="N52" s="29">
        <v>-22.421837361250301</v>
      </c>
      <c r="O52" s="30">
        <v>6.1420000000000003</v>
      </c>
      <c r="P52" s="31">
        <v>8.9999999999999993E-3</v>
      </c>
      <c r="Q52" s="32" t="s">
        <v>125</v>
      </c>
      <c r="R52" s="31">
        <v>0.95399999999999996</v>
      </c>
      <c r="S52" s="31">
        <v>8.9999999999999993E-3</v>
      </c>
      <c r="T52" s="32" t="s">
        <v>126</v>
      </c>
      <c r="U52" s="33">
        <v>5.64</v>
      </c>
      <c r="V52" s="25" t="s">
        <v>166</v>
      </c>
      <c r="W52" s="23" t="s">
        <v>882</v>
      </c>
      <c r="X52" s="23" t="s">
        <v>145</v>
      </c>
      <c r="Y52" s="7">
        <v>4950</v>
      </c>
      <c r="Z52" s="24">
        <v>62</v>
      </c>
      <c r="AA52" s="28" t="s">
        <v>883</v>
      </c>
      <c r="AB52" s="34">
        <v>-0.55342000000000002</v>
      </c>
      <c r="AC52" s="35">
        <v>9.2420000000000002E-3</v>
      </c>
      <c r="AD52" s="28" t="s">
        <v>146</v>
      </c>
      <c r="AE52" s="31">
        <f t="shared" si="11"/>
        <v>0.71895573078630515</v>
      </c>
      <c r="AF52" s="31">
        <f t="shared" si="12"/>
        <v>0.75205633187316445</v>
      </c>
      <c r="AG52" s="25">
        <v>0.81</v>
      </c>
      <c r="AH52" s="10">
        <v>-0.14000000000000001</v>
      </c>
      <c r="AI52" s="31">
        <v>0.04</v>
      </c>
      <c r="AJ52" s="24" t="s">
        <v>60</v>
      </c>
      <c r="AK52" s="23" t="s">
        <v>884</v>
      </c>
      <c r="AL52" s="5">
        <v>4.33</v>
      </c>
      <c r="AM52" s="31">
        <v>0.16</v>
      </c>
      <c r="AN52" s="23" t="s">
        <v>884</v>
      </c>
      <c r="AO52" s="36">
        <v>-4.5</v>
      </c>
      <c r="AP52" s="23" t="s">
        <v>885</v>
      </c>
      <c r="AQ52" s="37">
        <f t="shared" si="13"/>
        <v>0.52879823876170562</v>
      </c>
      <c r="AR52" s="38">
        <f t="shared" si="14"/>
        <v>59.471875600397865</v>
      </c>
      <c r="AS52" s="39">
        <f t="shared" si="15"/>
        <v>4.1384417780686383E-10</v>
      </c>
      <c r="AT52" s="40">
        <f t="shared" si="16"/>
        <v>29.097907875804236</v>
      </c>
      <c r="AU52" s="41">
        <f t="shared" si="17"/>
        <v>156.05952379235288</v>
      </c>
      <c r="AV52" s="42">
        <f t="shared" si="18"/>
        <v>13.751656004275349</v>
      </c>
      <c r="AW52" s="31">
        <f t="shared" si="19"/>
        <v>0.22052242419395746</v>
      </c>
      <c r="AX52" s="43" t="s">
        <v>260</v>
      </c>
      <c r="AY52" s="24" t="s">
        <v>3</v>
      </c>
      <c r="AZ52" s="44">
        <v>95.5</v>
      </c>
      <c r="BA52" s="45">
        <v>-2.64</v>
      </c>
      <c r="BB52" s="24" t="s">
        <v>134</v>
      </c>
      <c r="BC52" s="28" t="s">
        <v>1</v>
      </c>
      <c r="BD52" s="24" t="s">
        <v>3</v>
      </c>
    </row>
    <row r="53" spans="1:56" ht="15.75" customHeight="1">
      <c r="A53" s="23" t="s">
        <v>253</v>
      </c>
      <c r="B53" s="14" t="s">
        <v>252</v>
      </c>
      <c r="C53" s="24" t="s">
        <v>2</v>
      </c>
      <c r="D53" s="23" t="s">
        <v>254</v>
      </c>
      <c r="E53" s="25" t="s">
        <v>255</v>
      </c>
      <c r="F53" s="23" t="s">
        <v>256</v>
      </c>
      <c r="G53" s="25" t="s">
        <v>257</v>
      </c>
      <c r="H53" s="25" t="s">
        <v>258</v>
      </c>
      <c r="I53" s="26">
        <f t="shared" si="10"/>
        <v>8.9050366887511565</v>
      </c>
      <c r="J53" s="27">
        <v>112.29600000000001</v>
      </c>
      <c r="K53" s="27">
        <v>0.1452</v>
      </c>
      <c r="L53" s="28" t="s">
        <v>124</v>
      </c>
      <c r="M53" s="29">
        <v>86.115794237325005</v>
      </c>
      <c r="N53" s="29">
        <v>-22.448385487848299</v>
      </c>
      <c r="O53" s="30">
        <v>3.5960000000000001</v>
      </c>
      <c r="P53" s="31">
        <v>4.0000000000000001E-3</v>
      </c>
      <c r="Q53" s="32" t="s">
        <v>125</v>
      </c>
      <c r="R53" s="31">
        <v>0.48099999999999998</v>
      </c>
      <c r="S53" s="31">
        <v>1.0999999999999999E-2</v>
      </c>
      <c r="T53" s="32" t="s">
        <v>126</v>
      </c>
      <c r="U53" s="33">
        <v>3.2949999999999999</v>
      </c>
      <c r="V53" s="25" t="s">
        <v>143</v>
      </c>
      <c r="W53" s="23" t="s">
        <v>259</v>
      </c>
      <c r="X53" s="23" t="s">
        <v>145</v>
      </c>
      <c r="Y53" s="7">
        <v>6313</v>
      </c>
      <c r="Z53" s="24">
        <v>26</v>
      </c>
      <c r="AA53" s="23" t="s">
        <v>130</v>
      </c>
      <c r="AB53" s="34">
        <v>0.370006</v>
      </c>
      <c r="AC53" s="35">
        <v>1.5833199999999999E-2</v>
      </c>
      <c r="AD53" s="28" t="s">
        <v>146</v>
      </c>
      <c r="AE53" s="31">
        <f t="shared" si="11"/>
        <v>1.2798349595176619</v>
      </c>
      <c r="AF53" s="31">
        <f t="shared" si="12"/>
        <v>1.3367335333250381</v>
      </c>
      <c r="AG53" s="25">
        <v>1.23</v>
      </c>
      <c r="AH53" s="10">
        <v>-0.08</v>
      </c>
      <c r="AI53" s="31">
        <v>0.01</v>
      </c>
      <c r="AJ53" s="24" t="s">
        <v>60</v>
      </c>
      <c r="AK53" s="23" t="s">
        <v>130</v>
      </c>
      <c r="AL53" s="5">
        <v>4.3499999999999996</v>
      </c>
      <c r="AM53" s="31">
        <v>0.04</v>
      </c>
      <c r="AN53" s="23" t="s">
        <v>130</v>
      </c>
      <c r="AO53" s="36">
        <v>-4.774</v>
      </c>
      <c r="AP53" s="23" t="s">
        <v>147</v>
      </c>
      <c r="AQ53" s="37">
        <f t="shared" si="13"/>
        <v>1.5310980380960557</v>
      </c>
      <c r="AR53" s="38">
        <f t="shared" si="14"/>
        <v>171.93618528603469</v>
      </c>
      <c r="AS53" s="39">
        <f t="shared" si="15"/>
        <v>4.9364057518606379E-11</v>
      </c>
      <c r="AT53" s="40">
        <f t="shared" si="16"/>
        <v>29.061472875804242</v>
      </c>
      <c r="AU53" s="41">
        <f t="shared" si="17"/>
        <v>623.9499167045243</v>
      </c>
      <c r="AV53" s="42">
        <f t="shared" si="18"/>
        <v>6.5582573359979106</v>
      </c>
      <c r="AW53" s="31">
        <f t="shared" si="19"/>
        <v>0.41984435380437868</v>
      </c>
      <c r="AX53" s="43" t="s">
        <v>260</v>
      </c>
      <c r="AY53" s="24" t="s">
        <v>2</v>
      </c>
      <c r="AZ53" s="44">
        <v>95.5</v>
      </c>
      <c r="BA53" s="45">
        <v>2.64</v>
      </c>
      <c r="BB53" s="24" t="s">
        <v>134</v>
      </c>
      <c r="BC53" s="28" t="s">
        <v>1</v>
      </c>
      <c r="BD53" s="24" t="s">
        <v>2</v>
      </c>
    </row>
    <row r="54" spans="1:56" ht="15.75" customHeight="1">
      <c r="A54" s="23" t="s">
        <v>1210</v>
      </c>
      <c r="B54" s="14" t="s">
        <v>1209</v>
      </c>
      <c r="C54" s="24" t="s">
        <v>1</v>
      </c>
      <c r="D54" s="23" t="s">
        <v>1211</v>
      </c>
      <c r="E54" s="25" t="s">
        <v>1212</v>
      </c>
      <c r="F54" s="23" t="s">
        <v>1213</v>
      </c>
      <c r="G54" s="25" t="s">
        <v>1</v>
      </c>
      <c r="H54" s="25" t="s">
        <v>1212</v>
      </c>
      <c r="I54" s="26">
        <f t="shared" si="10"/>
        <v>15.21037469237017</v>
      </c>
      <c r="J54" s="27">
        <v>65.744600000000005</v>
      </c>
      <c r="K54" s="27">
        <v>3.0700000000000002E-2</v>
      </c>
      <c r="L54" s="28" t="s">
        <v>124</v>
      </c>
      <c r="M54" s="29">
        <v>87.145584396350003</v>
      </c>
      <c r="N54" s="29">
        <v>-4.0946449410400003</v>
      </c>
      <c r="O54" s="30">
        <v>5.9729999999999999</v>
      </c>
      <c r="P54" s="31">
        <v>5.0000000000000001E-3</v>
      </c>
      <c r="Q54" s="32" t="s">
        <v>125</v>
      </c>
      <c r="R54" s="31">
        <v>0.63900000000000001</v>
      </c>
      <c r="S54" s="31">
        <v>2E-3</v>
      </c>
      <c r="T54" s="32" t="s">
        <v>126</v>
      </c>
      <c r="U54" s="33">
        <v>5.58</v>
      </c>
      <c r="V54" s="25" t="s">
        <v>166</v>
      </c>
      <c r="W54" s="23" t="s">
        <v>233</v>
      </c>
      <c r="X54" s="23" t="s">
        <v>334</v>
      </c>
      <c r="Y54" s="7">
        <v>5731</v>
      </c>
      <c r="Z54" s="24">
        <v>18</v>
      </c>
      <c r="AA54" s="23" t="s">
        <v>130</v>
      </c>
      <c r="AB54" s="34">
        <v>-8.2578499999999999E-2</v>
      </c>
      <c r="AC54" s="35">
        <v>1.0475999999999999E-2</v>
      </c>
      <c r="AD54" s="28" t="s">
        <v>146</v>
      </c>
      <c r="AE54" s="31">
        <f t="shared" si="11"/>
        <v>0.92230057791673192</v>
      </c>
      <c r="AF54" s="31">
        <f t="shared" si="12"/>
        <v>0.56397409388208597</v>
      </c>
      <c r="AG54" s="25">
        <v>1.02</v>
      </c>
      <c r="AH54" s="10">
        <v>-0.22</v>
      </c>
      <c r="AI54" s="31">
        <v>0.01</v>
      </c>
      <c r="AJ54" s="24" t="s">
        <v>60</v>
      </c>
      <c r="AK54" s="23" t="s">
        <v>130</v>
      </c>
      <c r="AL54" s="5">
        <v>4.47</v>
      </c>
      <c r="AM54" s="31">
        <v>0.03</v>
      </c>
      <c r="AN54" s="23" t="s">
        <v>130</v>
      </c>
      <c r="AO54" s="36">
        <v>-4.8899999999999997</v>
      </c>
      <c r="AP54" s="23" t="s">
        <v>180</v>
      </c>
      <c r="AQ54" s="37">
        <f t="shared" si="13"/>
        <v>0.90930745147066427</v>
      </c>
      <c r="AR54" s="38">
        <f t="shared" si="14"/>
        <v>59.782054673958243</v>
      </c>
      <c r="AS54" s="39">
        <f t="shared" si="15"/>
        <v>1.3995723362057274E-10</v>
      </c>
      <c r="AT54" s="40">
        <f t="shared" si="16"/>
        <v>30.215011625804237</v>
      </c>
      <c r="AU54" s="41">
        <f t="shared" si="17"/>
        <v>313.59117032728989</v>
      </c>
      <c r="AV54" s="42">
        <f t="shared" si="18"/>
        <v>9.3451666093415362</v>
      </c>
      <c r="AW54" s="31">
        <f t="shared" si="19"/>
        <v>0.17603410121390373</v>
      </c>
      <c r="AX54" s="43" t="s">
        <v>1</v>
      </c>
      <c r="AY54" s="24" t="s">
        <v>1</v>
      </c>
      <c r="AZ54" s="44" t="s">
        <v>1</v>
      </c>
      <c r="BA54" s="45" t="s">
        <v>1</v>
      </c>
      <c r="BB54" s="24" t="s">
        <v>5</v>
      </c>
      <c r="BC54" s="46" t="s">
        <v>1004</v>
      </c>
      <c r="BD54" s="50" t="s">
        <v>4</v>
      </c>
    </row>
    <row r="55" spans="1:56" ht="16.5" customHeight="1">
      <c r="A55" s="23" t="s">
        <v>979</v>
      </c>
      <c r="B55" s="14" t="s">
        <v>978</v>
      </c>
      <c r="C55" s="24" t="s">
        <v>2</v>
      </c>
      <c r="D55" s="23" t="s">
        <v>980</v>
      </c>
      <c r="E55" s="25" t="s">
        <v>981</v>
      </c>
      <c r="F55" s="23" t="s">
        <v>982</v>
      </c>
      <c r="G55" s="25" t="s">
        <v>983</v>
      </c>
      <c r="H55" s="25" t="s">
        <v>984</v>
      </c>
      <c r="I55" s="26">
        <f t="shared" si="10"/>
        <v>10.212856352090265</v>
      </c>
      <c r="J55" s="27">
        <v>97.915800000000004</v>
      </c>
      <c r="K55" s="27">
        <v>5.7299999999999997E-2</v>
      </c>
      <c r="L55" s="28" t="s">
        <v>124</v>
      </c>
      <c r="M55" s="29">
        <v>92.560302426530001</v>
      </c>
      <c r="N55" s="29">
        <v>-74.753043981060003</v>
      </c>
      <c r="O55" s="30">
        <v>5.0759999999999996</v>
      </c>
      <c r="P55" s="31">
        <v>2E-3</v>
      </c>
      <c r="Q55" s="32" t="s">
        <v>125</v>
      </c>
      <c r="R55" s="31">
        <v>0.72</v>
      </c>
      <c r="S55" s="31">
        <v>0</v>
      </c>
      <c r="T55" s="32" t="s">
        <v>142</v>
      </c>
      <c r="U55" s="33">
        <v>4.6749999999999998</v>
      </c>
      <c r="V55" s="25" t="s">
        <v>143</v>
      </c>
      <c r="W55" s="23" t="s">
        <v>823</v>
      </c>
      <c r="X55" s="23" t="s">
        <v>145</v>
      </c>
      <c r="Y55" s="7">
        <v>5594</v>
      </c>
      <c r="Z55" s="24">
        <v>14</v>
      </c>
      <c r="AA55" s="23" t="s">
        <v>130</v>
      </c>
      <c r="AB55" s="34">
        <v>-6.2707799999999994E-2</v>
      </c>
      <c r="AC55" s="35">
        <v>1.0670499999999999E-2</v>
      </c>
      <c r="AD55" s="28" t="s">
        <v>146</v>
      </c>
      <c r="AE55" s="31">
        <f t="shared" si="11"/>
        <v>0.99042985635348768</v>
      </c>
      <c r="AF55" s="31">
        <f t="shared" si="12"/>
        <v>0.90199283382824536</v>
      </c>
      <c r="AG55" s="25">
        <v>0.96</v>
      </c>
      <c r="AH55" s="10">
        <v>0.1</v>
      </c>
      <c r="AI55" s="31">
        <v>0.01</v>
      </c>
      <c r="AJ55" s="24" t="s">
        <v>60</v>
      </c>
      <c r="AK55" s="23" t="s">
        <v>130</v>
      </c>
      <c r="AL55" s="5">
        <v>4.46</v>
      </c>
      <c r="AM55" s="31">
        <v>0.03</v>
      </c>
      <c r="AN55" s="23" t="s">
        <v>130</v>
      </c>
      <c r="AO55" s="36">
        <v>-4.9400000000000004</v>
      </c>
      <c r="AP55" s="23" t="s">
        <v>147</v>
      </c>
      <c r="AQ55" s="37">
        <f t="shared" si="13"/>
        <v>0.93034943881422205</v>
      </c>
      <c r="AR55" s="38">
        <f t="shared" si="14"/>
        <v>91.095909581045603</v>
      </c>
      <c r="AS55" s="39">
        <f t="shared" si="15"/>
        <v>1.3369791965602491E-10</v>
      </c>
      <c r="AT55" s="40">
        <f t="shared" si="16"/>
        <v>29.35968837580424</v>
      </c>
      <c r="AU55" s="41">
        <f t="shared" si="17"/>
        <v>334.52711124694309</v>
      </c>
      <c r="AV55" s="42">
        <f t="shared" si="18"/>
        <v>9.5232205624531048</v>
      </c>
      <c r="AW55" s="31">
        <f t="shared" si="19"/>
        <v>0.28500585703764053</v>
      </c>
      <c r="AX55" s="43" t="s">
        <v>985</v>
      </c>
      <c r="AY55" s="24" t="s">
        <v>2</v>
      </c>
      <c r="AZ55" s="44">
        <v>3.3</v>
      </c>
      <c r="BA55" s="45">
        <v>5.01</v>
      </c>
      <c r="BB55" s="24" t="s">
        <v>134</v>
      </c>
      <c r="BC55" s="28" t="s">
        <v>1</v>
      </c>
      <c r="BD55" s="50" t="s">
        <v>4</v>
      </c>
    </row>
    <row r="56" spans="1:56" ht="15.75" customHeight="1">
      <c r="A56" s="23" t="s">
        <v>843</v>
      </c>
      <c r="B56" s="14" t="s">
        <v>842</v>
      </c>
      <c r="C56" s="24" t="s">
        <v>1</v>
      </c>
      <c r="D56" s="23" t="s">
        <v>844</v>
      </c>
      <c r="E56" s="25" t="s">
        <v>845</v>
      </c>
      <c r="F56" s="23" t="s">
        <v>846</v>
      </c>
      <c r="G56" s="25" t="s">
        <v>847</v>
      </c>
      <c r="H56" s="25" t="s">
        <v>848</v>
      </c>
      <c r="I56" s="26">
        <f t="shared" si="10"/>
        <v>21.776339571528744</v>
      </c>
      <c r="J56" s="27">
        <v>45.921399999999998</v>
      </c>
      <c r="K56" s="27">
        <v>0.23580000000000001</v>
      </c>
      <c r="L56" s="28" t="s">
        <v>124</v>
      </c>
      <c r="M56" s="29">
        <v>93.711984768929995</v>
      </c>
      <c r="N56" s="29">
        <f>19.15644789693</f>
        <v>19.15644789693</v>
      </c>
      <c r="O56" s="30">
        <v>5.2</v>
      </c>
      <c r="P56" s="31">
        <v>0.01</v>
      </c>
      <c r="Q56" s="32" t="s">
        <v>126</v>
      </c>
      <c r="R56" s="31">
        <v>0.43</v>
      </c>
      <c r="S56" s="31">
        <v>0</v>
      </c>
      <c r="T56" s="32" t="s">
        <v>126</v>
      </c>
      <c r="U56" s="33">
        <v>4.91</v>
      </c>
      <c r="V56" s="25" t="s">
        <v>166</v>
      </c>
      <c r="W56" s="23" t="s">
        <v>849</v>
      </c>
      <c r="X56" s="23" t="s">
        <v>334</v>
      </c>
      <c r="Y56" s="7">
        <v>6539</v>
      </c>
      <c r="Z56" s="24">
        <v>65</v>
      </c>
      <c r="AA56" s="28" t="s">
        <v>149</v>
      </c>
      <c r="AB56" s="34">
        <v>0.46768100000000001</v>
      </c>
      <c r="AC56" s="35">
        <v>1.7564799999999998E-2</v>
      </c>
      <c r="AD56" s="28" t="s">
        <v>146</v>
      </c>
      <c r="AE56" s="31">
        <f t="shared" si="11"/>
        <v>1.3348743036275581</v>
      </c>
      <c r="AF56" s="31">
        <f t="shared" si="12"/>
        <v>0.5701407462102519</v>
      </c>
      <c r="AG56" s="25">
        <v>1.29</v>
      </c>
      <c r="AH56" s="10">
        <v>0.03</v>
      </c>
      <c r="AI56" s="31">
        <v>0.04</v>
      </c>
      <c r="AJ56" s="24" t="s">
        <v>60</v>
      </c>
      <c r="AK56" s="23" t="s">
        <v>149</v>
      </c>
      <c r="AL56" s="5">
        <v>4.29</v>
      </c>
      <c r="AM56" s="31">
        <v>0.02</v>
      </c>
      <c r="AN56" s="23" t="s">
        <v>149</v>
      </c>
      <c r="AO56" s="36">
        <v>-4.7990000000000004</v>
      </c>
      <c r="AP56" s="23" t="s">
        <v>535</v>
      </c>
      <c r="AQ56" s="37">
        <f t="shared" si="13"/>
        <v>1.7133279511438051</v>
      </c>
      <c r="AR56" s="38">
        <f t="shared" si="14"/>
        <v>78.678418175655125</v>
      </c>
      <c r="AS56" s="39">
        <f t="shared" si="15"/>
        <v>3.9421745481379629E-11</v>
      </c>
      <c r="AT56" s="40">
        <f t="shared" si="16"/>
        <v>30.920660375804239</v>
      </c>
      <c r="AU56" s="41">
        <f t="shared" si="17"/>
        <v>721.21322465867604</v>
      </c>
      <c r="AV56" s="42">
        <f t="shared" si="18"/>
        <v>6.0537907339743402</v>
      </c>
      <c r="AW56" s="31">
        <f t="shared" si="19"/>
        <v>0.18318590362891871</v>
      </c>
      <c r="AX56" s="43" t="s">
        <v>850</v>
      </c>
      <c r="AY56" s="24" t="s">
        <v>2</v>
      </c>
      <c r="AZ56" s="44">
        <v>8</v>
      </c>
      <c r="BA56" s="45">
        <v>6</v>
      </c>
      <c r="BB56" s="24" t="s">
        <v>134</v>
      </c>
      <c r="BC56" s="28" t="s">
        <v>1</v>
      </c>
      <c r="BD56" s="24" t="s">
        <v>3</v>
      </c>
    </row>
    <row r="57" spans="1:56" ht="15.75" customHeight="1">
      <c r="A57" s="23" t="s">
        <v>833</v>
      </c>
      <c r="B57" s="14" t="s">
        <v>832</v>
      </c>
      <c r="C57" s="24" t="s">
        <v>1</v>
      </c>
      <c r="D57" s="23" t="s">
        <v>834</v>
      </c>
      <c r="E57" s="25" t="s">
        <v>835</v>
      </c>
      <c r="F57" s="23" t="s">
        <v>836</v>
      </c>
      <c r="G57" s="25" t="s">
        <v>837</v>
      </c>
      <c r="H57" s="25" t="s">
        <v>838</v>
      </c>
      <c r="I57" s="26">
        <f t="shared" si="10"/>
        <v>19.587947927399231</v>
      </c>
      <c r="J57" s="27">
        <v>51.0518</v>
      </c>
      <c r="K57" s="27">
        <v>9.69E-2</v>
      </c>
      <c r="L57" s="28" t="s">
        <v>124</v>
      </c>
      <c r="M57" s="29">
        <v>94.110912944879999</v>
      </c>
      <c r="N57" s="29">
        <f>12.27216323322</f>
        <v>12.272163233220001</v>
      </c>
      <c r="O57" s="30">
        <v>5.04</v>
      </c>
      <c r="P57" s="31">
        <v>0.01</v>
      </c>
      <c r="Q57" s="32" t="s">
        <v>126</v>
      </c>
      <c r="R57" s="31">
        <v>0.43099999999999999</v>
      </c>
      <c r="S57" s="31">
        <v>3.0000000000000001E-3</v>
      </c>
      <c r="T57" s="32" t="s">
        <v>126</v>
      </c>
      <c r="U57" s="33">
        <v>4.78</v>
      </c>
      <c r="V57" s="25" t="s">
        <v>166</v>
      </c>
      <c r="W57" s="23" t="s">
        <v>839</v>
      </c>
      <c r="X57" s="23" t="s">
        <v>334</v>
      </c>
      <c r="Y57" s="7">
        <v>6480</v>
      </c>
      <c r="Z57" s="24">
        <v>80</v>
      </c>
      <c r="AA57" s="28" t="s">
        <v>840</v>
      </c>
      <c r="AB57" s="34">
        <v>0.470779</v>
      </c>
      <c r="AC57" s="35">
        <v>1.7366099999999999E-2</v>
      </c>
      <c r="AD57" s="28" t="s">
        <v>146</v>
      </c>
      <c r="AE57" s="31">
        <f t="shared" si="11"/>
        <v>1.364149712877593</v>
      </c>
      <c r="AF57" s="31">
        <f t="shared" si="12"/>
        <v>0.64773845655515616</v>
      </c>
      <c r="AG57" s="25">
        <v>1.33</v>
      </c>
      <c r="AH57" s="10">
        <v>-0.03</v>
      </c>
      <c r="AI57" s="31">
        <v>0.05</v>
      </c>
      <c r="AJ57" s="24" t="s">
        <v>60</v>
      </c>
      <c r="AK57" s="23" t="s">
        <v>316</v>
      </c>
      <c r="AL57" s="5">
        <v>4.3074000000000003</v>
      </c>
      <c r="AM57" s="31">
        <v>8.2699999999999996E-2</v>
      </c>
      <c r="AN57" s="23" t="s">
        <v>146</v>
      </c>
      <c r="AO57" s="36">
        <v>-4.58</v>
      </c>
      <c r="AP57" s="23" t="s">
        <v>754</v>
      </c>
      <c r="AQ57" s="37">
        <f t="shared" si="13"/>
        <v>1.7194497962457556</v>
      </c>
      <c r="AR57" s="38">
        <f t="shared" si="14"/>
        <v>87.781007107979065</v>
      </c>
      <c r="AS57" s="39">
        <f t="shared" si="15"/>
        <v>3.9141534679717774E-11</v>
      </c>
      <c r="AT57" s="40">
        <f t="shared" si="16"/>
        <v>30.79840537580424</v>
      </c>
      <c r="AU57" s="41">
        <f t="shared" si="17"/>
        <v>714.09536847617744</v>
      </c>
      <c r="AV57" s="42">
        <f t="shared" si="18"/>
        <v>5.951438347064002</v>
      </c>
      <c r="AW57" s="31">
        <f t="shared" si="19"/>
        <v>0.19823259206381011</v>
      </c>
      <c r="AX57" s="43" t="s">
        <v>841</v>
      </c>
      <c r="AY57" s="24" t="s">
        <v>2</v>
      </c>
      <c r="AZ57" s="44">
        <v>32.1</v>
      </c>
      <c r="BA57" s="45">
        <v>7.46</v>
      </c>
      <c r="BB57" s="24" t="s">
        <v>134</v>
      </c>
      <c r="BC57" s="28" t="s">
        <v>1</v>
      </c>
      <c r="BD57" s="24" t="s">
        <v>3</v>
      </c>
    </row>
    <row r="58" spans="1:56" ht="16.5" customHeight="1">
      <c r="A58" s="23" t="s">
        <v>750</v>
      </c>
      <c r="B58" s="14" t="s">
        <v>749</v>
      </c>
      <c r="C58" s="24" t="s">
        <v>2</v>
      </c>
      <c r="D58" s="23" t="s">
        <v>751</v>
      </c>
      <c r="E58" s="25" t="s">
        <v>752</v>
      </c>
      <c r="F58" s="23" t="s">
        <v>753</v>
      </c>
      <c r="G58" s="25" t="s">
        <v>1</v>
      </c>
      <c r="H58" s="25" t="s">
        <v>753</v>
      </c>
      <c r="I58" s="26">
        <f t="shared" si="10"/>
        <v>18.202337180093924</v>
      </c>
      <c r="J58" s="27">
        <v>54.938000000000002</v>
      </c>
      <c r="K58" s="27">
        <v>5.9499999999999997E-2</v>
      </c>
      <c r="L58" s="28" t="s">
        <v>124</v>
      </c>
      <c r="M58" s="29">
        <v>101.558958154603</v>
      </c>
      <c r="N58" s="29">
        <f>79.5648107091653</f>
        <v>79.5648107091653</v>
      </c>
      <c r="O58" s="30">
        <v>5.44</v>
      </c>
      <c r="P58" s="31">
        <v>0.01</v>
      </c>
      <c r="Q58" s="32" t="s">
        <v>126</v>
      </c>
      <c r="R58" s="31">
        <v>0.52500000000000002</v>
      </c>
      <c r="S58" s="31">
        <v>3.0000000000000001E-3</v>
      </c>
      <c r="T58" s="32" t="s">
        <v>126</v>
      </c>
      <c r="U58" s="33">
        <v>5.1100000000000003</v>
      </c>
      <c r="V58" s="25" t="s">
        <v>166</v>
      </c>
      <c r="W58" s="23" t="s">
        <v>354</v>
      </c>
      <c r="X58" s="23" t="s">
        <v>334</v>
      </c>
      <c r="Y58" s="7">
        <v>6204</v>
      </c>
      <c r="Z58" s="24">
        <v>23</v>
      </c>
      <c r="AA58" s="23" t="s">
        <v>130</v>
      </c>
      <c r="AB58" s="34">
        <v>0.26145099999999999</v>
      </c>
      <c r="AC58" s="35">
        <v>1.46789E-2</v>
      </c>
      <c r="AD58" s="28" t="s">
        <v>146</v>
      </c>
      <c r="AE58" s="31">
        <f t="shared" si="11"/>
        <v>1.1695114266050586</v>
      </c>
      <c r="AF58" s="31">
        <f t="shared" si="12"/>
        <v>0.59759079803178417</v>
      </c>
      <c r="AG58" s="25">
        <v>1.18</v>
      </c>
      <c r="AH58" s="10">
        <v>-0.1</v>
      </c>
      <c r="AI58" s="31">
        <v>0.03</v>
      </c>
      <c r="AJ58" s="24" t="s">
        <v>60</v>
      </c>
      <c r="AK58" s="23" t="s">
        <v>130</v>
      </c>
      <c r="AL58" s="5">
        <v>4.43</v>
      </c>
      <c r="AM58" s="31">
        <v>7.0000000000000007E-2</v>
      </c>
      <c r="AN58" s="23" t="s">
        <v>130</v>
      </c>
      <c r="AO58" s="36">
        <v>-4.93</v>
      </c>
      <c r="AP58" s="23" t="s">
        <v>754</v>
      </c>
      <c r="AQ58" s="37">
        <f t="shared" si="13"/>
        <v>1.3512182427591222</v>
      </c>
      <c r="AR58" s="38">
        <f t="shared" si="14"/>
        <v>74.233227820700662</v>
      </c>
      <c r="AS58" s="39">
        <f t="shared" si="15"/>
        <v>6.3381986949197974E-11</v>
      </c>
      <c r="AT58" s="40">
        <f t="shared" si="16"/>
        <v>30.605085375804236</v>
      </c>
      <c r="AU58" s="41">
        <f t="shared" si="17"/>
        <v>528.13510166034644</v>
      </c>
      <c r="AV58" s="42">
        <f t="shared" si="18"/>
        <v>7.1275251067032128</v>
      </c>
      <c r="AW58" s="31">
        <f t="shared" si="19"/>
        <v>0.18894807830569782</v>
      </c>
      <c r="AX58" s="43" t="s">
        <v>755</v>
      </c>
      <c r="AY58" s="24" t="s">
        <v>2</v>
      </c>
      <c r="AZ58" s="44">
        <v>79.2</v>
      </c>
      <c r="BA58" s="45">
        <v>11.75</v>
      </c>
      <c r="BB58" s="24" t="s">
        <v>134</v>
      </c>
      <c r="BC58" s="28" t="s">
        <v>1</v>
      </c>
      <c r="BD58" s="24" t="s">
        <v>3</v>
      </c>
    </row>
    <row r="59" spans="1:56" ht="15" customHeight="1">
      <c r="A59" s="23" t="s">
        <v>996</v>
      </c>
      <c r="B59" s="14" t="s">
        <v>995</v>
      </c>
      <c r="C59" s="24" t="s">
        <v>1</v>
      </c>
      <c r="D59" s="23" t="s">
        <v>997</v>
      </c>
      <c r="E59" s="25" t="s">
        <v>998</v>
      </c>
      <c r="F59" s="23" t="s">
        <v>999</v>
      </c>
      <c r="G59" s="25" t="s">
        <v>1000</v>
      </c>
      <c r="H59" s="25" t="s">
        <v>1001</v>
      </c>
      <c r="I59" s="26">
        <f t="shared" si="10"/>
        <v>16.61063346311775</v>
      </c>
      <c r="J59" s="27">
        <v>60.202399999999997</v>
      </c>
      <c r="K59" s="27">
        <v>8.6499999999999994E-2</v>
      </c>
      <c r="L59" s="28" t="s">
        <v>124</v>
      </c>
      <c r="M59" s="29">
        <v>101.68473722918</v>
      </c>
      <c r="N59" s="29">
        <f>43.57742456382</f>
        <v>43.577424563820003</v>
      </c>
      <c r="O59" s="30">
        <v>5.2519999999999998</v>
      </c>
      <c r="P59" s="31">
        <v>4.0000000000000001E-3</v>
      </c>
      <c r="Q59" s="32" t="s">
        <v>125</v>
      </c>
      <c r="R59" s="31">
        <v>0.57499999999999996</v>
      </c>
      <c r="S59" s="31">
        <v>5.0000000000000001E-3</v>
      </c>
      <c r="T59" s="32" t="s">
        <v>126</v>
      </c>
      <c r="U59" s="33">
        <v>4.93</v>
      </c>
      <c r="V59" s="25" t="s">
        <v>166</v>
      </c>
      <c r="W59" s="23" t="s">
        <v>190</v>
      </c>
      <c r="X59" s="23" t="s">
        <v>334</v>
      </c>
      <c r="Y59" s="7">
        <v>6066</v>
      </c>
      <c r="Z59" s="24">
        <v>30</v>
      </c>
      <c r="AA59" s="23" t="s">
        <v>130</v>
      </c>
      <c r="AB59" s="34">
        <v>0.26167400000000002</v>
      </c>
      <c r="AC59" s="35">
        <v>1.42995E-2</v>
      </c>
      <c r="AD59" s="28" t="s">
        <v>146</v>
      </c>
      <c r="AE59" s="31">
        <f t="shared" si="11"/>
        <v>1.2236430158487548</v>
      </c>
      <c r="AF59" s="31">
        <f t="shared" si="12"/>
        <v>0.68516493328744432</v>
      </c>
      <c r="AG59" s="25">
        <v>1.1399999999999999</v>
      </c>
      <c r="AH59" s="10">
        <v>0.11</v>
      </c>
      <c r="AI59" s="31">
        <v>0.02</v>
      </c>
      <c r="AJ59" s="24" t="s">
        <v>60</v>
      </c>
      <c r="AK59" s="23" t="s">
        <v>130</v>
      </c>
      <c r="AL59" s="5">
        <v>4.38</v>
      </c>
      <c r="AM59" s="31">
        <v>7.0000000000000007E-2</v>
      </c>
      <c r="AN59" s="23" t="s">
        <v>130</v>
      </c>
      <c r="AO59" s="36">
        <v>-4.93</v>
      </c>
      <c r="AP59" s="23" t="s">
        <v>1002</v>
      </c>
      <c r="AQ59" s="37">
        <f t="shared" si="13"/>
        <v>1.3515651966860085</v>
      </c>
      <c r="AR59" s="38">
        <f t="shared" si="14"/>
        <v>81.367468596969744</v>
      </c>
      <c r="AS59" s="39">
        <f t="shared" si="15"/>
        <v>6.3349450144070951E-11</v>
      </c>
      <c r="AT59" s="40">
        <f t="shared" si="16"/>
        <v>30.425642875804236</v>
      </c>
      <c r="AU59" s="41">
        <f t="shared" si="17"/>
        <v>537.52771460325368</v>
      </c>
      <c r="AV59" s="42">
        <f t="shared" si="18"/>
        <v>7.2505605507819553</v>
      </c>
      <c r="AW59" s="31">
        <f t="shared" si="19"/>
        <v>0.21437399195144888</v>
      </c>
      <c r="AX59" s="43" t="s">
        <v>1003</v>
      </c>
      <c r="AY59" s="24" t="s">
        <v>2</v>
      </c>
      <c r="AZ59" s="44">
        <v>29.4</v>
      </c>
      <c r="BA59" s="45">
        <v>3.34</v>
      </c>
      <c r="BB59" s="24" t="s">
        <v>5</v>
      </c>
      <c r="BC59" s="46" t="s">
        <v>1004</v>
      </c>
      <c r="BD59" s="50" t="s">
        <v>4</v>
      </c>
    </row>
    <row r="60" spans="1:56" ht="15.75" customHeight="1">
      <c r="A60" s="23" t="s">
        <v>1097</v>
      </c>
      <c r="B60" s="14" t="s">
        <v>1096</v>
      </c>
      <c r="C60" s="24" t="s">
        <v>2</v>
      </c>
      <c r="D60" s="23" t="s">
        <v>1098</v>
      </c>
      <c r="E60" s="25" t="s">
        <v>1</v>
      </c>
      <c r="F60" s="23" t="s">
        <v>1099</v>
      </c>
      <c r="G60" s="25" t="s">
        <v>1</v>
      </c>
      <c r="H60" s="25" t="s">
        <v>1100</v>
      </c>
      <c r="I60" s="26">
        <f t="shared" si="10"/>
        <v>8.7447214675041778</v>
      </c>
      <c r="J60" s="27">
        <v>114.35469999999999</v>
      </c>
      <c r="K60" s="27">
        <v>4.1799999999999997E-2</v>
      </c>
      <c r="L60" s="28" t="s">
        <v>124</v>
      </c>
      <c r="M60" s="29">
        <v>103.075210601124</v>
      </c>
      <c r="N60" s="29">
        <v>-5.1737126663642004</v>
      </c>
      <c r="O60" s="30">
        <v>6.5620000000000003</v>
      </c>
      <c r="P60" s="31">
        <v>8.0000000000000002E-3</v>
      </c>
      <c r="Q60" s="32" t="s">
        <v>125</v>
      </c>
      <c r="R60" s="31">
        <v>1.056</v>
      </c>
      <c r="S60" s="31">
        <v>1.0999999999999999E-2</v>
      </c>
      <c r="T60" s="32" t="s">
        <v>126</v>
      </c>
      <c r="U60" s="33">
        <v>5.9749999999999996</v>
      </c>
      <c r="V60" s="25" t="s">
        <v>143</v>
      </c>
      <c r="W60" s="23" t="s">
        <v>1101</v>
      </c>
      <c r="X60" s="23" t="s">
        <v>334</v>
      </c>
      <c r="Y60" s="7">
        <v>4767</v>
      </c>
      <c r="Z60" s="24">
        <v>31</v>
      </c>
      <c r="AA60" s="23" t="s">
        <v>130</v>
      </c>
      <c r="AB60" s="34">
        <v>-0.65834800000000004</v>
      </c>
      <c r="AC60" s="35">
        <v>1.9127999999999999E-2</v>
      </c>
      <c r="AD60" s="28" t="s">
        <v>146</v>
      </c>
      <c r="AE60" s="31">
        <f t="shared" si="11"/>
        <v>0.68700238352760978</v>
      </c>
      <c r="AF60" s="31">
        <f t="shared" si="12"/>
        <v>0.73069956651460177</v>
      </c>
      <c r="AG60" s="25">
        <v>0.79</v>
      </c>
      <c r="AH60" s="10">
        <v>0.02</v>
      </c>
      <c r="AI60" s="31">
        <v>0.03</v>
      </c>
      <c r="AJ60" s="24" t="s">
        <v>60</v>
      </c>
      <c r="AK60" s="23" t="s">
        <v>130</v>
      </c>
      <c r="AL60" s="5">
        <v>4.54</v>
      </c>
      <c r="AM60" s="31">
        <v>0.08</v>
      </c>
      <c r="AN60" s="23" t="s">
        <v>130</v>
      </c>
      <c r="AO60" s="36">
        <v>-4.5540000000000003</v>
      </c>
      <c r="AP60" s="23" t="s">
        <v>318</v>
      </c>
      <c r="AQ60" s="37">
        <f t="shared" si="13"/>
        <v>0.46862558977657376</v>
      </c>
      <c r="AR60" s="38">
        <f t="shared" si="14"/>
        <v>53.589538731223158</v>
      </c>
      <c r="AS60" s="39">
        <f t="shared" si="15"/>
        <v>5.2694446817354106E-10</v>
      </c>
      <c r="AT60" s="40">
        <f t="shared" si="16"/>
        <v>29.170587875804237</v>
      </c>
      <c r="AU60" s="41">
        <f t="shared" si="17"/>
        <v>131.83272865863518</v>
      </c>
      <c r="AV60" s="42">
        <f t="shared" si="18"/>
        <v>14.79162758225217</v>
      </c>
      <c r="AW60" s="31">
        <f t="shared" si="19"/>
        <v>0.20374129824941525</v>
      </c>
      <c r="AX60" s="43" t="s">
        <v>1102</v>
      </c>
      <c r="AY60" s="24" t="s">
        <v>2</v>
      </c>
      <c r="AZ60" s="44">
        <v>58.9</v>
      </c>
      <c r="BA60" s="45">
        <v>3.45</v>
      </c>
      <c r="BB60" s="24" t="s">
        <v>134</v>
      </c>
      <c r="BC60" s="28" t="s">
        <v>1</v>
      </c>
      <c r="BD60" s="50" t="s">
        <v>4</v>
      </c>
    </row>
    <row r="61" spans="1:56" ht="15.75" customHeight="1">
      <c r="A61" s="23" t="s">
        <v>931</v>
      </c>
      <c r="B61" s="14" t="s">
        <v>930</v>
      </c>
      <c r="C61" s="24" t="s">
        <v>1</v>
      </c>
      <c r="D61" s="23" t="s">
        <v>932</v>
      </c>
      <c r="E61" s="25" t="s">
        <v>933</v>
      </c>
      <c r="F61" s="23" t="s">
        <v>934</v>
      </c>
      <c r="G61" s="25" t="s">
        <v>935</v>
      </c>
      <c r="H61" s="25" t="s">
        <v>936</v>
      </c>
      <c r="I61" s="26">
        <f t="shared" si="10"/>
        <v>17.404652959922306</v>
      </c>
      <c r="J61" s="27">
        <v>57.4559</v>
      </c>
      <c r="K61" s="27">
        <v>9.0700000000000003E-2</v>
      </c>
      <c r="L61" s="28" t="s">
        <v>124</v>
      </c>
      <c r="M61" s="29">
        <v>103.82777649493001</v>
      </c>
      <c r="N61" s="29">
        <f>25.37569543139</f>
        <v>25.37569543139</v>
      </c>
      <c r="O61" s="30">
        <v>5.7629999999999999</v>
      </c>
      <c r="P61" s="31">
        <v>4.0000000000000001E-3</v>
      </c>
      <c r="Q61" s="32" t="s">
        <v>125</v>
      </c>
      <c r="R61" s="31">
        <v>0.57299999999999995</v>
      </c>
      <c r="S61" s="31">
        <v>0.01</v>
      </c>
      <c r="T61" s="32" t="s">
        <v>126</v>
      </c>
      <c r="U61" s="33">
        <v>5.4</v>
      </c>
      <c r="V61" s="25" t="s">
        <v>166</v>
      </c>
      <c r="W61" s="23" t="s">
        <v>178</v>
      </c>
      <c r="X61" s="23" t="s">
        <v>334</v>
      </c>
      <c r="Y61" s="7">
        <v>5924</v>
      </c>
      <c r="Z61" s="24">
        <v>17</v>
      </c>
      <c r="AA61" s="23" t="s">
        <v>130</v>
      </c>
      <c r="AB61" s="34">
        <v>0.111679</v>
      </c>
      <c r="AC61" s="35">
        <v>1.2311600000000001E-2</v>
      </c>
      <c r="AD61" s="28" t="s">
        <v>146</v>
      </c>
      <c r="AE61" s="31">
        <f t="shared" si="11"/>
        <v>1.0795231199743294</v>
      </c>
      <c r="AF61" s="31">
        <f t="shared" si="12"/>
        <v>0.57689020728566742</v>
      </c>
      <c r="AG61" s="25">
        <v>1.08</v>
      </c>
      <c r="AH61" s="10">
        <v>-0.12</v>
      </c>
      <c r="AI61" s="31">
        <v>0.02</v>
      </c>
      <c r="AJ61" s="24" t="s">
        <v>60</v>
      </c>
      <c r="AK61" s="23" t="s">
        <v>130</v>
      </c>
      <c r="AL61" s="5">
        <v>4.4400000000000004</v>
      </c>
      <c r="AM61" s="23">
        <v>0.04</v>
      </c>
      <c r="AN61" s="23" t="s">
        <v>130</v>
      </c>
      <c r="AO61" s="36">
        <v>-4.96</v>
      </c>
      <c r="AP61" s="23" t="s">
        <v>180</v>
      </c>
      <c r="AQ61" s="37">
        <f t="shared" si="13"/>
        <v>1.1372069363788468</v>
      </c>
      <c r="AR61" s="38">
        <f t="shared" si="14"/>
        <v>65.339248015889382</v>
      </c>
      <c r="AS61" s="39">
        <f t="shared" si="15"/>
        <v>8.9482446549039646E-11</v>
      </c>
      <c r="AT61" s="40">
        <f t="shared" si="16"/>
        <v>30.520655375804239</v>
      </c>
      <c r="AU61" s="41">
        <f t="shared" si="17"/>
        <v>426.23112372137831</v>
      </c>
      <c r="AV61" s="42">
        <f t="shared" si="18"/>
        <v>8.1210256406180132</v>
      </c>
      <c r="AW61" s="31">
        <f t="shared" si="19"/>
        <v>0.1817090333289122</v>
      </c>
      <c r="AX61" s="43" t="s">
        <v>1</v>
      </c>
      <c r="AY61" s="24" t="s">
        <v>1</v>
      </c>
      <c r="AZ61" s="44" t="s">
        <v>1</v>
      </c>
      <c r="BA61" s="45" t="s">
        <v>1</v>
      </c>
      <c r="BB61" s="24" t="s">
        <v>134</v>
      </c>
      <c r="BC61" s="28" t="s">
        <v>1</v>
      </c>
      <c r="BD61" s="24" t="s">
        <v>3</v>
      </c>
    </row>
    <row r="62" spans="1:56" ht="18" customHeight="1">
      <c r="A62" s="23" t="s">
        <v>924</v>
      </c>
      <c r="B62" s="14" t="s">
        <v>923</v>
      </c>
      <c r="C62" s="24" t="s">
        <v>1</v>
      </c>
      <c r="D62" s="23" t="s">
        <v>925</v>
      </c>
      <c r="E62" s="25" t="s">
        <v>926</v>
      </c>
      <c r="F62" s="23" t="s">
        <v>927</v>
      </c>
      <c r="G62" s="25" t="s">
        <v>1</v>
      </c>
      <c r="H62" s="25" t="s">
        <v>928</v>
      </c>
      <c r="I62" s="26">
        <f t="shared" si="10"/>
        <v>17.0592570352376</v>
      </c>
      <c r="J62" s="27">
        <v>58.619199999999999</v>
      </c>
      <c r="K62" s="27">
        <v>4.7699999999999999E-2</v>
      </c>
      <c r="L62" s="28" t="s">
        <v>124</v>
      </c>
      <c r="M62" s="29">
        <v>105.988813423455</v>
      </c>
      <c r="N62" s="29">
        <v>-43.6080349610192</v>
      </c>
      <c r="O62" s="30">
        <v>5.56</v>
      </c>
      <c r="P62" s="31">
        <v>0.01</v>
      </c>
      <c r="Q62" s="32" t="s">
        <v>126</v>
      </c>
      <c r="R62" s="31">
        <v>0.624</v>
      </c>
      <c r="S62" s="31">
        <v>8.9999999999999993E-3</v>
      </c>
      <c r="T62" s="32" t="s">
        <v>126</v>
      </c>
      <c r="U62" s="33">
        <v>5.181</v>
      </c>
      <c r="V62" s="25" t="s">
        <v>189</v>
      </c>
      <c r="W62" s="23" t="s">
        <v>287</v>
      </c>
      <c r="X62" s="23" t="s">
        <v>129</v>
      </c>
      <c r="Y62" s="7">
        <v>5790</v>
      </c>
      <c r="Z62" s="24">
        <v>15</v>
      </c>
      <c r="AA62" s="23" t="s">
        <v>130</v>
      </c>
      <c r="AB62" s="34">
        <v>0.173096</v>
      </c>
      <c r="AC62" s="35">
        <v>1.1539799999999999E-2</v>
      </c>
      <c r="AD62" s="28" t="s">
        <v>146</v>
      </c>
      <c r="AE62" s="31">
        <f t="shared" si="11"/>
        <v>1.2128676714051994</v>
      </c>
      <c r="AF62" s="31">
        <f t="shared" si="12"/>
        <v>0.66127163522989008</v>
      </c>
      <c r="AG62" s="25">
        <v>1.04</v>
      </c>
      <c r="AH62" s="10">
        <v>-0.22</v>
      </c>
      <c r="AI62" s="31">
        <v>0.03</v>
      </c>
      <c r="AJ62" s="24" t="s">
        <v>60</v>
      </c>
      <c r="AK62" s="23" t="s">
        <v>130</v>
      </c>
      <c r="AL62" s="5">
        <v>4.33</v>
      </c>
      <c r="AM62" s="31">
        <v>0.04</v>
      </c>
      <c r="AN62" s="23" t="s">
        <v>130</v>
      </c>
      <c r="AO62" s="36">
        <v>-4.93</v>
      </c>
      <c r="AP62" s="23" t="s">
        <v>147</v>
      </c>
      <c r="AQ62" s="37">
        <f t="shared" si="13"/>
        <v>1.2205287111082208</v>
      </c>
      <c r="AR62" s="38">
        <f t="shared" si="14"/>
        <v>71.546416622195011</v>
      </c>
      <c r="AS62" s="39">
        <f t="shared" si="15"/>
        <v>7.768208072255724E-11</v>
      </c>
      <c r="AT62" s="40">
        <f t="shared" si="16"/>
        <v>30.455197875804238</v>
      </c>
      <c r="AU62" s="41">
        <f t="shared" si="17"/>
        <v>482.95105280845513</v>
      </c>
      <c r="AV62" s="42">
        <f t="shared" si="18"/>
        <v>7.9882535263027572</v>
      </c>
      <c r="AW62" s="31">
        <f t="shared" si="19"/>
        <v>0.20662396417301593</v>
      </c>
      <c r="AX62" s="43" t="s">
        <v>929</v>
      </c>
      <c r="AY62" s="24" t="s">
        <v>2</v>
      </c>
      <c r="AZ62" s="44">
        <v>21.3</v>
      </c>
      <c r="BA62" s="45">
        <v>1.07</v>
      </c>
      <c r="BB62" s="24" t="s">
        <v>134</v>
      </c>
      <c r="BC62" s="28" t="s">
        <v>1</v>
      </c>
      <c r="BD62" s="24" t="s">
        <v>3</v>
      </c>
    </row>
    <row r="63" spans="1:56" ht="15.75" customHeight="1">
      <c r="A63" s="23" t="s">
        <v>918</v>
      </c>
      <c r="B63" s="14" t="s">
        <v>917</v>
      </c>
      <c r="C63" s="24" t="s">
        <v>1</v>
      </c>
      <c r="D63" s="23" t="s">
        <v>919</v>
      </c>
      <c r="E63" s="25" t="s">
        <v>920</v>
      </c>
      <c r="F63" s="23" t="s">
        <v>921</v>
      </c>
      <c r="G63" s="25" t="s">
        <v>1</v>
      </c>
      <c r="H63" s="25" t="s">
        <v>922</v>
      </c>
      <c r="I63" s="26">
        <f t="shared" si="10"/>
        <v>16.85181190681622</v>
      </c>
      <c r="J63" s="27">
        <v>59.340800000000002</v>
      </c>
      <c r="K63" s="27">
        <v>5.3499999999999999E-2</v>
      </c>
      <c r="L63" s="28" t="s">
        <v>124</v>
      </c>
      <c r="M63" s="29">
        <v>108.95891323603</v>
      </c>
      <c r="N63" s="29">
        <f>47.23996344559</f>
        <v>47.23996344559</v>
      </c>
      <c r="O63" s="30">
        <v>5.5590000000000002</v>
      </c>
      <c r="P63" s="31">
        <v>3.0000000000000001E-3</v>
      </c>
      <c r="Q63" s="32" t="s">
        <v>125</v>
      </c>
      <c r="R63" s="31">
        <v>0.57599999999999996</v>
      </c>
      <c r="S63" s="31">
        <v>2E-3</v>
      </c>
      <c r="T63" s="32" t="s">
        <v>126</v>
      </c>
      <c r="U63" s="33">
        <v>5.19</v>
      </c>
      <c r="V63" s="25" t="s">
        <v>166</v>
      </c>
      <c r="W63" s="23" t="s">
        <v>190</v>
      </c>
      <c r="X63" s="23" t="s">
        <v>334</v>
      </c>
      <c r="Y63" s="7">
        <v>5902</v>
      </c>
      <c r="Z63" s="24">
        <v>14</v>
      </c>
      <c r="AA63" s="23" t="s">
        <v>130</v>
      </c>
      <c r="AB63" s="34">
        <v>0.165185</v>
      </c>
      <c r="AC63" s="35">
        <v>1.2477800000000001E-2</v>
      </c>
      <c r="AD63" s="28" t="s">
        <v>146</v>
      </c>
      <c r="AE63" s="31">
        <f t="shared" si="11"/>
        <v>1.1566890848354012</v>
      </c>
      <c r="AF63" s="31">
        <f t="shared" si="12"/>
        <v>0.63840550201768598</v>
      </c>
      <c r="AG63" s="25">
        <v>1.1399999999999999</v>
      </c>
      <c r="AH63" s="10">
        <v>-0.32</v>
      </c>
      <c r="AI63" s="31">
        <v>0.02</v>
      </c>
      <c r="AJ63" s="24" t="s">
        <v>60</v>
      </c>
      <c r="AK63" s="23" t="s">
        <v>130</v>
      </c>
      <c r="AL63" s="5">
        <v>4.32</v>
      </c>
      <c r="AM63" s="31">
        <v>0.03</v>
      </c>
      <c r="AN63" s="23" t="s">
        <v>130</v>
      </c>
      <c r="AO63" s="36">
        <v>-4.95</v>
      </c>
      <c r="AP63" s="23" t="s">
        <v>180</v>
      </c>
      <c r="AQ63" s="37">
        <f t="shared" si="13"/>
        <v>1.2094627579217159</v>
      </c>
      <c r="AR63" s="38">
        <f t="shared" si="14"/>
        <v>71.770487625280964</v>
      </c>
      <c r="AS63" s="39">
        <f t="shared" si="15"/>
        <v>7.9110084733379916E-11</v>
      </c>
      <c r="AT63" s="40">
        <f t="shared" si="16"/>
        <v>30.444420375804238</v>
      </c>
      <c r="AU63" s="41">
        <f t="shared" si="17"/>
        <v>455.02379803039338</v>
      </c>
      <c r="AV63" s="42">
        <f t="shared" si="18"/>
        <v>7.6646765757306019</v>
      </c>
      <c r="AW63" s="31">
        <f t="shared" si="19"/>
        <v>0.18908940147495912</v>
      </c>
      <c r="AX63" s="43" t="s">
        <v>1</v>
      </c>
      <c r="AY63" s="24" t="s">
        <v>1</v>
      </c>
      <c r="AZ63" s="44" t="s">
        <v>1</v>
      </c>
      <c r="BA63" s="45" t="s">
        <v>1</v>
      </c>
      <c r="BB63" s="24" t="s">
        <v>134</v>
      </c>
      <c r="BC63" s="28" t="s">
        <v>1</v>
      </c>
      <c r="BD63" s="24" t="s">
        <v>3</v>
      </c>
    </row>
    <row r="64" spans="1:56" ht="21" customHeight="1">
      <c r="A64" s="23" t="s">
        <v>954</v>
      </c>
      <c r="B64" s="14" t="s">
        <v>953</v>
      </c>
      <c r="C64" s="24" t="s">
        <v>1</v>
      </c>
      <c r="D64" s="23" t="s">
        <v>955</v>
      </c>
      <c r="E64" s="25" t="s">
        <v>956</v>
      </c>
      <c r="F64" s="23" t="s">
        <v>957</v>
      </c>
      <c r="G64" s="25" t="s">
        <v>958</v>
      </c>
      <c r="H64" s="25" t="s">
        <v>959</v>
      </c>
      <c r="I64" s="26">
        <f t="shared" si="10"/>
        <v>20.402125901518939</v>
      </c>
      <c r="J64" s="27">
        <v>49.014499999999998</v>
      </c>
      <c r="K64" s="27">
        <v>0.1406</v>
      </c>
      <c r="L64" s="28" t="s">
        <v>124</v>
      </c>
      <c r="M64" s="29">
        <v>112.48315488244</v>
      </c>
      <c r="N64" s="29">
        <f>49.67245940035</f>
        <v>49.67245940035</v>
      </c>
      <c r="O64" s="30">
        <v>5.35</v>
      </c>
      <c r="P64" s="31">
        <v>0.01</v>
      </c>
      <c r="Q64" s="32" t="s">
        <v>126</v>
      </c>
      <c r="R64" s="31">
        <v>0.47</v>
      </c>
      <c r="S64" s="31">
        <v>3.0000000000000001E-3</v>
      </c>
      <c r="T64" s="32" t="s">
        <v>126</v>
      </c>
      <c r="U64" s="33">
        <v>5.0469999999999997</v>
      </c>
      <c r="V64" s="25" t="s">
        <v>189</v>
      </c>
      <c r="W64" s="23" t="s">
        <v>344</v>
      </c>
      <c r="X64" s="23" t="s">
        <v>277</v>
      </c>
      <c r="Y64" s="7">
        <v>6349</v>
      </c>
      <c r="Z64" s="24">
        <v>25</v>
      </c>
      <c r="AA64" s="23" t="s">
        <v>130</v>
      </c>
      <c r="AB64" s="34">
        <v>0.38823999999999997</v>
      </c>
      <c r="AC64" s="35">
        <v>1.60941E-2</v>
      </c>
      <c r="AD64" s="28" t="s">
        <v>146</v>
      </c>
      <c r="AE64" s="31">
        <f t="shared" si="11"/>
        <v>1.2922064174516696</v>
      </c>
      <c r="AF64" s="31">
        <f t="shared" si="12"/>
        <v>0.58909190814441459</v>
      </c>
      <c r="AG64" s="25">
        <v>1.1599999999999999</v>
      </c>
      <c r="AH64" s="10">
        <v>-0.28000000000000003</v>
      </c>
      <c r="AI64" s="31">
        <v>0.03</v>
      </c>
      <c r="AJ64" s="24" t="s">
        <v>60</v>
      </c>
      <c r="AK64" s="23" t="s">
        <v>130</v>
      </c>
      <c r="AL64" s="5">
        <v>4.29</v>
      </c>
      <c r="AM64" s="31">
        <v>0.04</v>
      </c>
      <c r="AN64" s="23" t="s">
        <v>130</v>
      </c>
      <c r="AO64" s="36">
        <v>-4.8789999999999996</v>
      </c>
      <c r="AP64" s="23" t="s">
        <v>960</v>
      </c>
      <c r="AQ64" s="37">
        <f t="shared" si="13"/>
        <v>1.5635796159727382</v>
      </c>
      <c r="AR64" s="38">
        <f t="shared" si="14"/>
        <v>76.638073087095762</v>
      </c>
      <c r="AS64" s="39">
        <f t="shared" si="15"/>
        <v>4.7334397079822042E-11</v>
      </c>
      <c r="AT64" s="40">
        <f t="shared" si="16"/>
        <v>30.859057875804236</v>
      </c>
      <c r="AU64" s="41">
        <f t="shared" si="17"/>
        <v>663.0538363557248</v>
      </c>
      <c r="AV64" s="42">
        <f t="shared" si="18"/>
        <v>6.6827238449131139</v>
      </c>
      <c r="AW64" s="31">
        <f t="shared" si="19"/>
        <v>0.19843246577511703</v>
      </c>
      <c r="AX64" s="43" t="s">
        <v>961</v>
      </c>
      <c r="AY64" s="24" t="s">
        <v>2</v>
      </c>
      <c r="AZ64" s="44">
        <v>183.3</v>
      </c>
      <c r="BA64" s="45">
        <v>4.68</v>
      </c>
      <c r="BB64" s="24" t="s">
        <v>134</v>
      </c>
      <c r="BC64" s="28" t="s">
        <v>1</v>
      </c>
      <c r="BD64" s="24" t="s">
        <v>3</v>
      </c>
    </row>
    <row r="65" spans="1:56" ht="15.75" customHeight="1">
      <c r="A65" s="23" t="s">
        <v>1065</v>
      </c>
      <c r="B65" s="14" t="s">
        <v>1064</v>
      </c>
      <c r="C65" s="24" t="s">
        <v>2</v>
      </c>
      <c r="D65" s="23" t="s">
        <v>1066</v>
      </c>
      <c r="E65" s="25" t="s">
        <v>1067</v>
      </c>
      <c r="F65" s="23" t="s">
        <v>1068</v>
      </c>
      <c r="G65" s="25" t="s">
        <v>1069</v>
      </c>
      <c r="H65" s="25" t="s">
        <v>1070</v>
      </c>
      <c r="I65" s="26">
        <f t="shared" si="10"/>
        <v>18.327404418004111</v>
      </c>
      <c r="J65" s="27">
        <v>54.563099999999999</v>
      </c>
      <c r="K65" s="27">
        <v>6.6500000000000004E-2</v>
      </c>
      <c r="L65" s="28" t="s">
        <v>124</v>
      </c>
      <c r="M65" s="29">
        <v>118.06526235821499</v>
      </c>
      <c r="N65" s="29">
        <v>-34.705439917952802</v>
      </c>
      <c r="O65" s="30">
        <v>5.085</v>
      </c>
      <c r="P65" s="31">
        <v>4.0000000000000001E-3</v>
      </c>
      <c r="Q65" s="32" t="s">
        <v>429</v>
      </c>
      <c r="R65" s="31">
        <v>0.45900000000000002</v>
      </c>
      <c r="S65" s="31">
        <v>8.9999999999999993E-3</v>
      </c>
      <c r="T65" s="32" t="s">
        <v>429</v>
      </c>
      <c r="U65" s="33">
        <v>4.7729999999999997</v>
      </c>
      <c r="V65" s="25" t="s">
        <v>189</v>
      </c>
      <c r="W65" s="23" t="s">
        <v>1071</v>
      </c>
      <c r="X65" s="23" t="s">
        <v>145</v>
      </c>
      <c r="Y65" s="7">
        <v>6525</v>
      </c>
      <c r="Z65" s="24">
        <v>80</v>
      </c>
      <c r="AA65" s="28" t="s">
        <v>1055</v>
      </c>
      <c r="AB65" s="34">
        <v>0.40426600000000001</v>
      </c>
      <c r="AC65" s="35">
        <v>1.7294500000000001E-2</v>
      </c>
      <c r="AD65" s="28" t="s">
        <v>146</v>
      </c>
      <c r="AE65" s="31">
        <f t="shared" si="11"/>
        <v>1.2462194229384946</v>
      </c>
      <c r="AF65" s="31">
        <f t="shared" si="12"/>
        <v>0.63244117870366323</v>
      </c>
      <c r="AG65" s="25">
        <v>1.33</v>
      </c>
      <c r="AH65" s="10">
        <v>-0.08</v>
      </c>
      <c r="AI65" s="31">
        <v>0.06</v>
      </c>
      <c r="AJ65" s="24" t="s">
        <v>60</v>
      </c>
      <c r="AK65" s="23" t="s">
        <v>316</v>
      </c>
      <c r="AL65" s="5">
        <v>4.2759999999999998</v>
      </c>
      <c r="AM65" s="31">
        <v>8.6999999999999994E-2</v>
      </c>
      <c r="AN65" s="23" t="s">
        <v>1072</v>
      </c>
      <c r="AO65" s="36">
        <v>-4.3630000000000004</v>
      </c>
      <c r="AP65" s="23" t="s">
        <v>145</v>
      </c>
      <c r="AQ65" s="37">
        <f t="shared" si="13"/>
        <v>1.5926964058002788</v>
      </c>
      <c r="AR65" s="38">
        <f t="shared" si="14"/>
        <v>86.902453259321192</v>
      </c>
      <c r="AS65" s="39">
        <f t="shared" si="15"/>
        <v>4.561953452515663E-11</v>
      </c>
      <c r="AT65" s="40">
        <f t="shared" si="16"/>
        <v>30.625122875804237</v>
      </c>
      <c r="AU65" s="41">
        <f t="shared" si="17"/>
        <v>636.60708294562698</v>
      </c>
      <c r="AV65" s="42">
        <f t="shared" si="18"/>
        <v>6.1837253043688349</v>
      </c>
      <c r="AW65" s="31">
        <f t="shared" si="19"/>
        <v>0.19624858649785826</v>
      </c>
      <c r="AX65" s="43" t="s">
        <v>1073</v>
      </c>
      <c r="AY65" s="24" t="s">
        <v>2</v>
      </c>
      <c r="AZ65" s="44">
        <v>3.9</v>
      </c>
      <c r="BA65" s="45">
        <v>3.47</v>
      </c>
      <c r="BB65" s="24" t="s">
        <v>134</v>
      </c>
      <c r="BC65" s="28" t="s">
        <v>1</v>
      </c>
      <c r="BD65" s="50" t="s">
        <v>4</v>
      </c>
    </row>
    <row r="66" spans="1:56" ht="18.75" customHeight="1">
      <c r="A66" s="23" t="s">
        <v>826</v>
      </c>
      <c r="B66" s="14" t="s">
        <v>825</v>
      </c>
      <c r="C66" s="24" t="s">
        <v>2</v>
      </c>
      <c r="D66" s="23" t="s">
        <v>827</v>
      </c>
      <c r="E66" s="25" t="s">
        <v>828</v>
      </c>
      <c r="F66" s="23" t="s">
        <v>829</v>
      </c>
      <c r="G66" s="25" t="s">
        <v>1</v>
      </c>
      <c r="H66" s="25" t="s">
        <v>830</v>
      </c>
      <c r="I66" s="26">
        <f t="shared" si="10"/>
        <v>16.171809302024712</v>
      </c>
      <c r="J66" s="27">
        <v>61.835999999999999</v>
      </c>
      <c r="K66" s="27">
        <v>4.1700000000000001E-2</v>
      </c>
      <c r="L66" s="28" t="s">
        <v>124</v>
      </c>
      <c r="M66" s="29">
        <v>119.44547624683</v>
      </c>
      <c r="N66" s="29">
        <v>-60.303071929140799</v>
      </c>
      <c r="O66" s="30">
        <v>5.5919999999999996</v>
      </c>
      <c r="P66" s="31">
        <v>7.0000000000000001E-3</v>
      </c>
      <c r="Q66" s="32" t="s">
        <v>125</v>
      </c>
      <c r="R66" s="31">
        <v>0.57299999999999995</v>
      </c>
      <c r="S66" s="31">
        <v>8.9999999999999993E-3</v>
      </c>
      <c r="T66" s="32" t="s">
        <v>126</v>
      </c>
      <c r="U66" s="33">
        <v>5.28</v>
      </c>
      <c r="V66" s="25" t="s">
        <v>143</v>
      </c>
      <c r="W66" s="23" t="s">
        <v>208</v>
      </c>
      <c r="X66" s="23" t="s">
        <v>145</v>
      </c>
      <c r="Y66" s="7">
        <v>5997</v>
      </c>
      <c r="Z66" s="24">
        <v>16</v>
      </c>
      <c r="AA66" s="23" t="s">
        <v>130</v>
      </c>
      <c r="AB66" s="34">
        <v>0.11058999999999999</v>
      </c>
      <c r="AC66" s="35">
        <v>1.26147E-2</v>
      </c>
      <c r="AD66" s="28" t="s">
        <v>146</v>
      </c>
      <c r="AE66" s="31">
        <f t="shared" si="11"/>
        <v>1.0520816600216181</v>
      </c>
      <c r="AF66" s="31">
        <f t="shared" si="12"/>
        <v>0.60508644696628855</v>
      </c>
      <c r="AG66" s="25">
        <v>1.1100000000000001</v>
      </c>
      <c r="AH66" s="10">
        <v>-0.31</v>
      </c>
      <c r="AI66" s="31">
        <v>0.02</v>
      </c>
      <c r="AJ66" s="24" t="s">
        <v>60</v>
      </c>
      <c r="AK66" s="23" t="s">
        <v>130</v>
      </c>
      <c r="AL66" s="5">
        <v>4.5199999999999996</v>
      </c>
      <c r="AM66" s="31">
        <v>0.03</v>
      </c>
      <c r="AN66" s="23" t="s">
        <v>130</v>
      </c>
      <c r="AO66" s="36">
        <v>-4.79</v>
      </c>
      <c r="AP66" s="23" t="s">
        <v>147</v>
      </c>
      <c r="AQ66" s="37">
        <f t="shared" si="13"/>
        <v>1.1357820479777363</v>
      </c>
      <c r="AR66" s="38">
        <f t="shared" si="14"/>
        <v>70.232218718751298</v>
      </c>
      <c r="AS66" s="39">
        <f t="shared" si="15"/>
        <v>8.9707106692519877E-11</v>
      </c>
      <c r="AT66" s="40">
        <f t="shared" si="16"/>
        <v>30.397932875804241</v>
      </c>
      <c r="AU66" s="41">
        <f t="shared" si="17"/>
        <v>419.64185429273954</v>
      </c>
      <c r="AV66" s="42">
        <f t="shared" si="18"/>
        <v>8.0155535530806326</v>
      </c>
      <c r="AW66" s="31">
        <f t="shared" si="19"/>
        <v>0.19003760623601967</v>
      </c>
      <c r="AX66" s="43" t="s">
        <v>831</v>
      </c>
      <c r="AY66" s="24" t="s">
        <v>2</v>
      </c>
      <c r="AZ66" s="44">
        <v>60.6</v>
      </c>
      <c r="BA66" s="45">
        <v>4.47</v>
      </c>
      <c r="BB66" s="24" t="s">
        <v>134</v>
      </c>
      <c r="BC66" s="28" t="s">
        <v>1</v>
      </c>
      <c r="BD66" s="24" t="s">
        <v>3</v>
      </c>
    </row>
    <row r="67" spans="1:56" ht="15.75" customHeight="1">
      <c r="A67" s="23" t="s">
        <v>1032</v>
      </c>
      <c r="B67" s="14" t="s">
        <v>1031</v>
      </c>
      <c r="C67" s="24" t="s">
        <v>1</v>
      </c>
      <c r="D67" s="23" t="s">
        <v>1033</v>
      </c>
      <c r="E67" s="25" t="s">
        <v>1034</v>
      </c>
      <c r="F67" s="23" t="s">
        <v>1035</v>
      </c>
      <c r="G67" s="25" t="s">
        <v>1</v>
      </c>
      <c r="H67" s="25" t="s">
        <v>1033</v>
      </c>
      <c r="I67" s="26">
        <f t="shared" ref="I67:I98" si="20">1000/$J67</f>
        <v>12.579360037637445</v>
      </c>
      <c r="J67" s="27">
        <v>79.4953</v>
      </c>
      <c r="K67" s="27">
        <v>0.04</v>
      </c>
      <c r="L67" s="28" t="s">
        <v>124</v>
      </c>
      <c r="M67" s="29">
        <v>124.599779034336</v>
      </c>
      <c r="N67" s="29">
        <v>-12.632171440980599</v>
      </c>
      <c r="O67" s="30">
        <v>5.9509999999999996</v>
      </c>
      <c r="P67" s="31">
        <v>3.0000000000000001E-3</v>
      </c>
      <c r="Q67" s="32" t="s">
        <v>125</v>
      </c>
      <c r="R67" s="31">
        <v>0.75700000000000001</v>
      </c>
      <c r="S67" s="31">
        <v>6.0000000000000001E-3</v>
      </c>
      <c r="T67" s="32" t="s">
        <v>142</v>
      </c>
      <c r="U67" s="33">
        <v>5.5250000000000004</v>
      </c>
      <c r="V67" s="25" t="s">
        <v>143</v>
      </c>
      <c r="W67" s="23" t="s">
        <v>1036</v>
      </c>
      <c r="X67" s="23" t="s">
        <v>145</v>
      </c>
      <c r="Y67" s="7">
        <v>5423</v>
      </c>
      <c r="Z67" s="24">
        <v>9</v>
      </c>
      <c r="AA67" s="23" t="s">
        <v>130</v>
      </c>
      <c r="AB67" s="34">
        <v>-0.21645400000000001</v>
      </c>
      <c r="AC67" s="35">
        <v>1.0501399999999999E-2</v>
      </c>
      <c r="AD67" s="28" t="s">
        <v>146</v>
      </c>
      <c r="AE67" s="31">
        <f t="shared" ref="AE67:AE98" si="21">(10^$AB67)^(1/2)/($Y67/5771.8)^2</f>
        <v>0.88290980293778054</v>
      </c>
      <c r="AF67" s="31">
        <f t="shared" ref="AF67:AF98" si="22">1000*206264.8063*2*$AE67*695700/((1000/$J67)*206264.8063*149597870.7)</f>
        <v>0.65280636227275735</v>
      </c>
      <c r="AG67" s="25">
        <v>0.93</v>
      </c>
      <c r="AH67" s="10">
        <v>-0.03</v>
      </c>
      <c r="AI67" s="31">
        <v>0.01</v>
      </c>
      <c r="AJ67" s="24" t="s">
        <v>60</v>
      </c>
      <c r="AK67" s="23" t="s">
        <v>130</v>
      </c>
      <c r="AL67" s="5">
        <v>4.53</v>
      </c>
      <c r="AM67" s="31">
        <v>0.02</v>
      </c>
      <c r="AN67" s="23" t="s">
        <v>149</v>
      </c>
      <c r="AO67" s="36">
        <v>-4.9870000000000001</v>
      </c>
      <c r="AP67" s="23" t="s">
        <v>191</v>
      </c>
      <c r="AQ67" s="37">
        <f t="shared" ref="AQ67:AQ98" si="23">SQRT(10^AB67)</f>
        <v>0.77942261011250646</v>
      </c>
      <c r="AR67" s="38">
        <f t="shared" ref="AR67:AR98" si="24">1000*$AQ67/I67</f>
        <v>61.960434217676742</v>
      </c>
      <c r="AS67" s="39">
        <f t="shared" ref="AS67:AS98" si="25">0.2*(1/3.14159265358)*(6378.136^2/(SQRT(10^(AB67))*149597870.7)^2)</f>
        <v>1.9048941570526674E-10</v>
      </c>
      <c r="AT67" s="40">
        <f t="shared" ref="AT67:AT98" si="26">$U67 - 2.5*LOG10($AS67)</f>
        <v>29.82532287580424</v>
      </c>
      <c r="AU67" s="41">
        <f t="shared" ref="AU67:AU98" si="27">365.25636*$AQ67^1.5 / $AG67^0.5</f>
        <v>260.6248440903579</v>
      </c>
      <c r="AV67" s="42">
        <f t="shared" ref="AV67:AV98" si="28">9 * $AG67^(-2/3) * ($AU67/365.25636)^(-1/3)</f>
        <v>10.5709625723503</v>
      </c>
      <c r="AW67" s="31">
        <f t="shared" ref="AW67:AW98" si="29">((398600441800000/($AG67*132712440042000000000))*$AQ67/$I67)/0.000001</f>
        <v>0.20010486417154966</v>
      </c>
      <c r="AX67" s="43" t="s">
        <v>1037</v>
      </c>
      <c r="AY67" s="24" t="s">
        <v>2</v>
      </c>
      <c r="AZ67" s="44">
        <v>6.9</v>
      </c>
      <c r="BA67" s="45">
        <v>13.44</v>
      </c>
      <c r="BB67" s="24" t="s">
        <v>5</v>
      </c>
      <c r="BC67" s="46" t="s">
        <v>615</v>
      </c>
      <c r="BD67" s="50" t="s">
        <v>4</v>
      </c>
    </row>
    <row r="68" spans="1:56" ht="17.25" customHeight="1">
      <c r="A68" s="23" t="s">
        <v>757</v>
      </c>
      <c r="B68" s="14" t="s">
        <v>756</v>
      </c>
      <c r="C68" s="24" t="s">
        <v>1</v>
      </c>
      <c r="D68" s="23" t="s">
        <v>758</v>
      </c>
      <c r="E68" s="25" t="s">
        <v>759</v>
      </c>
      <c r="F68" s="23" t="s">
        <v>760</v>
      </c>
      <c r="G68" s="25" t="s">
        <v>761</v>
      </c>
      <c r="H68" s="25" t="s">
        <v>762</v>
      </c>
      <c r="I68" s="26">
        <f t="shared" si="20"/>
        <v>18.223267832834321</v>
      </c>
      <c r="J68" s="27">
        <v>54.874899999999997</v>
      </c>
      <c r="K68" s="27">
        <v>9.06E-2</v>
      </c>
      <c r="L68" s="28" t="s">
        <v>124</v>
      </c>
      <c r="M68" s="29">
        <v>125.016086501065</v>
      </c>
      <c r="N68" s="29">
        <f>27.2177050477481</f>
        <v>27.217705047748101</v>
      </c>
      <c r="O68" s="30">
        <v>5.13</v>
      </c>
      <c r="P68" s="31">
        <v>0.01</v>
      </c>
      <c r="Q68" s="32" t="s">
        <v>126</v>
      </c>
      <c r="R68" s="31">
        <v>0.48699999999999999</v>
      </c>
      <c r="S68" s="31">
        <v>4.0000000000000001E-3</v>
      </c>
      <c r="T68" s="32" t="s">
        <v>126</v>
      </c>
      <c r="U68" s="33">
        <v>4.8499999999999996</v>
      </c>
      <c r="V68" s="25" t="s">
        <v>166</v>
      </c>
      <c r="W68" s="23" t="s">
        <v>344</v>
      </c>
      <c r="X68" s="23" t="s">
        <v>334</v>
      </c>
      <c r="Y68" s="7">
        <v>6269</v>
      </c>
      <c r="Z68" s="24">
        <v>18</v>
      </c>
      <c r="AA68" s="23" t="s">
        <v>130</v>
      </c>
      <c r="AB68" s="34">
        <v>0.38478699999999999</v>
      </c>
      <c r="AC68" s="35">
        <v>1.50858E-2</v>
      </c>
      <c r="AD68" s="28" t="s">
        <v>146</v>
      </c>
      <c r="AE68" s="31">
        <f t="shared" si="21"/>
        <v>1.3201385339566598</v>
      </c>
      <c r="AF68" s="31">
        <f t="shared" si="22"/>
        <v>0.67378267042077122</v>
      </c>
      <c r="AG68" s="25">
        <v>1.25</v>
      </c>
      <c r="AH68" s="10">
        <v>-0.28000000000000003</v>
      </c>
      <c r="AI68" s="31">
        <v>0.02</v>
      </c>
      <c r="AJ68" s="24" t="s">
        <v>60</v>
      </c>
      <c r="AK68" s="23" t="s">
        <v>130</v>
      </c>
      <c r="AL68" s="5">
        <v>4.3</v>
      </c>
      <c r="AM68" s="31">
        <v>0.03</v>
      </c>
      <c r="AN68" s="23" t="s">
        <v>149</v>
      </c>
      <c r="AO68" s="36">
        <v>-4.8250000000000002</v>
      </c>
      <c r="AP68" s="23" t="s">
        <v>191</v>
      </c>
      <c r="AQ68" s="37">
        <f t="shared" si="23"/>
        <v>1.5573760799652761</v>
      </c>
      <c r="AR68" s="38">
        <f t="shared" si="24"/>
        <v>85.460856650486519</v>
      </c>
      <c r="AS68" s="39">
        <f t="shared" si="25"/>
        <v>4.7712244760409668E-11</v>
      </c>
      <c r="AT68" s="40">
        <f t="shared" si="26"/>
        <v>30.65342537580424</v>
      </c>
      <c r="AU68" s="41">
        <f t="shared" si="27"/>
        <v>634.94050093427563</v>
      </c>
      <c r="AV68" s="42">
        <f t="shared" si="28"/>
        <v>6.4504609871816765</v>
      </c>
      <c r="AW68" s="31">
        <f t="shared" si="29"/>
        <v>0.20534463962359401</v>
      </c>
      <c r="AX68" s="43" t="s">
        <v>1</v>
      </c>
      <c r="AY68" s="24" t="s">
        <v>1</v>
      </c>
      <c r="AZ68" s="44" t="s">
        <v>1</v>
      </c>
      <c r="BA68" s="45" t="s">
        <v>1</v>
      </c>
      <c r="BB68" s="24" t="s">
        <v>134</v>
      </c>
      <c r="BC68" s="28" t="s">
        <v>1</v>
      </c>
      <c r="BD68" s="24" t="s">
        <v>3</v>
      </c>
    </row>
    <row r="69" spans="1:56" ht="15.75" customHeight="1">
      <c r="A69" s="23" t="s">
        <v>1302</v>
      </c>
      <c r="B69" s="14" t="s">
        <v>1301</v>
      </c>
      <c r="C69" s="24" t="s">
        <v>1</v>
      </c>
      <c r="D69" s="23" t="s">
        <v>1303</v>
      </c>
      <c r="E69" s="25" t="s">
        <v>1304</v>
      </c>
      <c r="F69" s="23" t="s">
        <v>1305</v>
      </c>
      <c r="G69" s="25" t="s">
        <v>1</v>
      </c>
      <c r="H69" s="25" t="s">
        <v>1306</v>
      </c>
      <c r="I69" s="26">
        <f t="shared" si="20"/>
        <v>12.164266251459711</v>
      </c>
      <c r="J69" s="27">
        <v>82.207999999999998</v>
      </c>
      <c r="K69" s="27">
        <v>1.78E-2</v>
      </c>
      <c r="L69" s="28" t="s">
        <v>124</v>
      </c>
      <c r="M69" s="29">
        <v>128.21456533470001</v>
      </c>
      <c r="N69" s="29">
        <v>-31.5008513778658</v>
      </c>
      <c r="O69" s="30">
        <v>6.3780000000000001</v>
      </c>
      <c r="P69" s="31">
        <v>1E-3</v>
      </c>
      <c r="Q69" s="32" t="s">
        <v>125</v>
      </c>
      <c r="R69" s="31">
        <v>0.78400000000000003</v>
      </c>
      <c r="S69" s="31">
        <v>5.0000000000000001E-3</v>
      </c>
      <c r="T69" s="32" t="s">
        <v>142</v>
      </c>
      <c r="U69" s="33">
        <v>5.91</v>
      </c>
      <c r="V69" s="25" t="s">
        <v>166</v>
      </c>
      <c r="W69" s="23" t="s">
        <v>242</v>
      </c>
      <c r="X69" s="23" t="s">
        <v>129</v>
      </c>
      <c r="Y69" s="7">
        <v>5261</v>
      </c>
      <c r="Z69" s="24">
        <v>14</v>
      </c>
      <c r="AA69" s="23" t="s">
        <v>130</v>
      </c>
      <c r="AB69" s="34">
        <v>-0.39408100000000001</v>
      </c>
      <c r="AC69" s="35">
        <v>8.8892099999999998E-3</v>
      </c>
      <c r="AD69" s="28" t="s">
        <v>146</v>
      </c>
      <c r="AE69" s="31">
        <f t="shared" si="21"/>
        <v>0.76461963117326859</v>
      </c>
      <c r="AF69" s="31">
        <f t="shared" si="22"/>
        <v>0.58463675298681428</v>
      </c>
      <c r="AG69" s="25">
        <v>0.85</v>
      </c>
      <c r="AH69" s="10">
        <v>-0.39</v>
      </c>
      <c r="AI69" s="31">
        <v>0.01</v>
      </c>
      <c r="AJ69" s="24" t="s">
        <v>60</v>
      </c>
      <c r="AK69" s="23" t="s">
        <v>130</v>
      </c>
      <c r="AL69" s="5">
        <v>4.5599999999999996</v>
      </c>
      <c r="AM69" s="31">
        <v>0.03</v>
      </c>
      <c r="AN69" s="23" t="s">
        <v>130</v>
      </c>
      <c r="AO69" s="36">
        <v>-4.9459999999999997</v>
      </c>
      <c r="AP69" s="23" t="s">
        <v>191</v>
      </c>
      <c r="AQ69" s="37">
        <f t="shared" si="23"/>
        <v>0.63527168702113757</v>
      </c>
      <c r="AR69" s="38">
        <f t="shared" si="24"/>
        <v>52.224414846633685</v>
      </c>
      <c r="AS69" s="39">
        <f t="shared" si="25"/>
        <v>2.8674631778795186E-10</v>
      </c>
      <c r="AT69" s="40">
        <f t="shared" si="26"/>
        <v>29.766255375804239</v>
      </c>
      <c r="AU69" s="41">
        <f t="shared" si="27"/>
        <v>200.59845045265462</v>
      </c>
      <c r="AV69" s="42">
        <f t="shared" si="28"/>
        <v>12.247664932835498</v>
      </c>
      <c r="AW69" s="31">
        <f t="shared" si="29"/>
        <v>0.18453587075428324</v>
      </c>
      <c r="AX69" s="43" t="s">
        <v>1</v>
      </c>
      <c r="AY69" s="24" t="s">
        <v>1</v>
      </c>
      <c r="AZ69" s="44" t="s">
        <v>1</v>
      </c>
      <c r="BA69" s="45" t="s">
        <v>1</v>
      </c>
      <c r="BB69" s="24" t="s">
        <v>134</v>
      </c>
      <c r="BC69" s="28" t="s">
        <v>1</v>
      </c>
      <c r="BD69" s="50" t="s">
        <v>4</v>
      </c>
    </row>
    <row r="70" spans="1:56" ht="15.75" customHeight="1">
      <c r="A70" s="23" t="s">
        <v>785</v>
      </c>
      <c r="B70" s="14" t="s">
        <v>784</v>
      </c>
      <c r="C70" s="24" t="s">
        <v>1</v>
      </c>
      <c r="D70" s="23" t="s">
        <v>786</v>
      </c>
      <c r="E70" s="25" t="s">
        <v>787</v>
      </c>
      <c r="F70" s="23" t="s">
        <v>788</v>
      </c>
      <c r="G70" s="25" t="s">
        <v>789</v>
      </c>
      <c r="H70" s="25" t="s">
        <v>790</v>
      </c>
      <c r="I70" s="26">
        <f t="shared" si="20"/>
        <v>14.438848588458162</v>
      </c>
      <c r="J70" s="27">
        <v>69.257599999999996</v>
      </c>
      <c r="K70" s="27">
        <v>4.8500000000000001E-2</v>
      </c>
      <c r="L70" s="28" t="s">
        <v>124</v>
      </c>
      <c r="M70" s="29">
        <v>129.79876921370001</v>
      </c>
      <c r="N70" s="29">
        <f>65.02090642292</f>
        <v>65.020906422920007</v>
      </c>
      <c r="O70" s="30">
        <v>5.63</v>
      </c>
      <c r="P70" s="31">
        <v>0.01</v>
      </c>
      <c r="Q70" s="32" t="s">
        <v>126</v>
      </c>
      <c r="R70" s="31">
        <v>0.61799999999999999</v>
      </c>
      <c r="S70" s="31">
        <v>3.0000000000000001E-3</v>
      </c>
      <c r="T70" s="32" t="s">
        <v>126</v>
      </c>
      <c r="U70" s="33">
        <v>5.26</v>
      </c>
      <c r="V70" s="25" t="s">
        <v>166</v>
      </c>
      <c r="W70" s="23" t="s">
        <v>791</v>
      </c>
      <c r="X70" s="23" t="s">
        <v>277</v>
      </c>
      <c r="Y70" s="7">
        <v>5893</v>
      </c>
      <c r="Z70" s="24">
        <v>14</v>
      </c>
      <c r="AA70" s="23" t="s">
        <v>130</v>
      </c>
      <c r="AB70" s="34">
        <v>-1.1802399999999999E-2</v>
      </c>
      <c r="AC70" s="35">
        <v>1.17541E-2</v>
      </c>
      <c r="AD70" s="28" t="s">
        <v>146</v>
      </c>
      <c r="AE70" s="31">
        <f t="shared" si="21"/>
        <v>0.94634276346729884</v>
      </c>
      <c r="AF70" s="31">
        <f t="shared" si="22"/>
        <v>0.60959653565050342</v>
      </c>
      <c r="AG70" s="25">
        <v>1.075</v>
      </c>
      <c r="AH70" s="10">
        <v>-7.0000000000000007E-2</v>
      </c>
      <c r="AI70" s="31">
        <v>0.02</v>
      </c>
      <c r="AJ70" s="24" t="s">
        <v>60</v>
      </c>
      <c r="AK70" s="23" t="s">
        <v>130</v>
      </c>
      <c r="AL70" s="5">
        <v>4.53</v>
      </c>
      <c r="AM70" s="31">
        <v>0.03</v>
      </c>
      <c r="AN70" s="23" t="s">
        <v>130</v>
      </c>
      <c r="AO70" s="36">
        <v>-4.375</v>
      </c>
      <c r="AP70" s="23" t="s">
        <v>132</v>
      </c>
      <c r="AQ70" s="37">
        <f t="shared" si="23"/>
        <v>0.98650388520836385</v>
      </c>
      <c r="AR70" s="38">
        <f t="shared" si="24"/>
        <v>68.322891480206778</v>
      </c>
      <c r="AS70" s="39">
        <f t="shared" si="25"/>
        <v>1.1891023836176294E-10</v>
      </c>
      <c r="AT70" s="40">
        <f t="shared" si="26"/>
        <v>30.071951875804238</v>
      </c>
      <c r="AU70" s="41">
        <f t="shared" si="27"/>
        <v>345.17692431871734</v>
      </c>
      <c r="AV70" s="42">
        <f t="shared" si="28"/>
        <v>8.7395460951180226</v>
      </c>
      <c r="AW70" s="31">
        <f t="shared" si="29"/>
        <v>0.19089032399812378</v>
      </c>
      <c r="AX70" s="43" t="s">
        <v>1</v>
      </c>
      <c r="AY70" s="24" t="s">
        <v>1</v>
      </c>
      <c r="AZ70" s="44" t="s">
        <v>1</v>
      </c>
      <c r="BA70" s="45" t="s">
        <v>1</v>
      </c>
      <c r="BB70" s="24" t="s">
        <v>5</v>
      </c>
      <c r="BC70" s="46" t="s">
        <v>615</v>
      </c>
      <c r="BD70" s="24" t="s">
        <v>3</v>
      </c>
    </row>
    <row r="71" spans="1:56" ht="15.75" customHeight="1">
      <c r="A71" s="23" t="s">
        <v>1462</v>
      </c>
      <c r="B71" s="14" t="s">
        <v>1461</v>
      </c>
      <c r="C71" s="24" t="s">
        <v>1</v>
      </c>
      <c r="D71" s="23" t="s">
        <v>1463</v>
      </c>
      <c r="E71" s="25" t="s">
        <v>1</v>
      </c>
      <c r="F71" s="23" t="s">
        <v>1464</v>
      </c>
      <c r="G71" s="25" t="s">
        <v>1</v>
      </c>
      <c r="H71" s="25" t="s">
        <v>1464</v>
      </c>
      <c r="I71" s="26">
        <f t="shared" si="20"/>
        <v>11.191666237652795</v>
      </c>
      <c r="J71" s="27">
        <v>89.352199999999996</v>
      </c>
      <c r="K71" s="27">
        <v>1.5100000000000001E-2</v>
      </c>
      <c r="L71" s="28" t="s">
        <v>124</v>
      </c>
      <c r="M71" s="29">
        <v>130.82512654871499</v>
      </c>
      <c r="N71" s="29">
        <v>-38.882380790930597</v>
      </c>
      <c r="O71" s="30">
        <v>6.556</v>
      </c>
      <c r="P71" s="31">
        <v>6.0000000000000001E-3</v>
      </c>
      <c r="Q71" s="32" t="s">
        <v>125</v>
      </c>
      <c r="R71" s="31">
        <v>0.93200000000000005</v>
      </c>
      <c r="S71" s="31">
        <v>2E-3</v>
      </c>
      <c r="T71" s="32" t="s">
        <v>142</v>
      </c>
      <c r="U71" s="33">
        <v>6.0419999999999998</v>
      </c>
      <c r="V71" s="25" t="s">
        <v>143</v>
      </c>
      <c r="W71" s="23" t="s">
        <v>1459</v>
      </c>
      <c r="X71" s="23" t="s">
        <v>145</v>
      </c>
      <c r="Y71" s="7">
        <v>4992</v>
      </c>
      <c r="Z71" s="24">
        <v>22</v>
      </c>
      <c r="AA71" s="23" t="s">
        <v>130</v>
      </c>
      <c r="AB71" s="34">
        <v>-0.49820199999999998</v>
      </c>
      <c r="AC71" s="35">
        <v>1.04289E-2</v>
      </c>
      <c r="AD71" s="28" t="s">
        <v>146</v>
      </c>
      <c r="AE71" s="31">
        <f t="shared" si="21"/>
        <v>0.75330767866680637</v>
      </c>
      <c r="AF71" s="31">
        <f t="shared" si="22"/>
        <v>0.62604309719052342</v>
      </c>
      <c r="AG71" s="25">
        <v>0.76</v>
      </c>
      <c r="AH71" s="10">
        <v>0.01</v>
      </c>
      <c r="AI71" s="31">
        <v>0.04</v>
      </c>
      <c r="AJ71" s="24" t="s">
        <v>60</v>
      </c>
      <c r="AK71" s="23" t="s">
        <v>130</v>
      </c>
      <c r="AL71" s="5">
        <v>4.5999999999999996</v>
      </c>
      <c r="AM71" s="31">
        <v>0.05</v>
      </c>
      <c r="AN71" s="23" t="s">
        <v>130</v>
      </c>
      <c r="AO71" s="36">
        <v>-4.351</v>
      </c>
      <c r="AP71" s="23" t="s">
        <v>318</v>
      </c>
      <c r="AQ71" s="37">
        <f t="shared" si="23"/>
        <v>0.56350659087676958</v>
      </c>
      <c r="AR71" s="38">
        <f t="shared" si="24"/>
        <v>50.350553609339286</v>
      </c>
      <c r="AS71" s="39">
        <f t="shared" si="25"/>
        <v>3.6443396796883997E-10</v>
      </c>
      <c r="AT71" s="40">
        <f t="shared" si="26"/>
        <v>29.637952875804238</v>
      </c>
      <c r="AU71" s="41">
        <f t="shared" si="27"/>
        <v>177.23091949274792</v>
      </c>
      <c r="AV71" s="42">
        <f t="shared" si="28"/>
        <v>13.752644388868534</v>
      </c>
      <c r="AW71" s="31">
        <f t="shared" si="29"/>
        <v>0.19898337800694724</v>
      </c>
      <c r="AX71" s="43" t="s">
        <v>1</v>
      </c>
      <c r="AY71" s="24" t="s">
        <v>1</v>
      </c>
      <c r="AZ71" s="44" t="s">
        <v>1</v>
      </c>
      <c r="BA71" s="45" t="s">
        <v>1</v>
      </c>
      <c r="BB71" s="24" t="s">
        <v>134</v>
      </c>
      <c r="BC71" s="28" t="s">
        <v>1</v>
      </c>
      <c r="BD71" s="50" t="s">
        <v>4</v>
      </c>
    </row>
    <row r="72" spans="1:56" ht="19.5" customHeight="1">
      <c r="A72" s="23" t="s">
        <v>1039</v>
      </c>
      <c r="B72" s="14" t="s">
        <v>1038</v>
      </c>
      <c r="C72" s="24" t="s">
        <v>2</v>
      </c>
      <c r="D72" s="23" t="s">
        <v>1040</v>
      </c>
      <c r="E72" s="25" t="s">
        <v>1041</v>
      </c>
      <c r="F72" s="23" t="s">
        <v>1042</v>
      </c>
      <c r="G72" s="25" t="s">
        <v>1043</v>
      </c>
      <c r="H72" s="25" t="s">
        <v>1044</v>
      </c>
      <c r="I72" s="26">
        <f t="shared" si="20"/>
        <v>12.58681757421817</v>
      </c>
      <c r="J72" s="27">
        <v>79.4482</v>
      </c>
      <c r="K72" s="27">
        <v>4.2900000000000001E-2</v>
      </c>
      <c r="L72" s="28" t="s">
        <v>124</v>
      </c>
      <c r="M72" s="29">
        <v>133.149212935017</v>
      </c>
      <c r="N72" s="29">
        <f>28.3308208317972</f>
        <v>28.330820831797201</v>
      </c>
      <c r="O72" s="30">
        <v>5.96</v>
      </c>
      <c r="P72" s="31">
        <v>0.01</v>
      </c>
      <c r="Q72" s="32" t="s">
        <v>126</v>
      </c>
      <c r="R72" s="31">
        <v>0.86</v>
      </c>
      <c r="S72" s="31">
        <v>0.01</v>
      </c>
      <c r="T72" s="32" t="s">
        <v>142</v>
      </c>
      <c r="U72" s="33">
        <v>5.49</v>
      </c>
      <c r="V72" s="25" t="s">
        <v>166</v>
      </c>
      <c r="W72" s="23" t="s">
        <v>1045</v>
      </c>
      <c r="X72" s="23" t="s">
        <v>334</v>
      </c>
      <c r="Y72" s="7">
        <v>5292</v>
      </c>
      <c r="Z72" s="24">
        <v>43</v>
      </c>
      <c r="AA72" s="23" t="s">
        <v>130</v>
      </c>
      <c r="AB72" s="34">
        <v>-0.19695299999999999</v>
      </c>
      <c r="AC72" s="35">
        <v>1.1443399999999999E-2</v>
      </c>
      <c r="AD72" s="28" t="s">
        <v>146</v>
      </c>
      <c r="AE72" s="31">
        <f t="shared" si="21"/>
        <v>0.94821402934079346</v>
      </c>
      <c r="AF72" s="31">
        <f t="shared" si="22"/>
        <v>0.7006756511458021</v>
      </c>
      <c r="AG72" s="25">
        <v>0.95</v>
      </c>
      <c r="AH72" s="10">
        <v>0.32</v>
      </c>
      <c r="AI72" s="31">
        <v>0.02</v>
      </c>
      <c r="AJ72" s="24" t="s">
        <v>60</v>
      </c>
      <c r="AK72" s="23" t="s">
        <v>130</v>
      </c>
      <c r="AL72" s="5">
        <v>4.4000000000000004</v>
      </c>
      <c r="AM72" s="31">
        <v>0.02</v>
      </c>
      <c r="AN72" s="23" t="s">
        <v>130</v>
      </c>
      <c r="AO72" s="36">
        <v>-4.9909999999999997</v>
      </c>
      <c r="AP72" s="23" t="s">
        <v>191</v>
      </c>
      <c r="AQ72" s="37">
        <f t="shared" si="23"/>
        <v>0.7971196221636897</v>
      </c>
      <c r="AR72" s="38">
        <f t="shared" si="24"/>
        <v>63.329719165585246</v>
      </c>
      <c r="AS72" s="39">
        <f t="shared" si="25"/>
        <v>1.8212511947533006E-10</v>
      </c>
      <c r="AT72" s="40">
        <f t="shared" si="26"/>
        <v>29.839075375804235</v>
      </c>
      <c r="AU72" s="41">
        <f t="shared" si="27"/>
        <v>266.69890595902018</v>
      </c>
      <c r="AV72" s="42">
        <f t="shared" si="28"/>
        <v>10.342343473980106</v>
      </c>
      <c r="AW72" s="31">
        <f t="shared" si="29"/>
        <v>0.20022121775379345</v>
      </c>
      <c r="AX72" s="43" t="s">
        <v>1046</v>
      </c>
      <c r="AY72" s="24" t="s">
        <v>2</v>
      </c>
      <c r="AZ72" s="44">
        <v>85.1</v>
      </c>
      <c r="BA72" s="45">
        <v>7.11</v>
      </c>
      <c r="BB72" s="24" t="s">
        <v>134</v>
      </c>
      <c r="BC72" s="28" t="s">
        <v>1</v>
      </c>
      <c r="BD72" s="50" t="s">
        <v>4</v>
      </c>
    </row>
    <row r="73" spans="1:56" ht="18" customHeight="1">
      <c r="A73" s="23" t="s">
        <v>1338</v>
      </c>
      <c r="B73" s="14" t="s">
        <v>1337</v>
      </c>
      <c r="C73" s="24" t="s">
        <v>1</v>
      </c>
      <c r="D73" s="23" t="s">
        <v>1339</v>
      </c>
      <c r="E73" s="25" t="s">
        <v>1340</v>
      </c>
      <c r="F73" s="23" t="s">
        <v>1341</v>
      </c>
      <c r="G73" s="25" t="s">
        <v>1</v>
      </c>
      <c r="H73" s="25" t="s">
        <v>1342</v>
      </c>
      <c r="I73" s="26">
        <f t="shared" si="20"/>
        <v>16.846503087121693</v>
      </c>
      <c r="J73" s="27">
        <v>59.359499999999997</v>
      </c>
      <c r="K73" s="27">
        <v>4.0800000000000003E-2</v>
      </c>
      <c r="L73" s="28" t="s">
        <v>124</v>
      </c>
      <c r="M73" s="29">
        <v>133.574779568623</v>
      </c>
      <c r="N73" s="29">
        <v>-5.4344595273585998</v>
      </c>
      <c r="O73" s="30">
        <v>6.008</v>
      </c>
      <c r="P73" s="31">
        <v>5.0000000000000001E-3</v>
      </c>
      <c r="Q73" s="32" t="s">
        <v>125</v>
      </c>
      <c r="R73" s="31">
        <v>0.66100000000000003</v>
      </c>
      <c r="S73" s="31">
        <v>1.2E-2</v>
      </c>
      <c r="T73" s="32" t="s">
        <v>126</v>
      </c>
      <c r="U73" s="33">
        <v>5.64</v>
      </c>
      <c r="V73" s="25" t="s">
        <v>143</v>
      </c>
      <c r="W73" s="23" t="s">
        <v>233</v>
      </c>
      <c r="X73" s="23" t="s">
        <v>129</v>
      </c>
      <c r="Y73" s="7">
        <v>5780</v>
      </c>
      <c r="Z73" s="24">
        <v>9</v>
      </c>
      <c r="AA73" s="23" t="s">
        <v>130</v>
      </c>
      <c r="AB73" s="34">
        <v>-1.26958E-2</v>
      </c>
      <c r="AC73" s="35">
        <v>1.1508900000000001E-2</v>
      </c>
      <c r="AD73" s="28" t="s">
        <v>146</v>
      </c>
      <c r="AE73" s="31">
        <f t="shared" si="21"/>
        <v>0.98269550797719063</v>
      </c>
      <c r="AF73" s="31">
        <f t="shared" si="22"/>
        <v>0.54254503308001434</v>
      </c>
      <c r="AG73" s="25">
        <v>1.02</v>
      </c>
      <c r="AH73" s="10">
        <v>0.1</v>
      </c>
      <c r="AI73" s="31">
        <v>0.01</v>
      </c>
      <c r="AJ73" s="23" t="s">
        <v>60</v>
      </c>
      <c r="AK73" s="23" t="s">
        <v>130</v>
      </c>
      <c r="AL73" s="5">
        <v>4.49</v>
      </c>
      <c r="AM73" s="31">
        <v>0.02</v>
      </c>
      <c r="AN73" s="23" t="s">
        <v>130</v>
      </c>
      <c r="AO73" s="36">
        <v>-4.6589999999999998</v>
      </c>
      <c r="AP73" s="23" t="s">
        <v>132</v>
      </c>
      <c r="AQ73" s="37">
        <f t="shared" si="23"/>
        <v>0.98548972373019894</v>
      </c>
      <c r="AR73" s="38">
        <f t="shared" si="24"/>
        <v>58.498177255762741</v>
      </c>
      <c r="AS73" s="39">
        <f t="shared" si="25"/>
        <v>1.1915510389728415E-10</v>
      </c>
      <c r="AT73" s="40">
        <f t="shared" si="26"/>
        <v>30.449718375804238</v>
      </c>
      <c r="AU73" s="41">
        <f t="shared" si="27"/>
        <v>353.81468228597174</v>
      </c>
      <c r="AV73" s="42">
        <f t="shared" si="28"/>
        <v>8.9766930176083672</v>
      </c>
      <c r="AW73" s="31">
        <f t="shared" si="29"/>
        <v>0.17225359871004242</v>
      </c>
      <c r="AX73" s="43" t="s">
        <v>1</v>
      </c>
      <c r="AY73" s="24" t="s">
        <v>1</v>
      </c>
      <c r="AZ73" s="44" t="s">
        <v>1</v>
      </c>
      <c r="BA73" s="45" t="s">
        <v>1</v>
      </c>
      <c r="BB73" s="24" t="s">
        <v>5</v>
      </c>
      <c r="BC73" s="46" t="s">
        <v>615</v>
      </c>
      <c r="BD73" s="50" t="s">
        <v>4</v>
      </c>
    </row>
    <row r="74" spans="1:56" ht="15.75" customHeight="1">
      <c r="A74" s="23" t="s">
        <v>1393</v>
      </c>
      <c r="B74" s="14" t="s">
        <v>1392</v>
      </c>
      <c r="C74" s="24" t="s">
        <v>1</v>
      </c>
      <c r="D74" s="23" t="s">
        <v>1394</v>
      </c>
      <c r="E74" s="25" t="s">
        <v>1395</v>
      </c>
      <c r="F74" s="23" t="s">
        <v>1396</v>
      </c>
      <c r="G74" s="25" t="s">
        <v>1</v>
      </c>
      <c r="H74" s="25" t="s">
        <v>1397</v>
      </c>
      <c r="I74" s="26">
        <f t="shared" si="20"/>
        <v>18.949837884136901</v>
      </c>
      <c r="J74" s="27">
        <v>52.770899999999997</v>
      </c>
      <c r="K74" s="27">
        <v>3.09E-2</v>
      </c>
      <c r="L74" s="28" t="s">
        <v>124</v>
      </c>
      <c r="M74" s="29">
        <v>137.21279325767</v>
      </c>
      <c r="N74" s="29">
        <f>33.88221843094</f>
        <v>33.88221843094</v>
      </c>
      <c r="O74" s="30">
        <v>5.9619999999999997</v>
      </c>
      <c r="P74" s="31">
        <v>1E-3</v>
      </c>
      <c r="Q74" s="32" t="s">
        <v>125</v>
      </c>
      <c r="R74" s="31">
        <v>0.58499999999999996</v>
      </c>
      <c r="S74" s="31">
        <v>7.0000000000000001E-3</v>
      </c>
      <c r="T74" s="32" t="s">
        <v>126</v>
      </c>
      <c r="U74" s="33">
        <v>5.59</v>
      </c>
      <c r="V74" s="25" t="s">
        <v>166</v>
      </c>
      <c r="W74" s="23" t="s">
        <v>1366</v>
      </c>
      <c r="X74" s="23" t="s">
        <v>334</v>
      </c>
      <c r="Y74" s="7">
        <v>5992</v>
      </c>
      <c r="Z74" s="24">
        <v>20</v>
      </c>
      <c r="AA74" s="23" t="s">
        <v>130</v>
      </c>
      <c r="AB74" s="34">
        <v>0.102921</v>
      </c>
      <c r="AC74" s="35">
        <v>1.3108399999999999E-2</v>
      </c>
      <c r="AD74" s="28" t="s">
        <v>146</v>
      </c>
      <c r="AE74" s="31">
        <f t="shared" si="21"/>
        <v>1.044574544746727</v>
      </c>
      <c r="AF74" s="31">
        <f t="shared" si="22"/>
        <v>0.51269670502517417</v>
      </c>
      <c r="AG74" s="25">
        <v>1.08</v>
      </c>
      <c r="AH74" s="10">
        <v>0.04</v>
      </c>
      <c r="AI74" s="31">
        <v>0.02</v>
      </c>
      <c r="AJ74" s="24" t="s">
        <v>60</v>
      </c>
      <c r="AK74" s="23" t="s">
        <v>130</v>
      </c>
      <c r="AL74" s="5">
        <v>4.5</v>
      </c>
      <c r="AM74" s="31">
        <v>0.04</v>
      </c>
      <c r="AN74" s="23" t="s">
        <v>130</v>
      </c>
      <c r="AO74" s="36">
        <v>-4.6079999999999997</v>
      </c>
      <c r="AP74" s="23" t="s">
        <v>132</v>
      </c>
      <c r="AQ74" s="37">
        <f t="shared" si="23"/>
        <v>1.1257980705270674</v>
      </c>
      <c r="AR74" s="38">
        <f t="shared" si="24"/>
        <v>59.409377399976826</v>
      </c>
      <c r="AS74" s="39">
        <f t="shared" si="25"/>
        <v>9.1305270969168985E-11</v>
      </c>
      <c r="AT74" s="40">
        <f t="shared" si="26"/>
        <v>30.68876037580424</v>
      </c>
      <c r="AU74" s="41">
        <f t="shared" si="27"/>
        <v>419.83308386198615</v>
      </c>
      <c r="AV74" s="42">
        <f t="shared" si="28"/>
        <v>8.16207125208593</v>
      </c>
      <c r="AW74" s="31">
        <f t="shared" si="29"/>
        <v>0.1652180100909196</v>
      </c>
      <c r="AX74" s="43" t="s">
        <v>1</v>
      </c>
      <c r="AY74" s="24" t="s">
        <v>1</v>
      </c>
      <c r="AZ74" s="44" t="s">
        <v>1</v>
      </c>
      <c r="BA74" s="45" t="s">
        <v>1</v>
      </c>
      <c r="BB74" s="24" t="s">
        <v>134</v>
      </c>
      <c r="BC74" s="28" t="s">
        <v>1</v>
      </c>
      <c r="BD74" s="50" t="s">
        <v>4</v>
      </c>
    </row>
    <row r="75" spans="1:56" ht="15.75" customHeight="1">
      <c r="A75" s="23" t="s">
        <v>1244</v>
      </c>
      <c r="B75" s="14" t="s">
        <v>1243</v>
      </c>
      <c r="C75" s="24" t="s">
        <v>2</v>
      </c>
      <c r="D75" s="23" t="s">
        <v>1245</v>
      </c>
      <c r="E75" s="25" t="s">
        <v>1246</v>
      </c>
      <c r="F75" s="23" t="s">
        <v>1247</v>
      </c>
      <c r="G75" s="25" t="s">
        <v>1248</v>
      </c>
      <c r="H75" s="25" t="s">
        <v>1249</v>
      </c>
      <c r="I75" s="26">
        <f t="shared" si="20"/>
        <v>20.516860756169418</v>
      </c>
      <c r="J75" s="27">
        <v>48.740400000000001</v>
      </c>
      <c r="K75" s="27">
        <v>7.6300000000000007E-2</v>
      </c>
      <c r="L75" s="28" t="s">
        <v>124</v>
      </c>
      <c r="M75" s="29">
        <v>137.59811110645001</v>
      </c>
      <c r="N75" s="29">
        <f>67.13401715901</f>
        <v>67.13401715901</v>
      </c>
      <c r="O75" s="30">
        <v>4.8090000000000002</v>
      </c>
      <c r="P75" s="31">
        <v>2E-3</v>
      </c>
      <c r="Q75" s="32" t="s">
        <v>429</v>
      </c>
      <c r="R75" s="31">
        <v>0.48599999999999999</v>
      </c>
      <c r="S75" s="31">
        <v>5.0000000000000001E-3</v>
      </c>
      <c r="T75" s="32" t="s">
        <v>142</v>
      </c>
      <c r="U75" s="33">
        <v>4.5199999999999996</v>
      </c>
      <c r="V75" s="25" t="s">
        <v>166</v>
      </c>
      <c r="W75" s="23" t="s">
        <v>276</v>
      </c>
      <c r="X75" s="23" t="s">
        <v>580</v>
      </c>
      <c r="Y75" s="7">
        <v>6325</v>
      </c>
      <c r="Z75" s="24">
        <v>42</v>
      </c>
      <c r="AA75" s="23" t="s">
        <v>130</v>
      </c>
      <c r="AB75" s="34">
        <v>0.609649</v>
      </c>
      <c r="AC75" s="35">
        <v>1.57003E-2</v>
      </c>
      <c r="AD75" s="28" t="s">
        <v>146</v>
      </c>
      <c r="AE75" s="31">
        <f t="shared" si="21"/>
        <v>1.6800646267947557</v>
      </c>
      <c r="AF75" s="31">
        <f t="shared" si="22"/>
        <v>0.76162582922050814</v>
      </c>
      <c r="AG75" s="25">
        <v>1.21</v>
      </c>
      <c r="AH75" s="10">
        <v>-0.02</v>
      </c>
      <c r="AI75" s="31">
        <v>0.04</v>
      </c>
      <c r="AJ75" s="24" t="s">
        <v>60</v>
      </c>
      <c r="AK75" s="23" t="s">
        <v>130</v>
      </c>
      <c r="AL75" s="5">
        <v>4.07</v>
      </c>
      <c r="AM75" s="31">
        <v>7.0000000000000007E-2</v>
      </c>
      <c r="AN75" s="23" t="s">
        <v>526</v>
      </c>
      <c r="AO75" s="36">
        <v>-4.9009999999999998</v>
      </c>
      <c r="AP75" s="23" t="s">
        <v>318</v>
      </c>
      <c r="AQ75" s="37">
        <f t="shared" si="23"/>
        <v>2.0175508991759004</v>
      </c>
      <c r="AR75" s="38">
        <f t="shared" si="24"/>
        <v>98.336237846193072</v>
      </c>
      <c r="AS75" s="39">
        <f t="shared" si="25"/>
        <v>2.8429410188251022E-11</v>
      </c>
      <c r="AT75" s="40">
        <f t="shared" si="26"/>
        <v>30.885580375804235</v>
      </c>
      <c r="AU75" s="41">
        <f t="shared" si="27"/>
        <v>951.57243206785029</v>
      </c>
      <c r="AV75" s="42">
        <f t="shared" si="28"/>
        <v>5.760200151867636</v>
      </c>
      <c r="AW75" s="31">
        <f t="shared" si="29"/>
        <v>0.24409245773245367</v>
      </c>
      <c r="AX75" s="43" t="s">
        <v>1250</v>
      </c>
      <c r="AY75" s="24" t="s">
        <v>2</v>
      </c>
      <c r="AZ75" s="44">
        <v>4.47</v>
      </c>
      <c r="BA75" s="45">
        <v>3.98</v>
      </c>
      <c r="BB75" s="24" t="s">
        <v>134</v>
      </c>
      <c r="BC75" s="28" t="s">
        <v>1</v>
      </c>
      <c r="BD75" s="50" t="s">
        <v>4</v>
      </c>
    </row>
    <row r="76" spans="1:56" ht="18" customHeight="1">
      <c r="A76" s="23" t="s">
        <v>651</v>
      </c>
      <c r="B76" s="14" t="s">
        <v>650</v>
      </c>
      <c r="C76" s="24" t="s">
        <v>2</v>
      </c>
      <c r="D76" s="23" t="s">
        <v>652</v>
      </c>
      <c r="E76" s="25" t="s">
        <v>653</v>
      </c>
      <c r="F76" s="23" t="s">
        <v>654</v>
      </c>
      <c r="G76" s="25" t="s">
        <v>655</v>
      </c>
      <c r="H76" s="25" t="s">
        <v>656</v>
      </c>
      <c r="I76" s="26">
        <f t="shared" si="20"/>
        <v>11.234793706717957</v>
      </c>
      <c r="J76" s="27">
        <v>89.009200000000007</v>
      </c>
      <c r="K76" s="27">
        <v>9.3700000000000006E-2</v>
      </c>
      <c r="L76" s="28" t="s">
        <v>124</v>
      </c>
      <c r="M76" s="29">
        <v>143.91459247390199</v>
      </c>
      <c r="N76" s="29">
        <f>35.8101325142153</f>
        <v>35.810132514215297</v>
      </c>
      <c r="O76" s="30">
        <v>5.4020000000000001</v>
      </c>
      <c r="P76" s="31">
        <v>5.0000000000000001E-3</v>
      </c>
      <c r="Q76" s="32" t="s">
        <v>125</v>
      </c>
      <c r="R76" s="31">
        <v>0.77</v>
      </c>
      <c r="S76" s="31">
        <v>2E-3</v>
      </c>
      <c r="T76" s="32" t="s">
        <v>126</v>
      </c>
      <c r="U76" s="33">
        <v>4.97</v>
      </c>
      <c r="V76" s="25" t="s">
        <v>166</v>
      </c>
      <c r="W76" s="23" t="s">
        <v>657</v>
      </c>
      <c r="X76" s="23" t="s">
        <v>129</v>
      </c>
      <c r="Y76" s="7">
        <v>5518</v>
      </c>
      <c r="Z76" s="24">
        <v>21</v>
      </c>
      <c r="AA76" s="23" t="s">
        <v>130</v>
      </c>
      <c r="AB76" s="34">
        <v>-0.105684</v>
      </c>
      <c r="AC76" s="35">
        <v>3.8774999999999999E-3</v>
      </c>
      <c r="AD76" s="28" t="s">
        <v>179</v>
      </c>
      <c r="AE76" s="31">
        <f t="shared" si="21"/>
        <v>0.96876213443864001</v>
      </c>
      <c r="AF76" s="31">
        <f t="shared" si="22"/>
        <v>0.80200788861352912</v>
      </c>
      <c r="AG76" s="25">
        <v>0.94</v>
      </c>
      <c r="AH76" s="10">
        <v>0.34</v>
      </c>
      <c r="AI76" s="31">
        <v>0.02</v>
      </c>
      <c r="AJ76" s="24" t="s">
        <v>60</v>
      </c>
      <c r="AK76" s="23" t="s">
        <v>130</v>
      </c>
      <c r="AL76" s="5">
        <v>4.4400000000000004</v>
      </c>
      <c r="AM76" s="31">
        <v>0.04</v>
      </c>
      <c r="AN76" s="23" t="s">
        <v>130</v>
      </c>
      <c r="AO76" s="36">
        <v>-4.6379999999999999</v>
      </c>
      <c r="AP76" s="23" t="s">
        <v>132</v>
      </c>
      <c r="AQ76" s="37">
        <f t="shared" si="23"/>
        <v>0.88543768094676512</v>
      </c>
      <c r="AR76" s="38">
        <f t="shared" si="24"/>
        <v>78.812099630926809</v>
      </c>
      <c r="AS76" s="39">
        <f t="shared" si="25"/>
        <v>1.47604925420912E-10</v>
      </c>
      <c r="AT76" s="40">
        <f t="shared" si="26"/>
        <v>29.547247875804239</v>
      </c>
      <c r="AU76" s="41">
        <f t="shared" si="27"/>
        <v>313.88521534283359</v>
      </c>
      <c r="AV76" s="42">
        <f t="shared" si="28"/>
        <v>9.8650566298268796</v>
      </c>
      <c r="AW76" s="31">
        <f t="shared" si="29"/>
        <v>0.25182056015992632</v>
      </c>
      <c r="AX76" s="43" t="s">
        <v>658</v>
      </c>
      <c r="AY76" s="24" t="s">
        <v>2</v>
      </c>
      <c r="AZ76" s="44">
        <v>7.13</v>
      </c>
      <c r="BA76" s="45">
        <v>7.7</v>
      </c>
      <c r="BB76" s="24" t="s">
        <v>134</v>
      </c>
      <c r="BC76" s="28" t="s">
        <v>1</v>
      </c>
      <c r="BD76" s="24" t="s">
        <v>3</v>
      </c>
    </row>
    <row r="77" spans="1:56" ht="19.5" customHeight="1">
      <c r="A77" s="23" t="s">
        <v>446</v>
      </c>
      <c r="B77" s="14" t="s">
        <v>445</v>
      </c>
      <c r="C77" s="24" t="s">
        <v>1</v>
      </c>
      <c r="D77" s="23" t="s">
        <v>447</v>
      </c>
      <c r="E77" s="25" t="s">
        <v>448</v>
      </c>
      <c r="F77" s="23" t="s">
        <v>449</v>
      </c>
      <c r="G77" s="25" t="s">
        <v>1</v>
      </c>
      <c r="H77" s="25" t="s">
        <v>450</v>
      </c>
      <c r="I77" s="26">
        <f t="shared" si="20"/>
        <v>14.95154950383283</v>
      </c>
      <c r="J77" s="27">
        <v>66.8827</v>
      </c>
      <c r="K77" s="27">
        <v>0.1123</v>
      </c>
      <c r="L77" s="28" t="s">
        <v>124</v>
      </c>
      <c r="M77" s="29">
        <v>145.56006751220701</v>
      </c>
      <c r="N77" s="29">
        <v>-23.9155672343406</v>
      </c>
      <c r="O77" s="30">
        <v>4.9139999999999997</v>
      </c>
      <c r="P77" s="31">
        <v>1.2E-2</v>
      </c>
      <c r="Q77" s="32" t="s">
        <v>125</v>
      </c>
      <c r="R77" s="31">
        <v>0.53400000000000003</v>
      </c>
      <c r="S77" s="31">
        <v>4.0000000000000001E-3</v>
      </c>
      <c r="T77" s="32" t="s">
        <v>126</v>
      </c>
      <c r="U77" s="33">
        <v>4.6150000000000002</v>
      </c>
      <c r="V77" s="25" t="s">
        <v>143</v>
      </c>
      <c r="W77" s="23" t="s">
        <v>190</v>
      </c>
      <c r="X77" s="23" t="s">
        <v>129</v>
      </c>
      <c r="Y77" s="7">
        <v>6163</v>
      </c>
      <c r="Z77" s="24">
        <v>20</v>
      </c>
      <c r="AA77" s="23" t="s">
        <v>130</v>
      </c>
      <c r="AB77" s="34">
        <v>0.29610999999999998</v>
      </c>
      <c r="AC77" s="35">
        <v>1.40514E-2</v>
      </c>
      <c r="AD77" s="28" t="s">
        <v>146</v>
      </c>
      <c r="AE77" s="31">
        <f t="shared" si="21"/>
        <v>1.23336952178115</v>
      </c>
      <c r="AF77" s="31">
        <f t="shared" si="22"/>
        <v>0.76724416827051034</v>
      </c>
      <c r="AG77" s="25">
        <v>1.1399999999999999</v>
      </c>
      <c r="AH77" s="10">
        <v>-0.06</v>
      </c>
      <c r="AI77" s="31">
        <v>0.02</v>
      </c>
      <c r="AJ77" s="24" t="s">
        <v>60</v>
      </c>
      <c r="AK77" s="23" t="s">
        <v>130</v>
      </c>
      <c r="AL77" s="5">
        <v>4.34</v>
      </c>
      <c r="AM77" s="31">
        <v>0.03</v>
      </c>
      <c r="AN77" s="23" t="s">
        <v>130</v>
      </c>
      <c r="AO77" s="36">
        <v>-5.0229999999999997</v>
      </c>
      <c r="AP77" s="23" t="s">
        <v>191</v>
      </c>
      <c r="AQ77" s="37">
        <f t="shared" si="23"/>
        <v>1.4062256003294558</v>
      </c>
      <c r="AR77" s="38">
        <f t="shared" si="24"/>
        <v>94.052164959154894</v>
      </c>
      <c r="AS77" s="39">
        <f t="shared" si="25"/>
        <v>5.8520341211429205E-11</v>
      </c>
      <c r="AT77" s="40">
        <f t="shared" si="26"/>
        <v>30.196732875804237</v>
      </c>
      <c r="AU77" s="41">
        <f t="shared" si="27"/>
        <v>570.46349864930994</v>
      </c>
      <c r="AV77" s="42">
        <f t="shared" si="28"/>
        <v>7.1082482005461127</v>
      </c>
      <c r="AW77" s="31">
        <f t="shared" si="29"/>
        <v>0.24779360107463258</v>
      </c>
      <c r="AX77" s="43" t="s">
        <v>1</v>
      </c>
      <c r="AY77" s="24" t="s">
        <v>1</v>
      </c>
      <c r="AZ77" s="44" t="s">
        <v>1</v>
      </c>
      <c r="BA77" s="45" t="s">
        <v>1</v>
      </c>
      <c r="BB77" s="24" t="s">
        <v>134</v>
      </c>
      <c r="BC77" s="28" t="s">
        <v>1</v>
      </c>
      <c r="BD77" s="24" t="s">
        <v>2</v>
      </c>
    </row>
    <row r="78" spans="1:56" ht="15.75" customHeight="1">
      <c r="A78" s="23" t="s">
        <v>764</v>
      </c>
      <c r="B78" s="14" t="s">
        <v>763</v>
      </c>
      <c r="C78" s="24" t="s">
        <v>1</v>
      </c>
      <c r="D78" s="23" t="s">
        <v>765</v>
      </c>
      <c r="E78" s="25" t="s">
        <v>766</v>
      </c>
      <c r="F78" s="23" t="s">
        <v>767</v>
      </c>
      <c r="G78" s="25" t="s">
        <v>1</v>
      </c>
      <c r="H78" s="25" t="s">
        <v>768</v>
      </c>
      <c r="I78" s="26">
        <f t="shared" si="20"/>
        <v>18.822572782183308</v>
      </c>
      <c r="J78" s="27">
        <v>53.127699999999997</v>
      </c>
      <c r="K78" s="27">
        <v>7.7299999999999994E-2</v>
      </c>
      <c r="L78" s="28" t="s">
        <v>124</v>
      </c>
      <c r="M78" s="29">
        <v>147.14738061867001</v>
      </c>
      <c r="N78" s="29">
        <f>46.02100739317</f>
        <v>46.021007393170002</v>
      </c>
      <c r="O78" s="30">
        <v>5.0860000000000003</v>
      </c>
      <c r="P78" s="31">
        <v>6.0000000000000001E-3</v>
      </c>
      <c r="Q78" s="32" t="s">
        <v>125</v>
      </c>
      <c r="R78" s="31">
        <v>0.61899999999999999</v>
      </c>
      <c r="S78" s="31">
        <v>7.0000000000000001E-3</v>
      </c>
      <c r="T78" s="32" t="s">
        <v>126</v>
      </c>
      <c r="U78" s="33">
        <v>4.7</v>
      </c>
      <c r="V78" s="25" t="s">
        <v>166</v>
      </c>
      <c r="W78" s="23" t="s">
        <v>769</v>
      </c>
      <c r="X78" s="23" t="s">
        <v>129</v>
      </c>
      <c r="Y78" s="7">
        <v>5893</v>
      </c>
      <c r="Z78" s="24">
        <v>13</v>
      </c>
      <c r="AA78" s="23" t="s">
        <v>130</v>
      </c>
      <c r="AB78" s="34">
        <v>0.44644600000000001</v>
      </c>
      <c r="AC78" s="35">
        <v>1.1927200000000001E-2</v>
      </c>
      <c r="AD78" s="28" t="s">
        <v>146</v>
      </c>
      <c r="AE78" s="31">
        <f t="shared" si="21"/>
        <v>1.6038829308961675</v>
      </c>
      <c r="AF78" s="31">
        <f t="shared" si="22"/>
        <v>0.79253831523062168</v>
      </c>
      <c r="AG78" s="25">
        <v>1.075</v>
      </c>
      <c r="AH78" s="10">
        <v>0.1</v>
      </c>
      <c r="AI78" s="31">
        <v>0.01</v>
      </c>
      <c r="AJ78" s="24" t="s">
        <v>60</v>
      </c>
      <c r="AK78" s="23" t="s">
        <v>130</v>
      </c>
      <c r="AL78" s="5">
        <v>4.12</v>
      </c>
      <c r="AM78" s="31">
        <v>0.03</v>
      </c>
      <c r="AN78" s="23" t="s">
        <v>130</v>
      </c>
      <c r="AO78" s="36">
        <v>-5.085</v>
      </c>
      <c r="AP78" s="23" t="s">
        <v>191</v>
      </c>
      <c r="AQ78" s="37">
        <f t="shared" si="23"/>
        <v>1.6719489003659738</v>
      </c>
      <c r="AR78" s="38">
        <f t="shared" si="24"/>
        <v>88.826799593973334</v>
      </c>
      <c r="AS78" s="39">
        <f t="shared" si="25"/>
        <v>4.1397188764029721E-11</v>
      </c>
      <c r="AT78" s="40">
        <f t="shared" si="26"/>
        <v>30.657572875804238</v>
      </c>
      <c r="AU78" s="41">
        <f t="shared" si="27"/>
        <v>761.60196284630547</v>
      </c>
      <c r="AV78" s="42">
        <f t="shared" si="28"/>
        <v>6.7131565857941737</v>
      </c>
      <c r="AW78" s="31">
        <f t="shared" si="29"/>
        <v>0.24817709243353972</v>
      </c>
      <c r="AX78" s="43" t="s">
        <v>1</v>
      </c>
      <c r="AY78" s="24" t="s">
        <v>1</v>
      </c>
      <c r="AZ78" s="44" t="s">
        <v>1</v>
      </c>
      <c r="BA78" s="45" t="s">
        <v>1</v>
      </c>
      <c r="BB78" s="24" t="s">
        <v>134</v>
      </c>
      <c r="BC78" s="28" t="s">
        <v>1</v>
      </c>
      <c r="BD78" s="24" t="s">
        <v>3</v>
      </c>
    </row>
    <row r="79" spans="1:56" ht="15.75" customHeight="1">
      <c r="A79" s="23" t="s">
        <v>709</v>
      </c>
      <c r="B79" s="14" t="s">
        <v>708</v>
      </c>
      <c r="C79" s="24" t="s">
        <v>2</v>
      </c>
      <c r="D79" s="23" t="s">
        <v>710</v>
      </c>
      <c r="E79" s="25" t="s">
        <v>711</v>
      </c>
      <c r="F79" s="23" t="s">
        <v>712</v>
      </c>
      <c r="G79" s="25" t="s">
        <v>713</v>
      </c>
      <c r="H79" s="25" t="s">
        <v>714</v>
      </c>
      <c r="I79" s="26">
        <f t="shared" si="20"/>
        <v>14.926308813388301</v>
      </c>
      <c r="J79" s="27">
        <v>66.995800000000003</v>
      </c>
      <c r="K79" s="27">
        <v>9.2100000000000001E-2</v>
      </c>
      <c r="L79" s="28" t="s">
        <v>124</v>
      </c>
      <c r="M79" s="29">
        <v>150.25273698433</v>
      </c>
      <c r="N79" s="29">
        <f>31.9236702818992</f>
        <v>31.923670281899199</v>
      </c>
      <c r="O79" s="30">
        <v>5.3780000000000001</v>
      </c>
      <c r="P79" s="31">
        <v>4.0000000000000001E-3</v>
      </c>
      <c r="Q79" s="32" t="s">
        <v>125</v>
      </c>
      <c r="R79" s="31">
        <v>0.67600000000000005</v>
      </c>
      <c r="S79" s="31">
        <v>4.0000000000000001E-3</v>
      </c>
      <c r="T79" s="32" t="s">
        <v>126</v>
      </c>
      <c r="U79" s="33">
        <v>5.01</v>
      </c>
      <c r="V79" s="25" t="s">
        <v>166</v>
      </c>
      <c r="W79" s="23" t="s">
        <v>715</v>
      </c>
      <c r="X79" s="23" t="s">
        <v>129</v>
      </c>
      <c r="Y79" s="7">
        <v>5743</v>
      </c>
      <c r="Z79" s="24">
        <v>14</v>
      </c>
      <c r="AA79" s="23" t="s">
        <v>130</v>
      </c>
      <c r="AB79" s="34">
        <v>0.13924900000000001</v>
      </c>
      <c r="AC79" s="35">
        <v>8.5105000000000007E-3</v>
      </c>
      <c r="AD79" s="28" t="s">
        <v>179</v>
      </c>
      <c r="AE79" s="31">
        <f t="shared" si="21"/>
        <v>1.1856852441907877</v>
      </c>
      <c r="AF79" s="31">
        <f t="shared" si="22"/>
        <v>0.73882839740919082</v>
      </c>
      <c r="AG79" s="25">
        <v>1</v>
      </c>
      <c r="AH79" s="10">
        <v>0.2</v>
      </c>
      <c r="AI79" s="31">
        <v>0.02</v>
      </c>
      <c r="AJ79" s="24" t="s">
        <v>60</v>
      </c>
      <c r="AK79" s="23" t="s">
        <v>130</v>
      </c>
      <c r="AL79" s="5">
        <v>4.3</v>
      </c>
      <c r="AM79" s="31">
        <v>0.03</v>
      </c>
      <c r="AN79" s="23" t="s">
        <v>130</v>
      </c>
      <c r="AO79" s="36">
        <v>-5.13</v>
      </c>
      <c r="AP79" s="23" t="s">
        <v>180</v>
      </c>
      <c r="AQ79" s="37">
        <f t="shared" si="23"/>
        <v>1.173882153222237</v>
      </c>
      <c r="AR79" s="38">
        <f t="shared" si="24"/>
        <v>78.64517396084635</v>
      </c>
      <c r="AS79" s="39">
        <f t="shared" si="25"/>
        <v>8.3978449057541495E-11</v>
      </c>
      <c r="AT79" s="40">
        <f t="shared" si="26"/>
        <v>30.199580375804238</v>
      </c>
      <c r="AU79" s="41">
        <f t="shared" si="27"/>
        <v>464.55221676060626</v>
      </c>
      <c r="AV79" s="42">
        <f t="shared" si="28"/>
        <v>8.3067331550003747</v>
      </c>
      <c r="AW79" s="31">
        <f t="shared" si="29"/>
        <v>0.23620996702577685</v>
      </c>
      <c r="AX79" s="43" t="s">
        <v>716</v>
      </c>
      <c r="AY79" s="24" t="s">
        <v>2</v>
      </c>
      <c r="AZ79" s="44">
        <v>134.4</v>
      </c>
      <c r="BA79" s="45">
        <v>10.6</v>
      </c>
      <c r="BB79" s="24" t="s">
        <v>134</v>
      </c>
      <c r="BC79" s="28" t="s">
        <v>1</v>
      </c>
      <c r="BD79" s="24" t="s">
        <v>3</v>
      </c>
    </row>
    <row r="80" spans="1:56" ht="15.75" customHeight="1">
      <c r="A80" s="23" t="s">
        <v>407</v>
      </c>
      <c r="B80" s="14" t="s">
        <v>406</v>
      </c>
      <c r="C80" s="24" t="s">
        <v>1</v>
      </c>
      <c r="D80" s="23" t="s">
        <v>408</v>
      </c>
      <c r="E80" s="25" t="s">
        <v>1</v>
      </c>
      <c r="F80" s="23" t="s">
        <v>409</v>
      </c>
      <c r="G80" s="25" t="s">
        <v>1</v>
      </c>
      <c r="H80" s="25" t="s">
        <v>410</v>
      </c>
      <c r="I80" s="26">
        <f t="shared" si="20"/>
        <v>4.8705694864666356</v>
      </c>
      <c r="J80" s="27">
        <v>205.31479999999999</v>
      </c>
      <c r="K80" s="27">
        <v>2.24E-2</v>
      </c>
      <c r="L80" s="28" t="s">
        <v>124</v>
      </c>
      <c r="M80" s="29">
        <v>152.84224978849201</v>
      </c>
      <c r="N80" s="29">
        <f>49.4542363908575</f>
        <v>49.454236390857503</v>
      </c>
      <c r="O80" s="30">
        <v>6.55</v>
      </c>
      <c r="P80" s="31">
        <v>5.0000000000000001E-3</v>
      </c>
      <c r="Q80" s="32" t="s">
        <v>125</v>
      </c>
      <c r="R80" s="31">
        <v>1.3260000000000001</v>
      </c>
      <c r="S80" s="31">
        <v>8.0000000000000002E-3</v>
      </c>
      <c r="T80" s="32" t="s">
        <v>126</v>
      </c>
      <c r="U80" s="33">
        <v>5.67</v>
      </c>
      <c r="V80" s="25" t="s">
        <v>166</v>
      </c>
      <c r="W80" s="23" t="s">
        <v>295</v>
      </c>
      <c r="X80" s="23" t="s">
        <v>411</v>
      </c>
      <c r="Y80" s="7">
        <v>4097</v>
      </c>
      <c r="Z80" s="24">
        <v>40</v>
      </c>
      <c r="AA80" s="23" t="s">
        <v>130</v>
      </c>
      <c r="AB80" s="34">
        <v>-0.98817600000000005</v>
      </c>
      <c r="AC80" s="35">
        <v>9.0286299999999993E-3</v>
      </c>
      <c r="AD80" s="28" t="s">
        <v>131</v>
      </c>
      <c r="AE80" s="31">
        <f t="shared" si="21"/>
        <v>0.63621311836528049</v>
      </c>
      <c r="AF80" s="31">
        <f t="shared" si="22"/>
        <v>1.2149249841002743</v>
      </c>
      <c r="AG80" s="25">
        <v>0.63</v>
      </c>
      <c r="AH80" s="10">
        <v>0.21</v>
      </c>
      <c r="AI80" s="31">
        <v>0.06</v>
      </c>
      <c r="AJ80" s="24" t="s">
        <v>60</v>
      </c>
      <c r="AK80" s="23" t="s">
        <v>130</v>
      </c>
      <c r="AL80" s="5">
        <v>4.6399999999999997</v>
      </c>
      <c r="AM80" s="31">
        <v>0.08</v>
      </c>
      <c r="AN80" s="23" t="s">
        <v>130</v>
      </c>
      <c r="AO80" s="36">
        <v>-4.617</v>
      </c>
      <c r="AP80" s="23" t="s">
        <v>334</v>
      </c>
      <c r="AQ80" s="37">
        <f t="shared" si="23"/>
        <v>0.32056197120226965</v>
      </c>
      <c r="AR80" s="38">
        <f t="shared" si="24"/>
        <v>65.816117004999754</v>
      </c>
      <c r="AS80" s="39">
        <f t="shared" si="25"/>
        <v>1.1261412057140036E-9</v>
      </c>
      <c r="AT80" s="40">
        <f t="shared" si="26"/>
        <v>28.041017875804236</v>
      </c>
      <c r="AU80" s="41">
        <f t="shared" si="27"/>
        <v>83.520966643799269</v>
      </c>
      <c r="AV80" s="42">
        <f t="shared" si="28"/>
        <v>20.027015535447259</v>
      </c>
      <c r="AW80" s="31">
        <f t="shared" si="29"/>
        <v>0.3137746461500952</v>
      </c>
      <c r="AX80" s="43" t="s">
        <v>412</v>
      </c>
      <c r="AY80" s="24" t="s">
        <v>2</v>
      </c>
      <c r="AZ80" s="44">
        <v>162.30000000000001</v>
      </c>
      <c r="BA80" s="45">
        <v>2.2799999999999998</v>
      </c>
      <c r="BB80" s="24" t="s">
        <v>134</v>
      </c>
      <c r="BC80" s="28" t="s">
        <v>1</v>
      </c>
      <c r="BD80" s="24" t="s">
        <v>2</v>
      </c>
    </row>
    <row r="81" spans="1:56" ht="18.75" customHeight="1">
      <c r="A81" s="23" t="s">
        <v>1252</v>
      </c>
      <c r="B81" s="14" t="s">
        <v>1251</v>
      </c>
      <c r="C81" s="24" t="s">
        <v>1</v>
      </c>
      <c r="D81" s="23" t="s">
        <v>1253</v>
      </c>
      <c r="E81" s="25" t="s">
        <v>1254</v>
      </c>
      <c r="F81" s="23" t="s">
        <v>1255</v>
      </c>
      <c r="G81" s="25" t="s">
        <v>1256</v>
      </c>
      <c r="H81" s="25" t="s">
        <v>1257</v>
      </c>
      <c r="I81" s="26">
        <f t="shared" si="20"/>
        <v>21.219934006005239</v>
      </c>
      <c r="J81" s="27">
        <v>47.125500000000002</v>
      </c>
      <c r="K81" s="27">
        <v>0.16789999999999999</v>
      </c>
      <c r="L81" s="28" t="s">
        <v>124</v>
      </c>
      <c r="M81" s="29">
        <v>154.934030052276</v>
      </c>
      <c r="N81" s="29">
        <f>19.4709127684828</f>
        <v>19.470912768482801</v>
      </c>
      <c r="O81" s="30">
        <v>4.7919999999999998</v>
      </c>
      <c r="P81" s="31">
        <v>1E-3</v>
      </c>
      <c r="Q81" s="32" t="s">
        <v>125</v>
      </c>
      <c r="R81" s="31">
        <v>0.45</v>
      </c>
      <c r="S81" s="31">
        <v>5.0000000000000001E-3</v>
      </c>
      <c r="T81" s="32" t="s">
        <v>142</v>
      </c>
      <c r="U81" s="33">
        <v>4.4850000000000003</v>
      </c>
      <c r="V81" s="25" t="s">
        <v>189</v>
      </c>
      <c r="W81" s="23" t="s">
        <v>1258</v>
      </c>
      <c r="X81" s="53" t="s">
        <v>334</v>
      </c>
      <c r="Y81" s="7">
        <v>6410</v>
      </c>
      <c r="Z81" s="24">
        <v>76</v>
      </c>
      <c r="AA81" s="28" t="s">
        <v>645</v>
      </c>
      <c r="AB81" s="34">
        <v>0.62720799999999999</v>
      </c>
      <c r="AC81" s="35">
        <v>1.8121999999999999E-2</v>
      </c>
      <c r="AD81" s="28" t="s">
        <v>146</v>
      </c>
      <c r="AE81" s="31">
        <f t="shared" si="21"/>
        <v>1.6692081197700099</v>
      </c>
      <c r="AF81" s="31">
        <f t="shared" si="22"/>
        <v>0.73163259702182082</v>
      </c>
      <c r="AG81" s="49">
        <v>1.35</v>
      </c>
      <c r="AH81" s="10">
        <v>0.09</v>
      </c>
      <c r="AI81" s="31">
        <v>0.03</v>
      </c>
      <c r="AJ81" s="44" t="s">
        <v>60</v>
      </c>
      <c r="AK81" s="23" t="s">
        <v>316</v>
      </c>
      <c r="AL81" s="5">
        <v>4.1234000000000002</v>
      </c>
      <c r="AM81" s="31">
        <v>8.4000000000000005E-2</v>
      </c>
      <c r="AN81" s="40" t="s">
        <v>146</v>
      </c>
      <c r="AO81" s="36">
        <v>-4.7489999999999997</v>
      </c>
      <c r="AP81" s="23" t="s">
        <v>334</v>
      </c>
      <c r="AQ81" s="37">
        <f t="shared" si="23"/>
        <v>2.0587518384513781</v>
      </c>
      <c r="AR81" s="38">
        <f t="shared" si="24"/>
        <v>97.019709762940437</v>
      </c>
      <c r="AS81" s="39">
        <f t="shared" si="25"/>
        <v>2.7302904478766692E-11</v>
      </c>
      <c r="AT81" s="40">
        <f t="shared" si="26"/>
        <v>30.894477875804235</v>
      </c>
      <c r="AU81" s="41">
        <f t="shared" si="27"/>
        <v>928.61758288633587</v>
      </c>
      <c r="AV81" s="42">
        <f t="shared" si="28"/>
        <v>5.398506457443065</v>
      </c>
      <c r="AW81" s="31">
        <f t="shared" si="29"/>
        <v>0.21585014471655223</v>
      </c>
      <c r="AX81" s="43" t="s">
        <v>1259</v>
      </c>
      <c r="AY81" s="24" t="s">
        <v>2</v>
      </c>
      <c r="AZ81" s="44" t="s">
        <v>1</v>
      </c>
      <c r="BA81" s="45" t="s">
        <v>1</v>
      </c>
      <c r="BB81" s="24" t="s">
        <v>134</v>
      </c>
      <c r="BC81" s="28" t="s">
        <v>1</v>
      </c>
      <c r="BD81" s="50" t="s">
        <v>4</v>
      </c>
    </row>
    <row r="82" spans="1:56" ht="15.75" customHeight="1">
      <c r="A82" s="23" t="s">
        <v>1322</v>
      </c>
      <c r="B82" s="14" t="s">
        <v>1321</v>
      </c>
      <c r="C82" s="24" t="s">
        <v>1</v>
      </c>
      <c r="D82" s="23" t="s">
        <v>1323</v>
      </c>
      <c r="E82" s="25" t="s">
        <v>1324</v>
      </c>
      <c r="F82" s="23" t="s">
        <v>1325</v>
      </c>
      <c r="G82" s="25" t="s">
        <v>1</v>
      </c>
      <c r="H82" s="25" t="s">
        <v>1326</v>
      </c>
      <c r="I82" s="26">
        <f t="shared" si="20"/>
        <v>16.223231667748216</v>
      </c>
      <c r="J82" s="27">
        <v>61.64</v>
      </c>
      <c r="K82" s="27">
        <v>0.12</v>
      </c>
      <c r="L82" s="28" t="s">
        <v>343</v>
      </c>
      <c r="M82" s="29">
        <v>156.09877488079999</v>
      </c>
      <c r="N82" s="29">
        <v>-74.031612104999994</v>
      </c>
      <c r="O82" s="30">
        <v>3.99</v>
      </c>
      <c r="P82" s="31">
        <v>0.01</v>
      </c>
      <c r="Q82" s="32" t="s">
        <v>126</v>
      </c>
      <c r="R82" s="31">
        <v>0.36099999999999999</v>
      </c>
      <c r="S82" s="31">
        <v>5.0000000000000001E-3</v>
      </c>
      <c r="T82" s="32" t="s">
        <v>142</v>
      </c>
      <c r="U82" s="33">
        <v>3.76</v>
      </c>
      <c r="V82" s="25" t="s">
        <v>143</v>
      </c>
      <c r="W82" s="23" t="s">
        <v>1327</v>
      </c>
      <c r="X82" s="23" t="s">
        <v>145</v>
      </c>
      <c r="Y82" s="7">
        <v>6905</v>
      </c>
      <c r="Z82" s="24">
        <v>80</v>
      </c>
      <c r="AA82" s="28" t="s">
        <v>1055</v>
      </c>
      <c r="AB82" s="34">
        <v>0.71278399999999997</v>
      </c>
      <c r="AC82" s="35">
        <v>1.7792800000000001E-2</v>
      </c>
      <c r="AD82" s="28" t="s">
        <v>146</v>
      </c>
      <c r="AE82" s="31">
        <f t="shared" si="21"/>
        <v>1.5874029456115097</v>
      </c>
      <c r="AF82" s="31">
        <f t="shared" si="22"/>
        <v>0.91007335402809575</v>
      </c>
      <c r="AG82" s="25">
        <v>1.43</v>
      </c>
      <c r="AH82" s="10">
        <v>0.05</v>
      </c>
      <c r="AI82" s="31">
        <v>0.06</v>
      </c>
      <c r="AJ82" s="44" t="s">
        <v>60</v>
      </c>
      <c r="AK82" s="23" t="s">
        <v>316</v>
      </c>
      <c r="AL82" s="5">
        <v>4.2275</v>
      </c>
      <c r="AM82" s="31">
        <v>8.6699999999999999E-2</v>
      </c>
      <c r="AN82" s="23" t="s">
        <v>146</v>
      </c>
      <c r="AO82" s="36">
        <v>-4.6849999999999996</v>
      </c>
      <c r="AP82" s="23" t="s">
        <v>535</v>
      </c>
      <c r="AQ82" s="37">
        <f t="shared" si="23"/>
        <v>2.2719145871365232</v>
      </c>
      <c r="AR82" s="38">
        <f t="shared" si="24"/>
        <v>140.04081515109527</v>
      </c>
      <c r="AS82" s="39">
        <f t="shared" si="25"/>
        <v>2.2419857591601296E-11</v>
      </c>
      <c r="AT82" s="40">
        <f t="shared" si="26"/>
        <v>30.383417875804234</v>
      </c>
      <c r="AU82" s="41">
        <f t="shared" si="27"/>
        <v>1045.9664826625301</v>
      </c>
      <c r="AV82" s="42">
        <f t="shared" si="28"/>
        <v>4.9931945832516815</v>
      </c>
      <c r="AW82" s="31">
        <f t="shared" si="29"/>
        <v>0.29413366481523034</v>
      </c>
      <c r="AX82" s="43" t="s">
        <v>1</v>
      </c>
      <c r="AY82" s="24" t="s">
        <v>1</v>
      </c>
      <c r="AZ82" s="44" t="s">
        <v>1</v>
      </c>
      <c r="BA82" s="45" t="s">
        <v>1</v>
      </c>
      <c r="BB82" s="24" t="s">
        <v>134</v>
      </c>
      <c r="BC82" s="28" t="s">
        <v>1</v>
      </c>
      <c r="BD82" s="50" t="s">
        <v>4</v>
      </c>
    </row>
    <row r="83" spans="1:56" ht="17.25" customHeight="1">
      <c r="A83" s="23" t="s">
        <v>348</v>
      </c>
      <c r="B83" s="14" t="s">
        <v>347</v>
      </c>
      <c r="C83" s="24" t="s">
        <v>2</v>
      </c>
      <c r="D83" s="23" t="s">
        <v>349</v>
      </c>
      <c r="E83" s="25" t="s">
        <v>350</v>
      </c>
      <c r="F83" s="23" t="s">
        <v>351</v>
      </c>
      <c r="G83" s="25" t="s">
        <v>352</v>
      </c>
      <c r="H83" s="25" t="s">
        <v>353</v>
      </c>
      <c r="I83" s="26">
        <f t="shared" si="20"/>
        <v>12.945235182560179</v>
      </c>
      <c r="J83" s="27">
        <v>77.248500000000007</v>
      </c>
      <c r="K83" s="27">
        <v>8.0500000000000002E-2</v>
      </c>
      <c r="L83" s="28" t="s">
        <v>124</v>
      </c>
      <c r="M83" s="29">
        <v>157.6565802735</v>
      </c>
      <c r="N83" s="29">
        <f>55.98053880257</f>
        <v>55.980538802570003</v>
      </c>
      <c r="O83" s="30">
        <v>4.82</v>
      </c>
      <c r="P83" s="31">
        <v>0.01</v>
      </c>
      <c r="Q83" s="32" t="s">
        <v>126</v>
      </c>
      <c r="R83" s="31">
        <v>0.51800000000000002</v>
      </c>
      <c r="S83" s="31">
        <v>3.0000000000000001E-3</v>
      </c>
      <c r="T83" s="32" t="s">
        <v>142</v>
      </c>
      <c r="U83" s="33">
        <v>4.51</v>
      </c>
      <c r="V83" s="25" t="s">
        <v>166</v>
      </c>
      <c r="W83" s="23" t="s">
        <v>354</v>
      </c>
      <c r="X83" s="23" t="s">
        <v>334</v>
      </c>
      <c r="Y83" s="7">
        <v>6164</v>
      </c>
      <c r="Z83" s="24">
        <v>21</v>
      </c>
      <c r="AA83" s="23" t="s">
        <v>130</v>
      </c>
      <c r="AB83" s="34">
        <v>0.20547499999999999</v>
      </c>
      <c r="AC83" s="35">
        <v>1.1367499999999999E-2</v>
      </c>
      <c r="AD83" s="28" t="s">
        <v>179</v>
      </c>
      <c r="AE83" s="31">
        <f t="shared" si="21"/>
        <v>1.1107972287557635</v>
      </c>
      <c r="AF83" s="31">
        <f t="shared" si="22"/>
        <v>0.79808919236252063</v>
      </c>
      <c r="AG83" s="25">
        <v>1.18</v>
      </c>
      <c r="AH83" s="10">
        <v>-0.12</v>
      </c>
      <c r="AI83" s="31">
        <v>0.01</v>
      </c>
      <c r="AJ83" s="24" t="s">
        <v>60</v>
      </c>
      <c r="AK83" s="23" t="s">
        <v>130</v>
      </c>
      <c r="AL83" s="5">
        <v>4.43</v>
      </c>
      <c r="AM83" s="31">
        <v>0.03</v>
      </c>
      <c r="AN83" s="23" t="s">
        <v>130</v>
      </c>
      <c r="AO83" s="36">
        <v>-4.7750000000000004</v>
      </c>
      <c r="AP83" s="23" t="s">
        <v>318</v>
      </c>
      <c r="AQ83" s="37">
        <f t="shared" si="23"/>
        <v>1.2668858923433342</v>
      </c>
      <c r="AR83" s="38">
        <f t="shared" si="24"/>
        <v>97.865034854684055</v>
      </c>
      <c r="AS83" s="39">
        <f t="shared" si="25"/>
        <v>7.2101093219357241E-11</v>
      </c>
      <c r="AT83" s="40">
        <f t="shared" si="26"/>
        <v>29.865145375804239</v>
      </c>
      <c r="AU83" s="41">
        <f t="shared" si="27"/>
        <v>479.47176002467813</v>
      </c>
      <c r="AV83" s="42">
        <f t="shared" si="28"/>
        <v>7.3609311530739152</v>
      </c>
      <c r="AW83" s="31">
        <f t="shared" si="29"/>
        <v>0.24909883096793184</v>
      </c>
      <c r="AX83" s="43" t="s">
        <v>355</v>
      </c>
      <c r="AY83" s="24" t="s">
        <v>2</v>
      </c>
      <c r="AZ83" s="44">
        <v>122.8</v>
      </c>
      <c r="BA83" s="45">
        <v>3.98</v>
      </c>
      <c r="BB83" s="24" t="s">
        <v>134</v>
      </c>
      <c r="BC83" s="28" t="s">
        <v>1</v>
      </c>
      <c r="BD83" s="24" t="s">
        <v>2</v>
      </c>
    </row>
    <row r="84" spans="1:56" ht="15.75" customHeight="1">
      <c r="A84" s="23" t="s">
        <v>1144</v>
      </c>
      <c r="B84" s="14" t="s">
        <v>1143</v>
      </c>
      <c r="C84" s="24" t="s">
        <v>2</v>
      </c>
      <c r="D84" s="23" t="s">
        <v>1145</v>
      </c>
      <c r="E84" s="25" t="s">
        <v>1146</v>
      </c>
      <c r="F84" s="23" t="s">
        <v>1147</v>
      </c>
      <c r="G84" s="25" t="s">
        <v>1</v>
      </c>
      <c r="H84" s="25" t="s">
        <v>1148</v>
      </c>
      <c r="I84" s="26">
        <f t="shared" si="20"/>
        <v>22.730165657447312</v>
      </c>
      <c r="J84" s="27">
        <v>43.994399999999999</v>
      </c>
      <c r="K84" s="27">
        <v>0.2712</v>
      </c>
      <c r="L84" s="28" t="s">
        <v>645</v>
      </c>
      <c r="M84" s="29">
        <v>157.76961635339001</v>
      </c>
      <c r="N84" s="29">
        <f>82.55865174456</f>
        <v>82.558651744559995</v>
      </c>
      <c r="O84" s="30">
        <v>5.25</v>
      </c>
      <c r="P84" s="31">
        <v>0.01</v>
      </c>
      <c r="Q84" s="32" t="s">
        <v>126</v>
      </c>
      <c r="R84" s="31">
        <v>0.37</v>
      </c>
      <c r="S84" s="31">
        <v>0</v>
      </c>
      <c r="T84" s="32" t="s">
        <v>142</v>
      </c>
      <c r="U84" s="33">
        <v>4.9889999999999999</v>
      </c>
      <c r="V84" s="25" t="s">
        <v>189</v>
      </c>
      <c r="W84" s="23" t="s">
        <v>1149</v>
      </c>
      <c r="X84" s="23" t="s">
        <v>334</v>
      </c>
      <c r="Y84" s="7">
        <v>6758</v>
      </c>
      <c r="Z84" s="24">
        <v>90</v>
      </c>
      <c r="AA84" s="28" t="s">
        <v>1055</v>
      </c>
      <c r="AB84" s="34">
        <v>0.51236899999999996</v>
      </c>
      <c r="AC84" s="35">
        <v>1.9438199999999999E-2</v>
      </c>
      <c r="AD84" s="28" t="s">
        <v>146</v>
      </c>
      <c r="AE84" s="31">
        <f t="shared" si="21"/>
        <v>1.3157418022102718</v>
      </c>
      <c r="AF84" s="31">
        <f t="shared" si="22"/>
        <v>0.5383871166863623</v>
      </c>
      <c r="AG84" s="25">
        <v>1.39</v>
      </c>
      <c r="AH84" s="10">
        <v>-0.16</v>
      </c>
      <c r="AI84" s="31">
        <v>0.05</v>
      </c>
      <c r="AJ84" s="44" t="s">
        <v>60</v>
      </c>
      <c r="AK84" s="23" t="s">
        <v>316</v>
      </c>
      <c r="AL84" s="5">
        <v>4.3890000000000002</v>
      </c>
      <c r="AM84" s="31">
        <v>8.8300000000000003E-2</v>
      </c>
      <c r="AN84" s="23" t="s">
        <v>146</v>
      </c>
      <c r="AO84" s="36">
        <v>-4.55</v>
      </c>
      <c r="AP84" s="23" t="s">
        <v>1150</v>
      </c>
      <c r="AQ84" s="37">
        <f t="shared" si="23"/>
        <v>1.8037838741121004</v>
      </c>
      <c r="AR84" s="38">
        <f t="shared" si="24"/>
        <v>79.35638927123739</v>
      </c>
      <c r="AS84" s="39">
        <f t="shared" si="25"/>
        <v>3.5567050345935995E-11</v>
      </c>
      <c r="AT84" s="40">
        <f t="shared" si="26"/>
        <v>31.111380375804238</v>
      </c>
      <c r="AU84" s="41">
        <f t="shared" si="27"/>
        <v>750.52841048978007</v>
      </c>
      <c r="AV84" s="42">
        <f t="shared" si="28"/>
        <v>5.6838532873494314</v>
      </c>
      <c r="AW84" s="31">
        <f t="shared" si="29"/>
        <v>0.17147201068964685</v>
      </c>
      <c r="AX84" s="43" t="s">
        <v>1151</v>
      </c>
      <c r="AY84" s="24" t="s">
        <v>2</v>
      </c>
      <c r="AZ84" s="44">
        <v>13.5</v>
      </c>
      <c r="BA84" s="45">
        <v>7.7</v>
      </c>
      <c r="BB84" s="24" t="s">
        <v>5</v>
      </c>
      <c r="BC84" s="46" t="s">
        <v>564</v>
      </c>
      <c r="BD84" s="50" t="s">
        <v>4</v>
      </c>
    </row>
    <row r="85" spans="1:56" ht="15.75" customHeight="1">
      <c r="A85" s="23" t="s">
        <v>1439</v>
      </c>
      <c r="B85" s="55" t="s">
        <v>1438</v>
      </c>
      <c r="C85" s="24" t="s">
        <v>1</v>
      </c>
      <c r="D85" s="23" t="s">
        <v>1440</v>
      </c>
      <c r="E85" s="23" t="s">
        <v>1441</v>
      </c>
      <c r="F85" s="23" t="s">
        <v>1442</v>
      </c>
      <c r="G85" s="23" t="s">
        <v>1</v>
      </c>
      <c r="H85" s="23" t="s">
        <v>1443</v>
      </c>
      <c r="I85" s="26">
        <f t="shared" si="20"/>
        <v>22.061613674670621</v>
      </c>
      <c r="J85" s="27">
        <v>45.327599999999997</v>
      </c>
      <c r="K85" s="27">
        <v>6.6199999999999995E-2</v>
      </c>
      <c r="L85" s="28" t="s">
        <v>124</v>
      </c>
      <c r="M85" s="29">
        <v>157.84092029716899</v>
      </c>
      <c r="N85" s="29">
        <v>-53.715483607616399</v>
      </c>
      <c r="O85" s="30">
        <v>4.8970000000000002</v>
      </c>
      <c r="P85" s="31">
        <v>4.0000000000000001E-3</v>
      </c>
      <c r="Q85" s="28" t="s">
        <v>125</v>
      </c>
      <c r="R85" s="31">
        <v>0.5</v>
      </c>
      <c r="S85" s="31">
        <v>0</v>
      </c>
      <c r="T85" s="28" t="s">
        <v>142</v>
      </c>
      <c r="U85" s="33">
        <v>4.59</v>
      </c>
      <c r="V85" s="23" t="s">
        <v>166</v>
      </c>
      <c r="W85" s="23" t="s">
        <v>1444</v>
      </c>
      <c r="X85" s="23" t="s">
        <v>145</v>
      </c>
      <c r="Y85" s="7">
        <v>6155</v>
      </c>
      <c r="Z85" s="24">
        <v>24</v>
      </c>
      <c r="AA85" s="23" t="s">
        <v>130</v>
      </c>
      <c r="AB85" s="34">
        <v>0.64366999999999996</v>
      </c>
      <c r="AC85" s="35">
        <v>1.473E-2</v>
      </c>
      <c r="AD85" s="28" t="s">
        <v>146</v>
      </c>
      <c r="AE85" s="31">
        <f t="shared" si="21"/>
        <v>1.8450215076440653</v>
      </c>
      <c r="AF85" s="31">
        <f t="shared" si="22"/>
        <v>0.77784084551538302</v>
      </c>
      <c r="AG85" s="49">
        <v>1.1599999999999999</v>
      </c>
      <c r="AH85" s="10">
        <v>-0.4</v>
      </c>
      <c r="AI85" s="31">
        <v>0.05</v>
      </c>
      <c r="AJ85" s="44" t="s">
        <v>60</v>
      </c>
      <c r="AK85" s="23" t="s">
        <v>130</v>
      </c>
      <c r="AL85" s="5">
        <v>3.83</v>
      </c>
      <c r="AM85" s="31">
        <v>0.09</v>
      </c>
      <c r="AN85" s="23" t="s">
        <v>130</v>
      </c>
      <c r="AO85" s="36">
        <v>-4.97</v>
      </c>
      <c r="AP85" s="23" t="s">
        <v>1128</v>
      </c>
      <c r="AQ85" s="37">
        <f t="shared" si="23"/>
        <v>2.0981425921208405</v>
      </c>
      <c r="AR85" s="38">
        <f t="shared" si="24"/>
        <v>95.103768158616617</v>
      </c>
      <c r="AS85" s="39">
        <f t="shared" si="25"/>
        <v>2.6287352550295752E-11</v>
      </c>
      <c r="AT85" s="40">
        <f t="shared" si="26"/>
        <v>31.040632875804238</v>
      </c>
      <c r="AU85" s="41">
        <f t="shared" si="27"/>
        <v>1030.6739326010979</v>
      </c>
      <c r="AV85" s="42">
        <f t="shared" si="28"/>
        <v>5.7689399034888789</v>
      </c>
      <c r="AW85" s="31">
        <f t="shared" si="29"/>
        <v>0.24624412462422607</v>
      </c>
      <c r="AX85" s="43" t="s">
        <v>1445</v>
      </c>
      <c r="AY85" s="24" t="s">
        <v>2</v>
      </c>
      <c r="AZ85" s="44">
        <v>80.900000000000006</v>
      </c>
      <c r="BA85" s="45">
        <v>3.63</v>
      </c>
      <c r="BB85" s="24" t="s">
        <v>134</v>
      </c>
      <c r="BC85" s="28" t="s">
        <v>1</v>
      </c>
      <c r="BD85" s="50" t="s">
        <v>4</v>
      </c>
    </row>
    <row r="86" spans="1:56" ht="15.75" customHeight="1">
      <c r="A86" s="23" t="s">
        <v>452</v>
      </c>
      <c r="B86" s="14" t="s">
        <v>451</v>
      </c>
      <c r="C86" s="24" t="s">
        <v>1</v>
      </c>
      <c r="D86" s="23" t="s">
        <v>453</v>
      </c>
      <c r="E86" s="25" t="s">
        <v>454</v>
      </c>
      <c r="F86" s="23" t="s">
        <v>455</v>
      </c>
      <c r="G86" s="25" t="s">
        <v>456</v>
      </c>
      <c r="H86" s="25" t="s">
        <v>457</v>
      </c>
      <c r="I86" s="26">
        <f t="shared" si="20"/>
        <v>13.887538711514157</v>
      </c>
      <c r="J86" s="27">
        <v>72.007000000000005</v>
      </c>
      <c r="K86" s="27">
        <v>9.74E-2</v>
      </c>
      <c r="L86" s="28" t="s">
        <v>124</v>
      </c>
      <c r="M86" s="29">
        <v>164.86655313083801</v>
      </c>
      <c r="N86" s="29">
        <f>40.4302557146456</f>
        <v>40.430255714645597</v>
      </c>
      <c r="O86" s="30">
        <v>5.0369999999999999</v>
      </c>
      <c r="P86" s="31">
        <v>4.0000000000000001E-3</v>
      </c>
      <c r="Q86" s="32" t="s">
        <v>125</v>
      </c>
      <c r="R86" s="31">
        <v>0.624</v>
      </c>
      <c r="S86" s="31">
        <v>3.0000000000000001E-3</v>
      </c>
      <c r="T86" s="32" t="s">
        <v>126</v>
      </c>
      <c r="U86" s="33">
        <v>4.7</v>
      </c>
      <c r="V86" s="25" t="s">
        <v>166</v>
      </c>
      <c r="W86" s="23" t="s">
        <v>458</v>
      </c>
      <c r="X86" s="23" t="s">
        <v>129</v>
      </c>
      <c r="Y86" s="7">
        <v>5880</v>
      </c>
      <c r="Z86" s="24">
        <v>10</v>
      </c>
      <c r="AA86" s="23" t="s">
        <v>130</v>
      </c>
      <c r="AB86" s="34">
        <v>0.197801</v>
      </c>
      <c r="AC86" s="35">
        <v>1.1785E-2</v>
      </c>
      <c r="AD86" s="28" t="s">
        <v>146</v>
      </c>
      <c r="AE86" s="31">
        <f t="shared" si="21"/>
        <v>1.2099527070012626</v>
      </c>
      <c r="AF86" s="31">
        <f t="shared" si="22"/>
        <v>0.81034452081227204</v>
      </c>
      <c r="AG86" s="25">
        <v>1.07</v>
      </c>
      <c r="AH86" s="10">
        <v>0.02</v>
      </c>
      <c r="AI86" s="31">
        <v>0.01</v>
      </c>
      <c r="AJ86" s="24" t="s">
        <v>60</v>
      </c>
      <c r="AK86" s="23" t="s">
        <v>130</v>
      </c>
      <c r="AL86" s="5">
        <v>4.3</v>
      </c>
      <c r="AM86" s="31">
        <v>0.02</v>
      </c>
      <c r="AN86" s="23" t="s">
        <v>130</v>
      </c>
      <c r="AO86" s="36">
        <v>-5.0599999999999996</v>
      </c>
      <c r="AP86" s="23" t="s">
        <v>180</v>
      </c>
      <c r="AQ86" s="37">
        <f t="shared" si="23"/>
        <v>1.2557422311277968</v>
      </c>
      <c r="AR86" s="38">
        <f t="shared" si="24"/>
        <v>90.422230836819281</v>
      </c>
      <c r="AS86" s="39">
        <f t="shared" si="25"/>
        <v>7.3386444939889264E-11</v>
      </c>
      <c r="AT86" s="40">
        <f t="shared" si="26"/>
        <v>30.035960375804237</v>
      </c>
      <c r="AU86" s="41">
        <f t="shared" si="27"/>
        <v>496.88587127149628</v>
      </c>
      <c r="AV86" s="42">
        <f t="shared" si="28"/>
        <v>7.7642653726025923</v>
      </c>
      <c r="AW86" s="31">
        <f t="shared" si="29"/>
        <v>0.25381517346893268</v>
      </c>
      <c r="AX86" s="43" t="s">
        <v>1</v>
      </c>
      <c r="AY86" s="24" t="s">
        <v>1</v>
      </c>
      <c r="AZ86" s="44" t="s">
        <v>1</v>
      </c>
      <c r="BA86" s="45" t="s">
        <v>1</v>
      </c>
      <c r="BB86" s="24" t="s">
        <v>134</v>
      </c>
      <c r="BC86" s="28" t="s">
        <v>1</v>
      </c>
      <c r="BD86" s="24" t="s">
        <v>2</v>
      </c>
    </row>
    <row r="87" spans="1:56" ht="15.75" customHeight="1">
      <c r="A87" s="23" t="s">
        <v>852</v>
      </c>
      <c r="B87" s="14" t="s">
        <v>851</v>
      </c>
      <c r="C87" s="24" t="s">
        <v>1</v>
      </c>
      <c r="D87" s="23" t="s">
        <v>853</v>
      </c>
      <c r="E87" s="25" t="s">
        <v>1</v>
      </c>
      <c r="F87" s="23" t="s">
        <v>854</v>
      </c>
      <c r="G87" s="25" t="s">
        <v>1</v>
      </c>
      <c r="H87" s="25" t="s">
        <v>855</v>
      </c>
      <c r="I87" s="26">
        <f t="shared" si="20"/>
        <v>2.5461301495164008</v>
      </c>
      <c r="J87" s="27">
        <v>392.75290000000001</v>
      </c>
      <c r="K87" s="27">
        <v>3.2099999999999997E-2</v>
      </c>
      <c r="L87" s="28" t="s">
        <v>124</v>
      </c>
      <c r="M87" s="29">
        <v>165.83414508164199</v>
      </c>
      <c r="N87" s="29">
        <f>35.9698822727936</f>
        <v>35.969882272793598</v>
      </c>
      <c r="O87" s="30">
        <v>7.4210000000000003</v>
      </c>
      <c r="P87" s="31">
        <v>1E-3</v>
      </c>
      <c r="Q87" s="32" t="s">
        <v>125</v>
      </c>
      <c r="R87" s="31">
        <v>1.502</v>
      </c>
      <c r="S87" s="31">
        <v>1.4E-2</v>
      </c>
      <c r="T87" s="32" t="s">
        <v>126</v>
      </c>
      <c r="U87" s="33">
        <v>6.4</v>
      </c>
      <c r="V87" s="49" t="s">
        <v>856</v>
      </c>
      <c r="W87" s="23" t="s">
        <v>857</v>
      </c>
      <c r="X87" s="23" t="s">
        <v>411</v>
      </c>
      <c r="Y87" s="7">
        <v>3601</v>
      </c>
      <c r="Z87" s="24">
        <v>51</v>
      </c>
      <c r="AA87" s="28" t="s">
        <v>858</v>
      </c>
      <c r="AB87" s="34">
        <v>-1.70042</v>
      </c>
      <c r="AC87" s="35">
        <v>1.00404E-2</v>
      </c>
      <c r="AD87" s="28" t="s">
        <v>131</v>
      </c>
      <c r="AE87" s="31">
        <f t="shared" si="21"/>
        <v>0.36271565882191287</v>
      </c>
      <c r="AF87" s="31">
        <f t="shared" si="22"/>
        <v>1.32498905973837</v>
      </c>
      <c r="AG87" s="25">
        <v>0.44</v>
      </c>
      <c r="AH87" s="10">
        <v>-0.42</v>
      </c>
      <c r="AI87" s="31">
        <v>7.0000000000000007E-2</v>
      </c>
      <c r="AJ87" s="24" t="s">
        <v>60</v>
      </c>
      <c r="AK87" s="23" t="s">
        <v>859</v>
      </c>
      <c r="AL87" s="5">
        <v>4.87</v>
      </c>
      <c r="AM87" s="31">
        <v>7.0000000000000007E-2</v>
      </c>
      <c r="AN87" s="23" t="s">
        <v>858</v>
      </c>
      <c r="AO87" s="36">
        <v>-5.4509999999999996</v>
      </c>
      <c r="AP87" s="23" t="s">
        <v>132</v>
      </c>
      <c r="AQ87" s="37">
        <f t="shared" si="23"/>
        <v>0.14118546872738161</v>
      </c>
      <c r="AR87" s="38">
        <f t="shared" si="24"/>
        <v>55.451002280538439</v>
      </c>
      <c r="AS87" s="39">
        <f t="shared" si="25"/>
        <v>5.805462841806446E-9</v>
      </c>
      <c r="AT87" s="40">
        <f t="shared" si="26"/>
        <v>26.990407875804237</v>
      </c>
      <c r="AU87" s="41">
        <f t="shared" si="27"/>
        <v>29.211674218362511</v>
      </c>
      <c r="AV87" s="42">
        <f t="shared" si="28"/>
        <v>36.109474749168513</v>
      </c>
      <c r="AW87" s="31">
        <f t="shared" si="29"/>
        <v>0.3785148003300231</v>
      </c>
      <c r="AX87" s="43" t="s">
        <v>1</v>
      </c>
      <c r="AY87" s="24" t="s">
        <v>1</v>
      </c>
      <c r="AZ87" s="44" t="s">
        <v>1</v>
      </c>
      <c r="BA87" s="45" t="s">
        <v>1</v>
      </c>
      <c r="BB87" s="24" t="s">
        <v>134</v>
      </c>
      <c r="BC87" s="28" t="s">
        <v>1</v>
      </c>
      <c r="BD87" s="24" t="s">
        <v>3</v>
      </c>
    </row>
    <row r="88" spans="1:56" ht="16.5" customHeight="1">
      <c r="A88" s="23" t="s">
        <v>485</v>
      </c>
      <c r="B88" s="14" t="s">
        <v>484</v>
      </c>
      <c r="C88" s="24" t="s">
        <v>2</v>
      </c>
      <c r="D88" s="23" t="s">
        <v>486</v>
      </c>
      <c r="E88" s="25" t="s">
        <v>487</v>
      </c>
      <c r="F88" s="23" t="s">
        <v>488</v>
      </c>
      <c r="G88" s="25" t="s">
        <v>489</v>
      </c>
      <c r="H88" s="25" t="s">
        <v>490</v>
      </c>
      <c r="I88" s="26">
        <f t="shared" si="20"/>
        <v>9.5590140068232241</v>
      </c>
      <c r="J88" s="27">
        <v>104.6133</v>
      </c>
      <c r="K88" s="27">
        <v>2.7699999999999999E-2</v>
      </c>
      <c r="L88" s="28" t="s">
        <v>124</v>
      </c>
      <c r="M88" s="29">
        <v>173.62286018472801</v>
      </c>
      <c r="N88" s="29">
        <v>-32.831339664836399</v>
      </c>
      <c r="O88" s="30">
        <v>5.9560000000000004</v>
      </c>
      <c r="P88" s="31">
        <v>1E-3</v>
      </c>
      <c r="Q88" s="32" t="s">
        <v>125</v>
      </c>
      <c r="R88" s="31">
        <v>0.81100000000000005</v>
      </c>
      <c r="S88" s="31">
        <v>7.0000000000000001E-3</v>
      </c>
      <c r="T88" s="32" t="s">
        <v>126</v>
      </c>
      <c r="U88" s="33">
        <v>5.5250000000000004</v>
      </c>
      <c r="V88" s="25" t="s">
        <v>143</v>
      </c>
      <c r="W88" s="23" t="s">
        <v>491</v>
      </c>
      <c r="X88" s="23" t="s">
        <v>145</v>
      </c>
      <c r="Y88" s="7">
        <v>5196</v>
      </c>
      <c r="Z88" s="24">
        <v>23</v>
      </c>
      <c r="AA88" s="23" t="s">
        <v>130</v>
      </c>
      <c r="AB88" s="34">
        <v>-0.43184499999999998</v>
      </c>
      <c r="AC88" s="35">
        <v>1.22652E-2</v>
      </c>
      <c r="AD88" s="28" t="s">
        <v>146</v>
      </c>
      <c r="AE88" s="31">
        <f t="shared" si="21"/>
        <v>0.75051912381160102</v>
      </c>
      <c r="AF88" s="31">
        <f t="shared" si="22"/>
        <v>0.73025619829001287</v>
      </c>
      <c r="AG88" s="25">
        <v>0.88</v>
      </c>
      <c r="AH88" s="10">
        <v>-0.4</v>
      </c>
      <c r="AI88" s="31">
        <v>0.02</v>
      </c>
      <c r="AJ88" s="24" t="s">
        <v>60</v>
      </c>
      <c r="AK88" s="23" t="s">
        <v>130</v>
      </c>
      <c r="AL88" s="5">
        <v>4.5999999999999996</v>
      </c>
      <c r="AM88" s="31">
        <v>0.04</v>
      </c>
      <c r="AN88" s="23" t="s">
        <v>130</v>
      </c>
      <c r="AO88" s="36">
        <v>-4.9130000000000003</v>
      </c>
      <c r="AP88" s="23" t="s">
        <v>191</v>
      </c>
      <c r="AQ88" s="37">
        <f t="shared" si="23"/>
        <v>0.60824353286278576</v>
      </c>
      <c r="AR88" s="38">
        <f t="shared" si="24"/>
        <v>63.630363176434464</v>
      </c>
      <c r="AS88" s="39">
        <f t="shared" si="25"/>
        <v>3.1279647461211413E-10</v>
      </c>
      <c r="AT88" s="40">
        <f t="shared" si="26"/>
        <v>29.286845375804234</v>
      </c>
      <c r="AU88" s="41">
        <f t="shared" si="27"/>
        <v>184.70246892854342</v>
      </c>
      <c r="AV88" s="42">
        <f t="shared" si="28"/>
        <v>12.3016232837871</v>
      </c>
      <c r="AW88" s="31">
        <f t="shared" si="29"/>
        <v>0.21717402050555937</v>
      </c>
      <c r="AX88" s="43" t="s">
        <v>492</v>
      </c>
      <c r="AY88" s="24" t="s">
        <v>2</v>
      </c>
      <c r="AZ88" s="44">
        <v>15.1</v>
      </c>
      <c r="BA88" s="45">
        <v>8.92</v>
      </c>
      <c r="BB88" s="24" t="s">
        <v>134</v>
      </c>
      <c r="BC88" s="28" t="s">
        <v>1</v>
      </c>
      <c r="BD88" s="24" t="s">
        <v>2</v>
      </c>
    </row>
    <row r="89" spans="1:56" ht="15.75" customHeight="1">
      <c r="A89" s="23" t="s">
        <v>372</v>
      </c>
      <c r="B89" s="14" t="s">
        <v>371</v>
      </c>
      <c r="C89" s="24" t="s">
        <v>1</v>
      </c>
      <c r="D89" s="23" t="s">
        <v>373</v>
      </c>
      <c r="E89" s="25" t="s">
        <v>374</v>
      </c>
      <c r="F89" s="23" t="s">
        <v>375</v>
      </c>
      <c r="G89" s="25" t="s">
        <v>376</v>
      </c>
      <c r="H89" s="25" t="s">
        <v>377</v>
      </c>
      <c r="I89" s="26">
        <f t="shared" si="20"/>
        <v>9.5762325568923981</v>
      </c>
      <c r="J89" s="27">
        <v>104.4252</v>
      </c>
      <c r="K89" s="27">
        <v>0.10050000000000001</v>
      </c>
      <c r="L89" s="28" t="s">
        <v>124</v>
      </c>
      <c r="M89" s="29">
        <v>175.26256779425501</v>
      </c>
      <c r="N89" s="29">
        <f>34.2016337792914</f>
        <v>34.201633779291399</v>
      </c>
      <c r="O89" s="30">
        <v>5.3079999999999998</v>
      </c>
      <c r="P89" s="31">
        <v>1E-3</v>
      </c>
      <c r="Q89" s="32" t="s">
        <v>125</v>
      </c>
      <c r="R89" s="31">
        <v>0.72299999999999998</v>
      </c>
      <c r="S89" s="31">
        <v>1.4E-2</v>
      </c>
      <c r="T89" s="32" t="s">
        <v>126</v>
      </c>
      <c r="U89" s="33">
        <v>4.91</v>
      </c>
      <c r="V89" s="25" t="s">
        <v>166</v>
      </c>
      <c r="W89" s="23" t="s">
        <v>378</v>
      </c>
      <c r="X89" s="23" t="s">
        <v>129</v>
      </c>
      <c r="Y89" s="7">
        <v>5491</v>
      </c>
      <c r="Z89" s="24">
        <v>24</v>
      </c>
      <c r="AA89" s="23" t="s">
        <v>130</v>
      </c>
      <c r="AB89" s="34">
        <v>-0.21538299999999999</v>
      </c>
      <c r="AC89" s="35">
        <v>6.4184999999999997E-3</v>
      </c>
      <c r="AD89" s="28" t="s">
        <v>179</v>
      </c>
      <c r="AE89" s="31">
        <f t="shared" si="21"/>
        <v>0.86223998811368308</v>
      </c>
      <c r="AF89" s="31">
        <f t="shared" si="22"/>
        <v>0.83745226778751436</v>
      </c>
      <c r="AG89" s="25">
        <v>0.94</v>
      </c>
      <c r="AH89" s="10">
        <v>-0.05</v>
      </c>
      <c r="AI89" s="31">
        <v>0.01</v>
      </c>
      <c r="AJ89" s="24" t="s">
        <v>60</v>
      </c>
      <c r="AK89" s="23" t="s">
        <v>130</v>
      </c>
      <c r="AL89" s="5">
        <v>4.54</v>
      </c>
      <c r="AM89" s="31">
        <v>0.02</v>
      </c>
      <c r="AN89" s="23" t="s">
        <v>130</v>
      </c>
      <c r="AO89" s="36">
        <v>-4.5460000000000003</v>
      </c>
      <c r="AP89" s="23" t="s">
        <v>132</v>
      </c>
      <c r="AQ89" s="37">
        <f t="shared" si="23"/>
        <v>0.78038425768884623</v>
      </c>
      <c r="AR89" s="38">
        <f t="shared" si="24"/>
        <v>81.491782186009303</v>
      </c>
      <c r="AS89" s="39">
        <f t="shared" si="25"/>
        <v>1.9002023448629421E-10</v>
      </c>
      <c r="AT89" s="40">
        <f t="shared" si="26"/>
        <v>29.213000375804235</v>
      </c>
      <c r="AU89" s="41">
        <f t="shared" si="27"/>
        <v>259.71474685660121</v>
      </c>
      <c r="AV89" s="42">
        <f t="shared" si="28"/>
        <v>10.508103279888758</v>
      </c>
      <c r="AW89" s="31">
        <f t="shared" si="29"/>
        <v>0.26038268660030417</v>
      </c>
      <c r="AX89" s="43" t="s">
        <v>379</v>
      </c>
      <c r="AY89" s="24" t="s">
        <v>2</v>
      </c>
      <c r="AZ89" s="44">
        <v>158.9</v>
      </c>
      <c r="BA89" s="45">
        <v>5.96</v>
      </c>
      <c r="BB89" s="24" t="s">
        <v>134</v>
      </c>
      <c r="BC89" s="28" t="s">
        <v>1</v>
      </c>
      <c r="BD89" s="24" t="s">
        <v>2</v>
      </c>
    </row>
    <row r="90" spans="1:56" ht="15.75" customHeight="1">
      <c r="A90" s="23" t="s">
        <v>228</v>
      </c>
      <c r="B90" s="14" t="s">
        <v>227</v>
      </c>
      <c r="C90" s="24" t="s">
        <v>2</v>
      </c>
      <c r="D90" s="23" t="s">
        <v>229</v>
      </c>
      <c r="E90" s="25" t="s">
        <v>230</v>
      </c>
      <c r="F90" s="23" t="s">
        <v>231</v>
      </c>
      <c r="G90" s="25" t="s">
        <v>1</v>
      </c>
      <c r="H90" s="25" t="s">
        <v>232</v>
      </c>
      <c r="I90" s="26">
        <f t="shared" si="20"/>
        <v>9.3194560419897403</v>
      </c>
      <c r="J90" s="27">
        <v>107.30240000000001</v>
      </c>
      <c r="K90" s="27">
        <v>8.7300000000000003E-2</v>
      </c>
      <c r="L90" s="28" t="s">
        <v>124</v>
      </c>
      <c r="M90" s="29">
        <v>176.629468888048</v>
      </c>
      <c r="N90" s="29">
        <v>-40.500357185326102</v>
      </c>
      <c r="O90" s="30">
        <v>4.8929999999999998</v>
      </c>
      <c r="P90" s="31">
        <v>2E-3</v>
      </c>
      <c r="Q90" s="32" t="s">
        <v>125</v>
      </c>
      <c r="R90" s="31">
        <v>0.66400000000000003</v>
      </c>
      <c r="S90" s="31">
        <v>4.0000000000000001E-3</v>
      </c>
      <c r="T90" s="32" t="s">
        <v>126</v>
      </c>
      <c r="U90" s="33">
        <v>4.5250000000000004</v>
      </c>
      <c r="V90" s="25" t="s">
        <v>143</v>
      </c>
      <c r="W90" s="23" t="s">
        <v>233</v>
      </c>
      <c r="X90" s="23" t="s">
        <v>145</v>
      </c>
      <c r="Y90" s="7">
        <v>5618</v>
      </c>
      <c r="Z90" s="24">
        <v>14</v>
      </c>
      <c r="AA90" s="23" t="s">
        <v>130</v>
      </c>
      <c r="AB90" s="34">
        <v>-7.3652400000000007E-2</v>
      </c>
      <c r="AC90" s="35">
        <v>1.10939E-2</v>
      </c>
      <c r="AD90" s="28" t="s">
        <v>146</v>
      </c>
      <c r="AE90" s="31">
        <f t="shared" si="21"/>
        <v>0.96968991295108686</v>
      </c>
      <c r="AF90" s="31">
        <f t="shared" si="22"/>
        <v>0.96776274777116189</v>
      </c>
      <c r="AG90" s="25">
        <v>1.02</v>
      </c>
      <c r="AH90" s="10">
        <v>-0.31</v>
      </c>
      <c r="AI90" s="31">
        <v>0.02</v>
      </c>
      <c r="AJ90" s="24" t="s">
        <v>60</v>
      </c>
      <c r="AK90" s="23" t="s">
        <v>130</v>
      </c>
      <c r="AL90" s="5">
        <v>4.4400000000000004</v>
      </c>
      <c r="AM90" s="31">
        <v>0.03</v>
      </c>
      <c r="AN90" s="23" t="s">
        <v>130</v>
      </c>
      <c r="AO90" s="36">
        <v>-4.931</v>
      </c>
      <c r="AP90" s="23" t="s">
        <v>191</v>
      </c>
      <c r="AQ90" s="37">
        <f t="shared" si="23"/>
        <v>0.9187001768985491</v>
      </c>
      <c r="AR90" s="38">
        <f t="shared" si="24"/>
        <v>98.578733861638881</v>
      </c>
      <c r="AS90" s="39">
        <f t="shared" si="25"/>
        <v>1.3711003751832915E-10</v>
      </c>
      <c r="AT90" s="40">
        <f t="shared" si="26"/>
        <v>29.182326875804236</v>
      </c>
      <c r="AU90" s="41">
        <f t="shared" si="27"/>
        <v>318.46257393355006</v>
      </c>
      <c r="AV90" s="42">
        <f t="shared" si="28"/>
        <v>9.2972717161421876</v>
      </c>
      <c r="AW90" s="31">
        <f t="shared" si="29"/>
        <v>0.29027471385484988</v>
      </c>
      <c r="AX90" s="43" t="s">
        <v>234</v>
      </c>
      <c r="AY90" s="24" t="s">
        <v>2</v>
      </c>
      <c r="AZ90" s="44">
        <v>22.7</v>
      </c>
      <c r="BA90" s="45">
        <v>9.6</v>
      </c>
      <c r="BB90" s="24" t="s">
        <v>134</v>
      </c>
      <c r="BC90" s="28" t="s">
        <v>1</v>
      </c>
      <c r="BD90" s="24" t="s">
        <v>2</v>
      </c>
    </row>
    <row r="91" spans="1:56" ht="15.75" customHeight="1">
      <c r="A91" s="23" t="s">
        <v>1160</v>
      </c>
      <c r="B91" s="14" t="s">
        <v>1159</v>
      </c>
      <c r="C91" s="24" t="s">
        <v>1</v>
      </c>
      <c r="D91" s="23" t="s">
        <v>1161</v>
      </c>
      <c r="E91" s="25" t="s">
        <v>1162</v>
      </c>
      <c r="F91" s="23" t="s">
        <v>1163</v>
      </c>
      <c r="G91" s="25" t="s">
        <v>1164</v>
      </c>
      <c r="H91" s="25" t="s">
        <v>1165</v>
      </c>
      <c r="I91" s="26">
        <f t="shared" si="20"/>
        <v>10.928961748633879</v>
      </c>
      <c r="J91" s="27">
        <v>91.5</v>
      </c>
      <c r="K91" s="27">
        <v>0.22</v>
      </c>
      <c r="L91" s="28" t="s">
        <v>343</v>
      </c>
      <c r="M91" s="29">
        <v>177.673827149423</v>
      </c>
      <c r="N91" s="29">
        <f>1.7647226497586</f>
        <v>1.7647226497585999</v>
      </c>
      <c r="O91" s="30">
        <v>3.6019999999999999</v>
      </c>
      <c r="P91" s="31">
        <v>4.0000000000000001E-3</v>
      </c>
      <c r="Q91" s="32" t="s">
        <v>125</v>
      </c>
      <c r="R91" s="31">
        <v>0.55200000000000005</v>
      </c>
      <c r="S91" s="31">
        <v>8.0000000000000002E-3</v>
      </c>
      <c r="T91" s="32" t="s">
        <v>142</v>
      </c>
      <c r="U91" s="33">
        <v>3.28</v>
      </c>
      <c r="V91" s="25" t="s">
        <v>143</v>
      </c>
      <c r="W91" s="23" t="s">
        <v>190</v>
      </c>
      <c r="X91" s="23" t="s">
        <v>345</v>
      </c>
      <c r="Y91" s="7">
        <v>6123</v>
      </c>
      <c r="Z91" s="24">
        <v>9</v>
      </c>
      <c r="AA91" s="23" t="s">
        <v>130</v>
      </c>
      <c r="AB91" s="34">
        <v>0.55291100000000004</v>
      </c>
      <c r="AC91" s="35">
        <v>6.3225E-3</v>
      </c>
      <c r="AD91" s="28" t="s">
        <v>179</v>
      </c>
      <c r="AE91" s="31">
        <f t="shared" si="21"/>
        <v>1.6793821345883699</v>
      </c>
      <c r="AF91" s="31">
        <f t="shared" si="22"/>
        <v>1.4292138293052765</v>
      </c>
      <c r="AG91" s="25">
        <v>1.1399999999999999</v>
      </c>
      <c r="AH91" s="10">
        <v>0.13</v>
      </c>
      <c r="AI91" s="31">
        <v>0.01</v>
      </c>
      <c r="AJ91" s="24" t="s">
        <v>60</v>
      </c>
      <c r="AK91" s="23" t="s">
        <v>130</v>
      </c>
      <c r="AL91" s="5">
        <v>4.13</v>
      </c>
      <c r="AM91" s="31">
        <v>0.02</v>
      </c>
      <c r="AN91" s="23" t="s">
        <v>130</v>
      </c>
      <c r="AO91" s="36">
        <v>-4.88</v>
      </c>
      <c r="AP91" s="23" t="s">
        <v>191</v>
      </c>
      <c r="AQ91" s="37">
        <f t="shared" si="23"/>
        <v>1.889972565156937</v>
      </c>
      <c r="AR91" s="38">
        <f t="shared" si="24"/>
        <v>172.93248971185974</v>
      </c>
      <c r="AS91" s="39">
        <f t="shared" si="25"/>
        <v>3.2397078609175203E-11</v>
      </c>
      <c r="AT91" s="40">
        <f t="shared" si="26"/>
        <v>29.50373537580424</v>
      </c>
      <c r="AU91" s="41">
        <f t="shared" si="27"/>
        <v>888.85027501258071</v>
      </c>
      <c r="AV91" s="42">
        <f t="shared" si="28"/>
        <v>6.1314378963435425</v>
      </c>
      <c r="AW91" s="31">
        <f t="shared" si="29"/>
        <v>0.45561486423107012</v>
      </c>
      <c r="AX91" s="43" t="s">
        <v>1166</v>
      </c>
      <c r="AY91" s="24" t="s">
        <v>2</v>
      </c>
      <c r="AZ91" s="44">
        <v>326.60000000000002</v>
      </c>
      <c r="BA91" s="45">
        <v>7.99</v>
      </c>
      <c r="BB91" s="24" t="s">
        <v>5</v>
      </c>
      <c r="BC91" s="46" t="s">
        <v>596</v>
      </c>
      <c r="BD91" s="50" t="s">
        <v>4</v>
      </c>
    </row>
    <row r="92" spans="1:56" ht="15.75" customHeight="1">
      <c r="A92" s="23" t="s">
        <v>1447</v>
      </c>
      <c r="B92" s="14" t="s">
        <v>1446</v>
      </c>
      <c r="C92" s="24" t="s">
        <v>1</v>
      </c>
      <c r="D92" s="23" t="s">
        <v>1448</v>
      </c>
      <c r="E92" s="25" t="s">
        <v>1449</v>
      </c>
      <c r="F92" s="23" t="s">
        <v>1450</v>
      </c>
      <c r="G92" s="25" t="s">
        <v>1451</v>
      </c>
      <c r="H92" s="25" t="s">
        <v>1452</v>
      </c>
      <c r="I92" s="26">
        <f t="shared" si="20"/>
        <v>9.171821230198038</v>
      </c>
      <c r="J92" s="27">
        <v>109.0296</v>
      </c>
      <c r="K92" s="27">
        <v>1.9699999999999999E-2</v>
      </c>
      <c r="L92" s="28" t="s">
        <v>124</v>
      </c>
      <c r="M92" s="29">
        <v>178.24486391156401</v>
      </c>
      <c r="N92" s="29">
        <f>37.7186816980903</f>
        <v>37.7186816980903</v>
      </c>
      <c r="O92" s="30">
        <v>6.4269999999999996</v>
      </c>
      <c r="P92" s="31">
        <v>8.0000000000000002E-3</v>
      </c>
      <c r="Q92" s="32" t="s">
        <v>125</v>
      </c>
      <c r="R92" s="31">
        <v>0.754</v>
      </c>
      <c r="S92" s="31">
        <v>8.9999999999999993E-3</v>
      </c>
      <c r="T92" s="32" t="s">
        <v>126</v>
      </c>
      <c r="U92" s="33">
        <v>5.9589999999999996</v>
      </c>
      <c r="V92" s="25" t="s">
        <v>189</v>
      </c>
      <c r="W92" s="23" t="s">
        <v>1453</v>
      </c>
      <c r="X92" s="23" t="s">
        <v>334</v>
      </c>
      <c r="Y92" s="7">
        <v>5057</v>
      </c>
      <c r="Z92" s="24">
        <v>18</v>
      </c>
      <c r="AA92" s="23" t="s">
        <v>130</v>
      </c>
      <c r="AB92" s="34">
        <v>-0.67366400000000004</v>
      </c>
      <c r="AC92" s="35">
        <v>4.0974999999999996E-3</v>
      </c>
      <c r="AD92" s="28" t="s">
        <v>179</v>
      </c>
      <c r="AE92" s="31">
        <f t="shared" si="21"/>
        <v>0.59979748503275365</v>
      </c>
      <c r="AF92" s="31">
        <f t="shared" si="22"/>
        <v>0.6082409365259801</v>
      </c>
      <c r="AG92" s="25">
        <v>0.85</v>
      </c>
      <c r="AH92" s="10">
        <v>-1.33</v>
      </c>
      <c r="AI92" s="31">
        <v>0.02</v>
      </c>
      <c r="AJ92" s="24" t="s">
        <v>60</v>
      </c>
      <c r="AK92" s="23" t="s">
        <v>130</v>
      </c>
      <c r="AL92" s="5">
        <v>4.6399999999999997</v>
      </c>
      <c r="AM92" s="31">
        <v>0.04</v>
      </c>
      <c r="AN92" s="23" t="s">
        <v>130</v>
      </c>
      <c r="AO92" s="36">
        <v>-4.8959999999999999</v>
      </c>
      <c r="AP92" s="23" t="s">
        <v>132</v>
      </c>
      <c r="AQ92" s="37">
        <f t="shared" si="23"/>
        <v>0.46043465104981857</v>
      </c>
      <c r="AR92" s="38">
        <f t="shared" si="24"/>
        <v>50.201005830101302</v>
      </c>
      <c r="AS92" s="39">
        <f t="shared" si="25"/>
        <v>5.4585947061375326E-10</v>
      </c>
      <c r="AT92" s="40">
        <f t="shared" si="26"/>
        <v>29.116297875804236</v>
      </c>
      <c r="AU92" s="41">
        <f t="shared" si="27"/>
        <v>123.77710588201728</v>
      </c>
      <c r="AV92" s="42">
        <f t="shared" si="28"/>
        <v>14.386297817186819</v>
      </c>
      <c r="AW92" s="31">
        <f t="shared" si="29"/>
        <v>0.17738612008968696</v>
      </c>
      <c r="AX92" s="43" t="s">
        <v>1</v>
      </c>
      <c r="AY92" s="24" t="s">
        <v>1</v>
      </c>
      <c r="AZ92" s="44" t="s">
        <v>1</v>
      </c>
      <c r="BA92" s="45" t="s">
        <v>1</v>
      </c>
      <c r="BB92" s="24" t="s">
        <v>134</v>
      </c>
      <c r="BC92" s="28" t="s">
        <v>1</v>
      </c>
      <c r="BD92" s="50" t="s">
        <v>4</v>
      </c>
    </row>
    <row r="93" spans="1:56" ht="15.75" customHeight="1">
      <c r="A93" s="23" t="s">
        <v>1314</v>
      </c>
      <c r="B93" s="14" t="s">
        <v>1313</v>
      </c>
      <c r="C93" s="24" t="s">
        <v>2</v>
      </c>
      <c r="D93" s="23" t="s">
        <v>1315</v>
      </c>
      <c r="E93" s="25" t="s">
        <v>1316</v>
      </c>
      <c r="F93" s="23" t="s">
        <v>1317</v>
      </c>
      <c r="G93" s="25" t="s">
        <v>1318</v>
      </c>
      <c r="H93" s="25" t="s">
        <v>1319</v>
      </c>
      <c r="I93" s="26">
        <f t="shared" si="20"/>
        <v>14.936519790888722</v>
      </c>
      <c r="J93" s="27">
        <v>66.95</v>
      </c>
      <c r="K93" s="27">
        <v>0.15</v>
      </c>
      <c r="L93" s="28" t="s">
        <v>343</v>
      </c>
      <c r="M93" s="29">
        <v>182.10340218370001</v>
      </c>
      <c r="N93" s="29">
        <v>-24.728875098300001</v>
      </c>
      <c r="O93" s="30">
        <v>4.0250000000000004</v>
      </c>
      <c r="P93" s="31">
        <v>1E-3</v>
      </c>
      <c r="Q93" s="32" t="s">
        <v>125</v>
      </c>
      <c r="R93" s="31">
        <v>0.33200000000000002</v>
      </c>
      <c r="S93" s="31">
        <v>1.0999999999999999E-2</v>
      </c>
      <c r="T93" s="32" t="s">
        <v>142</v>
      </c>
      <c r="U93" s="33">
        <v>3.8039999999999998</v>
      </c>
      <c r="V93" s="25" t="s">
        <v>189</v>
      </c>
      <c r="W93" s="23" t="s">
        <v>1320</v>
      </c>
      <c r="X93" s="23" t="s">
        <v>145</v>
      </c>
      <c r="Y93" s="7">
        <v>6990</v>
      </c>
      <c r="Z93" s="24">
        <v>80</v>
      </c>
      <c r="AA93" s="28" t="s">
        <v>1055</v>
      </c>
      <c r="AB93" s="34">
        <v>0.63627999999999996</v>
      </c>
      <c r="AC93" s="35" t="s">
        <v>1</v>
      </c>
      <c r="AD93" s="28" t="s">
        <v>146</v>
      </c>
      <c r="AE93" s="31">
        <f t="shared" si="21"/>
        <v>1.4184309409875926</v>
      </c>
      <c r="AF93" s="31">
        <f t="shared" si="22"/>
        <v>0.88325349483650528</v>
      </c>
      <c r="AG93" s="25">
        <v>1.5</v>
      </c>
      <c r="AH93" s="10">
        <v>-0.13</v>
      </c>
      <c r="AI93" s="31">
        <v>0.03</v>
      </c>
      <c r="AJ93" s="24" t="s">
        <v>60</v>
      </c>
      <c r="AK93" s="23" t="s">
        <v>316</v>
      </c>
      <c r="AL93" s="5">
        <v>4.1920000000000002</v>
      </c>
      <c r="AM93" s="31">
        <v>2.5999999999999999E-2</v>
      </c>
      <c r="AN93" s="23" t="s">
        <v>124</v>
      </c>
      <c r="AO93" s="36">
        <v>-4.2140000000000004</v>
      </c>
      <c r="AP93" s="23" t="s">
        <v>318</v>
      </c>
      <c r="AQ93" s="37">
        <f t="shared" si="23"/>
        <v>2.0803672101759934</v>
      </c>
      <c r="AR93" s="38">
        <f t="shared" si="24"/>
        <v>139.28058472128276</v>
      </c>
      <c r="AS93" s="39">
        <f t="shared" si="25"/>
        <v>2.6738488271643537E-11</v>
      </c>
      <c r="AT93" s="40">
        <f t="shared" si="26"/>
        <v>30.236157875804235</v>
      </c>
      <c r="AU93" s="41">
        <f t="shared" si="27"/>
        <v>894.87455047529215</v>
      </c>
      <c r="AV93" s="42">
        <f t="shared" si="28"/>
        <v>5.09479694722787</v>
      </c>
      <c r="AW93" s="31">
        <f t="shared" si="29"/>
        <v>0.27888519763229369</v>
      </c>
      <c r="AX93" s="43" t="s">
        <v>1</v>
      </c>
      <c r="AY93" s="24" t="s">
        <v>2</v>
      </c>
      <c r="AZ93" s="44">
        <v>3.07</v>
      </c>
      <c r="BA93" s="45">
        <v>7.75</v>
      </c>
      <c r="BB93" s="24" t="s">
        <v>134</v>
      </c>
      <c r="BC93" s="28" t="s">
        <v>1</v>
      </c>
      <c r="BD93" s="50" t="s">
        <v>4</v>
      </c>
    </row>
    <row r="94" spans="1:56" ht="15.75" customHeight="1">
      <c r="A94" s="23" t="s">
        <v>1377</v>
      </c>
      <c r="B94" s="14" t="s">
        <v>1376</v>
      </c>
      <c r="C94" s="24" t="s">
        <v>1</v>
      </c>
      <c r="D94" s="23" t="s">
        <v>1378</v>
      </c>
      <c r="E94" s="25" t="s">
        <v>1379</v>
      </c>
      <c r="F94" s="23" t="s">
        <v>1380</v>
      </c>
      <c r="G94" s="25" t="s">
        <v>1381</v>
      </c>
      <c r="H94" s="25" t="s">
        <v>1382</v>
      </c>
      <c r="I94" s="26">
        <f t="shared" si="20"/>
        <v>18.243680845047297</v>
      </c>
      <c r="J94" s="27">
        <v>54.813499999999998</v>
      </c>
      <c r="K94" s="27">
        <v>0.15620000000000001</v>
      </c>
      <c r="L94" s="28" t="s">
        <v>124</v>
      </c>
      <c r="M94" s="29">
        <v>188.0176100077</v>
      </c>
      <c r="N94" s="29">
        <v>-16.196005170938601</v>
      </c>
      <c r="O94" s="30">
        <v>4.2969999999999997</v>
      </c>
      <c r="P94" s="31">
        <v>3.0000000000000001E-3</v>
      </c>
      <c r="Q94" s="32" t="s">
        <v>125</v>
      </c>
      <c r="R94" s="31">
        <v>0.378</v>
      </c>
      <c r="S94" s="31">
        <v>7.0000000000000001E-3</v>
      </c>
      <c r="T94" s="32" t="s">
        <v>142</v>
      </c>
      <c r="U94" s="33">
        <v>4.07</v>
      </c>
      <c r="V94" s="25" t="s">
        <v>166</v>
      </c>
      <c r="W94" s="23" t="s">
        <v>1228</v>
      </c>
      <c r="X94" s="23" t="s">
        <v>145</v>
      </c>
      <c r="Y94" s="7">
        <v>6871</v>
      </c>
      <c r="Z94" s="24">
        <v>48</v>
      </c>
      <c r="AA94" s="28" t="s">
        <v>1383</v>
      </c>
      <c r="AB94" s="34">
        <v>0.66495499999999996</v>
      </c>
      <c r="AC94" s="35">
        <v>2.2344800000000001E-2</v>
      </c>
      <c r="AD94" s="28" t="s">
        <v>146</v>
      </c>
      <c r="AE94" s="31">
        <f t="shared" si="21"/>
        <v>1.517260496337697</v>
      </c>
      <c r="AF94" s="31">
        <f t="shared" si="22"/>
        <v>0.77352485219397749</v>
      </c>
      <c r="AG94" s="25">
        <v>1.44</v>
      </c>
      <c r="AH94" s="10">
        <v>-0.06</v>
      </c>
      <c r="AI94" s="31">
        <v>0.04</v>
      </c>
      <c r="AJ94" s="44" t="s">
        <v>60</v>
      </c>
      <c r="AK94" s="23" t="s">
        <v>316</v>
      </c>
      <c r="AL94" s="5">
        <v>4.2416999999999998</v>
      </c>
      <c r="AM94" s="31">
        <v>8.3400000000000002E-2</v>
      </c>
      <c r="AN94" s="23" t="s">
        <v>146</v>
      </c>
      <c r="AO94" s="36">
        <v>-4.3129999999999997</v>
      </c>
      <c r="AP94" s="23" t="s">
        <v>318</v>
      </c>
      <c r="AQ94" s="37">
        <f t="shared" si="23"/>
        <v>2.1501932788872566</v>
      </c>
      <c r="AR94" s="38">
        <f t="shared" si="24"/>
        <v>117.85961929228665</v>
      </c>
      <c r="AS94" s="39">
        <f t="shared" si="25"/>
        <v>2.5030057637810317E-11</v>
      </c>
      <c r="AT94" s="40">
        <f t="shared" si="26"/>
        <v>30.573845375804236</v>
      </c>
      <c r="AU94" s="41">
        <f t="shared" si="27"/>
        <v>959.6940246160068</v>
      </c>
      <c r="AV94" s="42">
        <f t="shared" si="28"/>
        <v>5.1147276514581526</v>
      </c>
      <c r="AW94" s="31">
        <f t="shared" si="29"/>
        <v>0.2458264918151527</v>
      </c>
      <c r="AX94" s="43" t="s">
        <v>1384</v>
      </c>
      <c r="AY94" s="24" t="s">
        <v>2</v>
      </c>
      <c r="AZ94" s="44">
        <v>12.9</v>
      </c>
      <c r="BA94" s="45">
        <v>15.8</v>
      </c>
      <c r="BB94" s="24" t="s">
        <v>5</v>
      </c>
      <c r="BC94" s="46" t="s">
        <v>1013</v>
      </c>
      <c r="BD94" s="50" t="s">
        <v>4</v>
      </c>
    </row>
    <row r="95" spans="1:56" ht="15.75" customHeight="1">
      <c r="A95" s="23" t="s">
        <v>171</v>
      </c>
      <c r="B95" s="14" t="s">
        <v>170</v>
      </c>
      <c r="C95" s="24" t="s">
        <v>1</v>
      </c>
      <c r="D95" s="23" t="s">
        <v>172</v>
      </c>
      <c r="E95" s="25" t="s">
        <v>173</v>
      </c>
      <c r="F95" s="23" t="s">
        <v>174</v>
      </c>
      <c r="G95" s="25" t="s">
        <v>175</v>
      </c>
      <c r="H95" s="25" t="s">
        <v>176</v>
      </c>
      <c r="I95" s="26">
        <f t="shared" si="20"/>
        <v>8.47266633114908</v>
      </c>
      <c r="J95" s="27">
        <v>118.0266</v>
      </c>
      <c r="K95" s="27">
        <v>0.153</v>
      </c>
      <c r="L95" s="28" t="s">
        <v>124</v>
      </c>
      <c r="M95" s="29">
        <v>188.43560104856101</v>
      </c>
      <c r="N95" s="29">
        <f>41.3574781535719</f>
        <v>41.357478153571897</v>
      </c>
      <c r="O95" s="30">
        <v>4.26</v>
      </c>
      <c r="P95" s="31">
        <v>7.0000000000000001E-3</v>
      </c>
      <c r="Q95" s="32" t="s">
        <v>177</v>
      </c>
      <c r="R95" s="31">
        <v>0.58499999999999996</v>
      </c>
      <c r="S95" s="31">
        <v>5.0000000000000001E-3</v>
      </c>
      <c r="T95" s="32" t="s">
        <v>142</v>
      </c>
      <c r="U95" s="33">
        <v>3.89</v>
      </c>
      <c r="V95" s="25" t="s">
        <v>166</v>
      </c>
      <c r="W95" s="23" t="s">
        <v>178</v>
      </c>
      <c r="X95" s="23" t="s">
        <v>129</v>
      </c>
      <c r="Y95" s="7">
        <v>5878</v>
      </c>
      <c r="Z95" s="24">
        <v>14</v>
      </c>
      <c r="AA95" s="23" t="s">
        <v>130</v>
      </c>
      <c r="AB95" s="34">
        <v>6.1075299999999999E-2</v>
      </c>
      <c r="AC95" s="35">
        <v>6.7923000000000002E-3</v>
      </c>
      <c r="AD95" s="28" t="s">
        <v>179</v>
      </c>
      <c r="AE95" s="31">
        <f t="shared" si="21"/>
        <v>1.0344298260603801</v>
      </c>
      <c r="AF95" s="31">
        <f t="shared" si="22"/>
        <v>1.1355532843706724</v>
      </c>
      <c r="AG95" s="25">
        <v>1.08</v>
      </c>
      <c r="AH95" s="10">
        <v>-0.2</v>
      </c>
      <c r="AI95" s="31">
        <v>0.01</v>
      </c>
      <c r="AJ95" s="24" t="s">
        <v>60</v>
      </c>
      <c r="AK95" s="23" t="s">
        <v>130</v>
      </c>
      <c r="AL95" s="5">
        <v>4.42</v>
      </c>
      <c r="AM95" s="31">
        <v>0.02</v>
      </c>
      <c r="AN95" s="23" t="s">
        <v>130</v>
      </c>
      <c r="AO95" s="36">
        <v>-4.97</v>
      </c>
      <c r="AP95" s="23" t="s">
        <v>180</v>
      </c>
      <c r="AQ95" s="37">
        <f t="shared" si="23"/>
        <v>1.0728466513787256</v>
      </c>
      <c r="AR95" s="38">
        <f t="shared" si="24"/>
        <v>126.62444258361629</v>
      </c>
      <c r="AS95" s="39">
        <f t="shared" si="25"/>
        <v>1.0054061783099956E-10</v>
      </c>
      <c r="AT95" s="40">
        <f t="shared" si="26"/>
        <v>28.884146125804239</v>
      </c>
      <c r="AU95" s="41">
        <f t="shared" si="27"/>
        <v>390.56415655500632</v>
      </c>
      <c r="AV95" s="42">
        <f t="shared" si="28"/>
        <v>8.3610689849533255</v>
      </c>
      <c r="AW95" s="31">
        <f t="shared" si="29"/>
        <v>0.35214370774646675</v>
      </c>
      <c r="AX95" s="43" t="s">
        <v>181</v>
      </c>
      <c r="AY95" s="24" t="s">
        <v>2</v>
      </c>
      <c r="AZ95" s="44">
        <v>265.7</v>
      </c>
      <c r="BA95" s="45">
        <v>6.39</v>
      </c>
      <c r="BB95" s="24" t="s">
        <v>134</v>
      </c>
      <c r="BC95" s="28" t="s">
        <v>1</v>
      </c>
      <c r="BD95" s="24" t="s">
        <v>2</v>
      </c>
    </row>
    <row r="96" spans="1:56" ht="15.75" customHeight="1">
      <c r="A96" s="23" t="s">
        <v>1352</v>
      </c>
      <c r="B96" s="14" t="s">
        <v>1351</v>
      </c>
      <c r="C96" s="24" t="s">
        <v>1</v>
      </c>
      <c r="D96" s="23" t="s">
        <v>1353</v>
      </c>
      <c r="E96" s="25" t="s">
        <v>1354</v>
      </c>
      <c r="F96" s="23" t="s">
        <v>1355</v>
      </c>
      <c r="G96" s="25" t="s">
        <v>1356</v>
      </c>
      <c r="H96" s="25" t="s">
        <v>1357</v>
      </c>
      <c r="I96" s="26">
        <f t="shared" si="20"/>
        <v>17.556549646411092</v>
      </c>
      <c r="J96" s="27">
        <v>56.958799999999997</v>
      </c>
      <c r="K96" s="27">
        <v>3.2300000000000002E-2</v>
      </c>
      <c r="L96" s="28" t="s">
        <v>124</v>
      </c>
      <c r="M96" s="29">
        <v>191.247520684276</v>
      </c>
      <c r="N96" s="29">
        <f>39.2789161478603</f>
        <v>39.278916147860301</v>
      </c>
      <c r="O96" s="30">
        <v>5.9580000000000002</v>
      </c>
      <c r="P96" s="31">
        <v>2E-3</v>
      </c>
      <c r="Q96" s="32" t="s">
        <v>125</v>
      </c>
      <c r="R96" s="31">
        <v>0.54800000000000004</v>
      </c>
      <c r="S96" s="31">
        <v>5.0000000000000001E-3</v>
      </c>
      <c r="T96" s="32" t="s">
        <v>142</v>
      </c>
      <c r="U96" s="33">
        <v>5.6</v>
      </c>
      <c r="V96" s="25" t="s">
        <v>166</v>
      </c>
      <c r="W96" s="23" t="s">
        <v>1358</v>
      </c>
      <c r="X96" s="23" t="s">
        <v>334</v>
      </c>
      <c r="Y96" s="7">
        <v>5889</v>
      </c>
      <c r="Z96" s="24">
        <v>16</v>
      </c>
      <c r="AA96" s="23" t="s">
        <v>130</v>
      </c>
      <c r="AB96" s="34">
        <v>3.8190799999999997E-2</v>
      </c>
      <c r="AC96" s="35">
        <v>1.27978E-2</v>
      </c>
      <c r="AD96" s="28" t="s">
        <v>146</v>
      </c>
      <c r="AE96" s="31">
        <f t="shared" si="21"/>
        <v>1.0037714501000476</v>
      </c>
      <c r="AF96" s="31">
        <f t="shared" si="22"/>
        <v>0.53176807062804787</v>
      </c>
      <c r="AG96" s="25">
        <v>1.1399999999999999</v>
      </c>
      <c r="AH96" s="10">
        <v>-0.53</v>
      </c>
      <c r="AI96" s="31">
        <v>0.02</v>
      </c>
      <c r="AJ96" s="24" t="s">
        <v>60</v>
      </c>
      <c r="AK96" s="23" t="s">
        <v>130</v>
      </c>
      <c r="AL96" s="5">
        <v>4.38</v>
      </c>
      <c r="AM96" s="31">
        <v>0.04</v>
      </c>
      <c r="AN96" s="23" t="s">
        <v>130</v>
      </c>
      <c r="AO96" s="36">
        <v>-4.9720000000000004</v>
      </c>
      <c r="AP96" s="23" t="s">
        <v>191</v>
      </c>
      <c r="AQ96" s="37">
        <f t="shared" si="23"/>
        <v>1.0449497345854875</v>
      </c>
      <c r="AR96" s="38">
        <f t="shared" si="24"/>
        <v>59.519082942307854</v>
      </c>
      <c r="AS96" s="39">
        <f t="shared" si="25"/>
        <v>1.0598052087897662E-10</v>
      </c>
      <c r="AT96" s="40">
        <f t="shared" si="26"/>
        <v>30.536934875804242</v>
      </c>
      <c r="AU96" s="41">
        <f t="shared" si="27"/>
        <v>365.41675877574744</v>
      </c>
      <c r="AV96" s="42">
        <f t="shared" si="28"/>
        <v>8.2459820250253877</v>
      </c>
      <c r="AW96" s="31">
        <f t="shared" si="29"/>
        <v>0.15681135996538917</v>
      </c>
      <c r="AX96" s="43" t="s">
        <v>1</v>
      </c>
      <c r="AY96" s="24" t="s">
        <v>1</v>
      </c>
      <c r="AZ96" s="44" t="s">
        <v>1</v>
      </c>
      <c r="BA96" s="45" t="s">
        <v>1</v>
      </c>
      <c r="BB96" s="24" t="s">
        <v>5</v>
      </c>
      <c r="BC96" s="46" t="s">
        <v>615</v>
      </c>
      <c r="BD96" s="50" t="s">
        <v>4</v>
      </c>
    </row>
    <row r="97" spans="1:56" ht="15.75" customHeight="1">
      <c r="A97" s="23" t="s">
        <v>202</v>
      </c>
      <c r="B97" s="14" t="s">
        <v>201</v>
      </c>
      <c r="C97" s="24" t="s">
        <v>1</v>
      </c>
      <c r="D97" s="23" t="s">
        <v>203</v>
      </c>
      <c r="E97" s="25" t="s">
        <v>204</v>
      </c>
      <c r="F97" s="23" t="s">
        <v>205</v>
      </c>
      <c r="G97" s="25" t="s">
        <v>206</v>
      </c>
      <c r="H97" s="25" t="s">
        <v>207</v>
      </c>
      <c r="I97" s="26">
        <f t="shared" si="20"/>
        <v>9.197516670498965</v>
      </c>
      <c r="J97" s="27">
        <v>108.72499999999999</v>
      </c>
      <c r="K97" s="27">
        <v>0.16450000000000001</v>
      </c>
      <c r="L97" s="28" t="s">
        <v>124</v>
      </c>
      <c r="M97" s="29">
        <v>197.96830761169201</v>
      </c>
      <c r="N97" s="29">
        <f>27.87818397485</f>
        <v>27.87818397485</v>
      </c>
      <c r="O97" s="30">
        <v>4.2300000000000004</v>
      </c>
      <c r="P97" s="31">
        <v>0.01</v>
      </c>
      <c r="Q97" s="32" t="s">
        <v>126</v>
      </c>
      <c r="R97" s="31">
        <v>0.57199999999999995</v>
      </c>
      <c r="S97" s="31">
        <v>6.0000000000000001E-3</v>
      </c>
      <c r="T97" s="32" t="s">
        <v>126</v>
      </c>
      <c r="U97" s="33">
        <v>3.9</v>
      </c>
      <c r="V97" s="25" t="s">
        <v>166</v>
      </c>
      <c r="W97" s="23" t="s">
        <v>208</v>
      </c>
      <c r="X97" s="23" t="s">
        <v>129</v>
      </c>
      <c r="Y97" s="7">
        <v>5996</v>
      </c>
      <c r="Z97" s="24">
        <v>17</v>
      </c>
      <c r="AA97" s="23" t="s">
        <v>130</v>
      </c>
      <c r="AB97" s="34">
        <v>0.13258</v>
      </c>
      <c r="AC97" s="35">
        <v>4.4805000000000001E-3</v>
      </c>
      <c r="AD97" s="28" t="s">
        <v>179</v>
      </c>
      <c r="AE97" s="31">
        <f t="shared" si="21"/>
        <v>1.0794171136823993</v>
      </c>
      <c r="AF97" s="31">
        <f t="shared" si="22"/>
        <v>1.0915541940148377</v>
      </c>
      <c r="AG97" s="25">
        <v>1.1100000000000001</v>
      </c>
      <c r="AH97" s="10">
        <v>0.06</v>
      </c>
      <c r="AI97" s="31">
        <v>0.01</v>
      </c>
      <c r="AJ97" s="24" t="s">
        <v>60</v>
      </c>
      <c r="AK97" s="23" t="s">
        <v>130</v>
      </c>
      <c r="AL97" s="5">
        <v>4.42</v>
      </c>
      <c r="AM97" s="31">
        <v>0.02</v>
      </c>
      <c r="AN97" s="23" t="s">
        <v>130</v>
      </c>
      <c r="AO97" s="36">
        <v>-4.7450000000000001</v>
      </c>
      <c r="AP97" s="23" t="s">
        <v>132</v>
      </c>
      <c r="AQ97" s="37">
        <f t="shared" si="23"/>
        <v>1.1649036337842213</v>
      </c>
      <c r="AR97" s="38">
        <f t="shared" si="24"/>
        <v>126.65414758318946</v>
      </c>
      <c r="AS97" s="39">
        <f t="shared" si="25"/>
        <v>8.5277969222145246E-11</v>
      </c>
      <c r="AT97" s="40">
        <f t="shared" si="26"/>
        <v>29.072907875804233</v>
      </c>
      <c r="AU97" s="41">
        <f t="shared" si="27"/>
        <v>435.88437109685191</v>
      </c>
      <c r="AV97" s="42">
        <f t="shared" si="28"/>
        <v>7.9147284681864933</v>
      </c>
      <c r="AW97" s="31">
        <f t="shared" si="29"/>
        <v>0.34270668741021409</v>
      </c>
      <c r="AX97" s="43" t="s">
        <v>209</v>
      </c>
      <c r="AY97" s="24" t="s">
        <v>2</v>
      </c>
      <c r="AZ97" s="44">
        <v>131.5</v>
      </c>
      <c r="BA97" s="45">
        <v>7.8</v>
      </c>
      <c r="BB97" s="24" t="s">
        <v>134</v>
      </c>
      <c r="BC97" s="28" t="s">
        <v>1</v>
      </c>
      <c r="BD97" s="24" t="s">
        <v>2</v>
      </c>
    </row>
    <row r="98" spans="1:56" ht="15.75" customHeight="1">
      <c r="A98" s="23" t="s">
        <v>1237</v>
      </c>
      <c r="B98" s="14" t="s">
        <v>1236</v>
      </c>
      <c r="C98" s="24" t="s">
        <v>1</v>
      </c>
      <c r="D98" s="23" t="s">
        <v>1238</v>
      </c>
      <c r="E98" s="25" t="s">
        <v>1239</v>
      </c>
      <c r="F98" s="23" t="s">
        <v>1240</v>
      </c>
      <c r="G98" s="25" t="s">
        <v>1</v>
      </c>
      <c r="H98" s="25" t="s">
        <v>1241</v>
      </c>
      <c r="I98" s="26">
        <f t="shared" si="20"/>
        <v>20.462828249343655</v>
      </c>
      <c r="J98" s="27">
        <v>48.869100000000003</v>
      </c>
      <c r="K98" s="27">
        <v>0.10580000000000001</v>
      </c>
      <c r="L98" s="28" t="s">
        <v>124</v>
      </c>
      <c r="M98" s="29">
        <v>198.01326789946199</v>
      </c>
      <c r="N98" s="29">
        <v>-37.803022202350803</v>
      </c>
      <c r="O98" s="30">
        <v>4.8470000000000004</v>
      </c>
      <c r="P98" s="31">
        <v>1E-3</v>
      </c>
      <c r="Q98" s="32" t="s">
        <v>125</v>
      </c>
      <c r="R98" s="31">
        <v>0.70099999999999996</v>
      </c>
      <c r="S98" s="31">
        <v>3.0000000000000001E-3</v>
      </c>
      <c r="T98" s="32" t="s">
        <v>142</v>
      </c>
      <c r="U98" s="33">
        <v>4.4619999999999997</v>
      </c>
      <c r="V98" s="25" t="s">
        <v>189</v>
      </c>
      <c r="W98" s="23" t="s">
        <v>1242</v>
      </c>
      <c r="X98" s="23" t="s">
        <v>145</v>
      </c>
      <c r="Y98" s="7">
        <v>5688</v>
      </c>
      <c r="Z98" s="24">
        <v>14</v>
      </c>
      <c r="AA98" s="23" t="s">
        <v>130</v>
      </c>
      <c r="AB98" s="34">
        <v>0.62559399999999998</v>
      </c>
      <c r="AC98" s="35">
        <v>1.1357000000000001E-2</v>
      </c>
      <c r="AD98" s="28" t="s">
        <v>146</v>
      </c>
      <c r="AE98" s="31">
        <f t="shared" si="21"/>
        <v>2.1159254988318925</v>
      </c>
      <c r="AF98" s="31">
        <f t="shared" si="22"/>
        <v>0.96174801831397461</v>
      </c>
      <c r="AG98" s="25">
        <v>0.99</v>
      </c>
      <c r="AH98" s="10">
        <v>0.16</v>
      </c>
      <c r="AI98" s="31">
        <v>0.02</v>
      </c>
      <c r="AJ98" s="24" t="s">
        <v>60</v>
      </c>
      <c r="AK98" s="23" t="s">
        <v>130</v>
      </c>
      <c r="AL98" s="5">
        <v>3.92</v>
      </c>
      <c r="AM98" s="31">
        <v>0.03</v>
      </c>
      <c r="AN98" s="23" t="s">
        <v>130</v>
      </c>
      <c r="AO98" s="36">
        <v>-5.0679999999999996</v>
      </c>
      <c r="AP98" s="23" t="s">
        <v>191</v>
      </c>
      <c r="AQ98" s="37">
        <f t="shared" si="23"/>
        <v>2.0549298463437808</v>
      </c>
      <c r="AR98" s="38">
        <f t="shared" si="24"/>
        <v>100.42257215395885</v>
      </c>
      <c r="AS98" s="39">
        <f t="shared" si="25"/>
        <v>2.7404561017548472E-11</v>
      </c>
      <c r="AT98" s="40">
        <f t="shared" si="26"/>
        <v>30.867442875804237</v>
      </c>
      <c r="AU98" s="41">
        <f t="shared" si="27"/>
        <v>1081.3734175562533</v>
      </c>
      <c r="AV98" s="42">
        <f t="shared" si="28"/>
        <v>6.3099571807579959</v>
      </c>
      <c r="AW98" s="31">
        <f t="shared" si="29"/>
        <v>0.30466480543730118</v>
      </c>
      <c r="AX98" s="43" t="s">
        <v>1</v>
      </c>
      <c r="AY98" s="24" t="s">
        <v>1</v>
      </c>
      <c r="AZ98" s="44" t="s">
        <v>1</v>
      </c>
      <c r="BA98" s="45" t="s">
        <v>1</v>
      </c>
      <c r="BB98" s="24" t="s">
        <v>134</v>
      </c>
      <c r="BC98" s="28" t="s">
        <v>1</v>
      </c>
      <c r="BD98" s="50" t="s">
        <v>4</v>
      </c>
    </row>
    <row r="99" spans="1:56" ht="15.75" customHeight="1">
      <c r="A99" s="23" t="s">
        <v>1082</v>
      </c>
      <c r="B99" s="14" t="s">
        <v>1081</v>
      </c>
      <c r="C99" s="24" t="s">
        <v>2</v>
      </c>
      <c r="D99" s="23" t="s">
        <v>1083</v>
      </c>
      <c r="E99" s="25" t="s">
        <v>1084</v>
      </c>
      <c r="F99" s="23" t="s">
        <v>1085</v>
      </c>
      <c r="G99" s="25" t="s">
        <v>1</v>
      </c>
      <c r="H99" s="25" t="s">
        <v>1086</v>
      </c>
      <c r="I99" s="26">
        <f t="shared" ref="I99:I130" si="30">1000/$J99</f>
        <v>18.239953889396567</v>
      </c>
      <c r="J99" s="27">
        <v>54.8247</v>
      </c>
      <c r="K99" s="27">
        <v>8.09E-2</v>
      </c>
      <c r="L99" s="28" t="s">
        <v>124</v>
      </c>
      <c r="M99" s="29">
        <v>198.56310307496</v>
      </c>
      <c r="N99" s="29">
        <v>-59.10323722999</v>
      </c>
      <c r="O99" s="30">
        <v>4.9130000000000003</v>
      </c>
      <c r="P99" s="31">
        <v>7.0000000000000001E-3</v>
      </c>
      <c r="Q99" s="32" t="s">
        <v>177</v>
      </c>
      <c r="R99" s="31">
        <v>0.48</v>
      </c>
      <c r="S99" s="31">
        <v>0</v>
      </c>
      <c r="T99" s="32" t="s">
        <v>177</v>
      </c>
      <c r="U99" s="33">
        <v>4.62</v>
      </c>
      <c r="V99" s="25" t="s">
        <v>143</v>
      </c>
      <c r="W99" s="23" t="s">
        <v>1087</v>
      </c>
      <c r="X99" s="23" t="s">
        <v>145</v>
      </c>
      <c r="Y99" s="7">
        <v>6238</v>
      </c>
      <c r="Z99" s="24">
        <v>26</v>
      </c>
      <c r="AA99" s="23" t="s">
        <v>130</v>
      </c>
      <c r="AB99" s="34">
        <v>0.47223300000000001</v>
      </c>
      <c r="AC99" s="35">
        <v>1.5957099999999998E-2</v>
      </c>
      <c r="AD99" s="28" t="s">
        <v>146</v>
      </c>
      <c r="AE99" s="31">
        <f t="shared" ref="AE99:AE130" si="31">(10^$AB99)^(1/2)/($Y99/5771.8)^2</f>
        <v>1.4745119848124388</v>
      </c>
      <c r="AF99" s="31">
        <f t="shared" ref="AF99:AF130" si="32">1000*206264.8063*2*$AE99*695700/((1000/$J99)*206264.8063*149597870.7)</f>
        <v>0.75188454453855358</v>
      </c>
      <c r="AG99" s="25">
        <v>1.25</v>
      </c>
      <c r="AH99" s="10">
        <v>-0.31</v>
      </c>
      <c r="AI99" s="31">
        <v>0.03</v>
      </c>
      <c r="AJ99" s="24" t="s">
        <v>60</v>
      </c>
      <c r="AK99" s="23" t="s">
        <v>130</v>
      </c>
      <c r="AL99" s="5">
        <v>4.2300000000000004</v>
      </c>
      <c r="AM99" s="31">
        <v>0.05</v>
      </c>
      <c r="AN99" s="23" t="s">
        <v>130</v>
      </c>
      <c r="AO99" s="36">
        <v>-4.665</v>
      </c>
      <c r="AP99" s="23" t="s">
        <v>318</v>
      </c>
      <c r="AQ99" s="37">
        <f t="shared" ref="AQ99:AQ130" si="33">SQRT(10^AB99)</f>
        <v>1.7223305301915957</v>
      </c>
      <c r="AR99" s="38">
        <f t="shared" ref="AR99:AR130" si="34">1000*$AQ99/I99</f>
        <v>94.426254618595181</v>
      </c>
      <c r="AS99" s="39">
        <f t="shared" ref="AS99:AS130" si="35">0.2*(1/3.14159265358)*(6378.136^2/(SQRT(10^(AB99))*149597870.7)^2)</f>
        <v>3.9010709557922226E-11</v>
      </c>
      <c r="AT99" s="40">
        <f t="shared" ref="AT99:AT130" si="36">$U99 - 2.5*LOG10($AS99)</f>
        <v>30.642040375804239</v>
      </c>
      <c r="AU99" s="41">
        <f t="shared" ref="AU99:AU130" si="37">365.25636*$AQ99^1.5 / $AG99^0.5</f>
        <v>738.44393908254335</v>
      </c>
      <c r="AV99" s="42">
        <f t="shared" ref="AV99:AV130" si="38">9 * $AG99^(-2/3) * ($AU99/365.25636)^(-1/3)</f>
        <v>6.1337949403240914</v>
      </c>
      <c r="AW99" s="31">
        <f t="shared" ref="AW99:AW130" si="39">((398600441800000/($AG99*132712440042000000000))*$AQ99/$I99)/0.000001</f>
        <v>0.22688662372015631</v>
      </c>
      <c r="AX99" s="43" t="s">
        <v>1088</v>
      </c>
      <c r="AY99" s="24" t="s">
        <v>2</v>
      </c>
      <c r="AZ99" s="44">
        <v>4.5999999999999996</v>
      </c>
      <c r="BA99" s="45">
        <v>5.28</v>
      </c>
      <c r="BB99" s="24" t="s">
        <v>134</v>
      </c>
      <c r="BC99" s="28" t="s">
        <v>1</v>
      </c>
      <c r="BD99" s="50" t="s">
        <v>4</v>
      </c>
    </row>
    <row r="100" spans="1:56" ht="18" customHeight="1">
      <c r="A100" s="23" t="s">
        <v>1455</v>
      </c>
      <c r="B100" s="14" t="s">
        <v>1454</v>
      </c>
      <c r="C100" s="24" t="s">
        <v>2</v>
      </c>
      <c r="D100" s="23" t="s">
        <v>1456</v>
      </c>
      <c r="E100" s="25" t="s">
        <v>1</v>
      </c>
      <c r="F100" s="23" t="s">
        <v>1457</v>
      </c>
      <c r="G100" s="25" t="s">
        <v>1</v>
      </c>
      <c r="H100" s="25" t="s">
        <v>1458</v>
      </c>
      <c r="I100" s="26">
        <f t="shared" si="30"/>
        <v>10.986886052807369</v>
      </c>
      <c r="J100" s="27">
        <v>91.017600000000002</v>
      </c>
      <c r="K100" s="27">
        <v>2.3599999999999999E-2</v>
      </c>
      <c r="L100" s="28" t="s">
        <v>124</v>
      </c>
      <c r="M100" s="29">
        <v>199.21271429067599</v>
      </c>
      <c r="N100" s="29">
        <f>17.0171780281408</f>
        <v>17.017178028140801</v>
      </c>
      <c r="O100" s="30">
        <v>6.55</v>
      </c>
      <c r="P100" s="31">
        <v>0.01</v>
      </c>
      <c r="Q100" s="32" t="s">
        <v>126</v>
      </c>
      <c r="R100" s="31">
        <v>0.92600000000000005</v>
      </c>
      <c r="S100" s="31">
        <v>3.0000000000000001E-3</v>
      </c>
      <c r="T100" s="32" t="s">
        <v>126</v>
      </c>
      <c r="U100" s="33">
        <v>6.07</v>
      </c>
      <c r="V100" s="25" t="s">
        <v>166</v>
      </c>
      <c r="W100" s="23" t="s">
        <v>1459</v>
      </c>
      <c r="X100" s="23" t="s">
        <v>334</v>
      </c>
      <c r="Y100" s="7">
        <v>4843</v>
      </c>
      <c r="Z100" s="24">
        <v>107</v>
      </c>
      <c r="AA100" s="23" t="s">
        <v>130</v>
      </c>
      <c r="AB100" s="34">
        <v>-0.519706</v>
      </c>
      <c r="AC100" s="35">
        <v>1.4082600000000001E-2</v>
      </c>
      <c r="AD100" s="28" t="s">
        <v>146</v>
      </c>
      <c r="AE100" s="31">
        <f t="shared" si="31"/>
        <v>0.78080144715525679</v>
      </c>
      <c r="AF100" s="31">
        <f t="shared" si="32"/>
        <v>0.6609864796731153</v>
      </c>
      <c r="AG100" s="25">
        <v>0.76</v>
      </c>
      <c r="AH100" s="10">
        <v>-0.18</v>
      </c>
      <c r="AI100" s="31">
        <v>0.02</v>
      </c>
      <c r="AJ100" s="24" t="s">
        <v>60</v>
      </c>
      <c r="AK100" s="23" t="s">
        <v>130</v>
      </c>
      <c r="AL100" s="5">
        <v>4.47</v>
      </c>
      <c r="AM100" s="31">
        <v>0.04</v>
      </c>
      <c r="AN100" s="23" t="s">
        <v>130</v>
      </c>
      <c r="AO100" s="36">
        <v>-4.4800000000000004</v>
      </c>
      <c r="AP100" s="23" t="s">
        <v>132</v>
      </c>
      <c r="AQ100" s="37">
        <f t="shared" si="33"/>
        <v>0.5497269139410208</v>
      </c>
      <c r="AR100" s="38">
        <f t="shared" si="34"/>
        <v>50.034824362318254</v>
      </c>
      <c r="AS100" s="39">
        <f t="shared" si="35"/>
        <v>3.8293304897316299E-10</v>
      </c>
      <c r="AT100" s="40">
        <f t="shared" si="36"/>
        <v>29.61219287580424</v>
      </c>
      <c r="AU100" s="41">
        <f t="shared" si="37"/>
        <v>170.76996548862883</v>
      </c>
      <c r="AV100" s="42">
        <f t="shared" si="38"/>
        <v>13.923942247862406</v>
      </c>
      <c r="AW100" s="31">
        <f t="shared" si="39"/>
        <v>0.19773562862577299</v>
      </c>
      <c r="AX100" s="43" t="s">
        <v>1460</v>
      </c>
      <c r="AY100" s="24" t="s">
        <v>2</v>
      </c>
      <c r="AZ100" s="44">
        <v>7.7</v>
      </c>
      <c r="BA100" s="45">
        <v>2.84</v>
      </c>
      <c r="BB100" s="24" t="s">
        <v>134</v>
      </c>
      <c r="BC100" s="28" t="s">
        <v>1</v>
      </c>
      <c r="BD100" s="50" t="s">
        <v>4</v>
      </c>
    </row>
    <row r="101" spans="1:56" ht="15.75" customHeight="1">
      <c r="A101" s="23" t="s">
        <v>607</v>
      </c>
      <c r="B101" s="14" t="s">
        <v>606</v>
      </c>
      <c r="C101" s="24" t="s">
        <v>1</v>
      </c>
      <c r="D101" s="23" t="s">
        <v>608</v>
      </c>
      <c r="E101" s="25" t="s">
        <v>609</v>
      </c>
      <c r="F101" s="23" t="s">
        <v>610</v>
      </c>
      <c r="G101" s="25" t="s">
        <v>611</v>
      </c>
      <c r="H101" s="25" t="s">
        <v>612</v>
      </c>
      <c r="I101" s="26">
        <f t="shared" si="30"/>
        <v>8.5344184561919771</v>
      </c>
      <c r="J101" s="27">
        <v>117.1726</v>
      </c>
      <c r="K101" s="27">
        <v>0.14560000000000001</v>
      </c>
      <c r="L101" s="28" t="s">
        <v>124</v>
      </c>
      <c r="M101" s="29">
        <v>199.601308276862</v>
      </c>
      <c r="N101" s="29">
        <v>-18.311193819050601</v>
      </c>
      <c r="O101" s="30">
        <v>4.7350000000000003</v>
      </c>
      <c r="P101" s="31">
        <v>2E-3</v>
      </c>
      <c r="Q101" s="32" t="s">
        <v>125</v>
      </c>
      <c r="R101" s="31">
        <v>0.70899999999999996</v>
      </c>
      <c r="S101" s="31">
        <v>7.0000000000000001E-3</v>
      </c>
      <c r="T101" s="32" t="s">
        <v>126</v>
      </c>
      <c r="U101" s="33">
        <v>4.33</v>
      </c>
      <c r="V101" s="25" t="s">
        <v>143</v>
      </c>
      <c r="W101" s="23" t="s">
        <v>613</v>
      </c>
      <c r="X101" s="23" t="s">
        <v>129</v>
      </c>
      <c r="Y101" s="7">
        <v>5552</v>
      </c>
      <c r="Z101" s="24">
        <v>9</v>
      </c>
      <c r="AA101" s="23" t="s">
        <v>130</v>
      </c>
      <c r="AB101" s="34">
        <v>-8.3259200000000005E-2</v>
      </c>
      <c r="AC101" s="35">
        <v>5.99958E-3</v>
      </c>
      <c r="AD101" s="28" t="s">
        <v>131</v>
      </c>
      <c r="AE101" s="31">
        <f t="shared" si="31"/>
        <v>0.98196053262686589</v>
      </c>
      <c r="AF101" s="31">
        <f t="shared" si="32"/>
        <v>1.0701550039944467</v>
      </c>
      <c r="AG101" s="25">
        <v>0.96499999999999997</v>
      </c>
      <c r="AH101" s="10">
        <v>-0.01</v>
      </c>
      <c r="AI101" s="31">
        <v>0.01</v>
      </c>
      <c r="AJ101" s="24" t="s">
        <v>60</v>
      </c>
      <c r="AK101" s="23" t="s">
        <v>130</v>
      </c>
      <c r="AL101" s="5">
        <v>4.41</v>
      </c>
      <c r="AM101" s="31">
        <v>0.02</v>
      </c>
      <c r="AN101" s="23" t="s">
        <v>130</v>
      </c>
      <c r="AO101" s="36">
        <v>-5.0010000000000003</v>
      </c>
      <c r="AP101" s="23" t="s">
        <v>132</v>
      </c>
      <c r="AQ101" s="37">
        <f t="shared" si="33"/>
        <v>0.9085951201673983</v>
      </c>
      <c r="AR101" s="38">
        <f t="shared" si="34"/>
        <v>106.46245257732649</v>
      </c>
      <c r="AS101" s="39">
        <f t="shared" si="35"/>
        <v>1.4017677034669839E-10</v>
      </c>
      <c r="AT101" s="40">
        <f t="shared" si="36"/>
        <v>28.963309875804235</v>
      </c>
      <c r="AU101" s="41">
        <f t="shared" si="37"/>
        <v>322.02510471246171</v>
      </c>
      <c r="AV101" s="42">
        <f t="shared" si="38"/>
        <v>9.6115549408430692</v>
      </c>
      <c r="AW101" s="31">
        <f t="shared" si="39"/>
        <v>0.33135634797872071</v>
      </c>
      <c r="AX101" s="43" t="s">
        <v>614</v>
      </c>
      <c r="AY101" s="24" t="s">
        <v>2</v>
      </c>
      <c r="AZ101" s="44">
        <v>387.7</v>
      </c>
      <c r="BA101" s="45">
        <v>5.92</v>
      </c>
      <c r="BB101" s="24" t="s">
        <v>5</v>
      </c>
      <c r="BC101" s="46" t="s">
        <v>615</v>
      </c>
      <c r="BD101" s="24" t="s">
        <v>3</v>
      </c>
    </row>
    <row r="102" spans="1:56" ht="15.75" customHeight="1">
      <c r="A102" s="23" t="s">
        <v>1104</v>
      </c>
      <c r="B102" s="14" t="s">
        <v>1103</v>
      </c>
      <c r="C102" s="24" t="s">
        <v>1</v>
      </c>
      <c r="D102" s="23" t="s">
        <v>1105</v>
      </c>
      <c r="E102" s="25" t="s">
        <v>1106</v>
      </c>
      <c r="F102" s="23" t="s">
        <v>1</v>
      </c>
      <c r="G102" s="25" t="s">
        <v>1</v>
      </c>
      <c r="H102" s="25" t="s">
        <v>1106</v>
      </c>
      <c r="I102" s="26">
        <f t="shared" si="30"/>
        <v>10.067198550323409</v>
      </c>
      <c r="J102" s="27">
        <v>99.332499999999996</v>
      </c>
      <c r="K102" s="27">
        <v>1.9300000000000001E-2</v>
      </c>
      <c r="L102" s="28" t="s">
        <v>124</v>
      </c>
      <c r="M102" s="29">
        <v>209.38357649925001</v>
      </c>
      <c r="N102" s="29">
        <f>61.49286114515</f>
        <v>61.492861145150002</v>
      </c>
      <c r="O102" s="30">
        <v>6.4880000000000004</v>
      </c>
      <c r="P102" s="31">
        <v>4.0000000000000001E-3</v>
      </c>
      <c r="Q102" s="32" t="s">
        <v>429</v>
      </c>
      <c r="R102" s="31">
        <v>1.04</v>
      </c>
      <c r="S102" s="31">
        <v>6.0000000000000001E-3</v>
      </c>
      <c r="T102" s="32" t="s">
        <v>126</v>
      </c>
      <c r="U102" s="33">
        <v>5.9109999999999996</v>
      </c>
      <c r="V102" s="25" t="s">
        <v>189</v>
      </c>
      <c r="W102" s="23" t="s">
        <v>325</v>
      </c>
      <c r="X102" s="23" t="s">
        <v>1107</v>
      </c>
      <c r="Y102" s="7">
        <v>4867</v>
      </c>
      <c r="Z102" s="24">
        <v>29</v>
      </c>
      <c r="AA102" s="23" t="s">
        <v>130</v>
      </c>
      <c r="AB102" s="34">
        <v>-0.53597300000000003</v>
      </c>
      <c r="AC102" s="35">
        <v>1.6382299999999999E-2</v>
      </c>
      <c r="AD102" s="28" t="s">
        <v>146</v>
      </c>
      <c r="AE102" s="31">
        <f t="shared" si="31"/>
        <v>0.75877559719340526</v>
      </c>
      <c r="AF102" s="31">
        <f t="shared" si="32"/>
        <v>0.70102145210031297</v>
      </c>
      <c r="AG102" s="25">
        <v>0.75</v>
      </c>
      <c r="AH102" s="10">
        <v>0.2</v>
      </c>
      <c r="AI102" s="31">
        <v>0.03</v>
      </c>
      <c r="AJ102" s="24" t="s">
        <v>60</v>
      </c>
      <c r="AK102" s="23" t="s">
        <v>130</v>
      </c>
      <c r="AL102" s="5">
        <v>4.5599999999999996</v>
      </c>
      <c r="AM102" s="31">
        <v>0.03</v>
      </c>
      <c r="AN102" s="23" t="s">
        <v>130</v>
      </c>
      <c r="AO102" s="36">
        <v>-4.9889999999999999</v>
      </c>
      <c r="AP102" s="23" t="s">
        <v>318</v>
      </c>
      <c r="AQ102" s="37">
        <f t="shared" si="33"/>
        <v>0.53952739340886535</v>
      </c>
      <c r="AR102" s="38">
        <f t="shared" si="34"/>
        <v>53.592604805786117</v>
      </c>
      <c r="AS102" s="39">
        <f t="shared" si="35"/>
        <v>3.9754825332887505E-10</v>
      </c>
      <c r="AT102" s="40">
        <f t="shared" si="36"/>
        <v>29.412525375804236</v>
      </c>
      <c r="AU102" s="41">
        <f t="shared" si="37"/>
        <v>167.14269679679808</v>
      </c>
      <c r="AV102" s="42">
        <f t="shared" si="38"/>
        <v>14.148328268968214</v>
      </c>
      <c r="AW102" s="31">
        <f t="shared" si="39"/>
        <v>0.21461977938705795</v>
      </c>
      <c r="AX102" s="43" t="s">
        <v>1</v>
      </c>
      <c r="AY102" s="24" t="s">
        <v>1</v>
      </c>
      <c r="AZ102" s="44" t="s">
        <v>1</v>
      </c>
      <c r="BA102" s="45" t="s">
        <v>1</v>
      </c>
      <c r="BB102" s="24" t="s">
        <v>134</v>
      </c>
      <c r="BC102" s="28" t="s">
        <v>1</v>
      </c>
      <c r="BD102" s="50" t="s">
        <v>4</v>
      </c>
    </row>
    <row r="103" spans="1:56" ht="15.75" customHeight="1">
      <c r="A103" s="23" t="s">
        <v>1122</v>
      </c>
      <c r="B103" s="14" t="s">
        <v>1121</v>
      </c>
      <c r="C103" s="24" t="s">
        <v>2</v>
      </c>
      <c r="D103" s="23" t="s">
        <v>1123</v>
      </c>
      <c r="E103" s="25" t="s">
        <v>1124</v>
      </c>
      <c r="F103" s="23" t="s">
        <v>1125</v>
      </c>
      <c r="G103" s="25" t="s">
        <v>1</v>
      </c>
      <c r="H103" s="25" t="s">
        <v>1126</v>
      </c>
      <c r="I103" s="26">
        <f t="shared" si="30"/>
        <v>17.988846914912752</v>
      </c>
      <c r="J103" s="27">
        <v>55.59</v>
      </c>
      <c r="K103" s="27">
        <v>5.3100000000000001E-2</v>
      </c>
      <c r="L103" s="28" t="s">
        <v>124</v>
      </c>
      <c r="M103" s="29">
        <v>214.75373205315699</v>
      </c>
      <c r="N103" s="29">
        <v>-25.8154249527514</v>
      </c>
      <c r="O103" s="30">
        <v>5.8719999999999999</v>
      </c>
      <c r="P103" s="31">
        <v>3.0000000000000001E-3</v>
      </c>
      <c r="Q103" s="32" t="s">
        <v>125</v>
      </c>
      <c r="R103" s="31">
        <v>0.498</v>
      </c>
      <c r="S103" s="31">
        <v>4.0000000000000001E-3</v>
      </c>
      <c r="T103" s="32" t="s">
        <v>177</v>
      </c>
      <c r="U103" s="33">
        <v>5.53</v>
      </c>
      <c r="V103" s="25" t="s">
        <v>166</v>
      </c>
      <c r="W103" s="23" t="s">
        <v>1127</v>
      </c>
      <c r="X103" s="23" t="s">
        <v>145</v>
      </c>
      <c r="Y103" s="7">
        <v>6120</v>
      </c>
      <c r="Z103" s="24">
        <v>41</v>
      </c>
      <c r="AA103" s="23" t="s">
        <v>130</v>
      </c>
      <c r="AB103" s="34">
        <v>8.2185599999999998E-2</v>
      </c>
      <c r="AC103" s="35">
        <v>1.4705599999999999E-2</v>
      </c>
      <c r="AD103" s="28" t="s">
        <v>146</v>
      </c>
      <c r="AE103" s="31">
        <f t="shared" si="31"/>
        <v>0.97771550711443134</v>
      </c>
      <c r="AF103" s="31">
        <f t="shared" si="32"/>
        <v>0.50551699926929183</v>
      </c>
      <c r="AG103" s="49">
        <v>1.1100000000000001</v>
      </c>
      <c r="AH103" s="10">
        <v>-0.68</v>
      </c>
      <c r="AI103" s="31">
        <v>0.05</v>
      </c>
      <c r="AJ103" s="44" t="s">
        <v>60</v>
      </c>
      <c r="AK103" s="23" t="s">
        <v>130</v>
      </c>
      <c r="AL103" s="5">
        <v>4.41</v>
      </c>
      <c r="AM103" s="31">
        <v>0.1</v>
      </c>
      <c r="AN103" s="23" t="s">
        <v>130</v>
      </c>
      <c r="AO103" s="36">
        <v>-4.83</v>
      </c>
      <c r="AP103" s="23" t="s">
        <v>1128</v>
      </c>
      <c r="AQ103" s="37">
        <f t="shared" si="33"/>
        <v>1.0992406999782816</v>
      </c>
      <c r="AR103" s="38">
        <f t="shared" si="34"/>
        <v>61.106790511792674</v>
      </c>
      <c r="AS103" s="39">
        <f t="shared" si="35"/>
        <v>9.5770388611477332E-11</v>
      </c>
      <c r="AT103" s="40">
        <f t="shared" si="36"/>
        <v>30.576921875804238</v>
      </c>
      <c r="AU103" s="41">
        <f t="shared" si="37"/>
        <v>399.55401341668096</v>
      </c>
      <c r="AV103" s="42">
        <f t="shared" si="38"/>
        <v>8.1476923125177265</v>
      </c>
      <c r="AW103" s="31">
        <f t="shared" si="39"/>
        <v>0.16534559786769995</v>
      </c>
      <c r="AX103" s="43" t="s">
        <v>1129</v>
      </c>
      <c r="AY103" s="24" t="s">
        <v>2</v>
      </c>
      <c r="AZ103" s="44">
        <v>3.6</v>
      </c>
      <c r="BA103" s="45">
        <v>7.57</v>
      </c>
      <c r="BB103" s="24" t="s">
        <v>134</v>
      </c>
      <c r="BC103" s="28" t="s">
        <v>1</v>
      </c>
      <c r="BD103" s="50" t="s">
        <v>4</v>
      </c>
    </row>
    <row r="104" spans="1:56" ht="15.75" customHeight="1">
      <c r="A104" s="23" t="s">
        <v>1201</v>
      </c>
      <c r="B104" s="14" t="s">
        <v>1200</v>
      </c>
      <c r="C104" s="24" t="s">
        <v>2</v>
      </c>
      <c r="D104" s="23" t="s">
        <v>1202</v>
      </c>
      <c r="E104" s="25" t="s">
        <v>1203</v>
      </c>
      <c r="F104" s="23" t="s">
        <v>1204</v>
      </c>
      <c r="G104" s="25" t="s">
        <v>1205</v>
      </c>
      <c r="H104" s="25" t="s">
        <v>1206</v>
      </c>
      <c r="I104" s="26">
        <f t="shared" si="30"/>
        <v>14.530659691950015</v>
      </c>
      <c r="J104" s="27">
        <v>68.819999999999993</v>
      </c>
      <c r="K104" s="27">
        <v>0.14000000000000001</v>
      </c>
      <c r="L104" s="28" t="s">
        <v>343</v>
      </c>
      <c r="M104" s="29">
        <v>216.29915428620001</v>
      </c>
      <c r="N104" s="29">
        <f>51.8507435817</f>
        <v>51.850743581700002</v>
      </c>
      <c r="O104" s="30">
        <v>4.0519999999999996</v>
      </c>
      <c r="P104" s="31">
        <v>0.01</v>
      </c>
      <c r="Q104" s="32" t="s">
        <v>126</v>
      </c>
      <c r="R104" s="31">
        <v>0.497</v>
      </c>
      <c r="S104" s="31">
        <v>5.0000000000000001E-3</v>
      </c>
      <c r="T104" s="32" t="s">
        <v>126</v>
      </c>
      <c r="U104" s="33">
        <v>3.76</v>
      </c>
      <c r="V104" s="25" t="s">
        <v>166</v>
      </c>
      <c r="W104" s="23" t="s">
        <v>276</v>
      </c>
      <c r="X104" s="23" t="s">
        <v>277</v>
      </c>
      <c r="Y104" s="7">
        <v>6280</v>
      </c>
      <c r="Z104" s="24">
        <v>16</v>
      </c>
      <c r="AA104" s="23" t="s">
        <v>130</v>
      </c>
      <c r="AB104" s="34">
        <v>0.60543899999999995</v>
      </c>
      <c r="AC104" s="35">
        <v>7.6559699999999998E-3</v>
      </c>
      <c r="AD104" s="28" t="s">
        <v>131</v>
      </c>
      <c r="AE104" s="31">
        <f t="shared" si="31"/>
        <v>1.6959879419611055</v>
      </c>
      <c r="AF104" s="31">
        <f t="shared" si="32"/>
        <v>1.085585453968918</v>
      </c>
      <c r="AG104" s="25">
        <v>1.33</v>
      </c>
      <c r="AH104" s="10">
        <v>-0.03</v>
      </c>
      <c r="AI104" s="31">
        <v>0.02</v>
      </c>
      <c r="AJ104" s="24" t="s">
        <v>60</v>
      </c>
      <c r="AK104" s="23" t="s">
        <v>130</v>
      </c>
      <c r="AL104" s="5">
        <v>4.2300000000000004</v>
      </c>
      <c r="AM104" s="31">
        <v>0.06</v>
      </c>
      <c r="AN104" s="23" t="s">
        <v>130</v>
      </c>
      <c r="AO104" s="36">
        <v>-4.3609999999999998</v>
      </c>
      <c r="AP104" s="23" t="s">
        <v>1207</v>
      </c>
      <c r="AQ104" s="37">
        <f t="shared" si="33"/>
        <v>2.0077956085111563</v>
      </c>
      <c r="AR104" s="38">
        <f t="shared" si="34"/>
        <v>138.17649377773776</v>
      </c>
      <c r="AS104" s="39">
        <f t="shared" si="35"/>
        <v>2.8706341673349412E-11</v>
      </c>
      <c r="AT104" s="40">
        <f t="shared" si="36"/>
        <v>30.115055375804239</v>
      </c>
      <c r="AU104" s="41">
        <f t="shared" si="37"/>
        <v>901.05482443016183</v>
      </c>
      <c r="AV104" s="42">
        <f t="shared" si="38"/>
        <v>5.5075308558316207</v>
      </c>
      <c r="AW104" s="31">
        <f t="shared" si="39"/>
        <v>0.3120388501598782</v>
      </c>
      <c r="AX104" s="43" t="s">
        <v>1208</v>
      </c>
      <c r="AY104" s="24" t="s">
        <v>2</v>
      </c>
      <c r="AZ104" s="44">
        <v>70.2</v>
      </c>
      <c r="BA104" s="45">
        <v>7.36</v>
      </c>
      <c r="BB104" s="24" t="s">
        <v>5</v>
      </c>
      <c r="BC104" s="46" t="s">
        <v>1013</v>
      </c>
      <c r="BD104" s="50" t="s">
        <v>4</v>
      </c>
    </row>
    <row r="105" spans="1:56" ht="18" customHeight="1">
      <c r="A105" s="23" t="s">
        <v>692</v>
      </c>
      <c r="B105" s="14" t="s">
        <v>691</v>
      </c>
      <c r="C105" s="24" t="s">
        <v>1</v>
      </c>
      <c r="D105" s="23" t="s">
        <v>693</v>
      </c>
      <c r="E105" s="25" t="s">
        <v>694</v>
      </c>
      <c r="F105" s="23" t="s">
        <v>695</v>
      </c>
      <c r="G105" s="25" t="s">
        <v>696</v>
      </c>
      <c r="H105" s="25" t="s">
        <v>697</v>
      </c>
      <c r="I105" s="26">
        <f t="shared" si="30"/>
        <v>15.755996338306451</v>
      </c>
      <c r="J105" s="27">
        <v>63.4679</v>
      </c>
      <c r="K105" s="27">
        <v>0.1173</v>
      </c>
      <c r="L105" s="28" t="s">
        <v>124</v>
      </c>
      <c r="M105" s="29">
        <v>218.67007244467999</v>
      </c>
      <c r="N105" s="29">
        <f>29.74512713165</f>
        <v>29.745127131650001</v>
      </c>
      <c r="O105" s="30">
        <v>4.4649999999999999</v>
      </c>
      <c r="P105" s="31">
        <v>5.0000000000000001E-3</v>
      </c>
      <c r="Q105" s="32" t="s">
        <v>125</v>
      </c>
      <c r="R105" s="31">
        <v>0.36399999999999999</v>
      </c>
      <c r="S105" s="31">
        <v>5.0000000000000001E-3</v>
      </c>
      <c r="T105" s="32" t="s">
        <v>126</v>
      </c>
      <c r="U105" s="33">
        <v>4.2300000000000004</v>
      </c>
      <c r="V105" s="25" t="s">
        <v>166</v>
      </c>
      <c r="W105" s="23" t="s">
        <v>698</v>
      </c>
      <c r="X105" s="23" t="s">
        <v>277</v>
      </c>
      <c r="Y105" s="7">
        <v>6745</v>
      </c>
      <c r="Z105" s="24">
        <v>73</v>
      </c>
      <c r="AA105" s="28" t="s">
        <v>149</v>
      </c>
      <c r="AB105" s="34">
        <v>0.50267200000000001</v>
      </c>
      <c r="AC105" s="35">
        <v>1.7903700000000002E-2</v>
      </c>
      <c r="AD105" s="28" t="s">
        <v>146</v>
      </c>
      <c r="AE105" s="31">
        <f t="shared" si="31"/>
        <v>1.3061547666594906</v>
      </c>
      <c r="AF105" s="31">
        <f t="shared" si="32"/>
        <v>0.77103724190793033</v>
      </c>
      <c r="AG105" s="25">
        <v>1.39</v>
      </c>
      <c r="AH105" s="10">
        <v>-0.41</v>
      </c>
      <c r="AI105" s="31">
        <v>7.0000000000000007E-2</v>
      </c>
      <c r="AJ105" s="24" t="s">
        <v>60</v>
      </c>
      <c r="AK105" s="23" t="s">
        <v>149</v>
      </c>
      <c r="AL105" s="5">
        <v>4.26</v>
      </c>
      <c r="AM105" s="31">
        <v>0.03</v>
      </c>
      <c r="AN105" s="23" t="s">
        <v>149</v>
      </c>
      <c r="AO105" s="36">
        <v>-4.5069999999999997</v>
      </c>
      <c r="AP105" s="23" t="s">
        <v>318</v>
      </c>
      <c r="AQ105" s="37">
        <f t="shared" si="33"/>
        <v>1.7837582714888318</v>
      </c>
      <c r="AR105" s="38">
        <f t="shared" si="34"/>
        <v>113.21139159902603</v>
      </c>
      <c r="AS105" s="39">
        <f t="shared" si="35"/>
        <v>3.6370129689744731E-11</v>
      </c>
      <c r="AT105" s="40">
        <f t="shared" si="36"/>
        <v>30.328137875804241</v>
      </c>
      <c r="AU105" s="41">
        <f t="shared" si="37"/>
        <v>738.06461874174613</v>
      </c>
      <c r="AV105" s="42">
        <f t="shared" si="38"/>
        <v>5.7156695117544238</v>
      </c>
      <c r="AW105" s="31">
        <f t="shared" si="39"/>
        <v>0.24462535567371194</v>
      </c>
      <c r="AX105" s="43" t="s">
        <v>699</v>
      </c>
      <c r="AY105" s="24" t="s">
        <v>2</v>
      </c>
      <c r="AZ105" s="44">
        <v>214.5</v>
      </c>
      <c r="BA105" s="45">
        <v>6.16</v>
      </c>
      <c r="BB105" s="24" t="s">
        <v>5</v>
      </c>
      <c r="BC105" s="46" t="s">
        <v>596</v>
      </c>
      <c r="BD105" s="24" t="s">
        <v>3</v>
      </c>
    </row>
    <row r="106" spans="1:56" ht="15.75" customHeight="1">
      <c r="A106" s="23" t="s">
        <v>544</v>
      </c>
      <c r="B106" s="14" t="s">
        <v>543</v>
      </c>
      <c r="C106" s="24" t="s">
        <v>1</v>
      </c>
      <c r="D106" s="23" t="s">
        <v>545</v>
      </c>
      <c r="E106" s="25" t="s">
        <v>546</v>
      </c>
      <c r="F106" s="23" t="s">
        <v>547</v>
      </c>
      <c r="G106" s="25" t="s">
        <v>548</v>
      </c>
      <c r="H106" s="25" t="s">
        <v>549</v>
      </c>
      <c r="I106" s="26">
        <f t="shared" si="30"/>
        <v>1.3318948868555294</v>
      </c>
      <c r="J106" s="27">
        <v>750.81</v>
      </c>
      <c r="K106" s="27">
        <v>0.38</v>
      </c>
      <c r="L106" s="28" t="s">
        <v>550</v>
      </c>
      <c r="M106" s="29">
        <v>219.89609629</v>
      </c>
      <c r="N106" s="29">
        <v>-60.837527569999999</v>
      </c>
      <c r="O106" s="30">
        <v>1.35</v>
      </c>
      <c r="P106" s="31">
        <v>0.01</v>
      </c>
      <c r="Q106" s="32" t="s">
        <v>126</v>
      </c>
      <c r="R106" s="31">
        <v>0.86799999999999999</v>
      </c>
      <c r="S106" s="31">
        <v>2.1999999999999999E-2</v>
      </c>
      <c r="T106" s="32" t="s">
        <v>177</v>
      </c>
      <c r="U106" s="33">
        <v>0.86599999999999999</v>
      </c>
      <c r="V106" s="25" t="s">
        <v>551</v>
      </c>
      <c r="W106" s="23" t="s">
        <v>242</v>
      </c>
      <c r="X106" s="23" t="s">
        <v>552</v>
      </c>
      <c r="Y106" s="7">
        <v>5244</v>
      </c>
      <c r="Z106" s="24">
        <v>13</v>
      </c>
      <c r="AA106" s="23" t="s">
        <v>130</v>
      </c>
      <c r="AB106" s="34">
        <v>-0.29843199999999998</v>
      </c>
      <c r="AC106" s="35">
        <v>6.0439999999999999E-3</v>
      </c>
      <c r="AD106" s="28" t="s">
        <v>553</v>
      </c>
      <c r="AE106" s="31">
        <f t="shared" si="31"/>
        <v>0.8591741098945701</v>
      </c>
      <c r="AF106" s="31">
        <f t="shared" si="32"/>
        <v>5.9998144132291422</v>
      </c>
      <c r="AG106" s="25">
        <v>0.93730000000000002</v>
      </c>
      <c r="AH106" s="10">
        <v>0.24</v>
      </c>
      <c r="AI106" s="31">
        <v>0.01</v>
      </c>
      <c r="AJ106" s="24" t="s">
        <v>60</v>
      </c>
      <c r="AK106" s="23" t="s">
        <v>130</v>
      </c>
      <c r="AL106" s="5">
        <v>4.54</v>
      </c>
      <c r="AM106" s="31">
        <v>0.03</v>
      </c>
      <c r="AN106" s="23" t="s">
        <v>130</v>
      </c>
      <c r="AO106" s="36">
        <v>-4.9600999999999997</v>
      </c>
      <c r="AP106" s="23" t="s">
        <v>554</v>
      </c>
      <c r="AQ106" s="37">
        <f t="shared" si="33"/>
        <v>0.70922494126210034</v>
      </c>
      <c r="AR106" s="38">
        <f t="shared" si="34"/>
        <v>532.49317814899746</v>
      </c>
      <c r="AS106" s="39">
        <f t="shared" si="35"/>
        <v>2.3006409710750756E-10</v>
      </c>
      <c r="AT106" s="40">
        <f t="shared" si="36"/>
        <v>24.961377875804239</v>
      </c>
      <c r="AU106" s="41">
        <f t="shared" si="37"/>
        <v>225.33802225239643</v>
      </c>
      <c r="AV106" s="42">
        <f t="shared" si="38"/>
        <v>11.0385289486868</v>
      </c>
      <c r="AW106" s="31">
        <f t="shared" si="39"/>
        <v>1.7063242890405375</v>
      </c>
      <c r="AX106" s="43" t="s">
        <v>555</v>
      </c>
      <c r="AY106" s="24" t="s">
        <v>3</v>
      </c>
      <c r="AZ106" s="44">
        <v>5.3</v>
      </c>
      <c r="BA106" s="45">
        <v>-1.34</v>
      </c>
      <c r="BB106" s="24" t="s">
        <v>134</v>
      </c>
      <c r="BC106" s="28" t="s">
        <v>1</v>
      </c>
      <c r="BD106" s="24" t="s">
        <v>3</v>
      </c>
    </row>
    <row r="107" spans="1:56" ht="15.75" customHeight="1">
      <c r="A107" s="23" t="s">
        <v>617</v>
      </c>
      <c r="B107" s="14" t="s">
        <v>616</v>
      </c>
      <c r="C107" s="24" t="s">
        <v>1</v>
      </c>
      <c r="D107" s="23" t="s">
        <v>618</v>
      </c>
      <c r="E107" s="25" t="s">
        <v>619</v>
      </c>
      <c r="F107" s="23" t="s">
        <v>620</v>
      </c>
      <c r="G107" s="25" t="s">
        <v>621</v>
      </c>
      <c r="H107" s="25" t="s">
        <v>622</v>
      </c>
      <c r="I107" s="26">
        <f t="shared" si="30"/>
        <v>1.3318948868555294</v>
      </c>
      <c r="J107" s="27">
        <v>750.81</v>
      </c>
      <c r="K107" s="27">
        <v>0.38</v>
      </c>
      <c r="L107" s="28" t="s">
        <v>550</v>
      </c>
      <c r="M107" s="29">
        <v>219.90205832999999</v>
      </c>
      <c r="N107" s="29">
        <v>-60.833992690000002</v>
      </c>
      <c r="O107" s="30">
        <v>2E-3</v>
      </c>
      <c r="P107" s="31">
        <v>8.0000000000000002E-3</v>
      </c>
      <c r="Q107" s="32" t="s">
        <v>177</v>
      </c>
      <c r="R107" s="31">
        <v>0.65300000000000002</v>
      </c>
      <c r="S107" s="31">
        <v>2.3E-2</v>
      </c>
      <c r="T107" s="32" t="s">
        <v>177</v>
      </c>
      <c r="U107" s="33">
        <v>-0.35199999999999998</v>
      </c>
      <c r="V107" s="25" t="s">
        <v>551</v>
      </c>
      <c r="W107" s="23" t="s">
        <v>233</v>
      </c>
      <c r="X107" s="23" t="s">
        <v>145</v>
      </c>
      <c r="Y107" s="7">
        <v>5776</v>
      </c>
      <c r="Z107" s="24">
        <v>16</v>
      </c>
      <c r="AA107" s="23" t="s">
        <v>130</v>
      </c>
      <c r="AB107" s="34">
        <v>0.18212900000000001</v>
      </c>
      <c r="AC107" s="35">
        <v>4.2830000000000003E-3</v>
      </c>
      <c r="AD107" s="28" t="s">
        <v>553</v>
      </c>
      <c r="AE107" s="31">
        <f t="shared" si="31"/>
        <v>1.2314950727718879</v>
      </c>
      <c r="AF107" s="31">
        <f t="shared" si="32"/>
        <v>8.5998190615219112</v>
      </c>
      <c r="AG107" s="25">
        <v>1.1054999999999999</v>
      </c>
      <c r="AH107" s="48">
        <v>0.2</v>
      </c>
      <c r="AI107" s="31">
        <v>0.01</v>
      </c>
      <c r="AJ107" s="24" t="s">
        <v>60</v>
      </c>
      <c r="AK107" s="23" t="s">
        <v>130</v>
      </c>
      <c r="AL107" s="5">
        <v>4.3</v>
      </c>
      <c r="AM107" s="31">
        <v>0.03</v>
      </c>
      <c r="AN107" s="23" t="s">
        <v>130</v>
      </c>
      <c r="AO107" s="36">
        <v>-5.0842000000000001</v>
      </c>
      <c r="AP107" s="23" t="s">
        <v>554</v>
      </c>
      <c r="AQ107" s="37">
        <f t="shared" si="33"/>
        <v>1.2332879835370731</v>
      </c>
      <c r="AR107" s="38">
        <f t="shared" si="34"/>
        <v>925.96495091946986</v>
      </c>
      <c r="AS107" s="39">
        <f t="shared" si="35"/>
        <v>7.6083038700672004E-11</v>
      </c>
      <c r="AT107" s="40">
        <f t="shared" si="36"/>
        <v>24.944780375804239</v>
      </c>
      <c r="AU107" s="41">
        <f t="shared" si="37"/>
        <v>475.7898393924059</v>
      </c>
      <c r="AV107" s="42">
        <f t="shared" si="38"/>
        <v>7.7078079654801206</v>
      </c>
      <c r="AW107" s="31">
        <f t="shared" si="39"/>
        <v>2.5157179179228879</v>
      </c>
      <c r="AX107" s="43" t="s">
        <v>555</v>
      </c>
      <c r="AY107" s="24" t="s">
        <v>2</v>
      </c>
      <c r="AZ107" s="44">
        <v>5.3</v>
      </c>
      <c r="BA107" s="45">
        <v>1.34</v>
      </c>
      <c r="BB107" s="24" t="s">
        <v>134</v>
      </c>
      <c r="BC107" s="28" t="s">
        <v>1</v>
      </c>
      <c r="BD107" s="24" t="s">
        <v>3</v>
      </c>
    </row>
    <row r="108" spans="1:56" ht="15.75" customHeight="1">
      <c r="A108" s="23" t="s">
        <v>1294</v>
      </c>
      <c r="B108" s="14" t="s">
        <v>597</v>
      </c>
      <c r="C108" s="24" t="s">
        <v>3</v>
      </c>
      <c r="D108" s="23" t="s">
        <v>1295</v>
      </c>
      <c r="E108" s="25" t="s">
        <v>1296</v>
      </c>
      <c r="F108" s="23" t="s">
        <v>1297</v>
      </c>
      <c r="G108" s="25" t="s">
        <v>1298</v>
      </c>
      <c r="H108" s="25" t="s">
        <v>1299</v>
      </c>
      <c r="I108" s="26">
        <f t="shared" si="30"/>
        <v>6.7485809421423903</v>
      </c>
      <c r="J108" s="27">
        <v>148.17930000000001</v>
      </c>
      <c r="K108" s="27">
        <v>5.4600000000000003E-2</v>
      </c>
      <c r="L108" s="28" t="s">
        <v>124</v>
      </c>
      <c r="M108" s="29">
        <v>222.84601533758999</v>
      </c>
      <c r="N108" s="29">
        <f>19.10191326331</f>
        <v>19.101913263309999</v>
      </c>
      <c r="O108" s="30">
        <v>6.9790000000000001</v>
      </c>
      <c r="P108" s="31">
        <v>3.6999999999999998E-2</v>
      </c>
      <c r="Q108" s="32" t="s">
        <v>177</v>
      </c>
      <c r="R108" s="31">
        <v>1.1639999999999999</v>
      </c>
      <c r="S108" s="31">
        <v>2.1000000000000001E-2</v>
      </c>
      <c r="T108" s="32" t="s">
        <v>126</v>
      </c>
      <c r="U108" s="33">
        <v>6.1669999999999998</v>
      </c>
      <c r="V108" s="25" t="s">
        <v>189</v>
      </c>
      <c r="W108" s="23" t="s">
        <v>128</v>
      </c>
      <c r="X108" s="23" t="s">
        <v>1300</v>
      </c>
      <c r="Y108" s="7">
        <v>4288</v>
      </c>
      <c r="Z108" s="24">
        <v>127</v>
      </c>
      <c r="AA108" s="28" t="s">
        <v>146</v>
      </c>
      <c r="AB108" s="34">
        <v>-0.88816600000000001</v>
      </c>
      <c r="AC108" s="35">
        <v>2.7365799999999999E-2</v>
      </c>
      <c r="AD108" s="28" t="s">
        <v>146</v>
      </c>
      <c r="AE108" s="31">
        <f t="shared" si="31"/>
        <v>0.65167339997886065</v>
      </c>
      <c r="AF108" s="31">
        <f t="shared" si="32"/>
        <v>0.89814016825869303</v>
      </c>
      <c r="AG108" s="25">
        <v>0.67</v>
      </c>
      <c r="AH108" s="10">
        <v>0.14399999999999999</v>
      </c>
      <c r="AI108" s="31">
        <v>1.2E-2</v>
      </c>
      <c r="AJ108" s="24" t="s">
        <v>60</v>
      </c>
      <c r="AK108" s="23" t="s">
        <v>124</v>
      </c>
      <c r="AL108" s="5">
        <v>4.6360000000000001</v>
      </c>
      <c r="AM108" s="31">
        <v>9.8900000000000002E-2</v>
      </c>
      <c r="AN108" s="23" t="s">
        <v>146</v>
      </c>
      <c r="AO108" s="36">
        <v>-4.4240000000000004</v>
      </c>
      <c r="AP108" s="23" t="s">
        <v>132</v>
      </c>
      <c r="AQ108" s="37">
        <f t="shared" si="33"/>
        <v>0.35968058838832911</v>
      </c>
      <c r="AR108" s="38">
        <f t="shared" si="34"/>
        <v>53.297217810970743</v>
      </c>
      <c r="AS108" s="39">
        <f t="shared" si="35"/>
        <v>8.945051590055007E-10</v>
      </c>
      <c r="AT108" s="40">
        <f t="shared" si="36"/>
        <v>28.788042875804237</v>
      </c>
      <c r="AU108" s="41">
        <f t="shared" si="37"/>
        <v>96.25778978562451</v>
      </c>
      <c r="AV108" s="42">
        <f t="shared" si="38"/>
        <v>18.333551721235782</v>
      </c>
      <c r="AW108" s="31">
        <f t="shared" si="39"/>
        <v>0.23892185485794049</v>
      </c>
      <c r="AX108" s="43" t="s">
        <v>605</v>
      </c>
      <c r="AY108" s="24" t="s">
        <v>3</v>
      </c>
      <c r="AZ108" s="44">
        <v>5.2</v>
      </c>
      <c r="BA108" s="45">
        <v>-2.19</v>
      </c>
      <c r="BB108" s="24" t="s">
        <v>134</v>
      </c>
      <c r="BC108" s="28" t="s">
        <v>1</v>
      </c>
      <c r="BD108" s="50" t="s">
        <v>4</v>
      </c>
    </row>
    <row r="109" spans="1:56" ht="15.75" customHeight="1">
      <c r="A109" s="23" t="s">
        <v>598</v>
      </c>
      <c r="B109" s="14" t="s">
        <v>597</v>
      </c>
      <c r="C109" s="24" t="s">
        <v>2</v>
      </c>
      <c r="D109" s="23" t="s">
        <v>599</v>
      </c>
      <c r="E109" s="25" t="s">
        <v>600</v>
      </c>
      <c r="F109" s="23" t="s">
        <v>601</v>
      </c>
      <c r="G109" s="25" t="s">
        <v>602</v>
      </c>
      <c r="H109" s="25" t="s">
        <v>603</v>
      </c>
      <c r="I109" s="26">
        <f t="shared" si="30"/>
        <v>6.7535853096012346</v>
      </c>
      <c r="J109" s="27">
        <v>148.06950000000001</v>
      </c>
      <c r="K109" s="27">
        <v>0.13170000000000001</v>
      </c>
      <c r="L109" s="28" t="s">
        <v>124</v>
      </c>
      <c r="M109" s="29">
        <v>222.84745194146001</v>
      </c>
      <c r="N109" s="29">
        <f>19.10044994484</f>
        <v>19.100449944840001</v>
      </c>
      <c r="O109" s="30">
        <v>4.54</v>
      </c>
      <c r="P109" s="31">
        <v>0.01</v>
      </c>
      <c r="Q109" s="32" t="s">
        <v>126</v>
      </c>
      <c r="R109" s="31">
        <v>0.72</v>
      </c>
      <c r="S109" s="31">
        <v>1.4999999999999999E-2</v>
      </c>
      <c r="T109" s="32" t="s">
        <v>126</v>
      </c>
      <c r="U109" s="33">
        <v>4.2510000000000003</v>
      </c>
      <c r="V109" s="25" t="s">
        <v>189</v>
      </c>
      <c r="W109" s="23" t="s">
        <v>604</v>
      </c>
      <c r="X109" s="23" t="s">
        <v>334</v>
      </c>
      <c r="Y109" s="7">
        <v>5487</v>
      </c>
      <c r="Z109" s="24">
        <v>19</v>
      </c>
      <c r="AA109" s="23" t="s">
        <v>130</v>
      </c>
      <c r="AB109" s="34">
        <v>-0.25716499999999998</v>
      </c>
      <c r="AC109" s="35">
        <v>1.12494E-2</v>
      </c>
      <c r="AD109" s="28" t="s">
        <v>146</v>
      </c>
      <c r="AE109" s="31">
        <f t="shared" si="31"/>
        <v>0.82294370459793975</v>
      </c>
      <c r="AF109" s="31">
        <f t="shared" si="32"/>
        <v>1.1333454988439617</v>
      </c>
      <c r="AG109" s="25">
        <v>0.96</v>
      </c>
      <c r="AH109" s="10">
        <v>-0.14000000000000001</v>
      </c>
      <c r="AI109" s="31">
        <v>0.02</v>
      </c>
      <c r="AJ109" s="24" t="s">
        <v>60</v>
      </c>
      <c r="AK109" s="23" t="s">
        <v>130</v>
      </c>
      <c r="AL109" s="5">
        <v>4.54</v>
      </c>
      <c r="AM109" s="31">
        <v>0.03</v>
      </c>
      <c r="AN109" s="23" t="s">
        <v>130</v>
      </c>
      <c r="AO109" s="36">
        <v>-4.3630000000000004</v>
      </c>
      <c r="AP109" s="23" t="s">
        <v>132</v>
      </c>
      <c r="AQ109" s="37">
        <f t="shared" si="33"/>
        <v>0.74373376738892194</v>
      </c>
      <c r="AR109" s="38">
        <f t="shared" si="34"/>
        <v>110.12428707039398</v>
      </c>
      <c r="AS109" s="39">
        <f t="shared" si="35"/>
        <v>2.0920971588176943E-10</v>
      </c>
      <c r="AT109" s="40">
        <f t="shared" si="36"/>
        <v>28.449545375804238</v>
      </c>
      <c r="AU109" s="41">
        <f t="shared" si="37"/>
        <v>239.10486918388412</v>
      </c>
      <c r="AV109" s="42">
        <f t="shared" si="38"/>
        <v>10.651190271113135</v>
      </c>
      <c r="AW109" s="31">
        <f t="shared" si="39"/>
        <v>0.34453870609012849</v>
      </c>
      <c r="AX109" s="43" t="s">
        <v>605</v>
      </c>
      <c r="AY109" s="24" t="s">
        <v>2</v>
      </c>
      <c r="AZ109" s="44">
        <v>5.2</v>
      </c>
      <c r="BA109" s="45">
        <v>2.19</v>
      </c>
      <c r="BB109" s="24" t="s">
        <v>134</v>
      </c>
      <c r="BC109" s="28" t="s">
        <v>1</v>
      </c>
      <c r="BD109" s="24" t="s">
        <v>3</v>
      </c>
    </row>
    <row r="110" spans="1:56" ht="21" customHeight="1">
      <c r="A110" s="23" t="s">
        <v>297</v>
      </c>
      <c r="B110" s="14" t="s">
        <v>296</v>
      </c>
      <c r="C110" s="24" t="s">
        <v>1</v>
      </c>
      <c r="D110" s="23" t="s">
        <v>298</v>
      </c>
      <c r="E110" s="25" t="s">
        <v>299</v>
      </c>
      <c r="F110" s="23" t="s">
        <v>300</v>
      </c>
      <c r="G110" s="25" t="s">
        <v>301</v>
      </c>
      <c r="H110" s="25" t="s">
        <v>302</v>
      </c>
      <c r="I110" s="26">
        <f t="shared" si="30"/>
        <v>5.8863591279476681</v>
      </c>
      <c r="J110" s="27">
        <v>169.8843</v>
      </c>
      <c r="K110" s="27">
        <v>6.5299999999999997E-2</v>
      </c>
      <c r="L110" s="28" t="s">
        <v>124</v>
      </c>
      <c r="M110" s="29">
        <v>224.366669966155</v>
      </c>
      <c r="N110" s="29">
        <v>-21.415479795919399</v>
      </c>
      <c r="O110" s="30">
        <v>5.7240000000000002</v>
      </c>
      <c r="P110" s="31">
        <v>1E-3</v>
      </c>
      <c r="Q110" s="32" t="s">
        <v>125</v>
      </c>
      <c r="R110" s="31">
        <v>1.1080000000000001</v>
      </c>
      <c r="S110" s="31">
        <v>8.0000000000000002E-3</v>
      </c>
      <c r="T110" s="32" t="s">
        <v>142</v>
      </c>
      <c r="U110" s="33">
        <v>4.9349999999999996</v>
      </c>
      <c r="V110" s="25" t="s">
        <v>143</v>
      </c>
      <c r="W110" s="23" t="s">
        <v>303</v>
      </c>
      <c r="X110" s="23" t="s">
        <v>129</v>
      </c>
      <c r="Y110" s="7">
        <v>4632</v>
      </c>
      <c r="Z110" s="24">
        <v>15</v>
      </c>
      <c r="AA110" s="23" t="s">
        <v>130</v>
      </c>
      <c r="AB110" s="34">
        <v>-0.65263099999999996</v>
      </c>
      <c r="AC110" s="35">
        <v>1.9983799999999999E-2</v>
      </c>
      <c r="AD110" s="28" t="s">
        <v>146</v>
      </c>
      <c r="AE110" s="31">
        <f t="shared" si="31"/>
        <v>0.73243644533640873</v>
      </c>
      <c r="AF110" s="31">
        <f t="shared" si="32"/>
        <v>1.1573101931889977</v>
      </c>
      <c r="AG110" s="25">
        <v>0.72</v>
      </c>
      <c r="AH110" s="10">
        <v>0.02</v>
      </c>
      <c r="AI110" s="31">
        <v>0.04</v>
      </c>
      <c r="AJ110" s="24" t="s">
        <v>60</v>
      </c>
      <c r="AK110" s="23" t="s">
        <v>130</v>
      </c>
      <c r="AL110" s="5">
        <v>4.49</v>
      </c>
      <c r="AM110" s="31">
        <v>0.08</v>
      </c>
      <c r="AN110" s="23" t="s">
        <v>130</v>
      </c>
      <c r="AO110" s="36">
        <v>-4.484</v>
      </c>
      <c r="AP110" s="23" t="s">
        <v>147</v>
      </c>
      <c r="AQ110" s="37">
        <f t="shared" si="33"/>
        <v>0.47172022824058335</v>
      </c>
      <c r="AR110" s="38">
        <f t="shared" si="34"/>
        <v>80.137860770491727</v>
      </c>
      <c r="AS110" s="39">
        <f t="shared" si="35"/>
        <v>5.2005329178580545E-10</v>
      </c>
      <c r="AT110" s="40">
        <f t="shared" si="36"/>
        <v>28.144880375804238</v>
      </c>
      <c r="AU110" s="41">
        <f t="shared" si="37"/>
        <v>139.46277054462428</v>
      </c>
      <c r="AV110" s="42">
        <f t="shared" si="38"/>
        <v>15.443083199970719</v>
      </c>
      <c r="AW110" s="31">
        <f t="shared" si="39"/>
        <v>0.33429616170617321</v>
      </c>
      <c r="AX110" s="43" t="s">
        <v>304</v>
      </c>
      <c r="AY110" s="24" t="s">
        <v>2</v>
      </c>
      <c r="AZ110" s="44">
        <v>26.2</v>
      </c>
      <c r="BA110" s="45">
        <v>2.2999999999999998</v>
      </c>
      <c r="BB110" s="24" t="s">
        <v>134</v>
      </c>
      <c r="BC110" s="28" t="s">
        <v>1</v>
      </c>
      <c r="BD110" s="24" t="s">
        <v>2</v>
      </c>
    </row>
    <row r="111" spans="1:56" ht="15.75" customHeight="1">
      <c r="A111" s="23" t="s">
        <v>945</v>
      </c>
      <c r="B111" s="14" t="s">
        <v>944</v>
      </c>
      <c r="C111" s="24" t="s">
        <v>1</v>
      </c>
      <c r="D111" s="23" t="s">
        <v>946</v>
      </c>
      <c r="E111" s="25" t="s">
        <v>947</v>
      </c>
      <c r="F111" s="23" t="s">
        <v>948</v>
      </c>
      <c r="G111" s="25" t="s">
        <v>949</v>
      </c>
      <c r="H111" s="25" t="s">
        <v>950</v>
      </c>
      <c r="I111" s="26">
        <f t="shared" si="30"/>
        <v>19.536019536019538</v>
      </c>
      <c r="J111" s="27">
        <v>51.1875</v>
      </c>
      <c r="K111" s="27">
        <v>8.7900000000000006E-2</v>
      </c>
      <c r="L111" s="28" t="s">
        <v>124</v>
      </c>
      <c r="M111" s="29">
        <v>226.825274728479</v>
      </c>
      <c r="N111" s="29">
        <f>24.86919427955</f>
        <v>24.869194279550001</v>
      </c>
      <c r="O111" s="30">
        <v>4.9400000000000004</v>
      </c>
      <c r="P111" s="31">
        <v>1.0999999999999999E-2</v>
      </c>
      <c r="Q111" s="32" t="s">
        <v>125</v>
      </c>
      <c r="R111" s="31">
        <v>0.42899999999999999</v>
      </c>
      <c r="S111" s="31">
        <v>6.0000000000000001E-3</v>
      </c>
      <c r="T111" s="32" t="s">
        <v>126</v>
      </c>
      <c r="U111" s="33">
        <v>4.6639999999999997</v>
      </c>
      <c r="V111" s="25" t="s">
        <v>189</v>
      </c>
      <c r="W111" s="23" t="s">
        <v>839</v>
      </c>
      <c r="X111" s="23" t="s">
        <v>334</v>
      </c>
      <c r="Y111" s="7">
        <v>6435</v>
      </c>
      <c r="Z111" s="24">
        <v>44</v>
      </c>
      <c r="AA111" s="28" t="s">
        <v>305</v>
      </c>
      <c r="AB111" s="34">
        <v>0.51253800000000005</v>
      </c>
      <c r="AC111" s="35">
        <v>1.73881E-2</v>
      </c>
      <c r="AD111" s="28" t="s">
        <v>146</v>
      </c>
      <c r="AE111" s="31">
        <f t="shared" si="31"/>
        <v>1.4514244850222131</v>
      </c>
      <c r="AF111" s="31">
        <f t="shared" si="32"/>
        <v>0.69101098480268353</v>
      </c>
      <c r="AG111" s="25">
        <v>1.33</v>
      </c>
      <c r="AH111" s="10">
        <v>-0.02</v>
      </c>
      <c r="AI111" s="31">
        <v>0.03</v>
      </c>
      <c r="AJ111" s="24" t="s">
        <v>60</v>
      </c>
      <c r="AK111" s="23" t="s">
        <v>305</v>
      </c>
      <c r="AL111" s="5">
        <v>4.1900000000000004</v>
      </c>
      <c r="AM111" s="31">
        <v>0.06</v>
      </c>
      <c r="AN111" s="23" t="s">
        <v>305</v>
      </c>
      <c r="AO111" s="36">
        <v>-4.5350000000000001</v>
      </c>
      <c r="AP111" s="23" t="s">
        <v>318</v>
      </c>
      <c r="AQ111" s="37">
        <f t="shared" si="33"/>
        <v>1.8041348676722568</v>
      </c>
      <c r="AR111" s="38">
        <f t="shared" si="34"/>
        <v>92.349153538973638</v>
      </c>
      <c r="AS111" s="39">
        <f t="shared" si="35"/>
        <v>3.55532125874738E-11</v>
      </c>
      <c r="AT111" s="40">
        <f t="shared" si="36"/>
        <v>30.786802875804234</v>
      </c>
      <c r="AU111" s="41">
        <f t="shared" si="37"/>
        <v>767.49484351236697</v>
      </c>
      <c r="AV111" s="42">
        <f t="shared" si="38"/>
        <v>5.8100810254150232</v>
      </c>
      <c r="AW111" s="31">
        <f t="shared" si="39"/>
        <v>0.20854866769084382</v>
      </c>
      <c r="AX111" s="43" t="s">
        <v>951</v>
      </c>
      <c r="AY111" s="24" t="s">
        <v>2</v>
      </c>
      <c r="AZ111" s="44">
        <v>103.4</v>
      </c>
      <c r="BA111" s="45">
        <v>6.56</v>
      </c>
      <c r="BB111" s="24" t="s">
        <v>134</v>
      </c>
      <c r="BC111" s="28" t="s">
        <v>1</v>
      </c>
      <c r="BD111" s="24" t="s">
        <v>3</v>
      </c>
    </row>
    <row r="112" spans="1:56" ht="18.75" customHeight="1">
      <c r="A112" s="23" t="s">
        <v>793</v>
      </c>
      <c r="B112" s="14" t="s">
        <v>792</v>
      </c>
      <c r="C112" s="24" t="s">
        <v>1</v>
      </c>
      <c r="D112" s="23" t="s">
        <v>794</v>
      </c>
      <c r="E112" s="25" t="s">
        <v>795</v>
      </c>
      <c r="F112" s="23" t="s">
        <v>796</v>
      </c>
      <c r="G112" s="25" t="s">
        <v>797</v>
      </c>
      <c r="H112" s="25" t="s">
        <v>798</v>
      </c>
      <c r="I112" s="26">
        <f t="shared" si="30"/>
        <v>14.739110376775878</v>
      </c>
      <c r="J112" s="27">
        <v>67.846699999999998</v>
      </c>
      <c r="K112" s="27">
        <v>6.0100000000000001E-2</v>
      </c>
      <c r="L112" s="28" t="s">
        <v>124</v>
      </c>
      <c r="M112" s="29">
        <v>230.45062462715001</v>
      </c>
      <c r="N112" s="29">
        <v>-48.317630529697198</v>
      </c>
      <c r="O112" s="30">
        <v>5.6550000000000002</v>
      </c>
      <c r="P112" s="31">
        <v>5.0000000000000001E-3</v>
      </c>
      <c r="Q112" s="32" t="s">
        <v>125</v>
      </c>
      <c r="R112" s="31">
        <v>0.63900000000000001</v>
      </c>
      <c r="S112" s="31">
        <v>3.0000000000000001E-3</v>
      </c>
      <c r="T112" s="32" t="s">
        <v>126</v>
      </c>
      <c r="U112" s="33">
        <v>5.2850000000000001</v>
      </c>
      <c r="V112" s="25" t="s">
        <v>143</v>
      </c>
      <c r="W112" s="23" t="s">
        <v>799</v>
      </c>
      <c r="X112" s="23" t="s">
        <v>145</v>
      </c>
      <c r="Y112" s="7">
        <v>5685</v>
      </c>
      <c r="Z112" s="24">
        <v>17</v>
      </c>
      <c r="AA112" s="23" t="s">
        <v>130</v>
      </c>
      <c r="AB112" s="34">
        <v>1.2390099999999999E-2</v>
      </c>
      <c r="AC112" s="35">
        <v>1.10335E-2</v>
      </c>
      <c r="AD112" s="28" t="s">
        <v>146</v>
      </c>
      <c r="AE112" s="31">
        <f t="shared" si="31"/>
        <v>1.0455785367716632</v>
      </c>
      <c r="AF112" s="31">
        <f t="shared" si="32"/>
        <v>0.65979948989091897</v>
      </c>
      <c r="AG112" s="25">
        <v>1.02</v>
      </c>
      <c r="AH112" s="10">
        <v>-0.34</v>
      </c>
      <c r="AI112" s="31">
        <v>0.01</v>
      </c>
      <c r="AJ112" s="24" t="s">
        <v>60</v>
      </c>
      <c r="AK112" s="23" t="s">
        <v>130</v>
      </c>
      <c r="AL112" s="5">
        <v>4.37</v>
      </c>
      <c r="AM112" s="31">
        <v>0.04</v>
      </c>
      <c r="AN112" s="23" t="s">
        <v>130</v>
      </c>
      <c r="AO112" s="36">
        <v>-4.9320000000000004</v>
      </c>
      <c r="AP112" s="23" t="s">
        <v>191</v>
      </c>
      <c r="AQ112" s="37">
        <f t="shared" si="33"/>
        <v>1.0143668551021798</v>
      </c>
      <c r="AR112" s="38">
        <f t="shared" si="34"/>
        <v>68.821443708061068</v>
      </c>
      <c r="AS112" s="39">
        <f t="shared" si="35"/>
        <v>1.1246742443560247E-10</v>
      </c>
      <c r="AT112" s="40">
        <f t="shared" si="36"/>
        <v>30.157433125804236</v>
      </c>
      <c r="AU112" s="41">
        <f t="shared" si="37"/>
        <v>369.47943931757175</v>
      </c>
      <c r="AV112" s="42">
        <f t="shared" si="38"/>
        <v>8.8479956115521219</v>
      </c>
      <c r="AW112" s="31">
        <f t="shared" si="39"/>
        <v>0.20265146545170851</v>
      </c>
      <c r="AX112" s="43" t="s">
        <v>1</v>
      </c>
      <c r="AY112" s="24" t="s">
        <v>1</v>
      </c>
      <c r="AZ112" s="44" t="s">
        <v>1</v>
      </c>
      <c r="BA112" s="45" t="s">
        <v>1</v>
      </c>
      <c r="BB112" s="24" t="s">
        <v>134</v>
      </c>
      <c r="BC112" s="28" t="s">
        <v>1</v>
      </c>
      <c r="BD112" s="24" t="s">
        <v>3</v>
      </c>
    </row>
    <row r="113" spans="1:56" ht="15.75" customHeight="1">
      <c r="A113" s="23" t="s">
        <v>801</v>
      </c>
      <c r="B113" s="14" t="s">
        <v>800</v>
      </c>
      <c r="C113" s="24" t="s">
        <v>2</v>
      </c>
      <c r="D113" s="23" t="s">
        <v>802</v>
      </c>
      <c r="E113" s="25" t="s">
        <v>803</v>
      </c>
      <c r="F113" s="23" t="s">
        <v>804</v>
      </c>
      <c r="G113" s="25" t="s">
        <v>805</v>
      </c>
      <c r="H113" s="25" t="s">
        <v>806</v>
      </c>
      <c r="I113" s="26">
        <f t="shared" si="30"/>
        <v>14.792746228959167</v>
      </c>
      <c r="J113" s="27">
        <v>67.600700000000003</v>
      </c>
      <c r="K113" s="27">
        <v>3.5999999999999997E-2</v>
      </c>
      <c r="L113" s="28" t="s">
        <v>124</v>
      </c>
      <c r="M113" s="29">
        <v>236.00757736822999</v>
      </c>
      <c r="N113" s="29">
        <f>2.51516683165</f>
        <v>2.5151668316500002</v>
      </c>
      <c r="O113" s="30">
        <v>5.8689999999999998</v>
      </c>
      <c r="P113" s="31">
        <v>1E-3</v>
      </c>
      <c r="Q113" s="32" t="s">
        <v>125</v>
      </c>
      <c r="R113" s="31">
        <v>0.68400000000000005</v>
      </c>
      <c r="S113" s="31">
        <v>2E-3</v>
      </c>
      <c r="T113" s="32" t="s">
        <v>126</v>
      </c>
      <c r="U113" s="33">
        <v>5.49</v>
      </c>
      <c r="V113" s="25" t="s">
        <v>166</v>
      </c>
      <c r="W113" s="23" t="s">
        <v>217</v>
      </c>
      <c r="X113" s="23" t="s">
        <v>277</v>
      </c>
      <c r="Y113" s="7">
        <v>5682</v>
      </c>
      <c r="Z113" s="24">
        <v>12</v>
      </c>
      <c r="AA113" s="23" t="s">
        <v>130</v>
      </c>
      <c r="AB113" s="34">
        <v>-7.8834000000000001E-2</v>
      </c>
      <c r="AC113" s="35">
        <v>1.0468999999999999E-2</v>
      </c>
      <c r="AD113" s="28" t="s">
        <v>807</v>
      </c>
      <c r="AE113" s="31">
        <f t="shared" si="31"/>
        <v>0.94233015488173222</v>
      </c>
      <c r="AF113" s="31">
        <f t="shared" si="32"/>
        <v>0.59248978742241787</v>
      </c>
      <c r="AG113" s="49">
        <v>0.94</v>
      </c>
      <c r="AH113" s="10">
        <v>0.05</v>
      </c>
      <c r="AI113" s="31">
        <v>0.01</v>
      </c>
      <c r="AJ113" s="44" t="s">
        <v>60</v>
      </c>
      <c r="AK113" s="23" t="s">
        <v>130</v>
      </c>
      <c r="AL113" s="5">
        <v>4.47</v>
      </c>
      <c r="AM113" s="31">
        <v>0.03</v>
      </c>
      <c r="AN113" s="23" t="s">
        <v>130</v>
      </c>
      <c r="AO113" s="36">
        <v>-4.74</v>
      </c>
      <c r="AP113" s="23" t="s">
        <v>180</v>
      </c>
      <c r="AQ113" s="37">
        <f t="shared" si="33"/>
        <v>0.91323595130586155</v>
      </c>
      <c r="AR113" s="38">
        <f t="shared" si="34"/>
        <v>61.735389573442156</v>
      </c>
      <c r="AS113" s="39">
        <f t="shared" si="35"/>
        <v>1.3875570541969683E-10</v>
      </c>
      <c r="AT113" s="40">
        <f t="shared" si="36"/>
        <v>30.134372875804239</v>
      </c>
      <c r="AU113" s="41">
        <f t="shared" si="37"/>
        <v>328.7822475714591</v>
      </c>
      <c r="AV113" s="42">
        <f t="shared" si="38"/>
        <v>9.7137535936920507</v>
      </c>
      <c r="AW113" s="31">
        <f t="shared" si="39"/>
        <v>0.19725702597542452</v>
      </c>
      <c r="AX113" s="43" t="s">
        <v>808</v>
      </c>
      <c r="AY113" s="24" t="s">
        <v>2</v>
      </c>
      <c r="AZ113" s="44">
        <v>4.5999999999999996</v>
      </c>
      <c r="BA113" s="45">
        <v>6.05</v>
      </c>
      <c r="BB113" s="24" t="s">
        <v>134</v>
      </c>
      <c r="BC113" s="28" t="s">
        <v>1</v>
      </c>
      <c r="BD113" s="24" t="s">
        <v>3</v>
      </c>
    </row>
    <row r="114" spans="1:56" ht="15.75" customHeight="1">
      <c r="A114" s="23" t="s">
        <v>245</v>
      </c>
      <c r="B114" s="14" t="s">
        <v>244</v>
      </c>
      <c r="C114" s="24" t="s">
        <v>1</v>
      </c>
      <c r="D114" s="23" t="s">
        <v>246</v>
      </c>
      <c r="E114" s="25" t="s">
        <v>247</v>
      </c>
      <c r="F114" s="23" t="s">
        <v>248</v>
      </c>
      <c r="G114" s="25" t="s">
        <v>249</v>
      </c>
      <c r="H114" s="25" t="s">
        <v>250</v>
      </c>
      <c r="I114" s="26">
        <f t="shared" si="30"/>
        <v>11.915911793654537</v>
      </c>
      <c r="J114" s="27">
        <v>83.921400000000006</v>
      </c>
      <c r="K114" s="27">
        <v>0.15010000000000001</v>
      </c>
      <c r="L114" s="28" t="s">
        <v>124</v>
      </c>
      <c r="M114" s="29">
        <v>236.61089255068001</v>
      </c>
      <c r="N114" s="29">
        <f>7.35306871634</f>
        <v>7.3530687163400001</v>
      </c>
      <c r="O114" s="30">
        <v>4.4219999999999997</v>
      </c>
      <c r="P114" s="31">
        <v>4.0000000000000001E-3</v>
      </c>
      <c r="Q114" s="32" t="s">
        <v>125</v>
      </c>
      <c r="R114" s="31">
        <v>0.60299999999999998</v>
      </c>
      <c r="S114" s="31">
        <v>7.0000000000000001E-3</v>
      </c>
      <c r="T114" s="32" t="s">
        <v>142</v>
      </c>
      <c r="U114" s="33">
        <v>4.0750000000000002</v>
      </c>
      <c r="V114" s="25" t="s">
        <v>143</v>
      </c>
      <c r="W114" s="23" t="s">
        <v>251</v>
      </c>
      <c r="X114" s="23" t="s">
        <v>129</v>
      </c>
      <c r="Y114" s="7">
        <v>5898</v>
      </c>
      <c r="Z114" s="24">
        <v>10</v>
      </c>
      <c r="AA114" s="23" t="s">
        <v>130</v>
      </c>
      <c r="AB114" s="34">
        <v>0.30179400000000001</v>
      </c>
      <c r="AC114" s="35">
        <v>1.2763E-2</v>
      </c>
      <c r="AD114" s="28" t="s">
        <v>146</v>
      </c>
      <c r="AE114" s="31">
        <f t="shared" si="31"/>
        <v>1.355532739228491</v>
      </c>
      <c r="AF114" s="31">
        <f t="shared" si="32"/>
        <v>1.0580576181004266</v>
      </c>
      <c r="AG114" s="25">
        <v>1.0900000000000001</v>
      </c>
      <c r="AH114" s="10">
        <v>-0.01</v>
      </c>
      <c r="AI114" s="31">
        <v>0.01</v>
      </c>
      <c r="AJ114" s="24" t="s">
        <v>60</v>
      </c>
      <c r="AK114" s="23" t="s">
        <v>130</v>
      </c>
      <c r="AL114" s="5">
        <v>4.18</v>
      </c>
      <c r="AM114" s="31">
        <v>0.02</v>
      </c>
      <c r="AN114" s="23" t="s">
        <v>130</v>
      </c>
      <c r="AO114" s="36">
        <v>-5.0039999999999996</v>
      </c>
      <c r="AP114" s="23" t="s">
        <v>132</v>
      </c>
      <c r="AQ114" s="37">
        <f t="shared" si="33"/>
        <v>1.4154580412493971</v>
      </c>
      <c r="AR114" s="38">
        <f t="shared" si="34"/>
        <v>118.78722046290717</v>
      </c>
      <c r="AS114" s="39">
        <f t="shared" si="35"/>
        <v>5.7759423475040629E-11</v>
      </c>
      <c r="AT114" s="40">
        <f t="shared" si="36"/>
        <v>29.670942875804236</v>
      </c>
      <c r="AU114" s="41">
        <f t="shared" si="37"/>
        <v>589.155637660249</v>
      </c>
      <c r="AV114" s="42">
        <f t="shared" si="38"/>
        <v>7.2457068715646633</v>
      </c>
      <c r="AW114" s="31">
        <f t="shared" si="39"/>
        <v>0.32731760434957968</v>
      </c>
      <c r="AX114" s="43" t="s">
        <v>1</v>
      </c>
      <c r="AY114" s="24" t="s">
        <v>1</v>
      </c>
      <c r="AZ114" s="44" t="s">
        <v>1</v>
      </c>
      <c r="BA114" s="45" t="s">
        <v>1</v>
      </c>
      <c r="BB114" s="24" t="s">
        <v>134</v>
      </c>
      <c r="BC114" s="28" t="s">
        <v>1</v>
      </c>
      <c r="BD114" s="24" t="s">
        <v>2</v>
      </c>
    </row>
    <row r="115" spans="1:56" ht="15.75" customHeight="1">
      <c r="A115" s="23" t="s">
        <v>1215</v>
      </c>
      <c r="B115" s="14" t="s">
        <v>1214</v>
      </c>
      <c r="C115" s="24" t="s">
        <v>2</v>
      </c>
      <c r="D115" s="23" t="s">
        <v>1216</v>
      </c>
      <c r="E115" s="25" t="s">
        <v>1217</v>
      </c>
      <c r="F115" s="23" t="s">
        <v>1218</v>
      </c>
      <c r="G115" s="25" t="s">
        <v>1</v>
      </c>
      <c r="H115" s="25" t="s">
        <v>1219</v>
      </c>
      <c r="I115" s="26">
        <f t="shared" si="30"/>
        <v>15.246482255381629</v>
      </c>
      <c r="J115" s="27">
        <v>65.588899999999995</v>
      </c>
      <c r="K115" s="27">
        <v>3.4200000000000001E-2</v>
      </c>
      <c r="L115" s="28" t="s">
        <v>124</v>
      </c>
      <c r="M115" s="29">
        <v>236.871254234601</v>
      </c>
      <c r="N115" s="29">
        <v>-37.9163119227739</v>
      </c>
      <c r="O115" s="30">
        <v>6.0119999999999996</v>
      </c>
      <c r="P115" s="31">
        <v>0</v>
      </c>
      <c r="Q115" s="32" t="s">
        <v>125</v>
      </c>
      <c r="R115" s="31">
        <v>0.71799999999999997</v>
      </c>
      <c r="S115" s="31">
        <v>4.0000000000000001E-3</v>
      </c>
      <c r="T115" s="32" t="s">
        <v>142</v>
      </c>
      <c r="U115" s="33">
        <v>5.6120000000000001</v>
      </c>
      <c r="V115" s="25" t="s">
        <v>143</v>
      </c>
      <c r="W115" s="23" t="s">
        <v>993</v>
      </c>
      <c r="X115" s="23" t="s">
        <v>145</v>
      </c>
      <c r="Y115" s="7">
        <v>5602</v>
      </c>
      <c r="Z115" s="24">
        <v>14</v>
      </c>
      <c r="AA115" s="23" t="s">
        <v>130</v>
      </c>
      <c r="AB115" s="34">
        <v>-8.7841699999999995E-2</v>
      </c>
      <c r="AC115" s="35">
        <v>1.05941E-2</v>
      </c>
      <c r="AD115" s="28" t="s">
        <v>146</v>
      </c>
      <c r="AE115" s="31">
        <f t="shared" si="31"/>
        <v>0.95943484825710312</v>
      </c>
      <c r="AF115" s="31">
        <f t="shared" si="32"/>
        <v>0.58529177761918716</v>
      </c>
      <c r="AG115" s="25">
        <v>0.96</v>
      </c>
      <c r="AH115" s="10">
        <v>0.1</v>
      </c>
      <c r="AI115" s="31">
        <v>0.02</v>
      </c>
      <c r="AJ115" s="24" t="s">
        <v>60</v>
      </c>
      <c r="AK115" s="23" t="s">
        <v>130</v>
      </c>
      <c r="AL115" s="5">
        <v>4.47</v>
      </c>
      <c r="AM115" s="31">
        <v>0.03</v>
      </c>
      <c r="AN115" s="23" t="s">
        <v>130</v>
      </c>
      <c r="AO115" s="36">
        <v>-4.7830000000000004</v>
      </c>
      <c r="AP115" s="23" t="s">
        <v>318</v>
      </c>
      <c r="AQ115" s="37">
        <f t="shared" si="33"/>
        <v>0.90381417849479828</v>
      </c>
      <c r="AR115" s="38">
        <f t="shared" si="34"/>
        <v>59.280177771877469</v>
      </c>
      <c r="AS115" s="39">
        <f t="shared" si="35"/>
        <v>1.4166368991420909E-10</v>
      </c>
      <c r="AT115" s="40">
        <f t="shared" si="36"/>
        <v>30.233853625804237</v>
      </c>
      <c r="AU115" s="41">
        <f t="shared" si="37"/>
        <v>320.31766891845541</v>
      </c>
      <c r="AV115" s="42">
        <f t="shared" si="38"/>
        <v>9.6620063354232624</v>
      </c>
      <c r="AW115" s="31">
        <f t="shared" si="39"/>
        <v>0.18546604286536511</v>
      </c>
      <c r="AX115" s="43" t="s">
        <v>1220</v>
      </c>
      <c r="AY115" s="24" t="s">
        <v>2</v>
      </c>
      <c r="AZ115" s="44">
        <v>15.2</v>
      </c>
      <c r="BA115" s="45">
        <v>7.21</v>
      </c>
      <c r="BB115" s="24" t="s">
        <v>134</v>
      </c>
      <c r="BC115" s="28" t="s">
        <v>1</v>
      </c>
      <c r="BD115" s="50" t="s">
        <v>4</v>
      </c>
    </row>
    <row r="116" spans="1:56" ht="17.25" customHeight="1">
      <c r="A116" s="23" t="s">
        <v>512</v>
      </c>
      <c r="B116" s="14" t="s">
        <v>511</v>
      </c>
      <c r="C116" s="24" t="s">
        <v>1</v>
      </c>
      <c r="D116" s="23" t="s">
        <v>513</v>
      </c>
      <c r="E116" s="25" t="s">
        <v>514</v>
      </c>
      <c r="F116" s="23" t="s">
        <v>515</v>
      </c>
      <c r="G116" s="25" t="s">
        <v>516</v>
      </c>
      <c r="H116" s="25" t="s">
        <v>517</v>
      </c>
      <c r="I116" s="26">
        <f t="shared" si="30"/>
        <v>15.897543511576592</v>
      </c>
      <c r="J116" s="27">
        <v>62.902799999999999</v>
      </c>
      <c r="K116" s="27">
        <v>8.0699999999999994E-2</v>
      </c>
      <c r="L116" s="28" t="s">
        <v>124</v>
      </c>
      <c r="M116" s="29">
        <v>238.16892103820999</v>
      </c>
      <c r="N116" s="29">
        <f>42.4515174663547</f>
        <v>42.451517466354701</v>
      </c>
      <c r="O116" s="30">
        <v>4.6079999999999997</v>
      </c>
      <c r="P116" s="31">
        <v>7.0000000000000001E-3</v>
      </c>
      <c r="Q116" s="32" t="s">
        <v>125</v>
      </c>
      <c r="R116" s="31">
        <v>0.55900000000000005</v>
      </c>
      <c r="S116" s="31">
        <v>1.2E-2</v>
      </c>
      <c r="T116" s="32" t="s">
        <v>142</v>
      </c>
      <c r="U116" s="33">
        <v>4.2</v>
      </c>
      <c r="V116" s="25" t="s">
        <v>166</v>
      </c>
      <c r="W116" s="23" t="s">
        <v>518</v>
      </c>
      <c r="X116" s="23" t="s">
        <v>334</v>
      </c>
      <c r="Y116" s="7">
        <v>5820</v>
      </c>
      <c r="Z116" s="24">
        <v>30</v>
      </c>
      <c r="AA116" s="23" t="s">
        <v>130</v>
      </c>
      <c r="AB116" s="34">
        <v>0.49638300000000002</v>
      </c>
      <c r="AC116" s="35">
        <v>1.15528E-2</v>
      </c>
      <c r="AD116" s="28" t="s">
        <v>146</v>
      </c>
      <c r="AE116" s="31">
        <f t="shared" si="31"/>
        <v>1.7416788513947805</v>
      </c>
      <c r="AF116" s="31">
        <f t="shared" si="32"/>
        <v>1.0189776139468916</v>
      </c>
      <c r="AG116" s="25">
        <v>1.08</v>
      </c>
      <c r="AH116" s="10">
        <v>-0.47</v>
      </c>
      <c r="AI116" s="31">
        <v>0.02</v>
      </c>
      <c r="AJ116" s="24" t="s">
        <v>60</v>
      </c>
      <c r="AK116" s="23" t="s">
        <v>130</v>
      </c>
      <c r="AL116" s="5">
        <v>4.0599999999999996</v>
      </c>
      <c r="AM116" s="31">
        <v>0.04</v>
      </c>
      <c r="AN116" s="23" t="s">
        <v>130</v>
      </c>
      <c r="AO116" s="36">
        <v>-5.0419999999999998</v>
      </c>
      <c r="AP116" s="23" t="s">
        <v>132</v>
      </c>
      <c r="AQ116" s="37">
        <f t="shared" si="33"/>
        <v>1.7708896512009273</v>
      </c>
      <c r="AR116" s="38">
        <f t="shared" si="34"/>
        <v>111.39391755156169</v>
      </c>
      <c r="AS116" s="39">
        <f t="shared" si="35"/>
        <v>3.6900635845608925E-11</v>
      </c>
      <c r="AT116" s="40">
        <f t="shared" si="36"/>
        <v>30.282415375804238</v>
      </c>
      <c r="AU116" s="41">
        <f t="shared" si="37"/>
        <v>828.27234120529999</v>
      </c>
      <c r="AV116" s="42">
        <f t="shared" si="38"/>
        <v>6.507810251336501</v>
      </c>
      <c r="AW116" s="31">
        <f t="shared" si="39"/>
        <v>0.30978748136330692</v>
      </c>
      <c r="AX116" s="43" t="s">
        <v>1</v>
      </c>
      <c r="AY116" s="24" t="s">
        <v>1</v>
      </c>
      <c r="AZ116" s="44" t="s">
        <v>1</v>
      </c>
      <c r="BA116" s="45" t="s">
        <v>1</v>
      </c>
      <c r="BB116" s="24" t="s">
        <v>134</v>
      </c>
      <c r="BC116" s="28" t="s">
        <v>1</v>
      </c>
      <c r="BD116" s="24" t="s">
        <v>2</v>
      </c>
    </row>
    <row r="117" spans="1:56" ht="17.25" customHeight="1">
      <c r="A117" s="23" t="s">
        <v>390</v>
      </c>
      <c r="B117" s="14" t="s">
        <v>389</v>
      </c>
      <c r="C117" s="24" t="s">
        <v>1</v>
      </c>
      <c r="D117" s="23" t="s">
        <v>391</v>
      </c>
      <c r="E117" s="25" t="s">
        <v>392</v>
      </c>
      <c r="F117" s="23" t="s">
        <v>393</v>
      </c>
      <c r="G117" s="25" t="s">
        <v>394</v>
      </c>
      <c r="H117" s="25" t="s">
        <v>395</v>
      </c>
      <c r="I117" s="26">
        <f t="shared" si="30"/>
        <v>11.253657438667567</v>
      </c>
      <c r="J117" s="27">
        <v>88.86</v>
      </c>
      <c r="K117" s="27">
        <v>0.18</v>
      </c>
      <c r="L117" s="28" t="s">
        <v>343</v>
      </c>
      <c r="M117" s="29">
        <v>239.11326122829999</v>
      </c>
      <c r="N117" s="29">
        <f>15.6616168056</f>
        <v>15.6616168056</v>
      </c>
      <c r="O117" s="30">
        <v>3.843</v>
      </c>
      <c r="P117" s="31">
        <v>1E-3</v>
      </c>
      <c r="Q117" s="32" t="s">
        <v>125</v>
      </c>
      <c r="R117" s="31">
        <v>0.47799999999999998</v>
      </c>
      <c r="S117" s="31">
        <v>6.0000000000000001E-3</v>
      </c>
      <c r="T117" s="32" t="s">
        <v>126</v>
      </c>
      <c r="U117" s="33">
        <v>3.504</v>
      </c>
      <c r="V117" s="25" t="s">
        <v>189</v>
      </c>
      <c r="W117" s="23" t="s">
        <v>344</v>
      </c>
      <c r="X117" s="23" t="s">
        <v>277</v>
      </c>
      <c r="Y117" s="7">
        <v>6285</v>
      </c>
      <c r="Z117" s="24">
        <v>13</v>
      </c>
      <c r="AA117" s="23" t="s">
        <v>130</v>
      </c>
      <c r="AB117" s="34">
        <v>0.48273100000000002</v>
      </c>
      <c r="AC117" s="35">
        <v>7.2884999999999998E-3</v>
      </c>
      <c r="AD117" s="28" t="s">
        <v>179</v>
      </c>
      <c r="AE117" s="31">
        <f t="shared" si="31"/>
        <v>1.4702036060728734</v>
      </c>
      <c r="AF117" s="31">
        <f t="shared" si="32"/>
        <v>1.2150954077379343</v>
      </c>
      <c r="AG117" s="25">
        <v>1.25</v>
      </c>
      <c r="AH117" s="10">
        <v>-0.18</v>
      </c>
      <c r="AI117" s="31">
        <v>0.01</v>
      </c>
      <c r="AJ117" s="24" t="s">
        <v>60</v>
      </c>
      <c r="AK117" s="23" t="s">
        <v>130</v>
      </c>
      <c r="AL117" s="5">
        <v>4.1399999999999997</v>
      </c>
      <c r="AM117" s="31">
        <v>0.03</v>
      </c>
      <c r="AN117" s="23" t="s">
        <v>130</v>
      </c>
      <c r="AO117" s="36">
        <v>-4.82</v>
      </c>
      <c r="AP117" s="23" t="s">
        <v>278</v>
      </c>
      <c r="AQ117" s="37">
        <f t="shared" si="33"/>
        <v>1.7432733861067662</v>
      </c>
      <c r="AR117" s="38">
        <f t="shared" si="34"/>
        <v>154.90727308944724</v>
      </c>
      <c r="AS117" s="39">
        <f t="shared" si="35"/>
        <v>3.8079027611159242E-11</v>
      </c>
      <c r="AT117" s="40">
        <f t="shared" si="36"/>
        <v>29.552285375804239</v>
      </c>
      <c r="AU117" s="41">
        <f t="shared" si="37"/>
        <v>751.95357821527762</v>
      </c>
      <c r="AV117" s="42">
        <f t="shared" si="38"/>
        <v>6.0968393682488156</v>
      </c>
      <c r="AW117" s="31">
        <f t="shared" si="39"/>
        <v>0.37220991474165288</v>
      </c>
      <c r="AX117" s="43" t="s">
        <v>396</v>
      </c>
      <c r="AY117" s="24" t="s">
        <v>2</v>
      </c>
      <c r="AZ117" s="44">
        <v>313.39999999999998</v>
      </c>
      <c r="BA117" s="45">
        <v>7.61</v>
      </c>
      <c r="BB117" s="24" t="s">
        <v>134</v>
      </c>
      <c r="BC117" s="28" t="s">
        <v>1</v>
      </c>
      <c r="BD117" s="24" t="s">
        <v>2</v>
      </c>
    </row>
    <row r="118" spans="1:56" ht="17.25" customHeight="1">
      <c r="A118" s="23" t="s">
        <v>726</v>
      </c>
      <c r="B118" s="14" t="s">
        <v>725</v>
      </c>
      <c r="C118" s="24" t="s">
        <v>1</v>
      </c>
      <c r="D118" s="23" t="s">
        <v>727</v>
      </c>
      <c r="E118" s="25" t="s">
        <v>728</v>
      </c>
      <c r="F118" s="23" t="s">
        <v>729</v>
      </c>
      <c r="G118" s="25" t="s">
        <v>730</v>
      </c>
      <c r="H118" s="25" t="s">
        <v>731</v>
      </c>
      <c r="I118" s="26">
        <f t="shared" si="30"/>
        <v>17.510804166170526</v>
      </c>
      <c r="J118" s="27">
        <v>57.107599999999998</v>
      </c>
      <c r="K118" s="27">
        <v>5.0799999999999998E-2</v>
      </c>
      <c r="L118" s="28" t="s">
        <v>124</v>
      </c>
      <c r="M118" s="29">
        <v>240.26108537142099</v>
      </c>
      <c r="N118" s="29">
        <f>33.3035109645436</f>
        <v>33.303510964543598</v>
      </c>
      <c r="O118" s="30">
        <v>5.41</v>
      </c>
      <c r="P118" s="31">
        <v>8.0000000000000002E-3</v>
      </c>
      <c r="Q118" s="32" t="s">
        <v>125</v>
      </c>
      <c r="R118" s="31">
        <v>0.60099999999999998</v>
      </c>
      <c r="S118" s="31">
        <v>0.01</v>
      </c>
      <c r="T118" s="32" t="s">
        <v>126</v>
      </c>
      <c r="U118" s="33">
        <v>5.01</v>
      </c>
      <c r="V118" s="25" t="s">
        <v>166</v>
      </c>
      <c r="W118" s="23" t="s">
        <v>732</v>
      </c>
      <c r="X118" s="23" t="s">
        <v>129</v>
      </c>
      <c r="Y118" s="7">
        <v>5812</v>
      </c>
      <c r="Z118" s="24">
        <v>11</v>
      </c>
      <c r="AA118" s="23" t="s">
        <v>130</v>
      </c>
      <c r="AB118" s="34">
        <v>0.25817299999999999</v>
      </c>
      <c r="AC118" s="35">
        <v>1.19875E-2</v>
      </c>
      <c r="AD118" s="28" t="s">
        <v>146</v>
      </c>
      <c r="AE118" s="31">
        <f t="shared" si="31"/>
        <v>1.3275712430089637</v>
      </c>
      <c r="AF118" s="31">
        <f t="shared" si="32"/>
        <v>0.70514484013650969</v>
      </c>
      <c r="AG118" s="25">
        <v>0.97</v>
      </c>
      <c r="AH118" s="10">
        <v>-0.22</v>
      </c>
      <c r="AI118" s="31">
        <v>0.01</v>
      </c>
      <c r="AJ118" s="24" t="s">
        <v>60</v>
      </c>
      <c r="AK118" s="23" t="s">
        <v>130</v>
      </c>
      <c r="AL118" s="5">
        <v>4.25</v>
      </c>
      <c r="AM118" s="31">
        <v>0.03</v>
      </c>
      <c r="AN118" s="23" t="s">
        <v>130</v>
      </c>
      <c r="AO118" s="36">
        <v>-5.0389999999999997</v>
      </c>
      <c r="AP118" s="23" t="s">
        <v>132</v>
      </c>
      <c r="AQ118" s="37">
        <f t="shared" si="33"/>
        <v>1.3461284406189518</v>
      </c>
      <c r="AR118" s="38">
        <f t="shared" si="34"/>
        <v>76.874164535490848</v>
      </c>
      <c r="AS118" s="39">
        <f t="shared" si="35"/>
        <v>6.386219619605137E-11</v>
      </c>
      <c r="AT118" s="40">
        <f t="shared" si="36"/>
        <v>30.496890375804234</v>
      </c>
      <c r="AU118" s="41">
        <f t="shared" si="37"/>
        <v>579.21749314163912</v>
      </c>
      <c r="AV118" s="42">
        <f t="shared" si="38"/>
        <v>7.8761393670397117</v>
      </c>
      <c r="AW118" s="31">
        <f t="shared" si="39"/>
        <v>0.23803170981843469</v>
      </c>
      <c r="AX118" s="43" t="s">
        <v>733</v>
      </c>
      <c r="AY118" s="24" t="s">
        <v>2</v>
      </c>
      <c r="AZ118" s="44">
        <v>141.5</v>
      </c>
      <c r="BA118" s="45">
        <v>5.04</v>
      </c>
      <c r="BB118" s="24" t="s">
        <v>134</v>
      </c>
      <c r="BC118" s="28" t="s">
        <v>1</v>
      </c>
      <c r="BD118" s="24" t="s">
        <v>3</v>
      </c>
    </row>
    <row r="119" spans="1:56" ht="17.25" customHeight="1">
      <c r="A119" s="23" t="s">
        <v>503</v>
      </c>
      <c r="B119" s="14" t="s">
        <v>502</v>
      </c>
      <c r="C119" s="24" t="s">
        <v>1</v>
      </c>
      <c r="D119" s="23" t="s">
        <v>504</v>
      </c>
      <c r="E119" s="25" t="s">
        <v>505</v>
      </c>
      <c r="F119" s="23" t="s">
        <v>506</v>
      </c>
      <c r="G119" s="25" t="s">
        <v>507</v>
      </c>
      <c r="H119" s="25" t="s">
        <v>508</v>
      </c>
      <c r="I119" s="26">
        <f t="shared" si="30"/>
        <v>14.136853221294059</v>
      </c>
      <c r="J119" s="27">
        <v>70.737099999999998</v>
      </c>
      <c r="K119" s="27">
        <v>6.3100000000000003E-2</v>
      </c>
      <c r="L119" s="28" t="s">
        <v>124</v>
      </c>
      <c r="M119" s="29">
        <v>243.90529281485499</v>
      </c>
      <c r="N119" s="29">
        <v>-8.3694394792861004</v>
      </c>
      <c r="O119" s="30">
        <v>5.4960000000000004</v>
      </c>
      <c r="P119" s="31">
        <v>6.0000000000000001E-3</v>
      </c>
      <c r="Q119" s="32" t="s">
        <v>125</v>
      </c>
      <c r="R119" s="31">
        <v>0.65200000000000002</v>
      </c>
      <c r="S119" s="31">
        <v>8.9999999999999993E-3</v>
      </c>
      <c r="T119" s="32" t="s">
        <v>126</v>
      </c>
      <c r="U119" s="33">
        <v>5.1269999999999998</v>
      </c>
      <c r="V119" s="25" t="s">
        <v>143</v>
      </c>
      <c r="W119" s="23" t="s">
        <v>509</v>
      </c>
      <c r="X119" s="23" t="s">
        <v>129</v>
      </c>
      <c r="Y119" s="7">
        <v>5785</v>
      </c>
      <c r="Z119" s="24">
        <v>12</v>
      </c>
      <c r="AA119" s="23" t="s">
        <v>130</v>
      </c>
      <c r="AB119" s="34">
        <v>3.9057000000000001E-2</v>
      </c>
      <c r="AC119" s="35">
        <v>1.1224899999999999E-2</v>
      </c>
      <c r="AD119" s="28" t="s">
        <v>146</v>
      </c>
      <c r="AE119" s="31">
        <f t="shared" si="31"/>
        <v>1.0412243623995194</v>
      </c>
      <c r="AF119" s="31">
        <f t="shared" si="32"/>
        <v>0.68504351468564217</v>
      </c>
      <c r="AG119" s="25">
        <v>1.02</v>
      </c>
      <c r="AH119" s="10">
        <v>0.03</v>
      </c>
      <c r="AI119" s="31">
        <v>0.01</v>
      </c>
      <c r="AJ119" s="24" t="s">
        <v>60</v>
      </c>
      <c r="AK119" s="23" t="s">
        <v>130</v>
      </c>
      <c r="AL119" s="5">
        <v>4.43</v>
      </c>
      <c r="AM119" s="31">
        <v>0.02</v>
      </c>
      <c r="AN119" s="23" t="s">
        <v>130</v>
      </c>
      <c r="AO119" s="36">
        <v>-4.93</v>
      </c>
      <c r="AP119" s="23" t="s">
        <v>180</v>
      </c>
      <c r="AQ119" s="37">
        <f t="shared" si="33"/>
        <v>1.0459923300718306</v>
      </c>
      <c r="AR119" s="38">
        <f t="shared" si="34"/>
        <v>73.990464051524086</v>
      </c>
      <c r="AS119" s="39">
        <f t="shared" si="35"/>
        <v>1.0576935347068431E-10</v>
      </c>
      <c r="AT119" s="40">
        <f t="shared" si="36"/>
        <v>30.066100375804236</v>
      </c>
      <c r="AU119" s="41">
        <f t="shared" si="37"/>
        <v>386.89262472654639</v>
      </c>
      <c r="AV119" s="42">
        <f t="shared" si="38"/>
        <v>8.7132098459372287</v>
      </c>
      <c r="AW119" s="31">
        <f t="shared" si="39"/>
        <v>0.21787215091125786</v>
      </c>
      <c r="AX119" s="43" t="s">
        <v>510</v>
      </c>
      <c r="AY119" s="24" t="s">
        <v>2</v>
      </c>
      <c r="AZ119" s="44">
        <v>49.7</v>
      </c>
      <c r="BA119" s="45">
        <v>7.8</v>
      </c>
      <c r="BB119" s="24" t="s">
        <v>134</v>
      </c>
      <c r="BC119" s="28" t="s">
        <v>1</v>
      </c>
      <c r="BD119" s="24" t="s">
        <v>2</v>
      </c>
    </row>
    <row r="120" spans="1:56" ht="15" customHeight="1">
      <c r="A120" s="23" t="s">
        <v>476</v>
      </c>
      <c r="B120" s="14" t="s">
        <v>475</v>
      </c>
      <c r="C120" s="24" t="s">
        <v>1</v>
      </c>
      <c r="D120" s="23" t="s">
        <v>477</v>
      </c>
      <c r="E120" s="25" t="s">
        <v>478</v>
      </c>
      <c r="F120" s="23" t="s">
        <v>479</v>
      </c>
      <c r="G120" s="25" t="s">
        <v>1</v>
      </c>
      <c r="H120" s="25" t="s">
        <v>480</v>
      </c>
      <c r="I120" s="26">
        <f t="shared" si="30"/>
        <v>12.892329708439963</v>
      </c>
      <c r="J120" s="27">
        <v>77.5655</v>
      </c>
      <c r="K120" s="27">
        <v>6.6100000000000006E-2</v>
      </c>
      <c r="L120" s="28" t="s">
        <v>124</v>
      </c>
      <c r="M120" s="29">
        <v>246.00537974056999</v>
      </c>
      <c r="N120" s="29">
        <v>-39.192980531650001</v>
      </c>
      <c r="O120" s="30">
        <v>5.37</v>
      </c>
      <c r="P120" s="31">
        <v>5.0000000000000001E-3</v>
      </c>
      <c r="Q120" s="32" t="s">
        <v>125</v>
      </c>
      <c r="R120" s="31">
        <v>0.625</v>
      </c>
      <c r="S120" s="31">
        <v>8.0000000000000002E-3</v>
      </c>
      <c r="T120" s="32" t="s">
        <v>126</v>
      </c>
      <c r="U120" s="33">
        <v>5.01</v>
      </c>
      <c r="V120" s="25" t="s">
        <v>166</v>
      </c>
      <c r="W120" s="23" t="s">
        <v>481</v>
      </c>
      <c r="X120" s="23" t="s">
        <v>145</v>
      </c>
      <c r="Y120" s="7">
        <v>5868</v>
      </c>
      <c r="Z120" s="24">
        <v>12</v>
      </c>
      <c r="AA120" s="23" t="s">
        <v>130</v>
      </c>
      <c r="AB120" s="34">
        <v>3.38618E-4</v>
      </c>
      <c r="AC120" s="35">
        <v>1.21195E-2</v>
      </c>
      <c r="AD120" s="28" t="s">
        <v>146</v>
      </c>
      <c r="AE120" s="31">
        <f t="shared" si="31"/>
        <v>0.96785800489002527</v>
      </c>
      <c r="AF120" s="31">
        <f t="shared" si="32"/>
        <v>0.69824338452260348</v>
      </c>
      <c r="AG120" s="25">
        <v>1.07</v>
      </c>
      <c r="AH120" s="10">
        <v>0.05</v>
      </c>
      <c r="AI120" s="31">
        <v>0.01</v>
      </c>
      <c r="AJ120" s="24" t="s">
        <v>60</v>
      </c>
      <c r="AK120" s="23" t="s">
        <v>130</v>
      </c>
      <c r="AL120" s="5">
        <v>4.53</v>
      </c>
      <c r="AM120" s="31">
        <v>0.02</v>
      </c>
      <c r="AN120" s="23" t="s">
        <v>130</v>
      </c>
      <c r="AO120" s="36">
        <v>-4.45</v>
      </c>
      <c r="AP120" s="23" t="s">
        <v>482</v>
      </c>
      <c r="AQ120" s="37">
        <f t="shared" si="33"/>
        <v>1.0003899243802652</v>
      </c>
      <c r="AR120" s="38">
        <f t="shared" si="34"/>
        <v>77.595744679517466</v>
      </c>
      <c r="AS120" s="39">
        <f t="shared" si="35"/>
        <v>1.1563205173404079E-10</v>
      </c>
      <c r="AT120" s="40">
        <f t="shared" si="36"/>
        <v>29.852304420804238</v>
      </c>
      <c r="AU120" s="41">
        <f t="shared" si="37"/>
        <v>353.31319853732964</v>
      </c>
      <c r="AV120" s="42">
        <f t="shared" si="38"/>
        <v>8.6989326037508299</v>
      </c>
      <c r="AW120" s="31">
        <f t="shared" si="39"/>
        <v>0.21781123086672494</v>
      </c>
      <c r="AX120" s="43" t="s">
        <v>483</v>
      </c>
      <c r="AY120" s="24" t="s">
        <v>2</v>
      </c>
      <c r="AZ120" s="44">
        <v>345</v>
      </c>
      <c r="BA120" s="45">
        <v>5.53</v>
      </c>
      <c r="BB120" s="24" t="s">
        <v>134</v>
      </c>
      <c r="BC120" s="28" t="s">
        <v>1</v>
      </c>
      <c r="BD120" s="24" t="s">
        <v>2</v>
      </c>
    </row>
    <row r="121" spans="1:56" ht="15.75" customHeight="1">
      <c r="A121" s="23" t="s">
        <v>494</v>
      </c>
      <c r="B121" s="14" t="s">
        <v>493</v>
      </c>
      <c r="C121" s="24" t="s">
        <v>1</v>
      </c>
      <c r="D121" s="23" t="s">
        <v>495</v>
      </c>
      <c r="E121" s="25" t="s">
        <v>496</v>
      </c>
      <c r="F121" s="23" t="s">
        <v>497</v>
      </c>
      <c r="G121" s="25" t="s">
        <v>498</v>
      </c>
      <c r="H121" s="25" t="s">
        <v>499</v>
      </c>
      <c r="I121" s="26">
        <f t="shared" si="30"/>
        <v>9.8939467844178246</v>
      </c>
      <c r="J121" s="27">
        <v>101.0719</v>
      </c>
      <c r="K121" s="27">
        <v>5.0099999999999999E-2</v>
      </c>
      <c r="L121" s="28" t="s">
        <v>124</v>
      </c>
      <c r="M121" s="29">
        <v>249.08937370707</v>
      </c>
      <c r="N121" s="29">
        <v>-2.3245869511757999</v>
      </c>
      <c r="O121" s="30">
        <v>5.7640000000000002</v>
      </c>
      <c r="P121" s="31">
        <v>2E-3</v>
      </c>
      <c r="Q121" s="32" t="s">
        <v>125</v>
      </c>
      <c r="R121" s="31">
        <v>0.82699999999999996</v>
      </c>
      <c r="S121" s="31">
        <v>1.2E-2</v>
      </c>
      <c r="T121" s="32" t="s">
        <v>126</v>
      </c>
      <c r="U121" s="33">
        <v>5.3049999999999997</v>
      </c>
      <c r="V121" s="25" t="s">
        <v>143</v>
      </c>
      <c r="W121" s="23" t="s">
        <v>500</v>
      </c>
      <c r="X121" s="23" t="s">
        <v>145</v>
      </c>
      <c r="Y121" s="7">
        <v>5262</v>
      </c>
      <c r="Z121" s="24">
        <v>11</v>
      </c>
      <c r="AA121" s="23" t="s">
        <v>130</v>
      </c>
      <c r="AB121" s="34">
        <v>-0.33520800000000001</v>
      </c>
      <c r="AC121" s="35">
        <v>8.5555800000000001E-3</v>
      </c>
      <c r="AD121" s="28" t="s">
        <v>146</v>
      </c>
      <c r="AE121" s="31">
        <f t="shared" si="31"/>
        <v>0.81793136104004671</v>
      </c>
      <c r="AF121" s="31">
        <f t="shared" si="32"/>
        <v>0.76890711040038706</v>
      </c>
      <c r="AG121" s="25">
        <v>0.87</v>
      </c>
      <c r="AH121" s="10">
        <v>0.03</v>
      </c>
      <c r="AI121" s="31">
        <v>0.01</v>
      </c>
      <c r="AJ121" s="24" t="s">
        <v>60</v>
      </c>
      <c r="AK121" s="23" t="s">
        <v>130</v>
      </c>
      <c r="AL121" s="5">
        <v>4.5199999999999996</v>
      </c>
      <c r="AM121" s="31">
        <v>0.02</v>
      </c>
      <c r="AN121" s="23" t="s">
        <v>130</v>
      </c>
      <c r="AO121" s="36">
        <v>-4.5830000000000002</v>
      </c>
      <c r="AP121" s="23" t="s">
        <v>132</v>
      </c>
      <c r="AQ121" s="37">
        <f t="shared" si="33"/>
        <v>0.67982322902278869</v>
      </c>
      <c r="AR121" s="38">
        <f t="shared" si="34"/>
        <v>68.711025421468406</v>
      </c>
      <c r="AS121" s="39">
        <f t="shared" si="35"/>
        <v>2.5039453716502334E-10</v>
      </c>
      <c r="AT121" s="40">
        <f t="shared" si="36"/>
        <v>29.308437875804238</v>
      </c>
      <c r="AU121" s="41">
        <f t="shared" si="37"/>
        <v>219.49880514896191</v>
      </c>
      <c r="AV121" s="42">
        <f t="shared" si="38"/>
        <v>11.702667964542778</v>
      </c>
      <c r="AW121" s="31">
        <f t="shared" si="39"/>
        <v>0.23721017767628755</v>
      </c>
      <c r="AX121" s="43" t="s">
        <v>501</v>
      </c>
      <c r="AY121" s="24" t="s">
        <v>2</v>
      </c>
      <c r="AZ121" s="44">
        <v>137.9</v>
      </c>
      <c r="BA121" s="45">
        <v>7.64</v>
      </c>
      <c r="BB121" s="24" t="s">
        <v>134</v>
      </c>
      <c r="BC121" s="28" t="s">
        <v>1</v>
      </c>
      <c r="BD121" s="24" t="s">
        <v>2</v>
      </c>
    </row>
    <row r="122" spans="1:56" ht="15.75" customHeight="1">
      <c r="A122" s="23" t="s">
        <v>574</v>
      </c>
      <c r="B122" s="14" t="s">
        <v>573</v>
      </c>
      <c r="C122" s="24" t="s">
        <v>2</v>
      </c>
      <c r="D122" s="23" t="s">
        <v>575</v>
      </c>
      <c r="E122" s="25" t="s">
        <v>576</v>
      </c>
      <c r="F122" s="47" t="s">
        <v>577</v>
      </c>
      <c r="G122" s="25" t="s">
        <v>578</v>
      </c>
      <c r="H122" s="25" t="s">
        <v>579</v>
      </c>
      <c r="I122" s="26">
        <f t="shared" si="30"/>
        <v>5.9522711188067365</v>
      </c>
      <c r="J122" s="27">
        <v>168.00309999999999</v>
      </c>
      <c r="K122" s="27">
        <v>0.1343</v>
      </c>
      <c r="L122" s="28" t="s">
        <v>124</v>
      </c>
      <c r="M122" s="29">
        <v>258.83659853555099</v>
      </c>
      <c r="N122" s="29">
        <v>-26.601699224429701</v>
      </c>
      <c r="O122" s="30">
        <v>5.07</v>
      </c>
      <c r="P122" s="31">
        <v>0.01</v>
      </c>
      <c r="Q122" s="32" t="s">
        <v>126</v>
      </c>
      <c r="R122" s="31">
        <v>0.85</v>
      </c>
      <c r="S122" s="31" t="s">
        <v>1</v>
      </c>
      <c r="T122" s="32" t="s">
        <v>126</v>
      </c>
      <c r="U122" s="33">
        <v>4.5830000000000002</v>
      </c>
      <c r="V122" s="25" t="s">
        <v>189</v>
      </c>
      <c r="W122" s="23" t="s">
        <v>242</v>
      </c>
      <c r="X122" s="23" t="s">
        <v>580</v>
      </c>
      <c r="Y122" s="7">
        <v>5132</v>
      </c>
      <c r="Z122" s="24">
        <v>26</v>
      </c>
      <c r="AA122" s="23" t="s">
        <v>130</v>
      </c>
      <c r="AB122" s="34">
        <v>-0.48482799999999998</v>
      </c>
      <c r="AC122" s="35">
        <v>1.1219E-2</v>
      </c>
      <c r="AD122" s="28" t="s">
        <v>146</v>
      </c>
      <c r="AE122" s="31">
        <f t="shared" si="31"/>
        <v>0.72382778878314891</v>
      </c>
      <c r="AF122" s="31">
        <f t="shared" si="32"/>
        <v>1.1310430479804763</v>
      </c>
      <c r="AG122" s="25">
        <v>0.85</v>
      </c>
      <c r="AH122" s="10">
        <v>-0.22</v>
      </c>
      <c r="AI122" s="31">
        <v>0.06</v>
      </c>
      <c r="AJ122" s="24" t="s">
        <v>60</v>
      </c>
      <c r="AK122" s="23" t="s">
        <v>130</v>
      </c>
      <c r="AL122" s="5">
        <v>4.53</v>
      </c>
      <c r="AM122" s="31">
        <v>7.0000000000000007E-2</v>
      </c>
      <c r="AN122" s="23" t="s">
        <v>130</v>
      </c>
      <c r="AO122" s="36">
        <v>-4.57</v>
      </c>
      <c r="AP122" s="23" t="s">
        <v>132</v>
      </c>
      <c r="AQ122" s="37">
        <f t="shared" si="33"/>
        <v>0.5722502617565961</v>
      </c>
      <c r="AR122" s="38">
        <f t="shared" si="34"/>
        <v>96.139817950919578</v>
      </c>
      <c r="AS122" s="39">
        <f t="shared" si="35"/>
        <v>3.5338234609040378E-10</v>
      </c>
      <c r="AT122" s="40">
        <f t="shared" si="36"/>
        <v>28.212387875804239</v>
      </c>
      <c r="AU122" s="41">
        <f t="shared" si="37"/>
        <v>171.50126348863287</v>
      </c>
      <c r="AV122" s="42">
        <f t="shared" si="38"/>
        <v>12.90446626386473</v>
      </c>
      <c r="AW122" s="31">
        <f t="shared" si="39"/>
        <v>0.3397117051829408</v>
      </c>
      <c r="AX122" s="43" t="s">
        <v>420</v>
      </c>
      <c r="AY122" s="24" t="s">
        <v>2</v>
      </c>
      <c r="AZ122" s="44">
        <v>5.0999999999999996</v>
      </c>
      <c r="BA122" s="45">
        <v>0.04</v>
      </c>
      <c r="BB122" s="24" t="s">
        <v>134</v>
      </c>
      <c r="BC122" s="28" t="s">
        <v>1</v>
      </c>
      <c r="BD122" s="24" t="s">
        <v>3</v>
      </c>
    </row>
    <row r="123" spans="1:56" ht="18" customHeight="1">
      <c r="A123" s="23" t="s">
        <v>582</v>
      </c>
      <c r="B123" s="14" t="s">
        <v>573</v>
      </c>
      <c r="C123" s="24" t="s">
        <v>3</v>
      </c>
      <c r="D123" s="23" t="s">
        <v>583</v>
      </c>
      <c r="E123" s="25" t="s">
        <v>584</v>
      </c>
      <c r="F123" s="23" t="s">
        <v>585</v>
      </c>
      <c r="G123" s="25" t="s">
        <v>586</v>
      </c>
      <c r="H123" s="25" t="s">
        <v>587</v>
      </c>
      <c r="I123" s="26">
        <f t="shared" si="30"/>
        <v>5.9477678919266781</v>
      </c>
      <c r="J123" s="27">
        <v>168.13030000000001</v>
      </c>
      <c r="K123" s="27">
        <v>0.1081</v>
      </c>
      <c r="L123" s="28" t="s">
        <v>124</v>
      </c>
      <c r="M123" s="29">
        <v>258.83743260923001</v>
      </c>
      <c r="N123" s="29">
        <v>-26.602825956905601</v>
      </c>
      <c r="O123" s="30">
        <v>5.1100000000000003</v>
      </c>
      <c r="P123" s="31">
        <v>0.01</v>
      </c>
      <c r="Q123" s="32" t="s">
        <v>126</v>
      </c>
      <c r="R123" s="31">
        <v>0.86</v>
      </c>
      <c r="S123" s="31" t="s">
        <v>1</v>
      </c>
      <c r="T123" s="32" t="s">
        <v>126</v>
      </c>
      <c r="U123" s="33">
        <v>4.5860000000000003</v>
      </c>
      <c r="V123" s="25" t="s">
        <v>189</v>
      </c>
      <c r="W123" s="23" t="s">
        <v>242</v>
      </c>
      <c r="X123" s="23" t="s">
        <v>580</v>
      </c>
      <c r="Y123" s="7">
        <v>5144</v>
      </c>
      <c r="Z123" s="24">
        <v>31</v>
      </c>
      <c r="AA123" s="23" t="s">
        <v>130</v>
      </c>
      <c r="AB123" s="34">
        <v>-0.47881000000000001</v>
      </c>
      <c r="AC123" s="35">
        <v>1.1080700000000001E-2</v>
      </c>
      <c r="AD123" s="28" t="s">
        <v>146</v>
      </c>
      <c r="AE123" s="31">
        <f t="shared" si="31"/>
        <v>0.72546360196307214</v>
      </c>
      <c r="AF123" s="31">
        <f t="shared" si="32"/>
        <v>1.1344574271394716</v>
      </c>
      <c r="AG123" s="25">
        <v>0.85</v>
      </c>
      <c r="AH123" s="10">
        <v>-0.22</v>
      </c>
      <c r="AI123" s="31">
        <v>0.03</v>
      </c>
      <c r="AJ123" s="24" t="s">
        <v>60</v>
      </c>
      <c r="AK123" s="23" t="s">
        <v>130</v>
      </c>
      <c r="AL123" s="5">
        <v>4.59</v>
      </c>
      <c r="AM123" s="31">
        <v>0.05</v>
      </c>
      <c r="AN123" s="23" t="s">
        <v>130</v>
      </c>
      <c r="AO123" s="36">
        <v>-4.5590000000000002</v>
      </c>
      <c r="AP123" s="23" t="s">
        <v>132</v>
      </c>
      <c r="AQ123" s="37">
        <f t="shared" si="33"/>
        <v>0.57622885229140908</v>
      </c>
      <c r="AR123" s="38">
        <f t="shared" si="34"/>
        <v>96.881529804410306</v>
      </c>
      <c r="AS123" s="39">
        <f t="shared" si="35"/>
        <v>3.4851931331708548E-10</v>
      </c>
      <c r="AT123" s="40">
        <f t="shared" si="36"/>
        <v>28.230432875804233</v>
      </c>
      <c r="AU123" s="41">
        <f t="shared" si="37"/>
        <v>173.29292169829091</v>
      </c>
      <c r="AV123" s="42">
        <f t="shared" si="38"/>
        <v>12.859839448657242</v>
      </c>
      <c r="AW123" s="31">
        <f t="shared" si="39"/>
        <v>0.3423325568120999</v>
      </c>
      <c r="AX123" s="43" t="s">
        <v>420</v>
      </c>
      <c r="AY123" s="24" t="s">
        <v>3</v>
      </c>
      <c r="AZ123" s="44">
        <v>5.0999999999999996</v>
      </c>
      <c r="BA123" s="45">
        <v>-0.04</v>
      </c>
      <c r="BB123" s="24" t="s">
        <v>134</v>
      </c>
      <c r="BC123" s="28" t="s">
        <v>1</v>
      </c>
      <c r="BD123" s="24" t="s">
        <v>3</v>
      </c>
    </row>
    <row r="124" spans="1:56" ht="15.75" customHeight="1">
      <c r="A124" s="23" t="s">
        <v>414</v>
      </c>
      <c r="B124" s="14" t="s">
        <v>413</v>
      </c>
      <c r="C124" s="24" t="s">
        <v>1</v>
      </c>
      <c r="D124" s="23" t="s">
        <v>415</v>
      </c>
      <c r="E124" s="25" t="s">
        <v>1</v>
      </c>
      <c r="F124" s="23" t="s">
        <v>416</v>
      </c>
      <c r="G124" s="25" t="s">
        <v>417</v>
      </c>
      <c r="H124" s="25" t="s">
        <v>418</v>
      </c>
      <c r="I124" s="26">
        <f t="shared" si="30"/>
        <v>5.9537382629492317</v>
      </c>
      <c r="J124" s="27">
        <v>167.96170000000001</v>
      </c>
      <c r="K124" s="27">
        <v>3.1099999999999999E-2</v>
      </c>
      <c r="L124" s="28" t="s">
        <v>124</v>
      </c>
      <c r="M124" s="29">
        <v>259.05567672574898</v>
      </c>
      <c r="N124" s="29">
        <v>-26.5461490453872</v>
      </c>
      <c r="O124" s="30">
        <v>6.2949999999999999</v>
      </c>
      <c r="P124" s="31">
        <v>0</v>
      </c>
      <c r="Q124" s="32" t="s">
        <v>125</v>
      </c>
      <c r="R124" s="31">
        <v>1.1439999999999999</v>
      </c>
      <c r="S124" s="31">
        <v>1.4999999999999999E-2</v>
      </c>
      <c r="T124" s="32" t="s">
        <v>177</v>
      </c>
      <c r="U124" s="33">
        <v>5.6180000000000003</v>
      </c>
      <c r="V124" s="25" t="s">
        <v>143</v>
      </c>
      <c r="W124" s="23" t="s">
        <v>419</v>
      </c>
      <c r="X124" s="23" t="s">
        <v>145</v>
      </c>
      <c r="Y124" s="7">
        <v>4476</v>
      </c>
      <c r="Z124" s="24">
        <v>24</v>
      </c>
      <c r="AA124" s="23" t="s">
        <v>130</v>
      </c>
      <c r="AB124" s="34">
        <v>-0.80271899999999996</v>
      </c>
      <c r="AC124" s="35">
        <v>2.7349200000000001E-2</v>
      </c>
      <c r="AD124" s="28" t="s">
        <v>146</v>
      </c>
      <c r="AE124" s="31">
        <f t="shared" si="31"/>
        <v>0.65990723822883801</v>
      </c>
      <c r="AF124" s="31">
        <f t="shared" si="32"/>
        <v>1.0309075982574263</v>
      </c>
      <c r="AG124" s="25">
        <v>0.68</v>
      </c>
      <c r="AH124" s="10">
        <v>-0.21</v>
      </c>
      <c r="AI124" s="31">
        <v>0.03</v>
      </c>
      <c r="AJ124" s="24" t="s">
        <v>60</v>
      </c>
      <c r="AK124" s="23" t="s">
        <v>130</v>
      </c>
      <c r="AL124" s="5">
        <v>4.57</v>
      </c>
      <c r="AM124" s="31">
        <v>0.06</v>
      </c>
      <c r="AN124" s="23" t="s">
        <v>130</v>
      </c>
      <c r="AO124" s="36">
        <v>-4.6619999999999999</v>
      </c>
      <c r="AP124" s="23" t="s">
        <v>132</v>
      </c>
      <c r="AQ124" s="37">
        <f t="shared" si="33"/>
        <v>0.39686289855438239</v>
      </c>
      <c r="AR124" s="38">
        <f t="shared" si="34"/>
        <v>66.657767108121618</v>
      </c>
      <c r="AS124" s="39">
        <f t="shared" si="35"/>
        <v>7.3474366403270717E-10</v>
      </c>
      <c r="AT124" s="40">
        <f t="shared" si="36"/>
        <v>28.452660375804243</v>
      </c>
      <c r="AU124" s="41">
        <f t="shared" si="37"/>
        <v>110.73988812763709</v>
      </c>
      <c r="AV124" s="42">
        <f t="shared" si="38"/>
        <v>17.324782979435199</v>
      </c>
      <c r="AW124" s="31">
        <f t="shared" si="39"/>
        <v>0.29442046243976083</v>
      </c>
      <c r="AX124" s="43" t="s">
        <v>420</v>
      </c>
      <c r="AY124" s="24" t="s">
        <v>4</v>
      </c>
      <c r="AZ124" s="44">
        <v>731.6</v>
      </c>
      <c r="BA124" s="45">
        <v>-1.34</v>
      </c>
      <c r="BB124" s="24" t="s">
        <v>134</v>
      </c>
      <c r="BC124" s="28" t="s">
        <v>1</v>
      </c>
      <c r="BD124" s="24" t="s">
        <v>2</v>
      </c>
    </row>
    <row r="125" spans="1:56" ht="15.75" customHeight="1">
      <c r="A125" s="23" t="s">
        <v>701</v>
      </c>
      <c r="B125" s="14" t="s">
        <v>700</v>
      </c>
      <c r="C125" s="24" t="s">
        <v>2</v>
      </c>
      <c r="D125" s="23" t="s">
        <v>702</v>
      </c>
      <c r="E125" s="25" t="s">
        <v>703</v>
      </c>
      <c r="F125" s="23" t="s">
        <v>704</v>
      </c>
      <c r="G125" s="25" t="s">
        <v>705</v>
      </c>
      <c r="H125" s="25" t="s">
        <v>706</v>
      </c>
      <c r="I125" s="26">
        <f t="shared" si="30"/>
        <v>8.7911083213994043</v>
      </c>
      <c r="J125" s="27">
        <v>113.7513</v>
      </c>
      <c r="K125" s="27">
        <v>7.2599999999999998E-2</v>
      </c>
      <c r="L125" s="28" t="s">
        <v>124</v>
      </c>
      <c r="M125" s="29">
        <v>259.76598979892998</v>
      </c>
      <c r="N125" s="29">
        <v>-46.636233449169701</v>
      </c>
      <c r="O125" s="30">
        <v>5.4720000000000004</v>
      </c>
      <c r="P125" s="31">
        <v>3.0000000000000001E-3</v>
      </c>
      <c r="Q125" s="32" t="s">
        <v>125</v>
      </c>
      <c r="R125" s="31">
        <v>0.77700000000000002</v>
      </c>
      <c r="S125" s="31">
        <v>5.0000000000000001E-3</v>
      </c>
      <c r="T125" s="32" t="s">
        <v>126</v>
      </c>
      <c r="U125" s="33">
        <v>5.008</v>
      </c>
      <c r="V125" s="25" t="s">
        <v>143</v>
      </c>
      <c r="W125" s="23" t="s">
        <v>387</v>
      </c>
      <c r="X125" s="23" t="s">
        <v>581</v>
      </c>
      <c r="Y125" s="7">
        <v>5235</v>
      </c>
      <c r="Z125" s="24">
        <v>20</v>
      </c>
      <c r="AA125" s="23" t="s">
        <v>130</v>
      </c>
      <c r="AB125" s="34">
        <v>-0.34520800000000001</v>
      </c>
      <c r="AC125" s="35">
        <v>9.5302700000000004E-3</v>
      </c>
      <c r="AD125" s="28" t="s">
        <v>146</v>
      </c>
      <c r="AE125" s="31">
        <f t="shared" si="31"/>
        <v>0.81693062219416679</v>
      </c>
      <c r="AF125" s="31">
        <f t="shared" si="32"/>
        <v>0.86430720088924129</v>
      </c>
      <c r="AG125" s="25">
        <v>0.9</v>
      </c>
      <c r="AH125" s="10">
        <v>-0.35</v>
      </c>
      <c r="AI125" s="31">
        <v>0.02</v>
      </c>
      <c r="AJ125" s="24" t="s">
        <v>60</v>
      </c>
      <c r="AK125" s="23" t="s">
        <v>130</v>
      </c>
      <c r="AL125" s="5">
        <v>4.5599999999999996</v>
      </c>
      <c r="AM125" s="31">
        <v>0.04</v>
      </c>
      <c r="AN125" s="23" t="s">
        <v>130</v>
      </c>
      <c r="AO125" s="36">
        <v>-4.9409999999999998</v>
      </c>
      <c r="AP125" s="23" t="s">
        <v>318</v>
      </c>
      <c r="AQ125" s="37">
        <f t="shared" si="33"/>
        <v>0.67204135687015054</v>
      </c>
      <c r="AR125" s="38">
        <f t="shared" si="34"/>
        <v>76.445577997743555</v>
      </c>
      <c r="AS125" s="39">
        <f t="shared" si="35"/>
        <v>2.5622697518635125E-10</v>
      </c>
      <c r="AT125" s="40">
        <f t="shared" si="36"/>
        <v>28.986437875804238</v>
      </c>
      <c r="AU125" s="41">
        <f t="shared" si="37"/>
        <v>212.1145852147331</v>
      </c>
      <c r="AV125" s="42">
        <f t="shared" si="38"/>
        <v>11.572395152900706</v>
      </c>
      <c r="AW125" s="31">
        <f t="shared" si="39"/>
        <v>0.25511500365345968</v>
      </c>
      <c r="AX125" s="43" t="s">
        <v>707</v>
      </c>
      <c r="AY125" s="24" t="s">
        <v>2</v>
      </c>
      <c r="AZ125" s="44">
        <v>10.6</v>
      </c>
      <c r="BA125" s="45">
        <v>3.27</v>
      </c>
      <c r="BB125" s="24" t="s">
        <v>134</v>
      </c>
      <c r="BC125" s="28" t="s">
        <v>1</v>
      </c>
      <c r="BD125" s="24" t="s">
        <v>3</v>
      </c>
    </row>
    <row r="126" spans="1:56" ht="15.75" customHeight="1">
      <c r="A126" s="23" t="s">
        <v>1006</v>
      </c>
      <c r="B126" s="14" t="s">
        <v>1005</v>
      </c>
      <c r="C126" s="24" t="s">
        <v>1</v>
      </c>
      <c r="D126" s="23" t="s">
        <v>1007</v>
      </c>
      <c r="E126" s="25" t="s">
        <v>1008</v>
      </c>
      <c r="F126" s="23" t="s">
        <v>1009</v>
      </c>
      <c r="G126" s="25" t="s">
        <v>1010</v>
      </c>
      <c r="H126" s="25" t="s">
        <v>1011</v>
      </c>
      <c r="I126" s="26">
        <f t="shared" si="30"/>
        <v>14.586296174743827</v>
      </c>
      <c r="J126" s="27">
        <v>68.557500000000005</v>
      </c>
      <c r="K126" s="27">
        <v>5.5300000000000002E-2</v>
      </c>
      <c r="L126" s="28" t="s">
        <v>124</v>
      </c>
      <c r="M126" s="29">
        <v>260.16486437433298</v>
      </c>
      <c r="N126" s="29">
        <f>32.4677438774611</f>
        <v>32.467743877461103</v>
      </c>
      <c r="O126" s="30">
        <v>5.3849999999999998</v>
      </c>
      <c r="P126" s="31">
        <v>2E-3</v>
      </c>
      <c r="Q126" s="32" t="s">
        <v>125</v>
      </c>
      <c r="R126" s="31">
        <v>0.61899999999999999</v>
      </c>
      <c r="S126" s="31">
        <v>3.0000000000000001E-3</v>
      </c>
      <c r="T126" s="32" t="s">
        <v>126</v>
      </c>
      <c r="U126" s="33">
        <v>5.04</v>
      </c>
      <c r="V126" s="25" t="s">
        <v>166</v>
      </c>
      <c r="W126" s="23" t="s">
        <v>178</v>
      </c>
      <c r="X126" s="23" t="s">
        <v>277</v>
      </c>
      <c r="Y126" s="7">
        <v>5704</v>
      </c>
      <c r="Z126" s="24">
        <v>13</v>
      </c>
      <c r="AA126" s="23" t="s">
        <v>130</v>
      </c>
      <c r="AB126" s="34">
        <v>0.110607</v>
      </c>
      <c r="AC126" s="35">
        <v>1.17914E-2</v>
      </c>
      <c r="AD126" s="28" t="s">
        <v>146</v>
      </c>
      <c r="AE126" s="31">
        <f t="shared" si="31"/>
        <v>1.1629659891242514</v>
      </c>
      <c r="AF126" s="31">
        <f t="shared" si="32"/>
        <v>0.74156388890544211</v>
      </c>
      <c r="AG126" s="25">
        <v>0.94</v>
      </c>
      <c r="AH126" s="10">
        <v>-0.39</v>
      </c>
      <c r="AI126" s="31">
        <v>0.01</v>
      </c>
      <c r="AJ126" s="24" t="s">
        <v>60</v>
      </c>
      <c r="AK126" s="23" t="s">
        <v>130</v>
      </c>
      <c r="AL126" s="5">
        <v>4.33</v>
      </c>
      <c r="AM126" s="31">
        <v>0.03</v>
      </c>
      <c r="AN126" s="23" t="s">
        <v>130</v>
      </c>
      <c r="AO126" s="36">
        <v>-4.9930000000000003</v>
      </c>
      <c r="AP126" s="23" t="s">
        <v>191</v>
      </c>
      <c r="AQ126" s="37">
        <f t="shared" si="33"/>
        <v>1.1358042776911821</v>
      </c>
      <c r="AR126" s="38">
        <f t="shared" si="34"/>
        <v>77.867901767813223</v>
      </c>
      <c r="AS126" s="39">
        <f t="shared" si="35"/>
        <v>8.9703595271053463E-11</v>
      </c>
      <c r="AT126" s="40">
        <f t="shared" si="36"/>
        <v>30.157975375804238</v>
      </c>
      <c r="AU126" s="41">
        <f t="shared" si="37"/>
        <v>456.02548089315189</v>
      </c>
      <c r="AV126" s="42">
        <f t="shared" si="38"/>
        <v>8.7101740361237425</v>
      </c>
      <c r="AW126" s="31">
        <f t="shared" si="39"/>
        <v>0.2488036574774127</v>
      </c>
      <c r="AX126" s="43" t="s">
        <v>1012</v>
      </c>
      <c r="AY126" s="24" t="s">
        <v>2</v>
      </c>
      <c r="AZ126" s="44">
        <v>302.2</v>
      </c>
      <c r="BA126" s="45">
        <v>4.91</v>
      </c>
      <c r="BB126" s="24" t="s">
        <v>5</v>
      </c>
      <c r="BC126" s="46" t="s">
        <v>1013</v>
      </c>
      <c r="BD126" s="50" t="s">
        <v>4</v>
      </c>
    </row>
    <row r="127" spans="1:56" ht="15.75" customHeight="1">
      <c r="A127" s="23" t="s">
        <v>1222</v>
      </c>
      <c r="B127" s="14" t="s">
        <v>1221</v>
      </c>
      <c r="C127" s="24" t="s">
        <v>2</v>
      </c>
      <c r="D127" s="23" t="s">
        <v>1223</v>
      </c>
      <c r="E127" s="25" t="s">
        <v>1224</v>
      </c>
      <c r="F127" s="23" t="s">
        <v>1225</v>
      </c>
      <c r="G127" s="25" t="s">
        <v>1226</v>
      </c>
      <c r="H127" s="25" t="s">
        <v>1227</v>
      </c>
      <c r="I127" s="26">
        <f t="shared" si="30"/>
        <v>17.518657370099156</v>
      </c>
      <c r="J127" s="27">
        <v>57.082000000000001</v>
      </c>
      <c r="K127" s="27">
        <v>0.18509999999999999</v>
      </c>
      <c r="L127" s="28" t="s">
        <v>124</v>
      </c>
      <c r="M127" s="29">
        <v>260.25156050473498</v>
      </c>
      <c r="N127" s="29">
        <v>-21.112936391930798</v>
      </c>
      <c r="O127" s="30">
        <v>4.3890000000000002</v>
      </c>
      <c r="P127" s="31">
        <v>1.2999999999999999E-2</v>
      </c>
      <c r="Q127" s="32" t="s">
        <v>177</v>
      </c>
      <c r="R127" s="31">
        <v>0.38400000000000001</v>
      </c>
      <c r="S127" s="31">
        <v>0.01</v>
      </c>
      <c r="T127" s="32" t="s">
        <v>177</v>
      </c>
      <c r="U127" s="33">
        <v>4.16</v>
      </c>
      <c r="V127" s="25" t="s">
        <v>143</v>
      </c>
      <c r="W127" s="23" t="s">
        <v>1228</v>
      </c>
      <c r="X127" s="23" t="s">
        <v>145</v>
      </c>
      <c r="Y127" s="7">
        <v>6756</v>
      </c>
      <c r="Z127" s="24">
        <v>80</v>
      </c>
      <c r="AA127" s="28" t="s">
        <v>1055</v>
      </c>
      <c r="AB127" s="34">
        <v>0.61612599999999995</v>
      </c>
      <c r="AC127" s="35">
        <v>1.8204100000000001E-2</v>
      </c>
      <c r="AD127" s="28" t="s">
        <v>146</v>
      </c>
      <c r="AE127" s="31">
        <f t="shared" si="31"/>
        <v>1.4835639304608204</v>
      </c>
      <c r="AF127" s="31">
        <f t="shared" si="32"/>
        <v>0.78764774518942871</v>
      </c>
      <c r="AG127" s="25">
        <v>1.44</v>
      </c>
      <c r="AH127" s="10">
        <v>-0.25</v>
      </c>
      <c r="AI127" s="31">
        <v>0.04</v>
      </c>
      <c r="AJ127" s="24" t="s">
        <v>60</v>
      </c>
      <c r="AK127" s="52" t="s">
        <v>316</v>
      </c>
      <c r="AL127" s="5">
        <v>4.2538</v>
      </c>
      <c r="AM127" s="31">
        <v>9.0200000000000002E-2</v>
      </c>
      <c r="AN127" s="23" t="s">
        <v>146</v>
      </c>
      <c r="AO127" s="36" t="s">
        <v>1</v>
      </c>
      <c r="AP127" s="23" t="s">
        <v>1</v>
      </c>
      <c r="AQ127" s="37">
        <f t="shared" si="33"/>
        <v>2.0326518518432297</v>
      </c>
      <c r="AR127" s="38">
        <f t="shared" si="34"/>
        <v>116.02783300691523</v>
      </c>
      <c r="AS127" s="39">
        <f t="shared" si="35"/>
        <v>2.8008564424123918E-11</v>
      </c>
      <c r="AT127" s="40">
        <f t="shared" si="36"/>
        <v>30.541772875804238</v>
      </c>
      <c r="AU127" s="41">
        <f t="shared" si="37"/>
        <v>882.08622647423397</v>
      </c>
      <c r="AV127" s="42">
        <f t="shared" si="38"/>
        <v>5.2605331703164584</v>
      </c>
      <c r="AW127" s="31">
        <f t="shared" si="39"/>
        <v>0.24200583127855929</v>
      </c>
      <c r="AX127" s="43" t="s">
        <v>1229</v>
      </c>
      <c r="AY127" s="24" t="s">
        <v>2</v>
      </c>
      <c r="AZ127" s="44">
        <v>4.0999999999999996</v>
      </c>
      <c r="BA127" s="45">
        <v>4.5</v>
      </c>
      <c r="BB127" s="24" t="s">
        <v>134</v>
      </c>
      <c r="BC127" s="28" t="s">
        <v>1</v>
      </c>
      <c r="BD127" s="50" t="s">
        <v>4</v>
      </c>
    </row>
    <row r="128" spans="1:56" ht="15.75" customHeight="1">
      <c r="A128" s="23" t="s">
        <v>1466</v>
      </c>
      <c r="B128" s="14" t="s">
        <v>1465</v>
      </c>
      <c r="C128" s="24" t="s">
        <v>1</v>
      </c>
      <c r="D128" s="23" t="s">
        <v>1467</v>
      </c>
      <c r="E128" s="25" t="s">
        <v>1468</v>
      </c>
      <c r="F128" s="23" t="s">
        <v>1469</v>
      </c>
      <c r="G128" s="25" t="s">
        <v>1</v>
      </c>
      <c r="H128" s="25" t="s">
        <v>1470</v>
      </c>
      <c r="I128" s="26">
        <f t="shared" si="30"/>
        <v>12.791862328860871</v>
      </c>
      <c r="J128" s="27">
        <v>78.174700000000001</v>
      </c>
      <c r="K128" s="27">
        <v>2.2599999999999999E-2</v>
      </c>
      <c r="L128" s="28" t="s">
        <v>124</v>
      </c>
      <c r="M128" s="29">
        <v>261.250407255894</v>
      </c>
      <c r="N128" s="29">
        <f>67.3067079848867</f>
        <v>67.3067079848867</v>
      </c>
      <c r="O128" s="30">
        <v>6.4429999999999996</v>
      </c>
      <c r="P128" s="31">
        <v>5.0000000000000001E-3</v>
      </c>
      <c r="Q128" s="32" t="s">
        <v>125</v>
      </c>
      <c r="R128" s="31">
        <v>0.75900000000000001</v>
      </c>
      <c r="S128" s="31">
        <v>3.0000000000000001E-3</v>
      </c>
      <c r="T128" s="32" t="s">
        <v>126</v>
      </c>
      <c r="U128" s="33">
        <v>5.95</v>
      </c>
      <c r="V128" s="25" t="s">
        <v>166</v>
      </c>
      <c r="W128" s="23" t="s">
        <v>167</v>
      </c>
      <c r="X128" s="23" t="s">
        <v>648</v>
      </c>
      <c r="Y128" s="7">
        <v>5302</v>
      </c>
      <c r="Z128" s="24">
        <v>16</v>
      </c>
      <c r="AA128" s="23" t="s">
        <v>130</v>
      </c>
      <c r="AB128" s="34">
        <v>-0.38432300000000003</v>
      </c>
      <c r="AC128" s="35">
        <v>9.7765999999999999E-3</v>
      </c>
      <c r="AD128" s="28" t="s">
        <v>146</v>
      </c>
      <c r="AE128" s="31">
        <f t="shared" si="31"/>
        <v>0.76134517699066595</v>
      </c>
      <c r="AF128" s="31">
        <f t="shared" si="32"/>
        <v>0.55357237732276732</v>
      </c>
      <c r="AG128" s="25">
        <v>0.87</v>
      </c>
      <c r="AH128" s="10">
        <v>-0.46</v>
      </c>
      <c r="AI128" s="31">
        <v>0.01</v>
      </c>
      <c r="AJ128" s="24" t="s">
        <v>60</v>
      </c>
      <c r="AK128" s="23" t="s">
        <v>130</v>
      </c>
      <c r="AL128" s="5">
        <v>4.58</v>
      </c>
      <c r="AM128" s="31">
        <v>0.04</v>
      </c>
      <c r="AN128" s="23" t="s">
        <v>130</v>
      </c>
      <c r="AO128" s="36">
        <v>-4.9589999999999996</v>
      </c>
      <c r="AP128" s="23" t="s">
        <v>191</v>
      </c>
      <c r="AQ128" s="37">
        <f t="shared" si="33"/>
        <v>0.64244876707877507</v>
      </c>
      <c r="AR128" s="38">
        <f t="shared" si="34"/>
        <v>50.223239631753117</v>
      </c>
      <c r="AS128" s="39">
        <f t="shared" si="35"/>
        <v>2.8037536352223041E-10</v>
      </c>
      <c r="AT128" s="40">
        <f t="shared" si="36"/>
        <v>29.830650375804236</v>
      </c>
      <c r="AU128" s="41">
        <f t="shared" si="37"/>
        <v>201.648924711608</v>
      </c>
      <c r="AV128" s="42">
        <f t="shared" si="38"/>
        <v>12.038257622590546</v>
      </c>
      <c r="AW128" s="31">
        <f t="shared" si="39"/>
        <v>0.17338503571225447</v>
      </c>
      <c r="AX128" s="43" t="s">
        <v>1</v>
      </c>
      <c r="AY128" s="24" t="s">
        <v>1</v>
      </c>
      <c r="AZ128" s="44" t="s">
        <v>1</v>
      </c>
      <c r="BA128" s="45" t="s">
        <v>1</v>
      </c>
      <c r="BB128" s="24" t="s">
        <v>134</v>
      </c>
      <c r="BC128" s="28" t="s">
        <v>1</v>
      </c>
      <c r="BD128" s="50" t="s">
        <v>4</v>
      </c>
    </row>
    <row r="129" spans="1:56" ht="18" customHeight="1">
      <c r="A129" s="23" t="s">
        <v>1413</v>
      </c>
      <c r="B129" s="14" t="s">
        <v>1412</v>
      </c>
      <c r="C129" s="24" t="s">
        <v>1</v>
      </c>
      <c r="D129" s="23" t="s">
        <v>1414</v>
      </c>
      <c r="E129" s="25" t="s">
        <v>1415</v>
      </c>
      <c r="F129" s="23" t="s">
        <v>1416</v>
      </c>
      <c r="G129" s="25" t="s">
        <v>1417</v>
      </c>
      <c r="H129" s="25" t="s">
        <v>1418</v>
      </c>
      <c r="I129" s="26">
        <f t="shared" si="30"/>
        <v>20.962383003699859</v>
      </c>
      <c r="J129" s="27">
        <v>47.704500000000003</v>
      </c>
      <c r="K129" s="27">
        <v>0.1368</v>
      </c>
      <c r="L129" s="28" t="s">
        <v>124</v>
      </c>
      <c r="M129" s="29">
        <v>265.09927324399001</v>
      </c>
      <c r="N129" s="29">
        <v>-49.415583126809999</v>
      </c>
      <c r="O129" s="30">
        <v>4.7619999999999996</v>
      </c>
      <c r="P129" s="31">
        <v>6.0000000000000001E-3</v>
      </c>
      <c r="Q129" s="32" t="s">
        <v>177</v>
      </c>
      <c r="R129" s="31">
        <v>0.40100000000000002</v>
      </c>
      <c r="S129" s="31">
        <v>2E-3</v>
      </c>
      <c r="T129" s="32" t="s">
        <v>177</v>
      </c>
      <c r="U129" s="33">
        <v>4.4660000000000002</v>
      </c>
      <c r="V129" s="25" t="s">
        <v>189</v>
      </c>
      <c r="W129" s="23" t="s">
        <v>1419</v>
      </c>
      <c r="X129" s="23" t="s">
        <v>1420</v>
      </c>
      <c r="Y129" s="7">
        <v>6620</v>
      </c>
      <c r="Z129" s="24">
        <v>80</v>
      </c>
      <c r="AA129" s="28" t="s">
        <v>1055</v>
      </c>
      <c r="AB129" s="34">
        <v>0.65789399999999998</v>
      </c>
      <c r="AC129" s="35">
        <v>1.74384E-2</v>
      </c>
      <c r="AD129" s="28" t="s">
        <v>146</v>
      </c>
      <c r="AE129" s="31">
        <f t="shared" si="31"/>
        <v>1.6212633633574487</v>
      </c>
      <c r="AF129" s="31">
        <f t="shared" si="32"/>
        <v>0.7193487678724757</v>
      </c>
      <c r="AG129" s="25">
        <v>1.39</v>
      </c>
      <c r="AH129" s="10">
        <v>-0.22</v>
      </c>
      <c r="AI129" s="31">
        <v>0.08</v>
      </c>
      <c r="AJ129" s="44" t="s">
        <v>60</v>
      </c>
      <c r="AK129" s="23" t="s">
        <v>316</v>
      </c>
      <c r="AL129" s="5">
        <v>4.1612999999999998</v>
      </c>
      <c r="AM129" s="31">
        <v>8.4400000000000003E-2</v>
      </c>
      <c r="AN129" s="23" t="s">
        <v>146</v>
      </c>
      <c r="AO129" s="36">
        <v>-4.665</v>
      </c>
      <c r="AP129" s="23" t="s">
        <v>1421</v>
      </c>
      <c r="AQ129" s="37">
        <f t="shared" si="33"/>
        <v>2.1327846186064394</v>
      </c>
      <c r="AR129" s="38">
        <f t="shared" si="34"/>
        <v>101.74342383831089</v>
      </c>
      <c r="AS129" s="39">
        <f t="shared" si="35"/>
        <v>2.5440336396866787E-11</v>
      </c>
      <c r="AT129" s="40">
        <f t="shared" si="36"/>
        <v>30.95219287580424</v>
      </c>
      <c r="AU129" s="41">
        <f t="shared" si="37"/>
        <v>964.96350070165749</v>
      </c>
      <c r="AV129" s="42">
        <f t="shared" si="38"/>
        <v>5.2271096361240206</v>
      </c>
      <c r="AW129" s="31">
        <f t="shared" si="39"/>
        <v>0.21984555522522303</v>
      </c>
      <c r="AX129" s="43" t="s">
        <v>1</v>
      </c>
      <c r="AY129" s="24" t="s">
        <v>1</v>
      </c>
      <c r="AZ129" s="44" t="s">
        <v>1</v>
      </c>
      <c r="BA129" s="45" t="s">
        <v>1</v>
      </c>
      <c r="BB129" s="24" t="s">
        <v>5</v>
      </c>
      <c r="BC129" s="46" t="s">
        <v>564</v>
      </c>
      <c r="BD129" s="50" t="s">
        <v>4</v>
      </c>
    </row>
    <row r="130" spans="1:56" ht="16.5" customHeight="1">
      <c r="A130" s="23" t="s">
        <v>1048</v>
      </c>
      <c r="B130" s="14" t="s">
        <v>1047</v>
      </c>
      <c r="C130" s="24" t="s">
        <v>1</v>
      </c>
      <c r="D130" s="23" t="s">
        <v>1049</v>
      </c>
      <c r="E130" s="25" t="s">
        <v>1050</v>
      </c>
      <c r="F130" s="23" t="s">
        <v>1051</v>
      </c>
      <c r="G130" s="25" t="s">
        <v>1052</v>
      </c>
      <c r="H130" s="25" t="s">
        <v>1053</v>
      </c>
      <c r="I130" s="26">
        <f t="shared" si="30"/>
        <v>17.6522506619594</v>
      </c>
      <c r="J130" s="27">
        <v>56.65</v>
      </c>
      <c r="K130" s="27">
        <v>0.24</v>
      </c>
      <c r="L130" s="28" t="s">
        <v>343</v>
      </c>
      <c r="M130" s="29">
        <v>265.85748000000001</v>
      </c>
      <c r="N130" s="29">
        <v>-21.683192999999999</v>
      </c>
      <c r="O130" s="30">
        <v>4.8600000000000003</v>
      </c>
      <c r="P130" s="31">
        <v>0.01</v>
      </c>
      <c r="Q130" s="32" t="s">
        <v>126</v>
      </c>
      <c r="R130" s="31">
        <v>0.46899999999999997</v>
      </c>
      <c r="S130" s="31">
        <v>1.4999999999999999E-2</v>
      </c>
      <c r="T130" s="32" t="s">
        <v>126</v>
      </c>
      <c r="U130" s="33">
        <v>4.585</v>
      </c>
      <c r="V130" s="25" t="s">
        <v>143</v>
      </c>
      <c r="W130" s="23" t="s">
        <v>839</v>
      </c>
      <c r="X130" s="23" t="s">
        <v>145</v>
      </c>
      <c r="Y130" s="7">
        <v>6404</v>
      </c>
      <c r="Z130" s="24">
        <v>36</v>
      </c>
      <c r="AA130" s="23" t="s">
        <v>130</v>
      </c>
      <c r="AB130" s="34">
        <v>0.43146800000000002</v>
      </c>
      <c r="AC130" s="35">
        <v>1.6843799999999999E-2</v>
      </c>
      <c r="AD130" s="28" t="s">
        <v>146</v>
      </c>
      <c r="AE130" s="31">
        <f t="shared" si="31"/>
        <v>1.3349158854803245</v>
      </c>
      <c r="AF130" s="31">
        <f t="shared" si="32"/>
        <v>0.7033644310232644</v>
      </c>
      <c r="AG130" s="25">
        <v>1.33</v>
      </c>
      <c r="AH130" s="10">
        <v>-0.11</v>
      </c>
      <c r="AI130" s="31">
        <v>0.04</v>
      </c>
      <c r="AJ130" s="24" t="s">
        <v>60</v>
      </c>
      <c r="AK130" s="23" t="s">
        <v>130</v>
      </c>
      <c r="AL130" s="5">
        <v>4.26</v>
      </c>
      <c r="AM130" s="31">
        <v>0.08</v>
      </c>
      <c r="AN130" s="23" t="s">
        <v>130</v>
      </c>
      <c r="AO130" s="36">
        <v>-4.6980000000000004</v>
      </c>
      <c r="AP130" s="23" t="s">
        <v>145</v>
      </c>
      <c r="AQ130" s="37">
        <f t="shared" si="33"/>
        <v>1.6433648742403018</v>
      </c>
      <c r="AR130" s="38">
        <f t="shared" si="34"/>
        <v>93.096620125713102</v>
      </c>
      <c r="AS130" s="39">
        <f t="shared" si="35"/>
        <v>4.2849804979563692E-11</v>
      </c>
      <c r="AT130" s="40">
        <f t="shared" si="36"/>
        <v>30.505127875804241</v>
      </c>
      <c r="AU130" s="41">
        <f t="shared" si="37"/>
        <v>667.22600778061451</v>
      </c>
      <c r="AV130" s="42">
        <f t="shared" si="38"/>
        <v>6.0876501901245144</v>
      </c>
      <c r="AW130" s="31">
        <f t="shared" si="39"/>
        <v>0.21023664375596443</v>
      </c>
      <c r="AX130" s="43" t="s">
        <v>1054</v>
      </c>
      <c r="AY130" s="24" t="s">
        <v>1</v>
      </c>
      <c r="AZ130" s="44">
        <v>0</v>
      </c>
      <c r="BA130" s="45">
        <v>1.8</v>
      </c>
      <c r="BB130" s="24" t="s">
        <v>134</v>
      </c>
      <c r="BC130" s="28" t="s">
        <v>1</v>
      </c>
      <c r="BD130" s="24" t="s">
        <v>4</v>
      </c>
    </row>
    <row r="131" spans="1:56" ht="15.75" customHeight="1">
      <c r="A131" s="23" t="s">
        <v>676</v>
      </c>
      <c r="B131" s="14" t="s">
        <v>675</v>
      </c>
      <c r="C131" s="24" t="s">
        <v>1</v>
      </c>
      <c r="D131" s="23" t="s">
        <v>677</v>
      </c>
      <c r="E131" s="25" t="s">
        <v>678</v>
      </c>
      <c r="F131" s="23" t="s">
        <v>679</v>
      </c>
      <c r="G131" s="25" t="s">
        <v>680</v>
      </c>
      <c r="H131" s="25" t="s">
        <v>681</v>
      </c>
      <c r="I131" s="26">
        <f t="shared" ref="I131:I166" si="40">1000/$J131</f>
        <v>15.604202523823716</v>
      </c>
      <c r="J131" s="27">
        <v>64.085300000000004</v>
      </c>
      <c r="K131" s="27">
        <v>9.0399999999999994E-2</v>
      </c>
      <c r="L131" s="28" t="s">
        <v>124</v>
      </c>
      <c r="M131" s="29">
        <v>266.03626308953</v>
      </c>
      <c r="N131" s="29">
        <v>-51.8340532231</v>
      </c>
      <c r="O131" s="30">
        <v>5.1239999999999997</v>
      </c>
      <c r="P131" s="31">
        <v>2E-3</v>
      </c>
      <c r="Q131" s="32" t="s">
        <v>125</v>
      </c>
      <c r="R131" s="31">
        <v>0.7</v>
      </c>
      <c r="S131" s="31">
        <v>0</v>
      </c>
      <c r="T131" s="32" t="s">
        <v>142</v>
      </c>
      <c r="U131" s="33">
        <v>4.7350000000000003</v>
      </c>
      <c r="V131" s="25" t="s">
        <v>143</v>
      </c>
      <c r="W131" s="23" t="s">
        <v>682</v>
      </c>
      <c r="X131" s="23" t="s">
        <v>145</v>
      </c>
      <c r="Y131" s="7">
        <v>5761</v>
      </c>
      <c r="Z131" s="24">
        <v>11</v>
      </c>
      <c r="AA131" s="23" t="s">
        <v>130</v>
      </c>
      <c r="AB131" s="34">
        <v>0.27847899999999998</v>
      </c>
      <c r="AC131" s="35">
        <v>1.12309E-2</v>
      </c>
      <c r="AD131" s="28" t="s">
        <v>146</v>
      </c>
      <c r="AE131" s="31">
        <f t="shared" ref="AE131:AE166" si="41">(10^$AB131)^(1/2)/($Y131/5771.8)^2</f>
        <v>1.3831404970142973</v>
      </c>
      <c r="AF131" s="31">
        <f t="shared" ref="AF131:AF166" si="42">1000*206264.8063*2*$AE131*695700/((1000/$J131)*206264.8063*149597870.7)</f>
        <v>0.82442529041205137</v>
      </c>
      <c r="AG131" s="25">
        <v>1</v>
      </c>
      <c r="AH131" s="10">
        <v>0.28999999999999998</v>
      </c>
      <c r="AI131" s="31">
        <v>0.01</v>
      </c>
      <c r="AJ131" s="24" t="s">
        <v>60</v>
      </c>
      <c r="AK131" s="23" t="s">
        <v>130</v>
      </c>
      <c r="AL131" s="5">
        <v>4.25</v>
      </c>
      <c r="AM131" s="31">
        <v>0.02</v>
      </c>
      <c r="AN131" s="23" t="s">
        <v>130</v>
      </c>
      <c r="AO131" s="36">
        <v>-5.04</v>
      </c>
      <c r="AP131" s="23" t="s">
        <v>482</v>
      </c>
      <c r="AQ131" s="37">
        <f t="shared" ref="AQ131:AQ166" si="43">SQRT(10^AB131)</f>
        <v>1.3779691668570055</v>
      </c>
      <c r="AR131" s="38">
        <f t="shared" ref="AR131:AR166" si="44">1000*$AQ131/I131</f>
        <v>88.307567448781256</v>
      </c>
      <c r="AS131" s="39">
        <f t="shared" ref="AS131:AS166" si="45">0.2*(1/3.14159265358)*(6378.136^2/(SQRT(10^(AB131))*149597870.7)^2)</f>
        <v>6.0944967484773156E-11</v>
      </c>
      <c r="AT131" s="40">
        <f t="shared" ref="AT131:AT166" si="46">$U131 - 2.5*LOG10($AS131)</f>
        <v>30.272655375804241</v>
      </c>
      <c r="AU131" s="41">
        <f t="shared" ref="AU131:AU166" si="47">365.25636*$AQ131^1.5 / $AG131^0.5</f>
        <v>590.82251471627887</v>
      </c>
      <c r="AV131" s="42">
        <f t="shared" ref="AV131:AV166" si="48">9 * $AG131^(-2/3) * ($AU131/365.25636)^(-1/3)</f>
        <v>7.6669522671814194</v>
      </c>
      <c r="AW131" s="31">
        <f t="shared" ref="AW131:AW166" si="49">((398600441800000/($AG131*132712440042000000000))*$AQ131/$I131)/0.000001</f>
        <v>0.26523086598534257</v>
      </c>
      <c r="AX131" s="43" t="s">
        <v>1</v>
      </c>
      <c r="AY131" s="24" t="s">
        <v>1</v>
      </c>
      <c r="AZ131" s="44" t="s">
        <v>1</v>
      </c>
      <c r="BA131" s="45" t="s">
        <v>1</v>
      </c>
      <c r="BB131" s="24" t="s">
        <v>134</v>
      </c>
      <c r="BC131" s="28" t="s">
        <v>1</v>
      </c>
      <c r="BD131" s="24" t="s">
        <v>3</v>
      </c>
    </row>
    <row r="132" spans="1:56" ht="15.75" customHeight="1">
      <c r="A132" s="23" t="s">
        <v>566</v>
      </c>
      <c r="B132" s="14" t="s">
        <v>565</v>
      </c>
      <c r="C132" s="24" t="s">
        <v>2</v>
      </c>
      <c r="D132" s="23" t="s">
        <v>567</v>
      </c>
      <c r="E132" s="25" t="s">
        <v>568</v>
      </c>
      <c r="F132" s="23" t="s">
        <v>569</v>
      </c>
      <c r="G132" s="25" t="s">
        <v>570</v>
      </c>
      <c r="H132" s="25" t="s">
        <v>571</v>
      </c>
      <c r="I132" s="26">
        <f t="shared" si="40"/>
        <v>5.1133266587376021</v>
      </c>
      <c r="J132" s="27">
        <v>195.56739999999999</v>
      </c>
      <c r="K132" s="27">
        <v>0.19639999999999999</v>
      </c>
      <c r="L132" s="28" t="s">
        <v>124</v>
      </c>
      <c r="M132" s="29">
        <v>271.36353505499602</v>
      </c>
      <c r="N132" s="29">
        <f>2.5001462819314</f>
        <v>2.5001462819314</v>
      </c>
      <c r="O132" s="30">
        <v>4.22</v>
      </c>
      <c r="P132" s="31">
        <v>0.01</v>
      </c>
      <c r="Q132" s="32" t="s">
        <v>126</v>
      </c>
      <c r="R132" s="31">
        <v>0.86299999999999999</v>
      </c>
      <c r="S132" s="31">
        <v>0.01</v>
      </c>
      <c r="T132" s="32" t="s">
        <v>142</v>
      </c>
      <c r="U132" s="33">
        <v>3.7480000000000002</v>
      </c>
      <c r="V132" s="25" t="s">
        <v>189</v>
      </c>
      <c r="W132" s="23" t="s">
        <v>491</v>
      </c>
      <c r="X132" s="23" t="s">
        <v>129</v>
      </c>
      <c r="Y132" s="7">
        <v>5298</v>
      </c>
      <c r="Z132" s="24">
        <v>32</v>
      </c>
      <c r="AA132" s="23" t="s">
        <v>130</v>
      </c>
      <c r="AB132" s="34">
        <v>-0.27427800000000002</v>
      </c>
      <c r="AC132" s="35">
        <v>1.72309E-2</v>
      </c>
      <c r="AD132" s="28" t="s">
        <v>131</v>
      </c>
      <c r="AE132" s="31">
        <f t="shared" si="41"/>
        <v>0.86548518809069741</v>
      </c>
      <c r="AF132" s="31">
        <f t="shared" si="42"/>
        <v>1.574282575976536</v>
      </c>
      <c r="AG132" s="25">
        <v>0.88</v>
      </c>
      <c r="AH132" s="10">
        <v>0.06</v>
      </c>
      <c r="AI132" s="31">
        <v>0.03</v>
      </c>
      <c r="AJ132" s="24" t="s">
        <v>60</v>
      </c>
      <c r="AK132" s="23" t="s">
        <v>130</v>
      </c>
      <c r="AL132" s="5">
        <v>4.5199999999999996</v>
      </c>
      <c r="AM132" s="31">
        <v>0.05</v>
      </c>
      <c r="AN132" s="23" t="s">
        <v>130</v>
      </c>
      <c r="AO132" s="36">
        <v>-4.548</v>
      </c>
      <c r="AP132" s="23" t="s">
        <v>132</v>
      </c>
      <c r="AQ132" s="37">
        <f t="shared" si="43"/>
        <v>0.7292240779321747</v>
      </c>
      <c r="AR132" s="38">
        <f t="shared" si="44"/>
        <v>142.61245693859277</v>
      </c>
      <c r="AS132" s="39">
        <f t="shared" si="45"/>
        <v>2.1761801755945744E-10</v>
      </c>
      <c r="AT132" s="40">
        <f t="shared" si="46"/>
        <v>27.903762875804237</v>
      </c>
      <c r="AU132" s="41">
        <f t="shared" si="47"/>
        <v>242.46438251490963</v>
      </c>
      <c r="AV132" s="42">
        <f t="shared" si="48"/>
        <v>11.234937825546369</v>
      </c>
      <c r="AW132" s="31">
        <f t="shared" si="49"/>
        <v>0.48674436387627806</v>
      </c>
      <c r="AX132" s="43" t="s">
        <v>572</v>
      </c>
      <c r="AY132" s="24" t="s">
        <v>2</v>
      </c>
      <c r="AZ132" s="44">
        <v>6.6</v>
      </c>
      <c r="BA132" s="45">
        <v>1.95</v>
      </c>
      <c r="BB132" s="24" t="s">
        <v>134</v>
      </c>
      <c r="BC132" s="28" t="s">
        <v>1</v>
      </c>
      <c r="BD132" s="24" t="s">
        <v>3</v>
      </c>
    </row>
    <row r="133" spans="1:56" ht="19.5" customHeight="1">
      <c r="A133" s="23" t="s">
        <v>639</v>
      </c>
      <c r="B133" s="14" t="s">
        <v>565</v>
      </c>
      <c r="C133" s="24" t="s">
        <v>3</v>
      </c>
      <c r="D133" s="23" t="s">
        <v>640</v>
      </c>
      <c r="E133" s="25" t="s">
        <v>641</v>
      </c>
      <c r="F133" s="23" t="s">
        <v>642</v>
      </c>
      <c r="G133" s="25" t="s">
        <v>643</v>
      </c>
      <c r="H133" s="25" t="s">
        <v>644</v>
      </c>
      <c r="I133" s="26">
        <f t="shared" si="40"/>
        <v>5.1225151959413289</v>
      </c>
      <c r="J133" s="27">
        <v>195.2166</v>
      </c>
      <c r="K133" s="27">
        <v>0.1012</v>
      </c>
      <c r="L133" s="28" t="s">
        <v>645</v>
      </c>
      <c r="M133" s="29">
        <v>271.36442890080599</v>
      </c>
      <c r="N133" s="29">
        <f>2.4989469968442</f>
        <v>2.4989469968442002</v>
      </c>
      <c r="O133" s="30">
        <v>6.0609999999999999</v>
      </c>
      <c r="P133" s="31">
        <v>0.02</v>
      </c>
      <c r="Q133" s="32" t="s">
        <v>646</v>
      </c>
      <c r="R133" s="31">
        <v>1.1499999999999999</v>
      </c>
      <c r="S133" s="31" t="s">
        <v>1</v>
      </c>
      <c r="T133" s="32" t="s">
        <v>647</v>
      </c>
      <c r="U133" s="33">
        <v>5.2750000000000004</v>
      </c>
      <c r="V133" s="25" t="s">
        <v>189</v>
      </c>
      <c r="W133" s="23" t="s">
        <v>303</v>
      </c>
      <c r="X133" s="23" t="s">
        <v>648</v>
      </c>
      <c r="Y133" s="7">
        <v>4475</v>
      </c>
      <c r="Z133" s="24">
        <v>33</v>
      </c>
      <c r="AA133" s="28" t="s">
        <v>649</v>
      </c>
      <c r="AB133" s="34">
        <v>-0.78428299999999995</v>
      </c>
      <c r="AC133" s="35">
        <v>2.37577E-2</v>
      </c>
      <c r="AD133" s="28" t="s">
        <v>146</v>
      </c>
      <c r="AE133" s="31">
        <f t="shared" si="41"/>
        <v>0.67436491670241683</v>
      </c>
      <c r="AF133" s="31">
        <f t="shared" si="42"/>
        <v>1.2244422308598972</v>
      </c>
      <c r="AG133" s="25">
        <v>0.78</v>
      </c>
      <c r="AH133" s="10">
        <v>0.03</v>
      </c>
      <c r="AI133" s="31">
        <v>0.1</v>
      </c>
      <c r="AJ133" s="24" t="s">
        <v>60</v>
      </c>
      <c r="AK133" s="23" t="s">
        <v>131</v>
      </c>
      <c r="AL133" s="5">
        <v>4.6399999999999997</v>
      </c>
      <c r="AM133" s="31">
        <v>0.02</v>
      </c>
      <c r="AN133" s="23" t="s">
        <v>131</v>
      </c>
      <c r="AO133" s="36">
        <v>-4.71</v>
      </c>
      <c r="AP133" s="23" t="s">
        <v>132</v>
      </c>
      <c r="AQ133" s="37">
        <f t="shared" si="43"/>
        <v>0.40537643588551819</v>
      </c>
      <c r="AR133" s="38">
        <f t="shared" si="44"/>
        <v>79.136209533688856</v>
      </c>
      <c r="AS133" s="39">
        <f t="shared" si="45"/>
        <v>7.0420620858532993E-10</v>
      </c>
      <c r="AT133" s="40">
        <f t="shared" si="46"/>
        <v>28.155750375804239</v>
      </c>
      <c r="AU133" s="41">
        <f t="shared" si="47"/>
        <v>106.74271268076482</v>
      </c>
      <c r="AV133" s="42">
        <f t="shared" si="48"/>
        <v>16.005378837804784</v>
      </c>
      <c r="AW133" s="31">
        <f t="shared" si="49"/>
        <v>0.30472408627296055</v>
      </c>
      <c r="AX133" s="43" t="s">
        <v>572</v>
      </c>
      <c r="AY133" s="24" t="s">
        <v>3</v>
      </c>
      <c r="AZ133" s="44">
        <v>6.6</v>
      </c>
      <c r="BA133" s="45">
        <v>-1.95</v>
      </c>
      <c r="BB133" s="24" t="s">
        <v>134</v>
      </c>
      <c r="BC133" s="28" t="s">
        <v>1</v>
      </c>
      <c r="BD133" s="24" t="s">
        <v>3</v>
      </c>
    </row>
    <row r="134" spans="1:56" ht="15.75" customHeight="1">
      <c r="A134" s="23" t="s">
        <v>1344</v>
      </c>
      <c r="B134" s="14" t="s">
        <v>1343</v>
      </c>
      <c r="C134" s="24" t="s">
        <v>2</v>
      </c>
      <c r="D134" s="23" t="s">
        <v>1345</v>
      </c>
      <c r="E134" s="25" t="s">
        <v>1346</v>
      </c>
      <c r="F134" s="23" t="s">
        <v>1347</v>
      </c>
      <c r="G134" s="25" t="s">
        <v>1</v>
      </c>
      <c r="H134" s="25" t="s">
        <v>1348</v>
      </c>
      <c r="I134" s="26">
        <f t="shared" si="40"/>
        <v>17.114613141284554</v>
      </c>
      <c r="J134" s="27">
        <v>58.429600000000001</v>
      </c>
      <c r="K134" s="27">
        <v>4.0399999999999998E-2</v>
      </c>
      <c r="L134" s="28" t="s">
        <v>124</v>
      </c>
      <c r="M134" s="29">
        <v>271.59883132989</v>
      </c>
      <c r="N134" s="29">
        <v>-36.019786277020003</v>
      </c>
      <c r="O134" s="30">
        <v>5.9489999999999998</v>
      </c>
      <c r="P134" s="31">
        <v>2E-3</v>
      </c>
      <c r="Q134" s="32" t="s">
        <v>125</v>
      </c>
      <c r="R134" s="31">
        <v>0.61799999999999999</v>
      </c>
      <c r="S134" s="31">
        <v>4.0000000000000001E-3</v>
      </c>
      <c r="T134" s="32" t="s">
        <v>142</v>
      </c>
      <c r="U134" s="33">
        <v>5.6</v>
      </c>
      <c r="V134" s="25" t="s">
        <v>189</v>
      </c>
      <c r="W134" s="23" t="s">
        <v>178</v>
      </c>
      <c r="X134" s="23" t="s">
        <v>145</v>
      </c>
      <c r="Y134" s="7">
        <v>5892</v>
      </c>
      <c r="Z134" s="24">
        <v>36</v>
      </c>
      <c r="AA134" s="23" t="s">
        <v>130</v>
      </c>
      <c r="AB134" s="34">
        <v>1.85798E-2</v>
      </c>
      <c r="AC134" s="35">
        <v>1.25723E-2</v>
      </c>
      <c r="AD134" s="28" t="s">
        <v>146</v>
      </c>
      <c r="AE134" s="31">
        <f t="shared" si="41"/>
        <v>0.9803631336689318</v>
      </c>
      <c r="AF134" s="31">
        <f t="shared" si="42"/>
        <v>0.53277823101754829</v>
      </c>
      <c r="AG134" s="25">
        <v>1.08</v>
      </c>
      <c r="AH134" s="10">
        <v>-0.05</v>
      </c>
      <c r="AI134" s="31">
        <v>0.04</v>
      </c>
      <c r="AJ134" s="24" t="s">
        <v>60</v>
      </c>
      <c r="AK134" s="23" t="s">
        <v>130</v>
      </c>
      <c r="AL134" s="5">
        <v>4.38</v>
      </c>
      <c r="AM134" s="31">
        <v>0.09</v>
      </c>
      <c r="AN134" s="23" t="s">
        <v>130</v>
      </c>
      <c r="AO134" s="36">
        <v>-4.4059999999999997</v>
      </c>
      <c r="AP134" s="23" t="s">
        <v>1349</v>
      </c>
      <c r="AQ134" s="37">
        <f t="shared" si="43"/>
        <v>1.0216212081449625</v>
      </c>
      <c r="AR134" s="38">
        <f t="shared" si="44"/>
        <v>59.692918543426899</v>
      </c>
      <c r="AS134" s="39">
        <f t="shared" si="45"/>
        <v>1.1087587231930688E-10</v>
      </c>
      <c r="AT134" s="40">
        <f t="shared" si="46"/>
        <v>30.487907375804234</v>
      </c>
      <c r="AU134" s="41">
        <f t="shared" si="47"/>
        <v>362.92823700702672</v>
      </c>
      <c r="AV134" s="42">
        <f t="shared" si="48"/>
        <v>8.5681227888450433</v>
      </c>
      <c r="AW134" s="31">
        <f t="shared" si="49"/>
        <v>0.16600654054772496</v>
      </c>
      <c r="AX134" s="43" t="s">
        <v>1350</v>
      </c>
      <c r="AY134" s="24" t="s">
        <v>2</v>
      </c>
      <c r="AZ134" s="44">
        <v>12.3</v>
      </c>
      <c r="BA134" s="45">
        <v>7</v>
      </c>
      <c r="BB134" s="24" t="s">
        <v>134</v>
      </c>
      <c r="BC134" s="28" t="s">
        <v>1</v>
      </c>
      <c r="BD134" s="50" t="s">
        <v>4</v>
      </c>
    </row>
    <row r="135" spans="1:56" ht="15.75" customHeight="1">
      <c r="A135" s="23" t="s">
        <v>1109</v>
      </c>
      <c r="B135" s="14" t="s">
        <v>1108</v>
      </c>
      <c r="C135" s="24" t="s">
        <v>1</v>
      </c>
      <c r="D135" s="23" t="s">
        <v>1110</v>
      </c>
      <c r="E135" s="25" t="s">
        <v>1111</v>
      </c>
      <c r="F135" s="23" t="s">
        <v>1112</v>
      </c>
      <c r="G135" s="25" t="s">
        <v>1</v>
      </c>
      <c r="H135" s="25" t="s">
        <v>1113</v>
      </c>
      <c r="I135" s="26">
        <f t="shared" si="40"/>
        <v>11.095897402894254</v>
      </c>
      <c r="J135" s="27">
        <v>90.123400000000004</v>
      </c>
      <c r="K135" s="27">
        <v>1.5599999999999999E-2</v>
      </c>
      <c r="L135" s="28" t="s">
        <v>124</v>
      </c>
      <c r="M135" s="29">
        <v>272.40590087974999</v>
      </c>
      <c r="N135" s="29">
        <f>38.4577772267725</f>
        <v>38.4577772267725</v>
      </c>
      <c r="O135" s="30">
        <v>6.3769999999999998</v>
      </c>
      <c r="P135" s="31">
        <v>3.0000000000000001E-3</v>
      </c>
      <c r="Q135" s="32" t="s">
        <v>125</v>
      </c>
      <c r="R135" s="31">
        <v>0.876</v>
      </c>
      <c r="S135" s="31">
        <v>7.0000000000000001E-3</v>
      </c>
      <c r="T135" s="32" t="s">
        <v>126</v>
      </c>
      <c r="U135" s="33">
        <v>5.89</v>
      </c>
      <c r="V135" s="25" t="s">
        <v>166</v>
      </c>
      <c r="W135" s="23" t="s">
        <v>333</v>
      </c>
      <c r="X135" s="23" t="s">
        <v>334</v>
      </c>
      <c r="Y135" s="7">
        <v>5028</v>
      </c>
      <c r="Z135" s="24">
        <v>17</v>
      </c>
      <c r="AA135" s="23" t="s">
        <v>130</v>
      </c>
      <c r="AB135" s="34">
        <v>-0.44005699999999998</v>
      </c>
      <c r="AC135" s="35">
        <v>1.08807E-2</v>
      </c>
      <c r="AD135" s="28" t="s">
        <v>146</v>
      </c>
      <c r="AE135" s="31">
        <f t="shared" si="41"/>
        <v>0.79396893353035092</v>
      </c>
      <c r="AF135" s="31">
        <f t="shared" si="42"/>
        <v>0.66553004187670839</v>
      </c>
      <c r="AG135" s="25">
        <v>0.78</v>
      </c>
      <c r="AH135" s="10">
        <v>-0.18</v>
      </c>
      <c r="AI135" s="31">
        <v>0.02</v>
      </c>
      <c r="AJ135" s="24" t="s">
        <v>60</v>
      </c>
      <c r="AK135" s="23" t="s">
        <v>130</v>
      </c>
      <c r="AL135" s="5">
        <v>4.5</v>
      </c>
      <c r="AM135" s="31">
        <v>0.03</v>
      </c>
      <c r="AN135" s="23" t="s">
        <v>130</v>
      </c>
      <c r="AO135" s="36">
        <v>-4.9550000000000001</v>
      </c>
      <c r="AP135" s="23" t="s">
        <v>132</v>
      </c>
      <c r="AQ135" s="37">
        <f t="shared" si="43"/>
        <v>0.60252004519724545</v>
      </c>
      <c r="AR135" s="38">
        <f t="shared" si="44"/>
        <v>54.301155041329423</v>
      </c>
      <c r="AS135" s="39">
        <f t="shared" si="45"/>
        <v>3.1876736294381312E-10</v>
      </c>
      <c r="AT135" s="40">
        <f t="shared" si="46"/>
        <v>29.631315375804242</v>
      </c>
      <c r="AU135" s="41">
        <f t="shared" si="47"/>
        <v>193.42283098738122</v>
      </c>
      <c r="AV135" s="42">
        <f t="shared" si="48"/>
        <v>13.128329192200939</v>
      </c>
      <c r="AW135" s="31">
        <f t="shared" si="49"/>
        <v>0.20909353570303815</v>
      </c>
      <c r="AX135" s="43" t="s">
        <v>1114</v>
      </c>
      <c r="AY135" s="24" t="s">
        <v>2</v>
      </c>
      <c r="AZ135" s="44">
        <v>769.2</v>
      </c>
      <c r="BA135" s="45">
        <v>12.77</v>
      </c>
      <c r="BB135" s="24" t="s">
        <v>134</v>
      </c>
      <c r="BC135" s="28" t="s">
        <v>1</v>
      </c>
      <c r="BD135" s="50" t="s">
        <v>4</v>
      </c>
    </row>
    <row r="136" spans="1:56" ht="15.75" customHeight="1">
      <c r="A136" s="23" t="s">
        <v>743</v>
      </c>
      <c r="B136" s="14" t="s">
        <v>742</v>
      </c>
      <c r="C136" s="24" t="s">
        <v>1</v>
      </c>
      <c r="D136" s="23" t="s">
        <v>744</v>
      </c>
      <c r="E136" s="25" t="s">
        <v>745</v>
      </c>
      <c r="F136" s="23" t="s">
        <v>746</v>
      </c>
      <c r="G136" s="25" t="s">
        <v>747</v>
      </c>
      <c r="H136" s="25" t="s">
        <v>748</v>
      </c>
      <c r="I136" s="26">
        <f t="shared" si="40"/>
        <v>17.753160062491123</v>
      </c>
      <c r="J136" s="27">
        <v>56.328000000000003</v>
      </c>
      <c r="K136" s="27">
        <v>0.1231</v>
      </c>
      <c r="L136" s="28" t="s">
        <v>645</v>
      </c>
      <c r="M136" s="29">
        <v>272.60897375283002</v>
      </c>
      <c r="N136" s="29">
        <v>-62.002220050559998</v>
      </c>
      <c r="O136" s="30">
        <v>5.4690000000000003</v>
      </c>
      <c r="P136" s="31">
        <v>1E-3</v>
      </c>
      <c r="Q136" s="32" t="s">
        <v>125</v>
      </c>
      <c r="R136" s="31">
        <v>0.58699999999999997</v>
      </c>
      <c r="S136" s="31">
        <v>5.0000000000000001E-3</v>
      </c>
      <c r="T136" s="32" t="s">
        <v>142</v>
      </c>
      <c r="U136" s="33">
        <v>5.12</v>
      </c>
      <c r="V136" s="25" t="s">
        <v>166</v>
      </c>
      <c r="W136" s="23" t="s">
        <v>178</v>
      </c>
      <c r="X136" s="23" t="s">
        <v>145</v>
      </c>
      <c r="Y136" s="7">
        <v>5951</v>
      </c>
      <c r="Z136" s="24">
        <v>29</v>
      </c>
      <c r="AA136" s="23" t="s">
        <v>130</v>
      </c>
      <c r="AB136" s="34">
        <v>0.23840500000000001</v>
      </c>
      <c r="AC136" s="35">
        <v>1.25355E-2</v>
      </c>
      <c r="AD136" s="28" t="s">
        <v>146</v>
      </c>
      <c r="AE136" s="31">
        <f t="shared" si="41"/>
        <v>1.2377848054203984</v>
      </c>
      <c r="AF136" s="31">
        <f t="shared" si="42"/>
        <v>0.64847922211728837</v>
      </c>
      <c r="AG136" s="25">
        <v>1.08</v>
      </c>
      <c r="AH136" s="10">
        <v>-7.0000000000000007E-2</v>
      </c>
      <c r="AI136" s="31">
        <v>0.06</v>
      </c>
      <c r="AJ136" s="24" t="s">
        <v>60</v>
      </c>
      <c r="AK136" s="23" t="s">
        <v>130</v>
      </c>
      <c r="AL136" s="5">
        <v>4.29</v>
      </c>
      <c r="AM136" s="31">
        <v>7.0000000000000007E-2</v>
      </c>
      <c r="AN136" s="23" t="s">
        <v>130</v>
      </c>
      <c r="AO136" s="36">
        <v>-4.8540000000000001</v>
      </c>
      <c r="AP136" s="23" t="s">
        <v>318</v>
      </c>
      <c r="AQ136" s="37">
        <f t="shared" si="43"/>
        <v>1.3158382296478484</v>
      </c>
      <c r="AR136" s="38">
        <f t="shared" si="44"/>
        <v>74.118535799604004</v>
      </c>
      <c r="AS136" s="39">
        <f t="shared" si="45"/>
        <v>6.6836215350942159E-11</v>
      </c>
      <c r="AT136" s="40">
        <f t="shared" si="46"/>
        <v>30.55747037580424</v>
      </c>
      <c r="AU136" s="41">
        <f t="shared" si="47"/>
        <v>530.50521691466611</v>
      </c>
      <c r="AV136" s="42">
        <f t="shared" si="48"/>
        <v>7.5496945613657447</v>
      </c>
      <c r="AW136" s="31">
        <f t="shared" si="49"/>
        <v>0.20612431120457991</v>
      </c>
      <c r="AX136" s="43" t="s">
        <v>1</v>
      </c>
      <c r="AY136" s="24" t="s">
        <v>1</v>
      </c>
      <c r="AZ136" s="44" t="s">
        <v>1</v>
      </c>
      <c r="BA136" s="45" t="s">
        <v>1</v>
      </c>
      <c r="BB136" s="24" t="s">
        <v>134</v>
      </c>
      <c r="BC136" s="28" t="s">
        <v>1</v>
      </c>
      <c r="BD136" s="24" t="s">
        <v>3</v>
      </c>
    </row>
    <row r="137" spans="1:56" ht="15.75" customHeight="1">
      <c r="A137" s="23" t="s">
        <v>1278</v>
      </c>
      <c r="B137" s="14" t="s">
        <v>1277</v>
      </c>
      <c r="C137" s="24" t="s">
        <v>1</v>
      </c>
      <c r="D137" s="23" t="s">
        <v>1279</v>
      </c>
      <c r="E137" s="25" t="s">
        <v>1280</v>
      </c>
      <c r="F137" s="23" t="s">
        <v>1281</v>
      </c>
      <c r="G137" s="25" t="s">
        <v>1282</v>
      </c>
      <c r="H137" s="25" t="s">
        <v>1283</v>
      </c>
      <c r="I137" s="26">
        <f t="shared" si="40"/>
        <v>23.156885584144018</v>
      </c>
      <c r="J137" s="27">
        <v>43.183700000000002</v>
      </c>
      <c r="K137" s="27">
        <v>9.4E-2</v>
      </c>
      <c r="L137" s="28" t="s">
        <v>124</v>
      </c>
      <c r="M137" s="29">
        <v>273.47430336072398</v>
      </c>
      <c r="N137" s="29">
        <f>64.3972849333867</f>
        <v>64.3972849333867</v>
      </c>
      <c r="O137" s="30">
        <v>4.99</v>
      </c>
      <c r="P137" s="31">
        <v>0.01</v>
      </c>
      <c r="Q137" s="32" t="s">
        <v>126</v>
      </c>
      <c r="R137" s="31">
        <v>0.44</v>
      </c>
      <c r="S137" s="31">
        <v>2E-3</v>
      </c>
      <c r="T137" s="32" t="s">
        <v>126</v>
      </c>
      <c r="U137" s="33">
        <v>4.6900000000000004</v>
      </c>
      <c r="V137" s="25" t="s">
        <v>189</v>
      </c>
      <c r="W137" s="23" t="s">
        <v>839</v>
      </c>
      <c r="X137" s="23" t="s">
        <v>1284</v>
      </c>
      <c r="Y137" s="7">
        <v>6473</v>
      </c>
      <c r="Z137" s="24">
        <v>38</v>
      </c>
      <c r="AA137" s="23" t="s">
        <v>130</v>
      </c>
      <c r="AB137" s="34">
        <v>0.620174</v>
      </c>
      <c r="AC137" s="35">
        <v>1.5393199999999999E-2</v>
      </c>
      <c r="AD137" s="28" t="s">
        <v>131</v>
      </c>
      <c r="AE137" s="31">
        <f t="shared" si="41"/>
        <v>1.6236721205745934</v>
      </c>
      <c r="AF137" s="31">
        <f t="shared" si="42"/>
        <v>0.65214590380317417</v>
      </c>
      <c r="AG137" s="25">
        <v>1.33</v>
      </c>
      <c r="AH137" s="10">
        <v>-0.28999999999999998</v>
      </c>
      <c r="AI137" s="31">
        <v>0.02</v>
      </c>
      <c r="AJ137" s="24" t="s">
        <v>60</v>
      </c>
      <c r="AK137" s="23" t="s">
        <v>130</v>
      </c>
      <c r="AL137" s="5">
        <v>4.09</v>
      </c>
      <c r="AM137" s="31">
        <v>0.04</v>
      </c>
      <c r="AN137" s="23" t="s">
        <v>130</v>
      </c>
      <c r="AO137" s="36">
        <v>-4.5449999999999999</v>
      </c>
      <c r="AP137" s="23" t="s">
        <v>318</v>
      </c>
      <c r="AQ137" s="37">
        <f t="shared" si="43"/>
        <v>2.0421469965957075</v>
      </c>
      <c r="AR137" s="38">
        <f t="shared" si="44"/>
        <v>88.187463256890055</v>
      </c>
      <c r="AS137" s="39">
        <f t="shared" si="45"/>
        <v>2.7748713291388021E-11</v>
      </c>
      <c r="AT137" s="40">
        <f t="shared" si="46"/>
        <v>31.08189287580424</v>
      </c>
      <c r="AU137" s="41">
        <f t="shared" si="47"/>
        <v>924.27768158511924</v>
      </c>
      <c r="AV137" s="42">
        <f t="shared" si="48"/>
        <v>5.4610127306092924</v>
      </c>
      <c r="AW137" s="31">
        <f t="shared" si="49"/>
        <v>0.19915047690716564</v>
      </c>
      <c r="AX137" s="43" t="s">
        <v>1285</v>
      </c>
      <c r="AY137" s="24" t="s">
        <v>2</v>
      </c>
      <c r="AZ137" s="44">
        <v>3.4</v>
      </c>
      <c r="BA137" s="45">
        <v>6.03</v>
      </c>
      <c r="BB137" s="24" t="s">
        <v>134</v>
      </c>
      <c r="BC137" s="28" t="s">
        <v>1</v>
      </c>
      <c r="BD137" s="50" t="s">
        <v>4</v>
      </c>
    </row>
    <row r="138" spans="1:56" ht="15.75" customHeight="1">
      <c r="A138" s="23" t="s">
        <v>987</v>
      </c>
      <c r="B138" s="14" t="s">
        <v>986</v>
      </c>
      <c r="C138" s="24" t="s">
        <v>1</v>
      </c>
      <c r="D138" s="23" t="s">
        <v>988</v>
      </c>
      <c r="E138" s="25" t="s">
        <v>989</v>
      </c>
      <c r="F138" s="23" t="s">
        <v>990</v>
      </c>
      <c r="G138" s="25" t="s">
        <v>991</v>
      </c>
      <c r="H138" s="25" t="s">
        <v>992</v>
      </c>
      <c r="I138" s="26">
        <f t="shared" si="40"/>
        <v>14.921965580994192</v>
      </c>
      <c r="J138" s="27">
        <v>67.015299999999996</v>
      </c>
      <c r="K138" s="27">
        <v>6.5699999999999995E-2</v>
      </c>
      <c r="L138" s="28" t="s">
        <v>124</v>
      </c>
      <c r="M138" s="29">
        <v>291.24249988095897</v>
      </c>
      <c r="N138" s="29">
        <f>11.9444134668139</f>
        <v>11.9444134668139</v>
      </c>
      <c r="O138" s="30">
        <v>5.1689999999999996</v>
      </c>
      <c r="P138" s="31">
        <v>0.01</v>
      </c>
      <c r="Q138" s="32" t="s">
        <v>125</v>
      </c>
      <c r="R138" s="31">
        <v>0.76100000000000001</v>
      </c>
      <c r="S138" s="31">
        <v>1.7999999999999999E-2</v>
      </c>
      <c r="T138" s="32" t="s">
        <v>177</v>
      </c>
      <c r="U138" s="33">
        <v>4.66</v>
      </c>
      <c r="V138" s="25" t="s">
        <v>166</v>
      </c>
      <c r="W138" s="23" t="s">
        <v>993</v>
      </c>
      <c r="X138" s="23" t="s">
        <v>129</v>
      </c>
      <c r="Y138" s="7">
        <v>5593</v>
      </c>
      <c r="Z138" s="24">
        <v>19</v>
      </c>
      <c r="AA138" s="23" t="s">
        <v>130</v>
      </c>
      <c r="AB138" s="34">
        <v>0.232983</v>
      </c>
      <c r="AC138" s="35">
        <v>9.5801700000000007E-3</v>
      </c>
      <c r="AD138" s="28" t="s">
        <v>146</v>
      </c>
      <c r="AE138" s="31">
        <f t="shared" si="41"/>
        <v>1.392593645174897</v>
      </c>
      <c r="AF138" s="31">
        <f t="shared" si="42"/>
        <v>0.86801046679244853</v>
      </c>
      <c r="AG138" s="25">
        <v>0.95</v>
      </c>
      <c r="AH138" s="10">
        <v>0.38</v>
      </c>
      <c r="AI138" s="31">
        <v>0.01</v>
      </c>
      <c r="AJ138" s="24" t="s">
        <v>60</v>
      </c>
      <c r="AK138" s="23" t="s">
        <v>130</v>
      </c>
      <c r="AL138" s="5">
        <v>4.1900000000000004</v>
      </c>
      <c r="AM138" s="31">
        <v>0.03</v>
      </c>
      <c r="AN138" s="23" t="s">
        <v>130</v>
      </c>
      <c r="AO138" s="36">
        <v>-5.0990000000000002</v>
      </c>
      <c r="AP138" s="23" t="s">
        <v>132</v>
      </c>
      <c r="AQ138" s="37">
        <f t="shared" si="43"/>
        <v>1.3076499453799584</v>
      </c>
      <c r="AR138" s="38">
        <f t="shared" si="44"/>
        <v>87.632553384621517</v>
      </c>
      <c r="AS138" s="39">
        <f t="shared" si="45"/>
        <v>6.767587033862135E-11</v>
      </c>
      <c r="AT138" s="40">
        <f t="shared" si="46"/>
        <v>30.083915375804235</v>
      </c>
      <c r="AU138" s="41">
        <f t="shared" si="47"/>
        <v>560.36788046357049</v>
      </c>
      <c r="AV138" s="42">
        <f t="shared" si="48"/>
        <v>8.0748591711367581</v>
      </c>
      <c r="AW138" s="31">
        <f t="shared" si="49"/>
        <v>0.27705628233826202</v>
      </c>
      <c r="AX138" s="43" t="s">
        <v>994</v>
      </c>
      <c r="AY138" s="24" t="s">
        <v>2</v>
      </c>
      <c r="AZ138" s="44">
        <v>4.2</v>
      </c>
      <c r="BA138" s="45">
        <v>6.47</v>
      </c>
      <c r="BB138" s="24" t="s">
        <v>134</v>
      </c>
      <c r="BC138" s="28" t="s">
        <v>1</v>
      </c>
      <c r="BD138" s="50" t="s">
        <v>4</v>
      </c>
    </row>
    <row r="139" spans="1:56" ht="15.75" customHeight="1">
      <c r="A139" s="23" t="s">
        <v>160</v>
      </c>
      <c r="B139" s="14" t="s">
        <v>159</v>
      </c>
      <c r="C139" s="24" t="s">
        <v>1</v>
      </c>
      <c r="D139" s="23" t="s">
        <v>161</v>
      </c>
      <c r="E139" s="25" t="s">
        <v>162</v>
      </c>
      <c r="F139" s="23" t="s">
        <v>163</v>
      </c>
      <c r="G139" s="25" t="s">
        <v>164</v>
      </c>
      <c r="H139" s="25" t="s">
        <v>165</v>
      </c>
      <c r="I139" s="26">
        <f t="shared" si="40"/>
        <v>5.7638914105913814</v>
      </c>
      <c r="J139" s="27">
        <v>173.4939</v>
      </c>
      <c r="K139" s="27">
        <v>7.4800000000000005E-2</v>
      </c>
      <c r="L139" s="28" t="s">
        <v>124</v>
      </c>
      <c r="M139" s="29">
        <v>293.08995920774998</v>
      </c>
      <c r="N139" s="29">
        <f>69.6611766125572</f>
        <v>69.661176612557199</v>
      </c>
      <c r="O139" s="30">
        <v>4.6719999999999997</v>
      </c>
      <c r="P139" s="31">
        <v>3.0000000000000001E-3</v>
      </c>
      <c r="Q139" s="32" t="s">
        <v>125</v>
      </c>
      <c r="R139" s="31">
        <v>0.78600000000000003</v>
      </c>
      <c r="S139" s="31">
        <v>7.0000000000000001E-3</v>
      </c>
      <c r="T139" s="32" t="s">
        <v>126</v>
      </c>
      <c r="U139" s="33">
        <v>4.21</v>
      </c>
      <c r="V139" s="25" t="s">
        <v>166</v>
      </c>
      <c r="W139" s="23" t="s">
        <v>167</v>
      </c>
      <c r="X139" s="23" t="s">
        <v>129</v>
      </c>
      <c r="Y139" s="7">
        <v>5298</v>
      </c>
      <c r="Z139" s="24">
        <v>14</v>
      </c>
      <c r="AA139" s="23" t="s">
        <v>130</v>
      </c>
      <c r="AB139" s="34">
        <v>-0.36235000000000001</v>
      </c>
      <c r="AC139" s="35">
        <v>1.16261E-2</v>
      </c>
      <c r="AD139" s="28" t="s">
        <v>146</v>
      </c>
      <c r="AE139" s="31">
        <f t="shared" si="41"/>
        <v>0.78203040714968475</v>
      </c>
      <c r="AF139" s="31">
        <f t="shared" si="42"/>
        <v>1.2619275924746733</v>
      </c>
      <c r="AG139" s="25">
        <v>0.87</v>
      </c>
      <c r="AH139" s="10">
        <v>-0.21</v>
      </c>
      <c r="AI139" s="31">
        <v>0.01</v>
      </c>
      <c r="AJ139" s="24" t="s">
        <v>60</v>
      </c>
      <c r="AK139" s="23" t="s">
        <v>130</v>
      </c>
      <c r="AL139" s="5">
        <v>4.5199999999999996</v>
      </c>
      <c r="AM139" s="31">
        <v>0.02</v>
      </c>
      <c r="AN139" s="23" t="s">
        <v>130</v>
      </c>
      <c r="AO139" s="36">
        <v>-4.8319999999999999</v>
      </c>
      <c r="AP139" s="23" t="s">
        <v>132</v>
      </c>
      <c r="AQ139" s="37">
        <f t="shared" si="43"/>
        <v>0.65890833305502017</v>
      </c>
      <c r="AR139" s="38">
        <f t="shared" si="44"/>
        <v>114.31657644421436</v>
      </c>
      <c r="AS139" s="39">
        <f t="shared" si="45"/>
        <v>2.6654273498012215E-10</v>
      </c>
      <c r="AT139" s="40">
        <f t="shared" si="46"/>
        <v>28.145582875804237</v>
      </c>
      <c r="AU139" s="41">
        <f t="shared" si="47"/>
        <v>209.44773128112266</v>
      </c>
      <c r="AV139" s="42">
        <f t="shared" si="48"/>
        <v>11.886948554555214</v>
      </c>
      <c r="AW139" s="31">
        <f t="shared" si="49"/>
        <v>0.39465362717763219</v>
      </c>
      <c r="AX139" s="43" t="s">
        <v>168</v>
      </c>
      <c r="AY139" s="24" t="s">
        <v>2</v>
      </c>
      <c r="AZ139" s="44">
        <v>11</v>
      </c>
      <c r="BA139" s="45">
        <v>18.04</v>
      </c>
      <c r="BB139" s="24" t="s">
        <v>134</v>
      </c>
      <c r="BC139" s="28" t="s">
        <v>1</v>
      </c>
      <c r="BD139" s="24" t="s">
        <v>2</v>
      </c>
    </row>
    <row r="140" spans="1:56" ht="15.75" customHeight="1">
      <c r="A140" s="23" t="s">
        <v>1261</v>
      </c>
      <c r="B140" s="14" t="s">
        <v>1260</v>
      </c>
      <c r="C140" s="24" t="s">
        <v>2</v>
      </c>
      <c r="D140" s="23" t="s">
        <v>1262</v>
      </c>
      <c r="E140" s="25" t="s">
        <v>1263</v>
      </c>
      <c r="F140" s="23" t="s">
        <v>1264</v>
      </c>
      <c r="G140" s="25" t="s">
        <v>1265</v>
      </c>
      <c r="H140" s="25" t="s">
        <v>1266</v>
      </c>
      <c r="I140" s="26">
        <f t="shared" si="40"/>
        <v>20.98565420678424</v>
      </c>
      <c r="J140" s="27">
        <v>47.651600000000002</v>
      </c>
      <c r="K140" s="27">
        <v>6.7500000000000004E-2</v>
      </c>
      <c r="L140" s="28" t="s">
        <v>124</v>
      </c>
      <c r="M140" s="29">
        <v>296.60666686961201</v>
      </c>
      <c r="N140" s="29">
        <f>33.727598203788</f>
        <v>33.727598203787998</v>
      </c>
      <c r="O140" s="30">
        <v>5.0049999999999999</v>
      </c>
      <c r="P140" s="31">
        <v>4.0000000000000001E-3</v>
      </c>
      <c r="Q140" s="32" t="s">
        <v>125</v>
      </c>
      <c r="R140" s="31">
        <v>0.47599999999999998</v>
      </c>
      <c r="S140" s="31">
        <v>4.0000000000000001E-3</v>
      </c>
      <c r="T140" s="32" t="s">
        <v>126</v>
      </c>
      <c r="U140" s="33">
        <v>4.6970000000000001</v>
      </c>
      <c r="V140" s="25" t="s">
        <v>189</v>
      </c>
      <c r="W140" s="23" t="s">
        <v>849</v>
      </c>
      <c r="X140" s="23" t="s">
        <v>334</v>
      </c>
      <c r="Y140" s="7">
        <v>6455</v>
      </c>
      <c r="Z140" s="24">
        <v>28</v>
      </c>
      <c r="AA140" s="28" t="s">
        <v>169</v>
      </c>
      <c r="AB140" s="34">
        <v>0.54853700000000005</v>
      </c>
      <c r="AC140" s="35">
        <v>1.5570000000000001E-2</v>
      </c>
      <c r="AD140" s="28" t="s">
        <v>146</v>
      </c>
      <c r="AE140" s="31">
        <f t="shared" si="41"/>
        <v>1.5034831129143569</v>
      </c>
      <c r="AF140" s="31">
        <f t="shared" si="42"/>
        <v>0.66635034820666661</v>
      </c>
      <c r="AG140" s="25">
        <v>1.29</v>
      </c>
      <c r="AH140" s="10">
        <v>0.03</v>
      </c>
      <c r="AI140" s="31">
        <v>0.03</v>
      </c>
      <c r="AJ140" s="24" t="s">
        <v>60</v>
      </c>
      <c r="AK140" s="23" t="s">
        <v>169</v>
      </c>
      <c r="AL140" s="5">
        <v>4.26</v>
      </c>
      <c r="AM140" s="31">
        <v>0.06</v>
      </c>
      <c r="AN140" s="23" t="s">
        <v>169</v>
      </c>
      <c r="AO140" s="36">
        <v>-4.9219999999999997</v>
      </c>
      <c r="AP140" s="23" t="s">
        <v>132</v>
      </c>
      <c r="AQ140" s="37">
        <f t="shared" si="43"/>
        <v>1.8804790525682125</v>
      </c>
      <c r="AR140" s="38">
        <f t="shared" si="44"/>
        <v>89.607835621359442</v>
      </c>
      <c r="AS140" s="39">
        <f t="shared" si="45"/>
        <v>3.2725014652633875E-11</v>
      </c>
      <c r="AT140" s="40">
        <f t="shared" si="46"/>
        <v>30.909800375804235</v>
      </c>
      <c r="AU140" s="41">
        <f t="shared" si="47"/>
        <v>829.28857392777093</v>
      </c>
      <c r="AV140" s="42">
        <f t="shared" si="48"/>
        <v>5.7784772034415113</v>
      </c>
      <c r="AW140" s="31">
        <f t="shared" si="49"/>
        <v>0.20863271938033801</v>
      </c>
      <c r="AX140" s="43" t="s">
        <v>1267</v>
      </c>
      <c r="AY140" s="24" t="s">
        <v>2</v>
      </c>
      <c r="AZ140" s="44">
        <v>25.9</v>
      </c>
      <c r="BA140" s="45">
        <v>4.1900000000000004</v>
      </c>
      <c r="BB140" s="24" t="s">
        <v>134</v>
      </c>
      <c r="BC140" s="28" t="s">
        <v>1</v>
      </c>
      <c r="BD140" s="50" t="s">
        <v>4</v>
      </c>
    </row>
    <row r="141" spans="1:56" ht="15.75" customHeight="1">
      <c r="A141" s="23" t="s">
        <v>771</v>
      </c>
      <c r="B141" s="14" t="s">
        <v>770</v>
      </c>
      <c r="C141" s="24" t="s">
        <v>2</v>
      </c>
      <c r="D141" s="23" t="s">
        <v>772</v>
      </c>
      <c r="E141" s="25" t="s">
        <v>773</v>
      </c>
      <c r="F141" s="23" t="s">
        <v>774</v>
      </c>
      <c r="G141" s="25" t="s">
        <v>775</v>
      </c>
      <c r="H141" s="25" t="s">
        <v>776</v>
      </c>
      <c r="I141" s="26">
        <f t="shared" si="40"/>
        <v>19.488124911085432</v>
      </c>
      <c r="J141" s="27">
        <v>51.313299999999998</v>
      </c>
      <c r="K141" s="27">
        <v>8.9800000000000005E-2</v>
      </c>
      <c r="L141" s="28" t="s">
        <v>124</v>
      </c>
      <c r="M141" s="29">
        <v>297.75684873372001</v>
      </c>
      <c r="N141" s="29">
        <f>10.41572012709</f>
        <v>10.415720127089999</v>
      </c>
      <c r="O141" s="30">
        <v>5.1219999999999999</v>
      </c>
      <c r="P141" s="31">
        <v>3.0000000000000001E-3</v>
      </c>
      <c r="Q141" s="32" t="s">
        <v>125</v>
      </c>
      <c r="R141" s="31">
        <v>0.55100000000000005</v>
      </c>
      <c r="S141" s="31">
        <v>2E-3</v>
      </c>
      <c r="T141" s="32" t="s">
        <v>126</v>
      </c>
      <c r="U141" s="33">
        <v>4.7830000000000004</v>
      </c>
      <c r="V141" s="25" t="s">
        <v>189</v>
      </c>
      <c r="W141" s="23" t="s">
        <v>354</v>
      </c>
      <c r="X141" s="23" t="s">
        <v>277</v>
      </c>
      <c r="Y141" s="7">
        <v>6134</v>
      </c>
      <c r="Z141" s="24">
        <v>12</v>
      </c>
      <c r="AA141" s="23" t="s">
        <v>130</v>
      </c>
      <c r="AB141" s="34">
        <v>0.45252100000000001</v>
      </c>
      <c r="AC141" s="35">
        <v>1.43074E-2</v>
      </c>
      <c r="AD141" s="28" t="s">
        <v>146</v>
      </c>
      <c r="AE141" s="31">
        <f t="shared" si="41"/>
        <v>1.4907180305851377</v>
      </c>
      <c r="AF141" s="31">
        <f t="shared" si="42"/>
        <v>0.71146253712882701</v>
      </c>
      <c r="AG141" s="25">
        <v>1.25</v>
      </c>
      <c r="AH141" s="10">
        <v>0.12</v>
      </c>
      <c r="AI141" s="31">
        <v>0.01</v>
      </c>
      <c r="AJ141" s="24" t="s">
        <v>60</v>
      </c>
      <c r="AK141" s="23" t="s">
        <v>130</v>
      </c>
      <c r="AL141" s="5">
        <v>4.22</v>
      </c>
      <c r="AM141" s="31">
        <v>0.03</v>
      </c>
      <c r="AN141" s="23" t="s">
        <v>130</v>
      </c>
      <c r="AO141" s="36">
        <v>-5.0999999999999996</v>
      </c>
      <c r="AP141" s="23" t="s">
        <v>180</v>
      </c>
      <c r="AQ141" s="37">
        <f t="shared" si="43"/>
        <v>1.6836836711386232</v>
      </c>
      <c r="AR141" s="38">
        <f t="shared" si="44"/>
        <v>86.395365322237495</v>
      </c>
      <c r="AS141" s="39">
        <f t="shared" si="45"/>
        <v>4.082214769685094E-11</v>
      </c>
      <c r="AT141" s="40">
        <f t="shared" si="46"/>
        <v>30.755760375804236</v>
      </c>
      <c r="AU141" s="41">
        <f t="shared" si="47"/>
        <v>713.72930742623316</v>
      </c>
      <c r="AV141" s="42">
        <f t="shared" si="48"/>
        <v>6.2037923503101391</v>
      </c>
      <c r="AW141" s="31">
        <f t="shared" si="49"/>
        <v>0.20759006933196489</v>
      </c>
      <c r="AX141" s="43" t="s">
        <v>777</v>
      </c>
      <c r="AY141" s="24" t="s">
        <v>2</v>
      </c>
      <c r="AZ141" s="44">
        <v>21.5</v>
      </c>
      <c r="BA141" s="45">
        <v>8.59</v>
      </c>
      <c r="BB141" s="24" t="s">
        <v>134</v>
      </c>
      <c r="BC141" s="28" t="s">
        <v>1</v>
      </c>
      <c r="BD141" s="24" t="s">
        <v>3</v>
      </c>
    </row>
    <row r="142" spans="1:56" ht="15.75" customHeight="1">
      <c r="A142" s="23" t="s">
        <v>818</v>
      </c>
      <c r="B142" s="14" t="s">
        <v>817</v>
      </c>
      <c r="C142" s="24" t="s">
        <v>1</v>
      </c>
      <c r="D142" s="23" t="s">
        <v>819</v>
      </c>
      <c r="E142" s="25" t="s">
        <v>820</v>
      </c>
      <c r="F142" s="23" t="s">
        <v>821</v>
      </c>
      <c r="G142" s="25" t="s">
        <v>1</v>
      </c>
      <c r="H142" s="25" t="s">
        <v>822</v>
      </c>
      <c r="I142" s="26">
        <f t="shared" si="40"/>
        <v>16.003456746657278</v>
      </c>
      <c r="J142" s="27">
        <v>62.486499999999999</v>
      </c>
      <c r="K142" s="27">
        <v>3.5400000000000001E-2</v>
      </c>
      <c r="L142" s="28" t="s">
        <v>124</v>
      </c>
      <c r="M142" s="29">
        <v>300.90585452836399</v>
      </c>
      <c r="N142" s="29">
        <f>29.896803454413</f>
        <v>29.896803454413</v>
      </c>
      <c r="O142" s="30">
        <v>5.7450000000000001</v>
      </c>
      <c r="P142" s="31">
        <v>7.0000000000000001E-3</v>
      </c>
      <c r="Q142" s="32" t="s">
        <v>125</v>
      </c>
      <c r="R142" s="31">
        <v>0.749</v>
      </c>
      <c r="S142" s="31">
        <v>1E-3</v>
      </c>
      <c r="T142" s="32" t="s">
        <v>126</v>
      </c>
      <c r="U142" s="33">
        <v>5.3</v>
      </c>
      <c r="V142" s="25" t="s">
        <v>166</v>
      </c>
      <c r="W142" s="23" t="s">
        <v>823</v>
      </c>
      <c r="X142" s="23" t="s">
        <v>145</v>
      </c>
      <c r="Y142" s="7">
        <v>5563</v>
      </c>
      <c r="Z142" s="24">
        <v>11</v>
      </c>
      <c r="AA142" s="23" t="s">
        <v>130</v>
      </c>
      <c r="AB142" s="34">
        <v>6.6471299999999997E-2</v>
      </c>
      <c r="AC142" s="35">
        <v>9.65068E-3</v>
      </c>
      <c r="AD142" s="28" t="s">
        <v>146</v>
      </c>
      <c r="AE142" s="31">
        <f t="shared" si="41"/>
        <v>1.1620908396274354</v>
      </c>
      <c r="AF142" s="31">
        <f t="shared" si="42"/>
        <v>0.6753872603280201</v>
      </c>
      <c r="AG142" s="25">
        <v>0.96</v>
      </c>
      <c r="AH142" s="10">
        <v>0.22</v>
      </c>
      <c r="AI142" s="31">
        <v>0.01</v>
      </c>
      <c r="AJ142" s="24" t="s">
        <v>60</v>
      </c>
      <c r="AK142" s="23" t="s">
        <v>130</v>
      </c>
      <c r="AL142" s="5">
        <v>4.32</v>
      </c>
      <c r="AM142" s="31">
        <v>0.02</v>
      </c>
      <c r="AN142" s="23" t="s">
        <v>130</v>
      </c>
      <c r="AO142" s="36">
        <v>-5.1020000000000003</v>
      </c>
      <c r="AP142" s="23" t="s">
        <v>132</v>
      </c>
      <c r="AQ142" s="37">
        <f t="shared" si="43"/>
        <v>1.0795323220883453</v>
      </c>
      <c r="AR142" s="38">
        <f t="shared" si="44"/>
        <v>67.456196444173372</v>
      </c>
      <c r="AS142" s="39">
        <f t="shared" si="45"/>
        <v>9.9299154281284045E-11</v>
      </c>
      <c r="AT142" s="40">
        <f t="shared" si="46"/>
        <v>30.30763612580424</v>
      </c>
      <c r="AU142" s="41">
        <f t="shared" si="47"/>
        <v>418.13415618343799</v>
      </c>
      <c r="AV142" s="42">
        <f t="shared" si="48"/>
        <v>8.8407491494641874</v>
      </c>
      <c r="AW142" s="31">
        <f t="shared" si="49"/>
        <v>0.2110458215795819</v>
      </c>
      <c r="AX142" s="43" t="s">
        <v>824</v>
      </c>
      <c r="AY142" s="24" t="s">
        <v>2</v>
      </c>
      <c r="AZ142" s="44">
        <v>178.1</v>
      </c>
      <c r="BA142" s="45">
        <v>9.07</v>
      </c>
      <c r="BB142" s="24" t="s">
        <v>134</v>
      </c>
      <c r="BC142" s="28" t="s">
        <v>1</v>
      </c>
      <c r="BD142" s="24" t="s">
        <v>3</v>
      </c>
    </row>
    <row r="143" spans="1:56" ht="15.75" customHeight="1">
      <c r="A143" s="23" t="s">
        <v>1386</v>
      </c>
      <c r="B143" s="14" t="s">
        <v>1385</v>
      </c>
      <c r="C143" s="24" t="s">
        <v>1</v>
      </c>
      <c r="D143" s="23" t="s">
        <v>1387</v>
      </c>
      <c r="E143" s="25" t="s">
        <v>1388</v>
      </c>
      <c r="F143" s="23" t="s">
        <v>1389</v>
      </c>
      <c r="G143" s="25" t="s">
        <v>1</v>
      </c>
      <c r="H143" s="25" t="s">
        <v>1390</v>
      </c>
      <c r="I143" s="26">
        <f t="shared" si="40"/>
        <v>17.932266243943378</v>
      </c>
      <c r="J143" s="27">
        <v>55.7654</v>
      </c>
      <c r="K143" s="27">
        <v>2.4500000000000001E-2</v>
      </c>
      <c r="L143" s="28" t="s">
        <v>124</v>
      </c>
      <c r="M143" s="29">
        <v>301.38652287034802</v>
      </c>
      <c r="N143" s="29">
        <v>-67.320896145653904</v>
      </c>
      <c r="O143" s="30">
        <v>6.07</v>
      </c>
      <c r="P143" s="31">
        <v>0.01</v>
      </c>
      <c r="Q143" s="32" t="s">
        <v>126</v>
      </c>
      <c r="R143" s="31">
        <v>0.64600000000000002</v>
      </c>
      <c r="S143" s="31">
        <v>5.0000000000000001E-3</v>
      </c>
      <c r="T143" s="32" t="s">
        <v>142</v>
      </c>
      <c r="U143" s="33">
        <v>5.7050000000000001</v>
      </c>
      <c r="V143" s="25" t="s">
        <v>143</v>
      </c>
      <c r="W143" s="23" t="s">
        <v>1391</v>
      </c>
      <c r="X143" s="23" t="s">
        <v>145</v>
      </c>
      <c r="Y143" s="7">
        <v>5730</v>
      </c>
      <c r="Z143" s="24">
        <v>15</v>
      </c>
      <c r="AA143" s="23" t="s">
        <v>130</v>
      </c>
      <c r="AB143" s="34">
        <v>1.52549E-2</v>
      </c>
      <c r="AC143" s="35">
        <v>1.11926E-2</v>
      </c>
      <c r="AD143" s="28" t="s">
        <v>146</v>
      </c>
      <c r="AE143" s="31">
        <f t="shared" si="41"/>
        <v>1.0326205265408765</v>
      </c>
      <c r="AF143" s="31">
        <f t="shared" si="42"/>
        <v>0.53558963338476895</v>
      </c>
      <c r="AG143" s="25">
        <v>1.02</v>
      </c>
      <c r="AH143" s="10">
        <v>-0.19</v>
      </c>
      <c r="AI143" s="31">
        <v>0.04</v>
      </c>
      <c r="AJ143" s="24" t="s">
        <v>60</v>
      </c>
      <c r="AK143" s="23" t="s">
        <v>130</v>
      </c>
      <c r="AL143" s="5">
        <v>4.42</v>
      </c>
      <c r="AM143" s="31">
        <v>0.03</v>
      </c>
      <c r="AN143" s="23" t="s">
        <v>130</v>
      </c>
      <c r="AO143" s="36">
        <v>-4.8600000000000003</v>
      </c>
      <c r="AP143" s="23" t="s">
        <v>147</v>
      </c>
      <c r="AQ143" s="37">
        <f t="shared" si="43"/>
        <v>1.0177179864308463</v>
      </c>
      <c r="AR143" s="38">
        <f t="shared" si="44"/>
        <v>56.75345060051071</v>
      </c>
      <c r="AS143" s="39">
        <f t="shared" si="45"/>
        <v>1.1172798070046518E-10</v>
      </c>
      <c r="AT143" s="40">
        <f t="shared" si="46"/>
        <v>30.584595125804242</v>
      </c>
      <c r="AU143" s="41">
        <f t="shared" si="47"/>
        <v>371.31190680926159</v>
      </c>
      <c r="AV143" s="42">
        <f t="shared" si="48"/>
        <v>8.8334163054905197</v>
      </c>
      <c r="AW143" s="31">
        <f t="shared" si="49"/>
        <v>0.16711608059869151</v>
      </c>
      <c r="AX143" s="43" t="s">
        <v>1</v>
      </c>
      <c r="AY143" s="24" t="s">
        <v>1</v>
      </c>
      <c r="AZ143" s="44" t="s">
        <v>1</v>
      </c>
      <c r="BA143" s="45" t="s">
        <v>1</v>
      </c>
      <c r="BB143" s="24" t="s">
        <v>134</v>
      </c>
      <c r="BC143" s="28" t="s">
        <v>1</v>
      </c>
      <c r="BD143" s="50" t="s">
        <v>4</v>
      </c>
    </row>
    <row r="144" spans="1:56" ht="15.75" customHeight="1">
      <c r="A144" s="23" t="s">
        <v>194</v>
      </c>
      <c r="B144" s="14" t="s">
        <v>193</v>
      </c>
      <c r="C144" s="24" t="s">
        <v>1</v>
      </c>
      <c r="D144" s="23" t="s">
        <v>195</v>
      </c>
      <c r="E144" s="25" t="s">
        <v>196</v>
      </c>
      <c r="F144" s="23" t="s">
        <v>197</v>
      </c>
      <c r="G144" s="25" t="s">
        <v>198</v>
      </c>
      <c r="H144" s="25" t="s">
        <v>199</v>
      </c>
      <c r="I144" s="26">
        <f t="shared" si="40"/>
        <v>6.0992568665433806</v>
      </c>
      <c r="J144" s="27">
        <v>163.95439999999999</v>
      </c>
      <c r="K144" s="27">
        <v>0.1222</v>
      </c>
      <c r="L144" s="28" t="s">
        <v>124</v>
      </c>
      <c r="M144" s="29">
        <v>302.18170363168798</v>
      </c>
      <c r="N144" s="29">
        <v>-66.182067435896997</v>
      </c>
      <c r="O144" s="30">
        <v>3.556</v>
      </c>
      <c r="P144" s="31">
        <v>0.01</v>
      </c>
      <c r="Q144" s="32" t="s">
        <v>177</v>
      </c>
      <c r="R144" s="31">
        <v>0.76</v>
      </c>
      <c r="S144" s="31">
        <v>2E-3</v>
      </c>
      <c r="T144" s="32" t="s">
        <v>177</v>
      </c>
      <c r="U144" s="33">
        <v>3.1349999999999998</v>
      </c>
      <c r="V144" s="25" t="s">
        <v>143</v>
      </c>
      <c r="W144" s="23" t="s">
        <v>200</v>
      </c>
      <c r="X144" s="23" t="s">
        <v>145</v>
      </c>
      <c r="Y144" s="7">
        <v>5576</v>
      </c>
      <c r="Z144" s="24">
        <v>17</v>
      </c>
      <c r="AA144" s="23" t="s">
        <v>130</v>
      </c>
      <c r="AB144" s="34">
        <v>9.6854399999999993E-2</v>
      </c>
      <c r="AC144" s="35">
        <v>1.0658000000000001E-2</v>
      </c>
      <c r="AD144" s="28" t="s">
        <v>146</v>
      </c>
      <c r="AE144" s="31">
        <f t="shared" si="41"/>
        <v>1.1978549103319307</v>
      </c>
      <c r="AF144" s="31">
        <f t="shared" si="42"/>
        <v>1.8266438570370986</v>
      </c>
      <c r="AG144" s="25">
        <v>0.94</v>
      </c>
      <c r="AH144" s="10">
        <v>0.35</v>
      </c>
      <c r="AI144" s="31">
        <v>0.01</v>
      </c>
      <c r="AJ144" s="24" t="s">
        <v>60</v>
      </c>
      <c r="AK144" s="23" t="s">
        <v>130</v>
      </c>
      <c r="AL144" s="5">
        <v>4.29</v>
      </c>
      <c r="AM144" s="31">
        <v>0.02</v>
      </c>
      <c r="AN144" s="23" t="s">
        <v>130</v>
      </c>
      <c r="AO144" s="36">
        <v>-4.9989999999999997</v>
      </c>
      <c r="AP144" s="23" t="s">
        <v>147</v>
      </c>
      <c r="AQ144" s="37">
        <f t="shared" si="43"/>
        <v>1.1179624068563283</v>
      </c>
      <c r="AR144" s="38">
        <f t="shared" si="44"/>
        <v>183.29485563868516</v>
      </c>
      <c r="AS144" s="39">
        <f t="shared" si="45"/>
        <v>9.258965154848321E-11</v>
      </c>
      <c r="AT144" s="40">
        <f t="shared" si="46"/>
        <v>28.218593875804238</v>
      </c>
      <c r="AU144" s="41">
        <f t="shared" si="47"/>
        <v>445.32252204664178</v>
      </c>
      <c r="AV144" s="42">
        <f t="shared" si="48"/>
        <v>8.7794029551943495</v>
      </c>
      <c r="AW144" s="31">
        <f t="shared" si="49"/>
        <v>0.58566404698668639</v>
      </c>
      <c r="AX144" s="43" t="s">
        <v>1</v>
      </c>
      <c r="AY144" s="24" t="s">
        <v>1</v>
      </c>
      <c r="AZ144" s="44" t="s">
        <v>1</v>
      </c>
      <c r="BA144" s="45" t="s">
        <v>1</v>
      </c>
      <c r="BB144" s="24" t="s">
        <v>134</v>
      </c>
      <c r="BC144" s="28" t="s">
        <v>1</v>
      </c>
      <c r="BD144" s="24" t="s">
        <v>2</v>
      </c>
    </row>
    <row r="145" spans="1:56" ht="15.75" customHeight="1">
      <c r="A145" s="23" t="s">
        <v>972</v>
      </c>
      <c r="B145" s="14" t="s">
        <v>971</v>
      </c>
      <c r="C145" s="24" t="s">
        <v>2</v>
      </c>
      <c r="D145" s="23" t="s">
        <v>973</v>
      </c>
      <c r="E145" s="25" t="s">
        <v>974</v>
      </c>
      <c r="F145" s="23" t="s">
        <v>975</v>
      </c>
      <c r="G145" s="25" t="s">
        <v>1</v>
      </c>
      <c r="H145" s="25" t="s">
        <v>976</v>
      </c>
      <c r="I145" s="26">
        <f t="shared" si="40"/>
        <v>6.0122457421275657</v>
      </c>
      <c r="J145" s="27">
        <v>166.3272</v>
      </c>
      <c r="K145" s="27">
        <v>0.1065</v>
      </c>
      <c r="L145" s="28" t="s">
        <v>124</v>
      </c>
      <c r="M145" s="29">
        <v>302.79974487092198</v>
      </c>
      <c r="N145" s="29">
        <v>-36.101208812668602</v>
      </c>
      <c r="O145" s="30">
        <v>5.2969999999999997</v>
      </c>
      <c r="P145" s="31">
        <v>4.0000000000000001E-3</v>
      </c>
      <c r="Q145" s="32" t="s">
        <v>125</v>
      </c>
      <c r="R145" s="31">
        <v>0.86799999999999999</v>
      </c>
      <c r="S145" s="31">
        <v>1.7999999999999999E-2</v>
      </c>
      <c r="T145" s="32" t="s">
        <v>126</v>
      </c>
      <c r="U145" s="33">
        <v>4.79</v>
      </c>
      <c r="V145" s="25" t="s">
        <v>143</v>
      </c>
      <c r="W145" s="23" t="s">
        <v>882</v>
      </c>
      <c r="X145" s="23" t="s">
        <v>145</v>
      </c>
      <c r="Y145" s="7">
        <v>4980</v>
      </c>
      <c r="Z145" s="24">
        <v>19</v>
      </c>
      <c r="AA145" s="23" t="s">
        <v>130</v>
      </c>
      <c r="AB145" s="34">
        <v>-0.54807499999999998</v>
      </c>
      <c r="AC145" s="35">
        <v>1.1963100000000001E-2</v>
      </c>
      <c r="AD145" s="28" t="s">
        <v>146</v>
      </c>
      <c r="AE145" s="31">
        <f t="shared" si="41"/>
        <v>0.71470424591310766</v>
      </c>
      <c r="AF145" s="31">
        <f t="shared" si="42"/>
        <v>1.1056463223385766</v>
      </c>
      <c r="AG145" s="25">
        <v>0.76</v>
      </c>
      <c r="AH145" s="10">
        <v>-0.52</v>
      </c>
      <c r="AI145" s="31">
        <v>0.03</v>
      </c>
      <c r="AJ145" s="24" t="s">
        <v>60</v>
      </c>
      <c r="AK145" s="23" t="s">
        <v>130</v>
      </c>
      <c r="AL145" s="5">
        <v>4.62</v>
      </c>
      <c r="AM145" s="31">
        <v>0.04</v>
      </c>
      <c r="AN145" s="23" t="s">
        <v>130</v>
      </c>
      <c r="AO145" s="36">
        <v>-4.9820000000000002</v>
      </c>
      <c r="AP145" s="23" t="s">
        <v>191</v>
      </c>
      <c r="AQ145" s="37">
        <f t="shared" si="43"/>
        <v>0.53206231532992021</v>
      </c>
      <c r="AR145" s="38">
        <f t="shared" si="44"/>
        <v>88.496435134342704</v>
      </c>
      <c r="AS145" s="39">
        <f t="shared" si="45"/>
        <v>4.0878208050380957E-10</v>
      </c>
      <c r="AT145" s="40">
        <f t="shared" si="46"/>
        <v>28.261270375804237</v>
      </c>
      <c r="AU145" s="41">
        <f t="shared" si="47"/>
        <v>162.60531634518546</v>
      </c>
      <c r="AV145" s="42">
        <f t="shared" si="48"/>
        <v>14.153194118870136</v>
      </c>
      <c r="AW145" s="31">
        <f t="shared" si="49"/>
        <v>0.34973437911391569</v>
      </c>
      <c r="AX145" s="43" t="s">
        <v>977</v>
      </c>
      <c r="AY145" s="24" t="s">
        <v>2</v>
      </c>
      <c r="AZ145" s="44">
        <v>4.3</v>
      </c>
      <c r="BA145" s="45">
        <v>6.19</v>
      </c>
      <c r="BB145" s="24" t="s">
        <v>134</v>
      </c>
      <c r="BC145" s="28" t="s">
        <v>1</v>
      </c>
      <c r="BD145" s="50" t="s">
        <v>4</v>
      </c>
    </row>
    <row r="146" spans="1:56" ht="15.75" customHeight="1">
      <c r="A146" s="23" t="s">
        <v>365</v>
      </c>
      <c r="B146" s="14" t="s">
        <v>364</v>
      </c>
      <c r="C146" s="24" t="s">
        <v>1</v>
      </c>
      <c r="D146" s="23" t="s">
        <v>366</v>
      </c>
      <c r="E146" s="25" t="s">
        <v>367</v>
      </c>
      <c r="F146" s="23" t="s">
        <v>368</v>
      </c>
      <c r="G146" s="25" t="s">
        <v>1</v>
      </c>
      <c r="H146" s="25" t="s">
        <v>369</v>
      </c>
      <c r="I146" s="26">
        <f t="shared" si="40"/>
        <v>8.8115664145383796</v>
      </c>
      <c r="J146" s="27">
        <v>113.4872</v>
      </c>
      <c r="K146" s="27">
        <v>5.16E-2</v>
      </c>
      <c r="L146" s="28" t="s">
        <v>124</v>
      </c>
      <c r="M146" s="29">
        <v>303.82246406686397</v>
      </c>
      <c r="N146" s="29">
        <v>-27.032975451495599</v>
      </c>
      <c r="O146" s="30">
        <v>5.73</v>
      </c>
      <c r="P146" s="31">
        <v>3.0000000000000001E-3</v>
      </c>
      <c r="Q146" s="32" t="s">
        <v>125</v>
      </c>
      <c r="R146" s="31">
        <v>0.878</v>
      </c>
      <c r="S146" s="31">
        <v>1.7999999999999999E-2</v>
      </c>
      <c r="T146" s="32" t="s">
        <v>126</v>
      </c>
      <c r="U146" s="33">
        <v>5.23</v>
      </c>
      <c r="V146" s="25" t="s">
        <v>143</v>
      </c>
      <c r="W146" s="23" t="s">
        <v>370</v>
      </c>
      <c r="X146" s="23" t="s">
        <v>145</v>
      </c>
      <c r="Y146" s="7">
        <v>5087</v>
      </c>
      <c r="Z146" s="24">
        <v>11</v>
      </c>
      <c r="AA146" s="23" t="s">
        <v>130</v>
      </c>
      <c r="AB146" s="34">
        <v>-0.39358599999999999</v>
      </c>
      <c r="AC146" s="35">
        <v>1.06991E-2</v>
      </c>
      <c r="AD146" s="28" t="s">
        <v>146</v>
      </c>
      <c r="AE146" s="31">
        <f t="shared" si="41"/>
        <v>0.81828779278597374</v>
      </c>
      <c r="AF146" s="31">
        <f t="shared" si="42"/>
        <v>0.86373305525281341</v>
      </c>
      <c r="AG146" s="25">
        <v>0.77</v>
      </c>
      <c r="AH146" s="10">
        <v>0.03</v>
      </c>
      <c r="AI146" s="31">
        <v>0.02</v>
      </c>
      <c r="AJ146" s="24" t="s">
        <v>60</v>
      </c>
      <c r="AK146" s="23" t="s">
        <v>130</v>
      </c>
      <c r="AL146" s="5">
        <v>4.4800000000000004</v>
      </c>
      <c r="AM146" s="31">
        <v>0.02</v>
      </c>
      <c r="AN146" s="23" t="s">
        <v>130</v>
      </c>
      <c r="AO146" s="36">
        <v>-5.0110000000000001</v>
      </c>
      <c r="AP146" s="23" t="s">
        <v>191</v>
      </c>
      <c r="AQ146" s="37">
        <f t="shared" si="43"/>
        <v>0.63563382506206889</v>
      </c>
      <c r="AR146" s="38">
        <f t="shared" si="44"/>
        <v>72.136303031584035</v>
      </c>
      <c r="AS146" s="39">
        <f t="shared" si="45"/>
        <v>2.8641967636351235E-10</v>
      </c>
      <c r="AT146" s="40">
        <f t="shared" si="46"/>
        <v>29.087492875804237</v>
      </c>
      <c r="AU146" s="41">
        <f t="shared" si="47"/>
        <v>210.94193435410529</v>
      </c>
      <c r="AV146" s="42">
        <f t="shared" si="48"/>
        <v>12.864521788181422</v>
      </c>
      <c r="AW146" s="31">
        <f t="shared" si="49"/>
        <v>0.28137745515948326</v>
      </c>
      <c r="AX146" s="43" t="s">
        <v>1</v>
      </c>
      <c r="AY146" s="24" t="s">
        <v>1</v>
      </c>
      <c r="AZ146" s="44" t="s">
        <v>1</v>
      </c>
      <c r="BA146" s="45" t="s">
        <v>1</v>
      </c>
      <c r="BB146" s="24" t="s">
        <v>134</v>
      </c>
      <c r="BC146" s="28" t="s">
        <v>1</v>
      </c>
      <c r="BD146" s="24" t="s">
        <v>2</v>
      </c>
    </row>
    <row r="147" spans="1:56" ht="15.75" customHeight="1">
      <c r="A147" s="23" t="s">
        <v>1116</v>
      </c>
      <c r="B147" s="14" t="s">
        <v>1115</v>
      </c>
      <c r="C147" s="24" t="s">
        <v>1</v>
      </c>
      <c r="D147" s="23" t="s">
        <v>1117</v>
      </c>
      <c r="E147" s="25" t="s">
        <v>1118</v>
      </c>
      <c r="F147" s="23" t="s">
        <v>1119</v>
      </c>
      <c r="G147" s="25" t="s">
        <v>1</v>
      </c>
      <c r="H147" s="25" t="s">
        <v>1120</v>
      </c>
      <c r="I147" s="26">
        <f t="shared" si="40"/>
        <v>17.481264454820547</v>
      </c>
      <c r="J147" s="27">
        <v>57.204099999999997</v>
      </c>
      <c r="K147" s="27">
        <v>2.0799999999999999E-2</v>
      </c>
      <c r="L147" s="28" t="s">
        <v>124</v>
      </c>
      <c r="M147" s="29">
        <v>304.38053379695202</v>
      </c>
      <c r="N147" s="29">
        <f>66.8536890191106</f>
        <v>66.853689019110604</v>
      </c>
      <c r="O147" s="30">
        <v>5.9219999999999997</v>
      </c>
      <c r="P147" s="31">
        <v>4.0000000000000001E-3</v>
      </c>
      <c r="Q147" s="32" t="s">
        <v>125</v>
      </c>
      <c r="R147" s="31">
        <v>0.60199999999999998</v>
      </c>
      <c r="S147" s="31">
        <v>4.0000000000000001E-3</v>
      </c>
      <c r="T147" s="32" t="s">
        <v>126</v>
      </c>
      <c r="U147" s="33">
        <v>5.58</v>
      </c>
      <c r="V147" s="25" t="s">
        <v>166</v>
      </c>
      <c r="W147" s="23" t="s">
        <v>178</v>
      </c>
      <c r="X147" s="23" t="s">
        <v>334</v>
      </c>
      <c r="Y147" s="7">
        <v>5930</v>
      </c>
      <c r="Z147" s="24">
        <v>18</v>
      </c>
      <c r="AA147" s="28" t="s">
        <v>130</v>
      </c>
      <c r="AB147" s="34">
        <v>4.5827399999999997E-2</v>
      </c>
      <c r="AC147" s="35">
        <v>1.20039E-2</v>
      </c>
      <c r="AD147" s="28" t="s">
        <v>146</v>
      </c>
      <c r="AE147" s="31">
        <f t="shared" si="41"/>
        <v>0.99868116900234427</v>
      </c>
      <c r="AF147" s="31">
        <f t="shared" si="42"/>
        <v>0.53134990235836388</v>
      </c>
      <c r="AG147" s="25">
        <v>1.08</v>
      </c>
      <c r="AH147" s="10">
        <v>-0.1</v>
      </c>
      <c r="AI147" s="31">
        <v>0.02</v>
      </c>
      <c r="AJ147" s="24" t="s">
        <v>60</v>
      </c>
      <c r="AK147" s="23" t="s">
        <v>130</v>
      </c>
      <c r="AL147" s="5">
        <v>4.4800000000000004</v>
      </c>
      <c r="AM147" s="31">
        <v>0.03</v>
      </c>
      <c r="AN147" s="23" t="s">
        <v>130</v>
      </c>
      <c r="AO147" s="36">
        <v>-4.9269999999999996</v>
      </c>
      <c r="AP147" s="23" t="s">
        <v>334</v>
      </c>
      <c r="AQ147" s="37">
        <f t="shared" si="43"/>
        <v>1.0541773967251571</v>
      </c>
      <c r="AR147" s="38">
        <f t="shared" si="44"/>
        <v>60.303269220005554</v>
      </c>
      <c r="AS147" s="39">
        <f t="shared" si="45"/>
        <v>1.041332564115163E-10</v>
      </c>
      <c r="AT147" s="40">
        <f t="shared" si="46"/>
        <v>30.536026375804241</v>
      </c>
      <c r="AU147" s="41">
        <f t="shared" si="47"/>
        <v>380.41397160257918</v>
      </c>
      <c r="AV147" s="42">
        <f t="shared" si="48"/>
        <v>8.4347804292434887</v>
      </c>
      <c r="AW147" s="31">
        <f t="shared" si="49"/>
        <v>0.16770393124015817</v>
      </c>
      <c r="AX147" s="43" t="s">
        <v>1</v>
      </c>
      <c r="AY147" s="24" t="s">
        <v>1</v>
      </c>
      <c r="AZ147" s="44" t="s">
        <v>1</v>
      </c>
      <c r="BA147" s="45" t="s">
        <v>1</v>
      </c>
      <c r="BB147" s="24" t="s">
        <v>134</v>
      </c>
      <c r="BC147" s="28" t="s">
        <v>1</v>
      </c>
      <c r="BD147" s="50" t="s">
        <v>4</v>
      </c>
    </row>
    <row r="148" spans="1:56" ht="15.75" customHeight="1">
      <c r="A148" s="23" t="s">
        <v>1192</v>
      </c>
      <c r="B148" s="14" t="s">
        <v>1191</v>
      </c>
      <c r="C148" s="24" t="s">
        <v>1</v>
      </c>
      <c r="D148" s="23" t="s">
        <v>1193</v>
      </c>
      <c r="E148" s="25" t="s">
        <v>1194</v>
      </c>
      <c r="F148" s="23" t="s">
        <v>1195</v>
      </c>
      <c r="G148" s="25" t="s">
        <v>1196</v>
      </c>
      <c r="H148" s="25" t="s">
        <v>1197</v>
      </c>
      <c r="I148" s="26">
        <f t="shared" si="40"/>
        <v>14.633361136719492</v>
      </c>
      <c r="J148" s="27">
        <v>68.337000000000003</v>
      </c>
      <c r="K148" s="27">
        <v>0.18229999999999999</v>
      </c>
      <c r="L148" s="28" t="s">
        <v>124</v>
      </c>
      <c r="M148" s="29">
        <v>311.52388594370001</v>
      </c>
      <c r="N148" s="29">
        <v>-25.270897543099998</v>
      </c>
      <c r="O148" s="30">
        <v>4.1369999999999996</v>
      </c>
      <c r="P148" s="31">
        <v>4.0000000000000001E-3</v>
      </c>
      <c r="Q148" s="32" t="s">
        <v>125</v>
      </c>
      <c r="R148" s="31">
        <v>0.42599999999999999</v>
      </c>
      <c r="S148" s="31">
        <v>3.0000000000000001E-3</v>
      </c>
      <c r="T148" s="32" t="s">
        <v>142</v>
      </c>
      <c r="U148" s="33">
        <v>3.88</v>
      </c>
      <c r="V148" s="25" t="s">
        <v>143</v>
      </c>
      <c r="W148" s="23" t="s">
        <v>839</v>
      </c>
      <c r="X148" s="23" t="s">
        <v>145</v>
      </c>
      <c r="Y148" s="7">
        <v>6638</v>
      </c>
      <c r="Z148" s="24">
        <v>80</v>
      </c>
      <c r="AA148" s="28" t="s">
        <v>1055</v>
      </c>
      <c r="AB148" s="34">
        <v>0.54777200000000004</v>
      </c>
      <c r="AC148" s="35">
        <v>1.7836399999999999E-2</v>
      </c>
      <c r="AD148" s="28" t="s">
        <v>146</v>
      </c>
      <c r="AE148" s="31">
        <f t="shared" si="41"/>
        <v>1.4204764943647508</v>
      </c>
      <c r="AF148" s="31">
        <f t="shared" si="42"/>
        <v>0.90285196549047608</v>
      </c>
      <c r="AG148" s="25">
        <v>1.33</v>
      </c>
      <c r="AH148" s="10">
        <v>0.04</v>
      </c>
      <c r="AI148" s="31">
        <v>0.1</v>
      </c>
      <c r="AJ148" s="24" t="s">
        <v>60</v>
      </c>
      <c r="AK148" s="23" t="s">
        <v>1198</v>
      </c>
      <c r="AL148" s="5">
        <v>4.2377000000000002</v>
      </c>
      <c r="AM148" s="31">
        <v>8.2100000000000006E-2</v>
      </c>
      <c r="AN148" s="23" t="s">
        <v>146</v>
      </c>
      <c r="AO148" s="36">
        <v>-4.04</v>
      </c>
      <c r="AP148" s="23" t="s">
        <v>145</v>
      </c>
      <c r="AQ148" s="37">
        <f t="shared" si="43"/>
        <v>1.8788235708381649</v>
      </c>
      <c r="AR148" s="38">
        <f t="shared" si="44"/>
        <v>128.39316636036767</v>
      </c>
      <c r="AS148" s="39">
        <f t="shared" si="45"/>
        <v>3.2782709832242941E-11</v>
      </c>
      <c r="AT148" s="40">
        <f t="shared" si="46"/>
        <v>30.090887875804238</v>
      </c>
      <c r="AU148" s="41">
        <f t="shared" si="47"/>
        <v>815.64460194887442</v>
      </c>
      <c r="AV148" s="42">
        <f t="shared" si="48"/>
        <v>5.6934261134303803</v>
      </c>
      <c r="AW148" s="31">
        <f t="shared" si="49"/>
        <v>0.2899455247715218</v>
      </c>
      <c r="AX148" s="43" t="s">
        <v>1199</v>
      </c>
      <c r="AY148" s="24" t="s">
        <v>2</v>
      </c>
      <c r="AZ148" s="44">
        <v>11.4</v>
      </c>
      <c r="BA148" s="45">
        <v>12.4</v>
      </c>
      <c r="BB148" s="24" t="s">
        <v>134</v>
      </c>
      <c r="BC148" s="28" t="s">
        <v>1</v>
      </c>
      <c r="BD148" s="50" t="s">
        <v>4</v>
      </c>
    </row>
    <row r="149" spans="1:56" ht="15.75" customHeight="1">
      <c r="A149" s="23" t="s">
        <v>1423</v>
      </c>
      <c r="B149" s="14" t="s">
        <v>1422</v>
      </c>
      <c r="C149" s="24" t="s">
        <v>1</v>
      </c>
      <c r="D149" s="23" t="s">
        <v>1424</v>
      </c>
      <c r="E149" s="25" t="s">
        <v>1425</v>
      </c>
      <c r="F149" s="23" t="s">
        <v>1426</v>
      </c>
      <c r="G149" s="25" t="s">
        <v>1</v>
      </c>
      <c r="H149" s="25" t="s">
        <v>1427</v>
      </c>
      <c r="I149" s="26">
        <f t="shared" si="40"/>
        <v>21.102121607306401</v>
      </c>
      <c r="J149" s="27">
        <v>47.388599999999997</v>
      </c>
      <c r="K149" s="27">
        <v>6.9599999999999995E-2</v>
      </c>
      <c r="L149" s="28" t="s">
        <v>124</v>
      </c>
      <c r="M149" s="29">
        <v>314.19721527297003</v>
      </c>
      <c r="N149" s="29">
        <v>-26.296377869299999</v>
      </c>
      <c r="O149" s="30">
        <v>5.7089999999999996</v>
      </c>
      <c r="P149" s="31">
        <v>1.4E-2</v>
      </c>
      <c r="Q149" s="32" t="s">
        <v>125</v>
      </c>
      <c r="R149" s="31">
        <v>0.501</v>
      </c>
      <c r="S149" s="31">
        <v>1E-3</v>
      </c>
      <c r="T149" s="32" t="s">
        <v>177</v>
      </c>
      <c r="U149" s="33">
        <v>5.3920000000000003</v>
      </c>
      <c r="V149" s="25" t="s">
        <v>189</v>
      </c>
      <c r="W149" s="23" t="s">
        <v>344</v>
      </c>
      <c r="X149" s="23" t="s">
        <v>145</v>
      </c>
      <c r="Y149" s="7">
        <v>6270</v>
      </c>
      <c r="Z149" s="24">
        <v>27</v>
      </c>
      <c r="AA149" s="28" t="s">
        <v>130</v>
      </c>
      <c r="AB149" s="34">
        <v>0.28887000000000002</v>
      </c>
      <c r="AC149" s="35">
        <v>1.55858E-2</v>
      </c>
      <c r="AD149" s="28" t="s">
        <v>146</v>
      </c>
      <c r="AE149" s="31">
        <f t="shared" si="41"/>
        <v>1.1817414423635717</v>
      </c>
      <c r="AF149" s="31">
        <f t="shared" si="42"/>
        <v>0.52086230862504124</v>
      </c>
      <c r="AG149" s="54">
        <v>1.2</v>
      </c>
      <c r="AH149" s="10">
        <v>-0.01</v>
      </c>
      <c r="AI149" s="31">
        <v>0.05</v>
      </c>
      <c r="AJ149" s="24" t="s">
        <v>60</v>
      </c>
      <c r="AK149" s="23" t="s">
        <v>130</v>
      </c>
      <c r="AL149" s="5">
        <v>4.3499999999999996</v>
      </c>
      <c r="AM149" s="31">
        <v>7.0000000000000007E-2</v>
      </c>
      <c r="AN149" s="23" t="s">
        <v>130</v>
      </c>
      <c r="AO149" s="36">
        <v>-4.49</v>
      </c>
      <c r="AP149" s="23" t="s">
        <v>191</v>
      </c>
      <c r="AQ149" s="37">
        <f t="shared" si="43"/>
        <v>1.3945529220298316</v>
      </c>
      <c r="AR149" s="38">
        <f t="shared" si="44"/>
        <v>66.085910600902864</v>
      </c>
      <c r="AS149" s="39">
        <f t="shared" si="45"/>
        <v>5.9504094355930389E-11</v>
      </c>
      <c r="AT149" s="40">
        <f t="shared" si="46"/>
        <v>30.955632875804238</v>
      </c>
      <c r="AU149" s="41">
        <f t="shared" si="47"/>
        <v>549.11039312727451</v>
      </c>
      <c r="AV149" s="42">
        <f t="shared" si="48"/>
        <v>6.9571983680781964</v>
      </c>
      <c r="AW149" s="31">
        <f t="shared" si="49"/>
        <v>0.16540695779246892</v>
      </c>
      <c r="AX149" s="43" t="s">
        <v>1</v>
      </c>
      <c r="AY149" s="24" t="s">
        <v>1</v>
      </c>
      <c r="AZ149" s="44" t="s">
        <v>1</v>
      </c>
      <c r="BA149" s="45" t="s">
        <v>1</v>
      </c>
      <c r="BB149" s="24" t="s">
        <v>5</v>
      </c>
      <c r="BC149" s="46" t="s">
        <v>564</v>
      </c>
      <c r="BD149" s="50" t="s">
        <v>4</v>
      </c>
    </row>
    <row r="150" spans="1:56" ht="15.75" customHeight="1">
      <c r="A150" s="23" t="s">
        <v>118</v>
      </c>
      <c r="B150" s="14" t="s">
        <v>117</v>
      </c>
      <c r="C150" s="24" t="s">
        <v>1</v>
      </c>
      <c r="D150" s="23" t="s">
        <v>119</v>
      </c>
      <c r="E150" s="25" t="s">
        <v>120</v>
      </c>
      <c r="F150" s="23" t="s">
        <v>121</v>
      </c>
      <c r="G150" s="25" t="s">
        <v>122</v>
      </c>
      <c r="H150" s="25" t="s">
        <v>123</v>
      </c>
      <c r="I150" s="26">
        <f t="shared" si="40"/>
        <v>3.4965658478525321</v>
      </c>
      <c r="J150" s="27">
        <v>285.99489999999997</v>
      </c>
      <c r="K150" s="27">
        <v>5.9900000000000002E-2</v>
      </c>
      <c r="L150" s="28" t="s">
        <v>124</v>
      </c>
      <c r="M150" s="29">
        <v>316.72474828959201</v>
      </c>
      <c r="N150" s="29">
        <f>38.7494173194369</f>
        <v>38.749417319436901</v>
      </c>
      <c r="O150" s="30">
        <v>5.2110000000000003</v>
      </c>
      <c r="P150" s="31">
        <v>3.0000000000000001E-3</v>
      </c>
      <c r="Q150" s="32" t="s">
        <v>125</v>
      </c>
      <c r="R150" s="31">
        <v>1.069</v>
      </c>
      <c r="S150" s="31">
        <v>1.4999999999999999E-2</v>
      </c>
      <c r="T150" s="32" t="s">
        <v>126</v>
      </c>
      <c r="U150" s="33">
        <v>4.5030000000000001</v>
      </c>
      <c r="V150" s="25" t="s">
        <v>127</v>
      </c>
      <c r="W150" s="23" t="s">
        <v>128</v>
      </c>
      <c r="X150" s="23" t="s">
        <v>129</v>
      </c>
      <c r="Y150" s="7">
        <v>4441</v>
      </c>
      <c r="Z150" s="24">
        <v>37</v>
      </c>
      <c r="AA150" s="28" t="s">
        <v>130</v>
      </c>
      <c r="AB150" s="34">
        <v>-0.846557</v>
      </c>
      <c r="AC150" s="35">
        <v>9.4368300000000002E-3</v>
      </c>
      <c r="AD150" s="28" t="s">
        <v>131</v>
      </c>
      <c r="AE150" s="31">
        <f t="shared" si="41"/>
        <v>0.63735662044485308</v>
      </c>
      <c r="AF150" s="31">
        <f t="shared" si="42"/>
        <v>1.6953812545853595</v>
      </c>
      <c r="AG150" s="25">
        <v>0.68</v>
      </c>
      <c r="AH150" s="10">
        <v>-0.13</v>
      </c>
      <c r="AI150" s="31">
        <v>0.03</v>
      </c>
      <c r="AJ150" s="24" t="s">
        <v>60</v>
      </c>
      <c r="AK150" s="23" t="s">
        <v>130</v>
      </c>
      <c r="AL150" s="5">
        <v>4.51</v>
      </c>
      <c r="AM150" s="31">
        <v>0.04</v>
      </c>
      <c r="AN150" s="23" t="s">
        <v>130</v>
      </c>
      <c r="AO150" s="36">
        <v>-4.7649999999999997</v>
      </c>
      <c r="AP150" s="23" t="s">
        <v>132</v>
      </c>
      <c r="AQ150" s="37">
        <f t="shared" si="43"/>
        <v>0.37733014284339966</v>
      </c>
      <c r="AR150" s="38">
        <f t="shared" si="44"/>
        <v>107.91449646948378</v>
      </c>
      <c r="AS150" s="39">
        <f t="shared" si="45"/>
        <v>8.127815743966146E-10</v>
      </c>
      <c r="AT150" s="40">
        <f t="shared" si="46"/>
        <v>27.228065375804235</v>
      </c>
      <c r="AU150" s="41">
        <f t="shared" si="47"/>
        <v>102.66574912679809</v>
      </c>
      <c r="AV150" s="42">
        <f t="shared" si="48"/>
        <v>17.767540050934901</v>
      </c>
      <c r="AW150" s="31">
        <f t="shared" si="49"/>
        <v>0.47664716855821909</v>
      </c>
      <c r="AX150" s="43" t="s">
        <v>133</v>
      </c>
      <c r="AY150" s="24" t="s">
        <v>2</v>
      </c>
      <c r="AZ150" s="44">
        <v>19.600000000000001</v>
      </c>
      <c r="BA150" s="45">
        <v>0.85</v>
      </c>
      <c r="BB150" s="24" t="s">
        <v>134</v>
      </c>
      <c r="BC150" s="28" t="s">
        <v>1</v>
      </c>
      <c r="BD150" s="24" t="s">
        <v>2</v>
      </c>
    </row>
    <row r="151" spans="1:56" ht="18" customHeight="1">
      <c r="A151" s="23" t="s">
        <v>289</v>
      </c>
      <c r="B151" s="14" t="s">
        <v>288</v>
      </c>
      <c r="C151" s="24" t="s">
        <v>1</v>
      </c>
      <c r="D151" s="23" t="s">
        <v>290</v>
      </c>
      <c r="E151" s="25" t="s">
        <v>291</v>
      </c>
      <c r="F151" s="23" t="s">
        <v>292</v>
      </c>
      <c r="G151" s="25" t="s">
        <v>293</v>
      </c>
      <c r="H151" s="25" t="s">
        <v>294</v>
      </c>
      <c r="I151" s="26">
        <f t="shared" si="40"/>
        <v>3.496437479851779</v>
      </c>
      <c r="J151" s="27">
        <v>286.00540000000001</v>
      </c>
      <c r="K151" s="27">
        <v>2.8899999999999999E-2</v>
      </c>
      <c r="L151" s="28" t="s">
        <v>124</v>
      </c>
      <c r="M151" s="29">
        <v>316.730266018527</v>
      </c>
      <c r="N151" s="29">
        <f>38.7420440332956</f>
        <v>38.742044033295599</v>
      </c>
      <c r="O151" s="30">
        <v>6.0430000000000001</v>
      </c>
      <c r="P151" s="31">
        <v>2E-3</v>
      </c>
      <c r="Q151" s="32" t="s">
        <v>125</v>
      </c>
      <c r="R151" s="31">
        <v>1.3089999999999999</v>
      </c>
      <c r="S151" s="31">
        <v>1.2E-2</v>
      </c>
      <c r="T151" s="32" t="s">
        <v>126</v>
      </c>
      <c r="U151" s="33">
        <v>5.1970000000000001</v>
      </c>
      <c r="V151" s="25" t="s">
        <v>189</v>
      </c>
      <c r="W151" s="23" t="s">
        <v>295</v>
      </c>
      <c r="X151" s="23" t="s">
        <v>129</v>
      </c>
      <c r="Y151" s="7">
        <v>4107</v>
      </c>
      <c r="Z151" s="24">
        <v>51</v>
      </c>
      <c r="AA151" s="28" t="s">
        <v>130</v>
      </c>
      <c r="AB151" s="34">
        <v>-1.1091</v>
      </c>
      <c r="AC151" s="35">
        <v>1.4984000000000001E-2</v>
      </c>
      <c r="AD151" s="28" t="s">
        <v>131</v>
      </c>
      <c r="AE151" s="31">
        <f t="shared" si="41"/>
        <v>0.5508370477301533</v>
      </c>
      <c r="AF151" s="31">
        <f t="shared" si="42"/>
        <v>1.4652912693881319</v>
      </c>
      <c r="AG151" s="25">
        <v>0.63</v>
      </c>
      <c r="AH151" s="10">
        <v>-0.21</v>
      </c>
      <c r="AI151" s="31">
        <v>7.0000000000000007E-2</v>
      </c>
      <c r="AJ151" s="24" t="s">
        <v>60</v>
      </c>
      <c r="AK151" s="23" t="s">
        <v>130</v>
      </c>
      <c r="AL151" s="5">
        <v>4.47</v>
      </c>
      <c r="AM151" s="31">
        <v>0.08</v>
      </c>
      <c r="AN151" s="23" t="s">
        <v>130</v>
      </c>
      <c r="AO151" s="36">
        <v>-4.891</v>
      </c>
      <c r="AP151" s="23" t="s">
        <v>132</v>
      </c>
      <c r="AQ151" s="37">
        <f t="shared" si="43"/>
        <v>0.27890095412657712</v>
      </c>
      <c r="AR151" s="38">
        <f t="shared" si="44"/>
        <v>79.767178945353336</v>
      </c>
      <c r="AS151" s="39">
        <f t="shared" si="45"/>
        <v>1.4877050926713691E-9</v>
      </c>
      <c r="AT151" s="40">
        <f t="shared" si="46"/>
        <v>27.265707875804239</v>
      </c>
      <c r="AU151" s="41">
        <f t="shared" si="47"/>
        <v>67.780147885941929</v>
      </c>
      <c r="AV151" s="42">
        <f t="shared" si="48"/>
        <v>21.470750967256325</v>
      </c>
      <c r="AW151" s="31">
        <f t="shared" si="49"/>
        <v>0.38028555142607756</v>
      </c>
      <c r="AX151" s="43" t="s">
        <v>133</v>
      </c>
      <c r="AY151" s="24" t="s">
        <v>3</v>
      </c>
      <c r="AZ151" s="44">
        <v>19.600000000000001</v>
      </c>
      <c r="BA151" s="45">
        <v>-0.85</v>
      </c>
      <c r="BB151" s="24" t="s">
        <v>134</v>
      </c>
      <c r="BC151" s="28" t="s">
        <v>1</v>
      </c>
      <c r="BD151" s="24" t="s">
        <v>2</v>
      </c>
    </row>
    <row r="152" spans="1:56" ht="18.75" customHeight="1">
      <c r="A152" s="23" t="s">
        <v>308</v>
      </c>
      <c r="B152" s="14" t="s">
        <v>307</v>
      </c>
      <c r="C152" s="24" t="s">
        <v>1</v>
      </c>
      <c r="D152" s="23" t="s">
        <v>309</v>
      </c>
      <c r="E152" s="25" t="s">
        <v>1</v>
      </c>
      <c r="F152" s="23" t="s">
        <v>310</v>
      </c>
      <c r="G152" s="25" t="s">
        <v>311</v>
      </c>
      <c r="H152" s="25" t="s">
        <v>312</v>
      </c>
      <c r="I152" s="26">
        <f t="shared" si="40"/>
        <v>3.9696338886057219</v>
      </c>
      <c r="J152" s="27">
        <v>251.91239999999999</v>
      </c>
      <c r="K152" s="27">
        <v>3.5200000000000002E-2</v>
      </c>
      <c r="L152" s="28" t="s">
        <v>124</v>
      </c>
      <c r="M152" s="29">
        <v>319.31362111707199</v>
      </c>
      <c r="N152" s="29">
        <v>-38.867362205161399</v>
      </c>
      <c r="O152" s="30">
        <v>6.6479999999999997</v>
      </c>
      <c r="P152" s="31">
        <v>2E-3</v>
      </c>
      <c r="Q152" s="32" t="s">
        <v>125</v>
      </c>
      <c r="R152" s="31">
        <v>1.397</v>
      </c>
      <c r="S152" s="31">
        <v>2E-3</v>
      </c>
      <c r="T152" s="32" t="s">
        <v>126</v>
      </c>
      <c r="U152" s="33">
        <v>5.77</v>
      </c>
      <c r="V152" s="25" t="s">
        <v>143</v>
      </c>
      <c r="W152" s="23" t="s">
        <v>313</v>
      </c>
      <c r="X152" s="23" t="s">
        <v>314</v>
      </c>
      <c r="Y152" s="7">
        <v>3599</v>
      </c>
      <c r="Z152" s="24">
        <v>52</v>
      </c>
      <c r="AA152" s="28" t="s">
        <v>315</v>
      </c>
      <c r="AB152" s="34">
        <v>-0.98034399999999999</v>
      </c>
      <c r="AC152" s="35">
        <v>7.3623099999999997E-2</v>
      </c>
      <c r="AD152" s="28" t="s">
        <v>146</v>
      </c>
      <c r="AE152" s="31">
        <f t="shared" si="41"/>
        <v>0.83193013183783748</v>
      </c>
      <c r="AF152" s="31">
        <f t="shared" si="42"/>
        <v>1.9492295511809425</v>
      </c>
      <c r="AG152" s="25">
        <v>0.49</v>
      </c>
      <c r="AH152" s="10">
        <v>-0.39</v>
      </c>
      <c r="AI152" s="31">
        <v>0.06</v>
      </c>
      <c r="AJ152" s="24" t="s">
        <v>60</v>
      </c>
      <c r="AK152" s="23" t="s">
        <v>316</v>
      </c>
      <c r="AL152" s="5">
        <v>4.78</v>
      </c>
      <c r="AM152" s="31">
        <v>0.02</v>
      </c>
      <c r="AN152" s="23" t="s">
        <v>317</v>
      </c>
      <c r="AO152" s="36">
        <v>-4.6050000000000004</v>
      </c>
      <c r="AP152" s="23" t="s">
        <v>318</v>
      </c>
      <c r="AQ152" s="37">
        <f t="shared" si="43"/>
        <v>0.32346552477226082</v>
      </c>
      <c r="AR152" s="38">
        <f t="shared" si="44"/>
        <v>81.484976662639681</v>
      </c>
      <c r="AS152" s="39">
        <f t="shared" si="45"/>
        <v>1.1060145738866387E-9</v>
      </c>
      <c r="AT152" s="40">
        <f t="shared" si="46"/>
        <v>28.160597875804235</v>
      </c>
      <c r="AU152" s="41">
        <f t="shared" si="47"/>
        <v>95.993482337403151</v>
      </c>
      <c r="AV152" s="42">
        <f t="shared" si="48"/>
        <v>22.606351155468694</v>
      </c>
      <c r="AW152" s="31">
        <f t="shared" si="49"/>
        <v>0.49946792874529561</v>
      </c>
      <c r="AX152" s="43" t="s">
        <v>1</v>
      </c>
      <c r="AY152" s="24" t="s">
        <v>1</v>
      </c>
      <c r="AZ152" s="44" t="s">
        <v>1</v>
      </c>
      <c r="BA152" s="45" t="s">
        <v>1</v>
      </c>
      <c r="BB152" s="24" t="s">
        <v>134</v>
      </c>
      <c r="BC152" s="28" t="s">
        <v>1</v>
      </c>
      <c r="BD152" s="24" t="s">
        <v>2</v>
      </c>
    </row>
    <row r="153" spans="1:56" ht="15.75" customHeight="1">
      <c r="A153" s="23" t="s">
        <v>220</v>
      </c>
      <c r="B153" s="14" t="s">
        <v>219</v>
      </c>
      <c r="C153" s="24" t="s">
        <v>1</v>
      </c>
      <c r="D153" s="23" t="s">
        <v>221</v>
      </c>
      <c r="E153" s="25" t="s">
        <v>222</v>
      </c>
      <c r="F153" s="23" t="s">
        <v>223</v>
      </c>
      <c r="G153" s="25" t="s">
        <v>224</v>
      </c>
      <c r="H153" s="25" t="s">
        <v>225</v>
      </c>
      <c r="I153" s="26">
        <f t="shared" si="40"/>
        <v>9.2583848562450584</v>
      </c>
      <c r="J153" s="27">
        <v>108.0102</v>
      </c>
      <c r="K153" s="27">
        <v>0.1061</v>
      </c>
      <c r="L153" s="28" t="s">
        <v>124</v>
      </c>
      <c r="M153" s="29">
        <v>321.61085409436299</v>
      </c>
      <c r="N153" s="29">
        <v>-65.366198071533603</v>
      </c>
      <c r="O153" s="30">
        <v>4.2290000000000001</v>
      </c>
      <c r="P153" s="31">
        <v>4.0000000000000001E-3</v>
      </c>
      <c r="Q153" s="32" t="s">
        <v>125</v>
      </c>
      <c r="R153" s="31">
        <v>0.48299999999999998</v>
      </c>
      <c r="S153" s="31">
        <v>6.0000000000000001E-3</v>
      </c>
      <c r="T153" s="32" t="s">
        <v>177</v>
      </c>
      <c r="U153" s="33">
        <v>3.91</v>
      </c>
      <c r="V153" s="25" t="s">
        <v>143</v>
      </c>
      <c r="W153" s="23" t="s">
        <v>226</v>
      </c>
      <c r="X153" s="23" t="s">
        <v>145</v>
      </c>
      <c r="Y153" s="7">
        <v>6095</v>
      </c>
      <c r="Z153" s="24">
        <v>24</v>
      </c>
      <c r="AA153" s="28" t="s">
        <v>130</v>
      </c>
      <c r="AB153" s="34">
        <v>0.16594999999999999</v>
      </c>
      <c r="AC153" s="35">
        <v>1.4317699999999999E-2</v>
      </c>
      <c r="AD153" s="28" t="s">
        <v>146</v>
      </c>
      <c r="AE153" s="31">
        <f t="shared" si="41"/>
        <v>1.0855507401064206</v>
      </c>
      <c r="AF153" s="31">
        <f t="shared" si="42"/>
        <v>1.0905397119180906</v>
      </c>
      <c r="AG153" s="25">
        <v>1.1399999999999999</v>
      </c>
      <c r="AH153" s="10">
        <v>-0.7</v>
      </c>
      <c r="AI153" s="31">
        <v>0.02</v>
      </c>
      <c r="AJ153" s="24" t="s">
        <v>60</v>
      </c>
      <c r="AK153" s="23" t="s">
        <v>130</v>
      </c>
      <c r="AL153" s="5">
        <v>4.3</v>
      </c>
      <c r="AM153" s="31">
        <v>0.04</v>
      </c>
      <c r="AN153" s="23" t="s">
        <v>130</v>
      </c>
      <c r="AO153" s="36">
        <v>-4.4909999999999997</v>
      </c>
      <c r="AP153" s="23" t="s">
        <v>145</v>
      </c>
      <c r="AQ153" s="37">
        <f t="shared" si="43"/>
        <v>1.2105284479258172</v>
      </c>
      <c r="AR153" s="38">
        <f t="shared" si="44"/>
        <v>130.74941976615708</v>
      </c>
      <c r="AS153" s="39">
        <f t="shared" si="45"/>
        <v>7.8970856750978915E-11</v>
      </c>
      <c r="AT153" s="40">
        <f t="shared" si="46"/>
        <v>29.16633287580424</v>
      </c>
      <c r="AU153" s="41">
        <f t="shared" si="47"/>
        <v>455.62533095740042</v>
      </c>
      <c r="AV153" s="42">
        <f t="shared" si="48"/>
        <v>7.6613020297910674</v>
      </c>
      <c r="AW153" s="31">
        <f t="shared" si="49"/>
        <v>0.34447765850307682</v>
      </c>
      <c r="AX153" s="43" t="s">
        <v>1</v>
      </c>
      <c r="AY153" s="24" t="s">
        <v>1</v>
      </c>
      <c r="AZ153" s="44" t="s">
        <v>1</v>
      </c>
      <c r="BA153" s="45" t="s">
        <v>1</v>
      </c>
      <c r="BB153" s="24" t="s">
        <v>134</v>
      </c>
      <c r="BC153" s="28" t="s">
        <v>1</v>
      </c>
      <c r="BD153" s="24" t="s">
        <v>2</v>
      </c>
    </row>
    <row r="154" spans="1:56" ht="15.75" customHeight="1">
      <c r="A154" s="23" t="s">
        <v>1360</v>
      </c>
      <c r="B154" s="14" t="s">
        <v>1359</v>
      </c>
      <c r="C154" s="24" t="s">
        <v>1</v>
      </c>
      <c r="D154" s="23" t="s">
        <v>1361</v>
      </c>
      <c r="E154" s="25" t="s">
        <v>1362</v>
      </c>
      <c r="F154" s="23" t="s">
        <v>1363</v>
      </c>
      <c r="G154" s="25" t="s">
        <v>1364</v>
      </c>
      <c r="H154" s="25" t="s">
        <v>1365</v>
      </c>
      <c r="I154" s="26">
        <f t="shared" si="40"/>
        <v>18.133023863059403</v>
      </c>
      <c r="J154" s="27">
        <v>55.148000000000003</v>
      </c>
      <c r="K154" s="27">
        <v>3.4799999999999998E-2</v>
      </c>
      <c r="L154" s="28" t="s">
        <v>124</v>
      </c>
      <c r="M154" s="29">
        <v>326.13054144213999</v>
      </c>
      <c r="N154" s="29">
        <f>14.7719398035</f>
        <v>14.7719398035</v>
      </c>
      <c r="O154" s="30">
        <v>5.9420000000000002</v>
      </c>
      <c r="P154" s="31">
        <v>1.0999999999999999E-2</v>
      </c>
      <c r="Q154" s="32" t="s">
        <v>177</v>
      </c>
      <c r="R154" s="31">
        <v>0.58699999999999997</v>
      </c>
      <c r="S154" s="31">
        <v>2E-3</v>
      </c>
      <c r="T154" s="32" t="s">
        <v>177</v>
      </c>
      <c r="U154" s="33">
        <v>5.59</v>
      </c>
      <c r="V154" s="25" t="s">
        <v>166</v>
      </c>
      <c r="W154" s="23" t="s">
        <v>1366</v>
      </c>
      <c r="X154" s="23" t="s">
        <v>334</v>
      </c>
      <c r="Y154" s="7">
        <v>5939</v>
      </c>
      <c r="Z154" s="24">
        <v>21</v>
      </c>
      <c r="AA154" s="23" t="s">
        <v>130</v>
      </c>
      <c r="AB154" s="34">
        <v>5.51986E-2</v>
      </c>
      <c r="AC154" s="35">
        <v>1.27992E-2</v>
      </c>
      <c r="AD154" s="28" t="s">
        <v>146</v>
      </c>
      <c r="AE154" s="31">
        <f t="shared" si="41"/>
        <v>1.0064569359519493</v>
      </c>
      <c r="AF154" s="31">
        <f t="shared" si="42"/>
        <v>0.51623987985235409</v>
      </c>
      <c r="AG154" s="25">
        <v>1.08</v>
      </c>
      <c r="AH154" s="10">
        <v>-0.06</v>
      </c>
      <c r="AI154" s="31">
        <v>0.02</v>
      </c>
      <c r="AJ154" s="24" t="s">
        <v>60</v>
      </c>
      <c r="AK154" s="23" t="s">
        <v>130</v>
      </c>
      <c r="AL154" s="5">
        <v>4.45</v>
      </c>
      <c r="AM154" s="31">
        <v>0.03</v>
      </c>
      <c r="AN154" s="23" t="s">
        <v>130</v>
      </c>
      <c r="AO154" s="36">
        <v>-4.4160000000000004</v>
      </c>
      <c r="AP154" s="23" t="s">
        <v>132</v>
      </c>
      <c r="AQ154" s="37">
        <f t="shared" si="43"/>
        <v>1.0656124845927395</v>
      </c>
      <c r="AR154" s="38">
        <f t="shared" si="44"/>
        <v>58.766397300320399</v>
      </c>
      <c r="AS154" s="39">
        <f t="shared" si="45"/>
        <v>1.019103398038955E-10</v>
      </c>
      <c r="AT154" s="40">
        <f t="shared" si="46"/>
        <v>30.569454375804238</v>
      </c>
      <c r="AU154" s="41">
        <f t="shared" si="47"/>
        <v>386.62048299856332</v>
      </c>
      <c r="AV154" s="42">
        <f t="shared" si="48"/>
        <v>8.3894015451139108</v>
      </c>
      <c r="AW154" s="31">
        <f t="shared" si="49"/>
        <v>0.16342987668096848</v>
      </c>
      <c r="AX154" s="43" t="s">
        <v>1367</v>
      </c>
      <c r="AY154" s="24" t="s">
        <v>2</v>
      </c>
      <c r="AZ154" s="44">
        <v>3</v>
      </c>
      <c r="BA154" s="45">
        <v>16.100000000000001</v>
      </c>
      <c r="BB154" s="24" t="s">
        <v>5</v>
      </c>
      <c r="BC154" s="46" t="s">
        <v>615</v>
      </c>
      <c r="BD154" s="50" t="s">
        <v>4</v>
      </c>
    </row>
    <row r="155" spans="1:56" ht="19.5" customHeight="1">
      <c r="A155" s="23" t="s">
        <v>1015</v>
      </c>
      <c r="B155" s="14" t="s">
        <v>1014</v>
      </c>
      <c r="C155" s="24" t="s">
        <v>1</v>
      </c>
      <c r="D155" s="23" t="s">
        <v>1016</v>
      </c>
      <c r="E155" s="25" t="s">
        <v>1017</v>
      </c>
      <c r="F155" s="23" t="s">
        <v>1018</v>
      </c>
      <c r="G155" s="25" t="s">
        <v>1</v>
      </c>
      <c r="H155" s="25" t="s">
        <v>1019</v>
      </c>
      <c r="I155" s="26">
        <f t="shared" si="40"/>
        <v>15.558947406090084</v>
      </c>
      <c r="J155" s="27">
        <v>64.271699999999996</v>
      </c>
      <c r="K155" s="27">
        <v>4.2999999999999997E-2</v>
      </c>
      <c r="L155" s="28" t="s">
        <v>124</v>
      </c>
      <c r="M155" s="29">
        <v>327.06562984757699</v>
      </c>
      <c r="N155" s="29">
        <v>-47.3036160814856</v>
      </c>
      <c r="O155" s="30">
        <v>5.5750000000000002</v>
      </c>
      <c r="P155" s="31">
        <v>3.0000000000000001E-3</v>
      </c>
      <c r="Q155" s="32" t="s">
        <v>125</v>
      </c>
      <c r="R155" s="31">
        <v>0.60099999999999998</v>
      </c>
      <c r="S155" s="31">
        <v>3.0000000000000001E-3</v>
      </c>
      <c r="T155" s="32" t="s">
        <v>126</v>
      </c>
      <c r="U155" s="33">
        <v>5.2350000000000003</v>
      </c>
      <c r="V155" s="25" t="s">
        <v>143</v>
      </c>
      <c r="W155" s="23" t="s">
        <v>1020</v>
      </c>
      <c r="X155" s="23" t="s">
        <v>145</v>
      </c>
      <c r="Y155" s="7">
        <v>5935</v>
      </c>
      <c r="Z155" s="24">
        <v>15</v>
      </c>
      <c r="AA155" s="23" t="s">
        <v>130</v>
      </c>
      <c r="AB155" s="34">
        <v>8.1678500000000001E-2</v>
      </c>
      <c r="AC155" s="35">
        <v>1.25393E-2</v>
      </c>
      <c r="AD155" s="28" t="s">
        <v>146</v>
      </c>
      <c r="AE155" s="31">
        <f t="shared" si="41"/>
        <v>1.0390114919978621</v>
      </c>
      <c r="AF155" s="31">
        <f t="shared" si="42"/>
        <v>0.62110743113743083</v>
      </c>
      <c r="AG155" s="25">
        <v>1.08</v>
      </c>
      <c r="AH155" s="10">
        <v>-0.03</v>
      </c>
      <c r="AI155" s="31">
        <v>0.02</v>
      </c>
      <c r="AJ155" s="24" t="s">
        <v>60</v>
      </c>
      <c r="AK155" s="23" t="s">
        <v>130</v>
      </c>
      <c r="AL155" s="5">
        <v>4.41</v>
      </c>
      <c r="AM155" s="31">
        <v>0.03</v>
      </c>
      <c r="AN155" s="23" t="s">
        <v>130</v>
      </c>
      <c r="AO155" s="36">
        <v>-4.8</v>
      </c>
      <c r="AP155" s="23" t="s">
        <v>147</v>
      </c>
      <c r="AQ155" s="37">
        <f t="shared" si="43"/>
        <v>1.0985991280774219</v>
      </c>
      <c r="AR155" s="38">
        <f t="shared" si="44"/>
        <v>70.608833580053641</v>
      </c>
      <c r="AS155" s="39">
        <f t="shared" si="45"/>
        <v>9.5882279345678222E-11</v>
      </c>
      <c r="AT155" s="40">
        <f t="shared" si="46"/>
        <v>30.28065412580424</v>
      </c>
      <c r="AU155" s="41">
        <f t="shared" si="47"/>
        <v>404.7107907202232</v>
      </c>
      <c r="AV155" s="42">
        <f t="shared" si="48"/>
        <v>8.2624911381497927</v>
      </c>
      <c r="AW155" s="31">
        <f t="shared" si="49"/>
        <v>0.19636379793035694</v>
      </c>
      <c r="AX155" s="43" t="s">
        <v>1021</v>
      </c>
      <c r="AY155" s="24" t="s">
        <v>2</v>
      </c>
      <c r="AZ155" s="44">
        <v>79</v>
      </c>
      <c r="BA155" s="45">
        <v>3.12</v>
      </c>
      <c r="BB155" s="24" t="s">
        <v>5</v>
      </c>
      <c r="BC155" s="46" t="s">
        <v>1022</v>
      </c>
      <c r="BD155" s="50" t="s">
        <v>4</v>
      </c>
    </row>
    <row r="156" spans="1:56" ht="15.75" customHeight="1">
      <c r="A156" s="23" t="s">
        <v>136</v>
      </c>
      <c r="B156" s="14" t="s">
        <v>135</v>
      </c>
      <c r="C156" s="24" t="s">
        <v>1</v>
      </c>
      <c r="D156" s="23" t="s">
        <v>137</v>
      </c>
      <c r="E156" s="25" t="s">
        <v>138</v>
      </c>
      <c r="F156" s="23" t="s">
        <v>139</v>
      </c>
      <c r="G156" s="25" t="s">
        <v>140</v>
      </c>
      <c r="H156" s="25" t="s">
        <v>141</v>
      </c>
      <c r="I156" s="26">
        <f t="shared" si="40"/>
        <v>3.6384395314999725</v>
      </c>
      <c r="J156" s="27">
        <v>274.84309999999999</v>
      </c>
      <c r="K156" s="27">
        <v>9.5600000000000004E-2</v>
      </c>
      <c r="L156" s="28" t="s">
        <v>124</v>
      </c>
      <c r="M156" s="29">
        <v>330.84022344234302</v>
      </c>
      <c r="N156" s="29">
        <v>-56.785978554365002</v>
      </c>
      <c r="O156" s="30">
        <v>4.6740000000000004</v>
      </c>
      <c r="P156" s="31">
        <v>5.0000000000000001E-3</v>
      </c>
      <c r="Q156" s="32" t="s">
        <v>125</v>
      </c>
      <c r="R156" s="31">
        <v>1.06</v>
      </c>
      <c r="S156" s="31">
        <v>7.0000000000000001E-3</v>
      </c>
      <c r="T156" s="32" t="s">
        <v>142</v>
      </c>
      <c r="U156" s="33">
        <v>4.0650000000000004</v>
      </c>
      <c r="V156" s="25" t="s">
        <v>143</v>
      </c>
      <c r="W156" s="23" t="s">
        <v>144</v>
      </c>
      <c r="X156" s="23" t="s">
        <v>145</v>
      </c>
      <c r="Y156" s="7">
        <v>4641</v>
      </c>
      <c r="Z156" s="24">
        <v>21</v>
      </c>
      <c r="AA156" s="23" t="s">
        <v>130</v>
      </c>
      <c r="AB156" s="34">
        <v>-0.65398000000000001</v>
      </c>
      <c r="AC156" s="35">
        <v>2.1037199999999999E-2</v>
      </c>
      <c r="AD156" s="28" t="s">
        <v>146</v>
      </c>
      <c r="AE156" s="31">
        <f t="shared" si="41"/>
        <v>0.72846620845450072</v>
      </c>
      <c r="AF156" s="31">
        <f t="shared" si="42"/>
        <v>1.8621764763743556</v>
      </c>
      <c r="AG156" s="25">
        <v>0.72</v>
      </c>
      <c r="AH156" s="10">
        <v>-0.13</v>
      </c>
      <c r="AI156" s="31">
        <v>0.03</v>
      </c>
      <c r="AJ156" s="24" t="s">
        <v>60</v>
      </c>
      <c r="AK156" s="23" t="s">
        <v>130</v>
      </c>
      <c r="AL156" s="5">
        <v>4.29</v>
      </c>
      <c r="AM156" s="31">
        <v>0.22</v>
      </c>
      <c r="AN156" s="23" t="s">
        <v>130</v>
      </c>
      <c r="AO156" s="36">
        <v>-4.5590000000000002</v>
      </c>
      <c r="AP156" s="23" t="s">
        <v>147</v>
      </c>
      <c r="AQ156" s="37">
        <f t="shared" si="43"/>
        <v>0.4709881711755165</v>
      </c>
      <c r="AR156" s="38">
        <f t="shared" si="44"/>
        <v>129.44784902920961</v>
      </c>
      <c r="AS156" s="39">
        <f t="shared" si="45"/>
        <v>5.2167118615172433E-10</v>
      </c>
      <c r="AT156" s="40">
        <f t="shared" si="46"/>
        <v>27.271507875804236</v>
      </c>
      <c r="AU156" s="41">
        <f t="shared" si="47"/>
        <v>139.13825058479264</v>
      </c>
      <c r="AV156" s="42">
        <f t="shared" si="48"/>
        <v>15.455080134648874</v>
      </c>
      <c r="AW156" s="31">
        <f t="shared" si="49"/>
        <v>0.53999343949943834</v>
      </c>
      <c r="AX156" s="43" t="s">
        <v>148</v>
      </c>
      <c r="AY156" s="24" t="s">
        <v>2</v>
      </c>
      <c r="AZ156" s="44">
        <v>403.1</v>
      </c>
      <c r="BA156" s="45">
        <v>19.170000000000002</v>
      </c>
      <c r="BB156" s="24" t="s">
        <v>134</v>
      </c>
      <c r="BC156" s="28" t="s">
        <v>1</v>
      </c>
      <c r="BD156" s="24" t="s">
        <v>2</v>
      </c>
    </row>
    <row r="157" spans="1:56" ht="15.75" customHeight="1">
      <c r="A157" s="23" t="s">
        <v>537</v>
      </c>
      <c r="B157" s="14" t="s">
        <v>536</v>
      </c>
      <c r="C157" s="24" t="s">
        <v>1</v>
      </c>
      <c r="D157" s="23" t="s">
        <v>538</v>
      </c>
      <c r="E157" s="25" t="s">
        <v>539</v>
      </c>
      <c r="F157" s="23" t="s">
        <v>540</v>
      </c>
      <c r="G157" s="25" t="s">
        <v>541</v>
      </c>
      <c r="H157" s="25" t="s">
        <v>542</v>
      </c>
      <c r="I157" s="26">
        <f t="shared" si="40"/>
        <v>18.457915030833945</v>
      </c>
      <c r="J157" s="27">
        <v>54.177300000000002</v>
      </c>
      <c r="K157" s="27">
        <v>9.4E-2</v>
      </c>
      <c r="L157" s="28" t="s">
        <v>124</v>
      </c>
      <c r="M157" s="29">
        <v>332.53658414455202</v>
      </c>
      <c r="N157" s="29">
        <v>-32.548408415086101</v>
      </c>
      <c r="O157" s="30">
        <v>4.9400000000000004</v>
      </c>
      <c r="P157" s="31">
        <v>0.01</v>
      </c>
      <c r="Q157" s="32" t="s">
        <v>126</v>
      </c>
      <c r="R157" s="31">
        <v>0.48799999999999999</v>
      </c>
      <c r="S157" s="31">
        <v>4.0000000000000001E-3</v>
      </c>
      <c r="T157" s="32" t="s">
        <v>142</v>
      </c>
      <c r="U157" s="33">
        <v>4.63</v>
      </c>
      <c r="V157" s="25" t="s">
        <v>166</v>
      </c>
      <c r="W157" s="23" t="s">
        <v>344</v>
      </c>
      <c r="X157" s="23" t="s">
        <v>145</v>
      </c>
      <c r="Y157" s="7">
        <v>6364</v>
      </c>
      <c r="Z157" s="24">
        <v>28</v>
      </c>
      <c r="AA157" s="23" t="s">
        <v>130</v>
      </c>
      <c r="AB157" s="34">
        <v>0.465063</v>
      </c>
      <c r="AC157" s="35">
        <v>1.5681500000000001E-2</v>
      </c>
      <c r="AD157" s="28" t="s">
        <v>146</v>
      </c>
      <c r="AE157" s="31">
        <f t="shared" si="41"/>
        <v>1.4050562325523848</v>
      </c>
      <c r="AF157" s="31">
        <f t="shared" si="42"/>
        <v>0.70800716098003169</v>
      </c>
      <c r="AG157" s="25">
        <v>1.25</v>
      </c>
      <c r="AH157" s="10">
        <v>0.1</v>
      </c>
      <c r="AI157" s="31">
        <v>0.02</v>
      </c>
      <c r="AJ157" s="24" t="s">
        <v>60</v>
      </c>
      <c r="AK157" s="23" t="s">
        <v>130</v>
      </c>
      <c r="AL157" s="5">
        <v>4.2</v>
      </c>
      <c r="AM157" s="31">
        <v>0.04</v>
      </c>
      <c r="AN157" s="23" t="s">
        <v>130</v>
      </c>
      <c r="AO157" s="36">
        <v>-4.9109999999999996</v>
      </c>
      <c r="AP157" s="23" t="s">
        <v>191</v>
      </c>
      <c r="AQ157" s="37">
        <f t="shared" si="43"/>
        <v>1.7081716116970502</v>
      </c>
      <c r="AR157" s="38">
        <f t="shared" si="44"/>
        <v>92.544125858394608</v>
      </c>
      <c r="AS157" s="39">
        <f t="shared" si="45"/>
        <v>3.9660104088094545E-11</v>
      </c>
      <c r="AT157" s="40">
        <f t="shared" si="46"/>
        <v>30.634115375804239</v>
      </c>
      <c r="AU157" s="41">
        <f t="shared" si="47"/>
        <v>729.35678980471789</v>
      </c>
      <c r="AV157" s="42">
        <f t="shared" si="48"/>
        <v>6.1591637835278377</v>
      </c>
      <c r="AW157" s="31">
        <f t="shared" si="49"/>
        <v>0.22236426029979869</v>
      </c>
      <c r="AX157" s="43" t="s">
        <v>1</v>
      </c>
      <c r="AY157" s="24" t="s">
        <v>1</v>
      </c>
      <c r="AZ157" s="44" t="s">
        <v>1</v>
      </c>
      <c r="BA157" s="45" t="s">
        <v>1</v>
      </c>
      <c r="BB157" s="24" t="s">
        <v>134</v>
      </c>
      <c r="BC157" s="28" t="s">
        <v>1</v>
      </c>
      <c r="BD157" s="24" t="s">
        <v>2</v>
      </c>
    </row>
    <row r="158" spans="1:56" ht="15.75" customHeight="1">
      <c r="A158" s="23" t="s">
        <v>779</v>
      </c>
      <c r="B158" s="14" t="s">
        <v>778</v>
      </c>
      <c r="C158" s="24" t="s">
        <v>2</v>
      </c>
      <c r="D158" s="23" t="s">
        <v>780</v>
      </c>
      <c r="E158" s="25" t="s">
        <v>781</v>
      </c>
      <c r="F158" s="23" t="s">
        <v>782</v>
      </c>
      <c r="G158" s="25" t="s">
        <v>1</v>
      </c>
      <c r="H158" s="25" t="s">
        <v>782</v>
      </c>
      <c r="I158" s="26">
        <f t="shared" si="40"/>
        <v>20.339755272064565</v>
      </c>
      <c r="J158" s="27">
        <v>49.1648</v>
      </c>
      <c r="K158" s="27">
        <v>0.1075</v>
      </c>
      <c r="L158" s="28" t="s">
        <v>124</v>
      </c>
      <c r="M158" s="29">
        <v>336.23486945563297</v>
      </c>
      <c r="N158" s="29">
        <v>-57.797455887944203</v>
      </c>
      <c r="O158" s="30">
        <v>5.3179999999999996</v>
      </c>
      <c r="P158" s="31">
        <v>2E-3</v>
      </c>
      <c r="Q158" s="32" t="s">
        <v>125</v>
      </c>
      <c r="R158" s="31">
        <v>0.66500000000000004</v>
      </c>
      <c r="S158" s="31">
        <v>1.2E-2</v>
      </c>
      <c r="T158" s="32" t="s">
        <v>126</v>
      </c>
      <c r="U158" s="33">
        <v>4.9370000000000003</v>
      </c>
      <c r="V158" s="25" t="s">
        <v>143</v>
      </c>
      <c r="W158" s="23" t="s">
        <v>233</v>
      </c>
      <c r="X158" s="23" t="s">
        <v>145</v>
      </c>
      <c r="Y158" s="7">
        <v>5660</v>
      </c>
      <c r="Z158" s="24">
        <v>18</v>
      </c>
      <c r="AA158" s="23" t="s">
        <v>130</v>
      </c>
      <c r="AB158" s="34">
        <v>0.43557800000000002</v>
      </c>
      <c r="AC158" s="35">
        <v>1.1557599999999999E-2</v>
      </c>
      <c r="AD158" s="28" t="s">
        <v>146</v>
      </c>
      <c r="AE158" s="31">
        <f t="shared" si="41"/>
        <v>1.7170331710878084</v>
      </c>
      <c r="AF158" s="31">
        <f t="shared" si="42"/>
        <v>0.78516249987499276</v>
      </c>
      <c r="AG158" s="25">
        <v>1.02</v>
      </c>
      <c r="AH158" s="10">
        <v>-0.03</v>
      </c>
      <c r="AI158" s="31">
        <v>0.03</v>
      </c>
      <c r="AJ158" s="24" t="s">
        <v>60</v>
      </c>
      <c r="AK158" s="23" t="s">
        <v>130</v>
      </c>
      <c r="AL158" s="5">
        <v>4.13</v>
      </c>
      <c r="AM158" s="31">
        <v>7.0000000000000007E-2</v>
      </c>
      <c r="AN158" s="23" t="s">
        <v>130</v>
      </c>
      <c r="AO158" s="36">
        <v>-5.07</v>
      </c>
      <c r="AP158" s="23" t="s">
        <v>147</v>
      </c>
      <c r="AQ158" s="37">
        <f t="shared" si="43"/>
        <v>1.6511593950358925</v>
      </c>
      <c r="AR158" s="38">
        <f t="shared" si="44"/>
        <v>81.178921425060651</v>
      </c>
      <c r="AS158" s="39">
        <f t="shared" si="45"/>
        <v>4.2446203285093761E-11</v>
      </c>
      <c r="AT158" s="40">
        <f t="shared" si="46"/>
        <v>30.867402875804238</v>
      </c>
      <c r="AU158" s="41">
        <f t="shared" si="47"/>
        <v>767.32827368870267</v>
      </c>
      <c r="AV158" s="42">
        <f t="shared" si="48"/>
        <v>6.9350232843868502</v>
      </c>
      <c r="AW158" s="31">
        <f t="shared" si="49"/>
        <v>0.23903926602241168</v>
      </c>
      <c r="AX158" s="43" t="s">
        <v>783</v>
      </c>
      <c r="AY158" s="24" t="s">
        <v>2</v>
      </c>
      <c r="AZ158" s="44">
        <v>23.6</v>
      </c>
      <c r="BA158" s="45">
        <v>7.68</v>
      </c>
      <c r="BB158" s="24" t="s">
        <v>134</v>
      </c>
      <c r="BC158" s="28" t="s">
        <v>1</v>
      </c>
      <c r="BD158" s="24" t="s">
        <v>3</v>
      </c>
    </row>
    <row r="159" spans="1:56" ht="15.75" customHeight="1">
      <c r="A159" s="23" t="s">
        <v>1287</v>
      </c>
      <c r="B159" s="14" t="s">
        <v>1286</v>
      </c>
      <c r="C159" s="24" t="s">
        <v>2</v>
      </c>
      <c r="D159" s="23" t="s">
        <v>1288</v>
      </c>
      <c r="E159" s="25" t="s">
        <v>1289</v>
      </c>
      <c r="F159" s="23" t="s">
        <v>1290</v>
      </c>
      <c r="G159" s="25" t="s">
        <v>1291</v>
      </c>
      <c r="H159" s="25" t="s">
        <v>1292</v>
      </c>
      <c r="I159" s="26">
        <f t="shared" si="40"/>
        <v>23.020469801747716</v>
      </c>
      <c r="J159" s="27">
        <v>43.439599999999999</v>
      </c>
      <c r="K159" s="27">
        <v>8.2799999999999999E-2</v>
      </c>
      <c r="L159" s="28" t="s">
        <v>124</v>
      </c>
      <c r="M159" s="29">
        <v>338.67348244208</v>
      </c>
      <c r="N159" s="29">
        <v>-20.708215810270001</v>
      </c>
      <c r="O159" s="30">
        <v>5.21</v>
      </c>
      <c r="P159" s="31">
        <v>0.01</v>
      </c>
      <c r="Q159" s="32" t="s">
        <v>126</v>
      </c>
      <c r="R159" s="31">
        <v>0.442</v>
      </c>
      <c r="S159" s="31">
        <v>4.0000000000000001E-3</v>
      </c>
      <c r="T159" s="32" t="s">
        <v>142</v>
      </c>
      <c r="U159" s="33">
        <v>4.93</v>
      </c>
      <c r="V159" s="25" t="s">
        <v>189</v>
      </c>
      <c r="W159" s="23" t="s">
        <v>839</v>
      </c>
      <c r="X159" s="23" t="s">
        <v>145</v>
      </c>
      <c r="Y159" s="7">
        <v>6605</v>
      </c>
      <c r="Z159" s="24">
        <v>33</v>
      </c>
      <c r="AA159" s="28" t="s">
        <v>124</v>
      </c>
      <c r="AB159" s="34">
        <v>0.53833500000000001</v>
      </c>
      <c r="AC159" s="35">
        <v>1.7594599999999998E-2</v>
      </c>
      <c r="AD159" s="28" t="s">
        <v>146</v>
      </c>
      <c r="AE159" s="31">
        <f t="shared" si="41"/>
        <v>1.419202618497398</v>
      </c>
      <c r="AF159" s="31">
        <f t="shared" si="42"/>
        <v>0.57339883771554034</v>
      </c>
      <c r="AG159" s="25">
        <v>1.35</v>
      </c>
      <c r="AH159" s="10">
        <v>0.03</v>
      </c>
      <c r="AI159" s="31">
        <v>0.06</v>
      </c>
      <c r="AJ159" s="24" t="s">
        <v>60</v>
      </c>
      <c r="AK159" s="23" t="s">
        <v>316</v>
      </c>
      <c r="AL159" s="5">
        <v>4.274</v>
      </c>
      <c r="AM159" s="31">
        <v>8.5999999999999993E-2</v>
      </c>
      <c r="AN159" s="23" t="s">
        <v>146</v>
      </c>
      <c r="AO159" s="36">
        <v>-4.5119999999999996</v>
      </c>
      <c r="AP159" s="23" t="s">
        <v>535</v>
      </c>
      <c r="AQ159" s="37">
        <f t="shared" si="43"/>
        <v>1.85852111688632</v>
      </c>
      <c r="AR159" s="38">
        <f t="shared" si="44"/>
        <v>80.733413909094978</v>
      </c>
      <c r="AS159" s="39">
        <f t="shared" si="45"/>
        <v>3.3502857465300367E-11</v>
      </c>
      <c r="AT159" s="40">
        <f t="shared" si="46"/>
        <v>31.11729537580424</v>
      </c>
      <c r="AU159" s="41">
        <f t="shared" si="47"/>
        <v>796.49334699284043</v>
      </c>
      <c r="AV159" s="42">
        <f t="shared" si="48"/>
        <v>5.68187761768489</v>
      </c>
      <c r="AW159" s="31">
        <f t="shared" si="49"/>
        <v>0.17961627712883516</v>
      </c>
      <c r="AX159" s="43" t="s">
        <v>1293</v>
      </c>
      <c r="AY159" s="24" t="s">
        <v>2</v>
      </c>
      <c r="AZ159" s="44">
        <v>6.1</v>
      </c>
      <c r="BA159" s="45">
        <v>5.2</v>
      </c>
      <c r="BB159" s="24" t="s">
        <v>134</v>
      </c>
      <c r="BC159" s="28" t="s">
        <v>1</v>
      </c>
      <c r="BD159" s="50" t="s">
        <v>4</v>
      </c>
    </row>
    <row r="160" spans="1:56" ht="15.75" customHeight="1">
      <c r="A160" s="23" t="s">
        <v>1329</v>
      </c>
      <c r="B160" s="14" t="s">
        <v>1328</v>
      </c>
      <c r="C160" s="24" t="s">
        <v>2</v>
      </c>
      <c r="D160" s="23" t="s">
        <v>1330</v>
      </c>
      <c r="E160" s="25" t="s">
        <v>1331</v>
      </c>
      <c r="F160" s="23" t="s">
        <v>1332</v>
      </c>
      <c r="G160" s="25" t="s">
        <v>1333</v>
      </c>
      <c r="H160" s="25" t="s">
        <v>1334</v>
      </c>
      <c r="I160" s="26">
        <f t="shared" si="40"/>
        <v>16.150888056579792</v>
      </c>
      <c r="J160" s="27">
        <v>61.9161</v>
      </c>
      <c r="K160" s="27">
        <v>0.1739</v>
      </c>
      <c r="L160" s="28" t="s">
        <v>124</v>
      </c>
      <c r="M160" s="29">
        <v>341.67324939263898</v>
      </c>
      <c r="N160" s="29">
        <f>12.1728857944744</f>
        <v>12.1728857944744</v>
      </c>
      <c r="O160" s="30">
        <v>4.2</v>
      </c>
      <c r="P160" s="31">
        <v>0.01</v>
      </c>
      <c r="Q160" s="32" t="s">
        <v>126</v>
      </c>
      <c r="R160" s="31">
        <v>0.502</v>
      </c>
      <c r="S160" s="31">
        <v>7.0000000000000001E-3</v>
      </c>
      <c r="T160" s="32" t="s">
        <v>126</v>
      </c>
      <c r="U160" s="33">
        <v>3.91</v>
      </c>
      <c r="V160" s="25" t="s">
        <v>166</v>
      </c>
      <c r="W160" s="23" t="s">
        <v>344</v>
      </c>
      <c r="X160" s="23" t="s">
        <v>277</v>
      </c>
      <c r="Y160" s="7">
        <v>6193</v>
      </c>
      <c r="Z160" s="24">
        <v>23</v>
      </c>
      <c r="AA160" s="23" t="s">
        <v>130</v>
      </c>
      <c r="AB160" s="34">
        <v>0.65757100000000002</v>
      </c>
      <c r="AC160" s="35">
        <v>1.55184E-2</v>
      </c>
      <c r="AD160" s="28" t="s">
        <v>1335</v>
      </c>
      <c r="AE160" s="31">
        <f t="shared" si="41"/>
        <v>1.8518503487232501</v>
      </c>
      <c r="AF160" s="31">
        <f t="shared" si="42"/>
        <v>1.0664391194799168</v>
      </c>
      <c r="AG160" s="25">
        <v>1.25</v>
      </c>
      <c r="AH160" s="10">
        <v>-0.27</v>
      </c>
      <c r="AI160" s="31">
        <v>0.02</v>
      </c>
      <c r="AJ160" s="24" t="s">
        <v>60</v>
      </c>
      <c r="AK160" s="23" t="s">
        <v>130</v>
      </c>
      <c r="AL160" s="5">
        <v>4.07</v>
      </c>
      <c r="AM160" s="31">
        <v>0.05</v>
      </c>
      <c r="AN160" s="23" t="s">
        <v>130</v>
      </c>
      <c r="AO160" s="36">
        <v>-4.9349999999999996</v>
      </c>
      <c r="AP160" s="23" t="s">
        <v>318</v>
      </c>
      <c r="AQ160" s="37">
        <f t="shared" si="43"/>
        <v>2.1319916527864797</v>
      </c>
      <c r="AR160" s="38">
        <f t="shared" si="44"/>
        <v>132.00460837309296</v>
      </c>
      <c r="AS160" s="39">
        <f t="shared" si="45"/>
        <v>2.5459264302876712E-11</v>
      </c>
      <c r="AT160" s="40">
        <f t="shared" si="46"/>
        <v>30.395385375804235</v>
      </c>
      <c r="AU160" s="41">
        <f t="shared" si="47"/>
        <v>1017.0001811718959</v>
      </c>
      <c r="AV160" s="42">
        <f t="shared" si="48"/>
        <v>5.513085818921768</v>
      </c>
      <c r="AW160" s="31">
        <f t="shared" si="49"/>
        <v>0.31717958135951024</v>
      </c>
      <c r="AX160" s="43" t="s">
        <v>1336</v>
      </c>
      <c r="AY160" s="24" t="s">
        <v>2</v>
      </c>
      <c r="AZ160" s="44">
        <v>11</v>
      </c>
      <c r="BA160" s="45">
        <v>8.1999999999999993</v>
      </c>
      <c r="BB160" s="24" t="s">
        <v>134</v>
      </c>
      <c r="BC160" s="28" t="s">
        <v>1</v>
      </c>
      <c r="BD160" s="50" t="s">
        <v>4</v>
      </c>
    </row>
    <row r="161" spans="1:56" ht="15.75" customHeight="1">
      <c r="A161" s="23" t="s">
        <v>869</v>
      </c>
      <c r="B161" s="14" t="s">
        <v>868</v>
      </c>
      <c r="C161" s="24" t="s">
        <v>1</v>
      </c>
      <c r="D161" s="23" t="s">
        <v>870</v>
      </c>
      <c r="E161" s="25" t="s">
        <v>871</v>
      </c>
      <c r="F161" s="23" t="s">
        <v>872</v>
      </c>
      <c r="G161" s="25" t="s">
        <v>873</v>
      </c>
      <c r="H161" s="25" t="s">
        <v>874</v>
      </c>
      <c r="I161" s="26">
        <f t="shared" si="40"/>
        <v>7.601527907109328</v>
      </c>
      <c r="J161" s="27">
        <v>131.55250000000001</v>
      </c>
      <c r="K161" s="27">
        <v>2.75E-2</v>
      </c>
      <c r="L161" s="28" t="s">
        <v>124</v>
      </c>
      <c r="M161" s="29">
        <v>344.10021898538201</v>
      </c>
      <c r="N161" s="29">
        <v>-31.565564051324198</v>
      </c>
      <c r="O161" s="30">
        <v>6.4459999999999997</v>
      </c>
      <c r="P161" s="31">
        <v>3.0000000000000001E-3</v>
      </c>
      <c r="Q161" s="32" t="s">
        <v>125</v>
      </c>
      <c r="R161" s="31">
        <v>1.0940000000000001</v>
      </c>
      <c r="S161" s="31">
        <v>6.0000000000000001E-3</v>
      </c>
      <c r="T161" s="32" t="s">
        <v>126</v>
      </c>
      <c r="U161" s="33">
        <v>5.8</v>
      </c>
      <c r="V161" s="25" t="s">
        <v>143</v>
      </c>
      <c r="W161" s="23" t="s">
        <v>875</v>
      </c>
      <c r="X161" s="23" t="s">
        <v>129</v>
      </c>
      <c r="Y161" s="7">
        <v>4601</v>
      </c>
      <c r="Z161" s="24">
        <v>29</v>
      </c>
      <c r="AA161" s="23" t="s">
        <v>130</v>
      </c>
      <c r="AB161" s="34">
        <v>-0.70696899999999996</v>
      </c>
      <c r="AC161" s="35">
        <v>1.6892500000000001E-2</v>
      </c>
      <c r="AD161" s="28" t="s">
        <v>146</v>
      </c>
      <c r="AE161" s="31">
        <f t="shared" si="41"/>
        <v>0.69732234370294499</v>
      </c>
      <c r="AF161" s="31">
        <f t="shared" si="42"/>
        <v>0.85321655576507149</v>
      </c>
      <c r="AG161" s="25">
        <v>0.72</v>
      </c>
      <c r="AH161" s="10">
        <v>0.04</v>
      </c>
      <c r="AI161" s="31">
        <v>0.03</v>
      </c>
      <c r="AJ161" s="24" t="s">
        <v>60</v>
      </c>
      <c r="AK161" s="23" t="s">
        <v>130</v>
      </c>
      <c r="AL161" s="5">
        <v>4.68</v>
      </c>
      <c r="AM161" s="31">
        <v>0.1</v>
      </c>
      <c r="AN161" s="23" t="s">
        <v>130</v>
      </c>
      <c r="AO161" s="36">
        <v>-4.3490000000000002</v>
      </c>
      <c r="AP161" s="23" t="s">
        <v>318</v>
      </c>
      <c r="AQ161" s="37">
        <f t="shared" si="43"/>
        <v>0.44311402897733015</v>
      </c>
      <c r="AR161" s="38">
        <f t="shared" si="44"/>
        <v>58.292758297040237</v>
      </c>
      <c r="AS161" s="39">
        <f t="shared" si="45"/>
        <v>5.8936704698213741E-10</v>
      </c>
      <c r="AT161" s="40">
        <f t="shared" si="46"/>
        <v>28.874035375804237</v>
      </c>
      <c r="AU161" s="41">
        <f t="shared" si="47"/>
        <v>126.97107266713354</v>
      </c>
      <c r="AV161" s="42">
        <f t="shared" si="48"/>
        <v>15.933768799596928</v>
      </c>
      <c r="AW161" s="31">
        <f t="shared" si="49"/>
        <v>0.2431690235627269</v>
      </c>
      <c r="AX161" s="43" t="s">
        <v>1</v>
      </c>
      <c r="AY161" s="24" t="s">
        <v>1</v>
      </c>
      <c r="AZ161" s="44" t="s">
        <v>1</v>
      </c>
      <c r="BA161" s="45" t="s">
        <v>1</v>
      </c>
      <c r="BB161" s="24" t="s">
        <v>5</v>
      </c>
      <c r="BC161" s="46" t="s">
        <v>596</v>
      </c>
      <c r="BD161" s="24" t="s">
        <v>3</v>
      </c>
    </row>
    <row r="162" spans="1:56" ht="15.75" customHeight="1">
      <c r="A162" s="23" t="s">
        <v>861</v>
      </c>
      <c r="B162" s="14" t="s">
        <v>860</v>
      </c>
      <c r="C162" s="24" t="s">
        <v>1</v>
      </c>
      <c r="D162" s="23" t="s">
        <v>862</v>
      </c>
      <c r="E162" s="25" t="s">
        <v>1</v>
      </c>
      <c r="F162" s="23" t="s">
        <v>863</v>
      </c>
      <c r="G162" s="25" t="s">
        <v>1</v>
      </c>
      <c r="H162" s="25" t="s">
        <v>864</v>
      </c>
      <c r="I162" s="26">
        <f t="shared" si="40"/>
        <v>3.2871056705859925</v>
      </c>
      <c r="J162" s="27">
        <v>304.21899999999999</v>
      </c>
      <c r="K162" s="27">
        <v>4.5100000000000001E-2</v>
      </c>
      <c r="L162" s="28" t="s">
        <v>645</v>
      </c>
      <c r="M162" s="29">
        <v>346.466815773787</v>
      </c>
      <c r="N162" s="29">
        <v>-35.8530708847331</v>
      </c>
      <c r="O162" s="30">
        <v>7.33</v>
      </c>
      <c r="P162" s="31">
        <v>4.0000000000000001E-3</v>
      </c>
      <c r="Q162" s="32" t="s">
        <v>125</v>
      </c>
      <c r="R162" s="31">
        <v>1.4830000000000001</v>
      </c>
      <c r="S162" s="31">
        <v>3.0000000000000001E-3</v>
      </c>
      <c r="T162" s="32" t="s">
        <v>126</v>
      </c>
      <c r="U162" s="33">
        <v>6.36</v>
      </c>
      <c r="V162" s="25" t="s">
        <v>143</v>
      </c>
      <c r="W162" s="23" t="s">
        <v>865</v>
      </c>
      <c r="X162" s="23" t="s">
        <v>866</v>
      </c>
      <c r="Y162" s="7">
        <v>3680</v>
      </c>
      <c r="Z162" s="24">
        <v>130</v>
      </c>
      <c r="AA162" s="28" t="s">
        <v>859</v>
      </c>
      <c r="AB162" s="34">
        <v>-1.4377599999999999</v>
      </c>
      <c r="AC162" s="35">
        <v>2.34544E-2</v>
      </c>
      <c r="AD162" s="28" t="s">
        <v>131</v>
      </c>
      <c r="AE162" s="31">
        <f t="shared" si="41"/>
        <v>0.46994486697842563</v>
      </c>
      <c r="AF162" s="31">
        <f t="shared" si="42"/>
        <v>1.3297188696405871</v>
      </c>
      <c r="AG162" s="25">
        <v>0.49</v>
      </c>
      <c r="AH162" s="10">
        <v>-0.22</v>
      </c>
      <c r="AI162" s="31">
        <v>0.09</v>
      </c>
      <c r="AJ162" s="24" t="s">
        <v>60</v>
      </c>
      <c r="AK162" s="23" t="s">
        <v>859</v>
      </c>
      <c r="AL162" s="5">
        <v>4.88</v>
      </c>
      <c r="AM162" s="31">
        <v>0.16</v>
      </c>
      <c r="AN162" s="23" t="s">
        <v>859</v>
      </c>
      <c r="AO162" s="36">
        <v>-4.8280000000000003</v>
      </c>
      <c r="AP162" s="23" t="s">
        <v>318</v>
      </c>
      <c r="AQ162" s="37">
        <f t="shared" si="43"/>
        <v>0.1910381043436212</v>
      </c>
      <c r="AR162" s="38">
        <f t="shared" si="44"/>
        <v>58.117421065312094</v>
      </c>
      <c r="AS162" s="39">
        <f t="shared" si="45"/>
        <v>3.1708584099783358E-9</v>
      </c>
      <c r="AT162" s="40">
        <f t="shared" si="46"/>
        <v>27.607057875804237</v>
      </c>
      <c r="AU162" s="41">
        <f t="shared" si="47"/>
        <v>43.569216162806967</v>
      </c>
      <c r="AV162" s="42">
        <f t="shared" si="48"/>
        <v>29.41605774665808</v>
      </c>
      <c r="AW162" s="31">
        <f t="shared" si="49"/>
        <v>0.35623484367786157</v>
      </c>
      <c r="AX162" s="43" t="s">
        <v>867</v>
      </c>
      <c r="AY162" s="24" t="s">
        <v>2</v>
      </c>
      <c r="AZ162" s="44">
        <v>0.1</v>
      </c>
      <c r="BA162" s="45" t="s">
        <v>1</v>
      </c>
      <c r="BB162" s="24" t="s">
        <v>134</v>
      </c>
      <c r="BC162" s="28" t="s">
        <v>1</v>
      </c>
      <c r="BD162" s="24" t="s">
        <v>3</v>
      </c>
    </row>
    <row r="163" spans="1:56" ht="17.25" customHeight="1">
      <c r="A163" s="23" t="s">
        <v>320</v>
      </c>
      <c r="B163" s="14" t="s">
        <v>319</v>
      </c>
      <c r="C163" s="24" t="s">
        <v>1</v>
      </c>
      <c r="D163" s="23" t="s">
        <v>321</v>
      </c>
      <c r="E163" s="25" t="s">
        <v>322</v>
      </c>
      <c r="F163" s="23" t="s">
        <v>323</v>
      </c>
      <c r="G163" s="25" t="s">
        <v>1</v>
      </c>
      <c r="H163" s="25" t="s">
        <v>324</v>
      </c>
      <c r="I163" s="26">
        <f t="shared" si="40"/>
        <v>6.5417626125183164</v>
      </c>
      <c r="J163" s="27">
        <v>152.864</v>
      </c>
      <c r="K163" s="27">
        <v>4.9399999999999999E-2</v>
      </c>
      <c r="L163" s="28" t="s">
        <v>124</v>
      </c>
      <c r="M163" s="29">
        <v>348.32072900150303</v>
      </c>
      <c r="N163" s="29">
        <f>57.1683566176719</f>
        <v>57.168356617671897</v>
      </c>
      <c r="O163" s="30">
        <v>5.54</v>
      </c>
      <c r="P163" s="31">
        <v>8.9999999999999993E-3</v>
      </c>
      <c r="Q163" s="32" t="s">
        <v>125</v>
      </c>
      <c r="R163" s="31">
        <v>1</v>
      </c>
      <c r="S163" s="31">
        <v>0</v>
      </c>
      <c r="T163" s="32" t="s">
        <v>126</v>
      </c>
      <c r="U163" s="33">
        <v>5.03</v>
      </c>
      <c r="V163" s="25" t="s">
        <v>166</v>
      </c>
      <c r="W163" s="23" t="s">
        <v>325</v>
      </c>
      <c r="X163" s="23" t="s">
        <v>129</v>
      </c>
      <c r="Y163" s="7">
        <v>4874</v>
      </c>
      <c r="Z163" s="24">
        <v>28</v>
      </c>
      <c r="AA163" s="23" t="s">
        <v>130</v>
      </c>
      <c r="AB163" s="34">
        <v>-0.57532399999999995</v>
      </c>
      <c r="AC163" s="35">
        <v>8.1341399999999998E-3</v>
      </c>
      <c r="AD163" s="28" t="s">
        <v>131</v>
      </c>
      <c r="AE163" s="31">
        <f t="shared" si="41"/>
        <v>0.72308524235037552</v>
      </c>
      <c r="AF163" s="31">
        <f t="shared" si="42"/>
        <v>1.0280667292941743</v>
      </c>
      <c r="AG163" s="25">
        <v>0.75</v>
      </c>
      <c r="AH163" s="10">
        <v>0.06</v>
      </c>
      <c r="AI163" s="31">
        <v>0.02</v>
      </c>
      <c r="AJ163" s="24" t="s">
        <v>60</v>
      </c>
      <c r="AK163" s="23" t="s">
        <v>130</v>
      </c>
      <c r="AL163" s="5">
        <v>4.5599999999999996</v>
      </c>
      <c r="AM163" s="31">
        <v>0.03</v>
      </c>
      <c r="AN163" s="23" t="s">
        <v>130</v>
      </c>
      <c r="AO163" s="36">
        <v>-4.9219999999999997</v>
      </c>
      <c r="AP163" s="23" t="s">
        <v>318</v>
      </c>
      <c r="AQ163" s="37">
        <f t="shared" si="43"/>
        <v>0.51562978959704442</v>
      </c>
      <c r="AR163" s="38">
        <f t="shared" si="44"/>
        <v>78.821232156962608</v>
      </c>
      <c r="AS163" s="39">
        <f t="shared" si="45"/>
        <v>4.3525207444797012E-10</v>
      </c>
      <c r="AT163" s="40">
        <f t="shared" si="46"/>
        <v>28.433147875804238</v>
      </c>
      <c r="AU163" s="41">
        <f t="shared" si="47"/>
        <v>156.16156586165579</v>
      </c>
      <c r="AV163" s="42">
        <f t="shared" si="48"/>
        <v>14.472477323079426</v>
      </c>
      <c r="AW163" s="31">
        <f t="shared" si="49"/>
        <v>0.31565167466383337</v>
      </c>
      <c r="AX163" s="43" t="s">
        <v>326</v>
      </c>
      <c r="AY163" s="24" t="s">
        <v>2</v>
      </c>
      <c r="AZ163" s="44">
        <v>11.2</v>
      </c>
      <c r="BA163" s="45">
        <v>8.25</v>
      </c>
      <c r="BB163" s="24" t="s">
        <v>134</v>
      </c>
      <c r="BC163" s="28" t="s">
        <v>1</v>
      </c>
      <c r="BD163" s="24" t="s">
        <v>2</v>
      </c>
    </row>
    <row r="164" spans="1:56" ht="17.25" customHeight="1">
      <c r="A164" s="23" t="s">
        <v>1406</v>
      </c>
      <c r="B164" s="14" t="s">
        <v>1405</v>
      </c>
      <c r="C164" s="24" t="s">
        <v>1</v>
      </c>
      <c r="D164" s="23" t="s">
        <v>1407</v>
      </c>
      <c r="E164" s="25" t="s">
        <v>1408</v>
      </c>
      <c r="F164" s="23" t="s">
        <v>1409</v>
      </c>
      <c r="G164" s="25" t="s">
        <v>1</v>
      </c>
      <c r="H164" s="25" t="s">
        <v>1410</v>
      </c>
      <c r="I164" s="26">
        <f t="shared" si="40"/>
        <v>20.610185141293123</v>
      </c>
      <c r="J164" s="27">
        <v>48.5197</v>
      </c>
      <c r="K164" s="27">
        <v>4.6300000000000001E-2</v>
      </c>
      <c r="L164" s="28" t="s">
        <v>124</v>
      </c>
      <c r="M164" s="29">
        <v>349.17626483459998</v>
      </c>
      <c r="N164" s="29">
        <f>53.21347481835</f>
        <v>53.213474818350001</v>
      </c>
      <c r="O164" s="30">
        <v>5.58</v>
      </c>
      <c r="P164" s="31">
        <v>0.01</v>
      </c>
      <c r="Q164" s="32" t="s">
        <v>126</v>
      </c>
      <c r="R164" s="31">
        <v>0.55600000000000005</v>
      </c>
      <c r="S164" s="31">
        <v>3.0000000000000001E-3</v>
      </c>
      <c r="T164" s="32" t="s">
        <v>126</v>
      </c>
      <c r="U164" s="33">
        <v>5.28</v>
      </c>
      <c r="V164" s="25" t="s">
        <v>166</v>
      </c>
      <c r="W164" s="23" t="s">
        <v>354</v>
      </c>
      <c r="X164" s="23" t="s">
        <v>277</v>
      </c>
      <c r="Y164" s="7">
        <v>6084</v>
      </c>
      <c r="Z164" s="24">
        <v>24</v>
      </c>
      <c r="AA164" s="23" t="s">
        <v>130</v>
      </c>
      <c r="AB164" s="34">
        <v>0.31008599999999997</v>
      </c>
      <c r="AC164" s="35">
        <v>1.3256499999999999E-2</v>
      </c>
      <c r="AD164" s="28" t="s">
        <v>146</v>
      </c>
      <c r="AE164" s="31">
        <f t="shared" si="41"/>
        <v>1.2861367174475202</v>
      </c>
      <c r="AF164" s="31">
        <f t="shared" si="42"/>
        <v>0.58040591645415585</v>
      </c>
      <c r="AG164" s="25">
        <v>1.18</v>
      </c>
      <c r="AH164" s="10">
        <v>0.03</v>
      </c>
      <c r="AI164" s="31">
        <v>0.02</v>
      </c>
      <c r="AJ164" s="24" t="s">
        <v>60</v>
      </c>
      <c r="AK164" s="23" t="s">
        <v>130</v>
      </c>
      <c r="AL164" s="5">
        <v>4.1900000000000004</v>
      </c>
      <c r="AM164" s="31">
        <v>0.03</v>
      </c>
      <c r="AN164" s="23" t="s">
        <v>130</v>
      </c>
      <c r="AO164" s="36">
        <v>-4.9930000000000003</v>
      </c>
      <c r="AP164" s="23" t="s">
        <v>191</v>
      </c>
      <c r="AQ164" s="37">
        <f t="shared" si="43"/>
        <v>1.4290354419621261</v>
      </c>
      <c r="AR164" s="38">
        <f t="shared" si="44"/>
        <v>69.336370933369778</v>
      </c>
      <c r="AS164" s="39">
        <f t="shared" si="45"/>
        <v>5.6667081988031464E-11</v>
      </c>
      <c r="AT164" s="40">
        <f t="shared" si="46"/>
        <v>30.896672875804239</v>
      </c>
      <c r="AU164" s="41">
        <f t="shared" si="47"/>
        <v>574.40906243602205</v>
      </c>
      <c r="AV164" s="42">
        <f t="shared" si="48"/>
        <v>6.9307463638299041</v>
      </c>
      <c r="AW164" s="31">
        <f t="shared" si="49"/>
        <v>0.17648396047380183</v>
      </c>
      <c r="AX164" s="43" t="s">
        <v>1411</v>
      </c>
      <c r="AY164" s="24" t="s">
        <v>2</v>
      </c>
      <c r="AZ164" s="44">
        <v>150.4</v>
      </c>
      <c r="BA164" s="45">
        <v>7.77</v>
      </c>
      <c r="BB164" s="24" t="s">
        <v>134</v>
      </c>
      <c r="BC164" s="28" t="s">
        <v>1</v>
      </c>
      <c r="BD164" s="50" t="s">
        <v>4</v>
      </c>
    </row>
    <row r="165" spans="1:56" ht="15.75" customHeight="1">
      <c r="A165" s="23" t="s">
        <v>1399</v>
      </c>
      <c r="B165" s="14" t="s">
        <v>1398</v>
      </c>
      <c r="C165" s="24" t="s">
        <v>1</v>
      </c>
      <c r="D165" s="23" t="s">
        <v>1400</v>
      </c>
      <c r="E165" s="25" t="s">
        <v>1401</v>
      </c>
      <c r="F165" s="23" t="s">
        <v>1402</v>
      </c>
      <c r="G165" s="25" t="s">
        <v>1</v>
      </c>
      <c r="H165" s="25" t="s">
        <v>1403</v>
      </c>
      <c r="I165" s="26">
        <f t="shared" si="40"/>
        <v>20.442623688094624</v>
      </c>
      <c r="J165" s="27">
        <v>48.917400000000001</v>
      </c>
      <c r="K165" s="27">
        <v>3.56E-2</v>
      </c>
      <c r="L165" s="28" t="s">
        <v>124</v>
      </c>
      <c r="M165" s="29">
        <v>349.24036453178002</v>
      </c>
      <c r="N165" s="29">
        <v>-62.001197796680003</v>
      </c>
      <c r="O165" s="30">
        <v>5.6550000000000002</v>
      </c>
      <c r="P165" s="31">
        <v>5.0000000000000001E-3</v>
      </c>
      <c r="Q165" s="32" t="s">
        <v>125</v>
      </c>
      <c r="R165" s="31">
        <v>0.52100000000000002</v>
      </c>
      <c r="S165" s="31">
        <v>3.0000000000000001E-3</v>
      </c>
      <c r="T165" s="32" t="s">
        <v>126</v>
      </c>
      <c r="U165" s="33">
        <v>5.36</v>
      </c>
      <c r="V165" s="25" t="s">
        <v>166</v>
      </c>
      <c r="W165" s="23" t="s">
        <v>344</v>
      </c>
      <c r="X165" s="23" t="s">
        <v>145</v>
      </c>
      <c r="Y165" s="7">
        <v>6280</v>
      </c>
      <c r="Z165" s="24">
        <v>31</v>
      </c>
      <c r="AA165" s="23" t="s">
        <v>130</v>
      </c>
      <c r="AB165" s="34">
        <v>0.27537800000000001</v>
      </c>
      <c r="AC165" s="35">
        <v>1.5750500000000001E-2</v>
      </c>
      <c r="AD165" s="28" t="s">
        <v>146</v>
      </c>
      <c r="AE165" s="31">
        <f t="shared" si="41"/>
        <v>1.1598244511638161</v>
      </c>
      <c r="AF165" s="31">
        <f t="shared" si="42"/>
        <v>0.5276940691073746</v>
      </c>
      <c r="AG165" s="25">
        <v>1.25</v>
      </c>
      <c r="AH165" s="10">
        <v>-0.03</v>
      </c>
      <c r="AI165" s="31">
        <v>0.13</v>
      </c>
      <c r="AJ165" s="44" t="s">
        <v>60</v>
      </c>
      <c r="AK165" s="23" t="s">
        <v>130</v>
      </c>
      <c r="AL165" s="5">
        <v>4.37</v>
      </c>
      <c r="AM165" s="31">
        <v>0.08</v>
      </c>
      <c r="AN165" s="23" t="s">
        <v>130</v>
      </c>
      <c r="AO165" s="36">
        <v>-4.4340000000000002</v>
      </c>
      <c r="AP165" s="23" t="s">
        <v>145</v>
      </c>
      <c r="AQ165" s="37">
        <f t="shared" si="43"/>
        <v>1.3730583703312536</v>
      </c>
      <c r="AR165" s="38">
        <f t="shared" si="44"/>
        <v>67.166445524842075</v>
      </c>
      <c r="AS165" s="39">
        <f t="shared" si="45"/>
        <v>6.1381691151055988E-11</v>
      </c>
      <c r="AT165" s="40">
        <f t="shared" si="46"/>
        <v>30.889902875804239</v>
      </c>
      <c r="AU165" s="41">
        <f t="shared" si="47"/>
        <v>525.62532332769194</v>
      </c>
      <c r="AV165" s="42">
        <f t="shared" si="48"/>
        <v>6.8697827466254928</v>
      </c>
      <c r="AW165" s="31">
        <f t="shared" si="49"/>
        <v>0.16138697986030465</v>
      </c>
      <c r="AX165" s="43" t="s">
        <v>1404</v>
      </c>
      <c r="AY165" s="24" t="s">
        <v>2</v>
      </c>
      <c r="AZ165" s="44">
        <v>10.199999999999999</v>
      </c>
      <c r="BA165" s="45">
        <v>12</v>
      </c>
      <c r="BB165" s="24" t="s">
        <v>5</v>
      </c>
      <c r="BC165" s="46" t="s">
        <v>564</v>
      </c>
      <c r="BD165" s="50" t="s">
        <v>4</v>
      </c>
    </row>
    <row r="166" spans="1:56" ht="15.75" customHeight="1">
      <c r="A166" s="23" t="s">
        <v>1184</v>
      </c>
      <c r="B166" s="14" t="s">
        <v>1183</v>
      </c>
      <c r="C166" s="24" t="s">
        <v>1</v>
      </c>
      <c r="D166" s="23" t="s">
        <v>1185</v>
      </c>
      <c r="E166" s="25" t="s">
        <v>1186</v>
      </c>
      <c r="F166" s="23" t="s">
        <v>1187</v>
      </c>
      <c r="G166" s="25" t="s">
        <v>1188</v>
      </c>
      <c r="H166" s="25" t="s">
        <v>1189</v>
      </c>
      <c r="I166" s="26">
        <f t="shared" si="40"/>
        <v>13.713658804168952</v>
      </c>
      <c r="J166" s="27">
        <v>72.92</v>
      </c>
      <c r="K166" s="27">
        <v>0.15</v>
      </c>
      <c r="L166" s="28" t="s">
        <v>343</v>
      </c>
      <c r="M166" s="29">
        <v>354.98767240170002</v>
      </c>
      <c r="N166" s="29">
        <f>5.6262909803</f>
        <v>5.6262909803000003</v>
      </c>
      <c r="O166" s="30">
        <v>4.1319999999999997</v>
      </c>
      <c r="P166" s="31">
        <v>5.0000000000000001E-3</v>
      </c>
      <c r="Q166" s="32" t="s">
        <v>125</v>
      </c>
      <c r="R166" s="31">
        <v>0.50700000000000001</v>
      </c>
      <c r="S166" s="31">
        <v>6.0000000000000001E-3</v>
      </c>
      <c r="T166" s="32" t="s">
        <v>126</v>
      </c>
      <c r="U166" s="33">
        <v>3.8370000000000002</v>
      </c>
      <c r="V166" s="25" t="s">
        <v>143</v>
      </c>
      <c r="W166" s="23" t="s">
        <v>276</v>
      </c>
      <c r="X166" s="23" t="s">
        <v>277</v>
      </c>
      <c r="Y166" s="7">
        <v>6200</v>
      </c>
      <c r="Z166" s="24">
        <v>15</v>
      </c>
      <c r="AA166" s="23" t="s">
        <v>130</v>
      </c>
      <c r="AB166" s="34">
        <v>0.52754000000000001</v>
      </c>
      <c r="AC166" s="35">
        <v>1.05535E-2</v>
      </c>
      <c r="AD166" s="28" t="s">
        <v>131</v>
      </c>
      <c r="AE166" s="31">
        <f t="shared" si="41"/>
        <v>1.5907765073644968</v>
      </c>
      <c r="AF166" s="31">
        <f t="shared" si="42"/>
        <v>1.0789030371322015</v>
      </c>
      <c r="AG166" s="25">
        <v>1.21</v>
      </c>
      <c r="AH166" s="10">
        <v>-0.14000000000000001</v>
      </c>
      <c r="AI166" s="31">
        <v>0.02</v>
      </c>
      <c r="AJ166" s="24" t="s">
        <v>60</v>
      </c>
      <c r="AK166" s="23" t="s">
        <v>130</v>
      </c>
      <c r="AL166" s="5">
        <v>4.1500000000000004</v>
      </c>
      <c r="AM166" s="31">
        <v>0.03</v>
      </c>
      <c r="AN166" s="23" t="s">
        <v>130</v>
      </c>
      <c r="AO166" s="36">
        <v>-4.9240000000000004</v>
      </c>
      <c r="AP166" s="23" t="s">
        <v>191</v>
      </c>
      <c r="AQ166" s="37">
        <f t="shared" si="43"/>
        <v>1.8355659801134341</v>
      </c>
      <c r="AR166" s="38">
        <f t="shared" si="44"/>
        <v>133.8494712698716</v>
      </c>
      <c r="AS166" s="39">
        <f t="shared" si="45"/>
        <v>3.4346054101252206E-11</v>
      </c>
      <c r="AT166" s="40">
        <f t="shared" si="46"/>
        <v>29.997307875804239</v>
      </c>
      <c r="AU166" s="41">
        <f t="shared" si="47"/>
        <v>825.77190256897836</v>
      </c>
      <c r="AV166" s="42">
        <f t="shared" si="48"/>
        <v>6.0389971448617885</v>
      </c>
      <c r="AW166" s="31">
        <f t="shared" si="49"/>
        <v>0.33224421763575984</v>
      </c>
      <c r="AX166" s="43" t="s">
        <v>1190</v>
      </c>
      <c r="AY166" s="24" t="s">
        <v>2</v>
      </c>
      <c r="AZ166" s="44">
        <v>122.6</v>
      </c>
      <c r="BA166" s="45">
        <v>9.92</v>
      </c>
      <c r="BB166" s="24" t="s">
        <v>5</v>
      </c>
      <c r="BC166" s="46" t="s">
        <v>596</v>
      </c>
      <c r="BD166" s="50" t="s">
        <v>4</v>
      </c>
    </row>
  </sheetData>
  <sortState xmlns:xlrd2="http://schemas.microsoft.com/office/spreadsheetml/2017/richdata2" ref="A3:JE166">
    <sortCondition ref="M3:M166"/>
  </sortState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WS</vt:lpstr>
      <vt:lpstr>WS!out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Mamajek</cp:lastModifiedBy>
  <dcterms:created xsi:type="dcterms:W3CDTF">2019-07-30T20:42:43Z</dcterms:created>
  <dcterms:modified xsi:type="dcterms:W3CDTF">2023-01-19T09:16:10Z</dcterms:modified>
</cp:coreProperties>
</file>