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advanced\backend\web\uploads\"/>
    </mc:Choice>
  </mc:AlternateContent>
  <bookViews>
    <workbookView xWindow="120" yWindow="135" windowWidth="12120" windowHeight="7155"/>
  </bookViews>
  <sheets>
    <sheet name="Planning GH" sheetId="1" r:id="rId1"/>
    <sheet name="Default crop schedules" sheetId="5" r:id="rId2"/>
    <sheet name="Planning nursery" sheetId="2" r:id="rId3"/>
    <sheet name="Compartments" sheetId="3" r:id="rId4"/>
    <sheet name="Formules" sheetId="4" state="hidden" r:id="rId5"/>
  </sheets>
  <definedNames>
    <definedName name="_xlnm._FilterDatabase" localSheetId="0" hidden="1">'Planning GH'!$A$3:$BH$63</definedName>
    <definedName name="_xlnm.Print_Area" localSheetId="0">'Planning GH'!$A$5:$AM$79</definedName>
    <definedName name="_xlnm.Print_Titles" localSheetId="0">'Planning GH'!$3:$3</definedName>
  </definedNames>
  <calcPr calcId="162913"/>
</workbook>
</file>

<file path=xl/calcChain.xml><?xml version="1.0" encoding="utf-8"?>
<calcChain xmlns="http://schemas.openxmlformats.org/spreadsheetml/2006/main">
  <c r="AE8" i="5" l="1"/>
  <c r="AE9" i="5"/>
  <c r="AH8" i="5"/>
  <c r="AE7" i="5"/>
  <c r="AE6" i="5"/>
  <c r="AH6" i="5" s="1"/>
  <c r="AE5" i="5"/>
  <c r="AF13" i="5"/>
  <c r="AY20" i="5"/>
  <c r="AU20" i="5"/>
  <c r="AH20" i="5"/>
  <c r="AJ20" i="5" s="1"/>
  <c r="AK20" i="5" s="1"/>
  <c r="P20" i="5"/>
  <c r="O20" i="5"/>
  <c r="N20" i="5"/>
  <c r="AY19" i="5"/>
  <c r="AU19" i="5"/>
  <c r="AF19" i="5"/>
  <c r="AE19" i="5"/>
  <c r="AH19" i="5" s="1"/>
  <c r="AJ19" i="5" s="1"/>
  <c r="P19" i="5"/>
  <c r="Z19" i="5" s="1"/>
  <c r="AB19" i="5" s="1"/>
  <c r="O19" i="5"/>
  <c r="N19" i="5"/>
  <c r="AY18" i="5"/>
  <c r="AU18" i="5"/>
  <c r="AF18" i="5"/>
  <c r="AE18" i="5"/>
  <c r="AH18" i="5" s="1"/>
  <c r="AJ18" i="5" s="1"/>
  <c r="P18" i="5"/>
  <c r="Z18" i="5" s="1"/>
  <c r="AB18" i="5" s="1"/>
  <c r="O18" i="5"/>
  <c r="N18" i="5"/>
  <c r="AY17" i="5"/>
  <c r="AU17" i="5"/>
  <c r="AH17" i="5"/>
  <c r="AJ17" i="5" s="1"/>
  <c r="AK17" i="5" s="1"/>
  <c r="AM17" i="5" s="1"/>
  <c r="P17" i="5"/>
  <c r="Y17" i="5" s="1"/>
  <c r="AA17" i="5" s="1"/>
  <c r="O17" i="5"/>
  <c r="N17" i="5"/>
  <c r="AY16" i="5"/>
  <c r="AU16" i="5"/>
  <c r="AF16" i="5"/>
  <c r="AE16" i="5"/>
  <c r="AH16" i="5" s="1"/>
  <c r="AJ16" i="5" s="1"/>
  <c r="AK16" i="5" s="1"/>
  <c r="AL16" i="5" s="1"/>
  <c r="AM16" i="5" s="1"/>
  <c r="P16" i="5"/>
  <c r="Z16" i="5" s="1"/>
  <c r="AB16" i="5" s="1"/>
  <c r="O16" i="5"/>
  <c r="N16" i="5"/>
  <c r="AY15" i="5"/>
  <c r="AU15" i="5"/>
  <c r="AF15" i="5"/>
  <c r="AE15" i="5"/>
  <c r="AH15" i="5" s="1"/>
  <c r="AJ15" i="5" s="1"/>
  <c r="AK15" i="5" s="1"/>
  <c r="AL15" i="5" s="1"/>
  <c r="AM15" i="5" s="1"/>
  <c r="P15" i="5"/>
  <c r="Z15" i="5" s="1"/>
  <c r="AB15" i="5" s="1"/>
  <c r="O15" i="5"/>
  <c r="N15" i="5"/>
  <c r="AY14" i="5"/>
  <c r="AU14" i="5"/>
  <c r="AF14" i="5"/>
  <c r="AE14" i="5"/>
  <c r="AH14" i="5" s="1"/>
  <c r="AJ14" i="5" s="1"/>
  <c r="AK14" i="5" s="1"/>
  <c r="AL14" i="5" s="1"/>
  <c r="AM14" i="5" s="1"/>
  <c r="P14" i="5"/>
  <c r="Z14" i="5" s="1"/>
  <c r="AB14" i="5" s="1"/>
  <c r="O14" i="5"/>
  <c r="N14" i="5"/>
  <c r="AY13" i="5"/>
  <c r="AU13" i="5"/>
  <c r="AE13" i="5"/>
  <c r="AH13" i="5" s="1"/>
  <c r="AJ13" i="5" s="1"/>
  <c r="AK13" i="5" s="1"/>
  <c r="AL13" i="5" s="1"/>
  <c r="AM13" i="5" s="1"/>
  <c r="P13" i="5"/>
  <c r="Y13" i="5" s="1"/>
  <c r="O13" i="5"/>
  <c r="N13" i="5"/>
  <c r="AY12" i="5"/>
  <c r="AU12" i="5"/>
  <c r="AF12" i="5"/>
  <c r="AE12" i="5"/>
  <c r="AH12" i="5" s="1"/>
  <c r="AJ12" i="5" s="1"/>
  <c r="P12" i="5"/>
  <c r="Y12" i="5" s="1"/>
  <c r="O12" i="5"/>
  <c r="N12" i="5"/>
  <c r="AY11" i="5"/>
  <c r="AU11" i="5"/>
  <c r="AF11" i="5"/>
  <c r="AE11" i="5"/>
  <c r="AH11" i="5" s="1"/>
  <c r="AJ11" i="5" s="1"/>
  <c r="P11" i="5"/>
  <c r="Y11" i="5" s="1"/>
  <c r="O11" i="5"/>
  <c r="N11" i="5"/>
  <c r="AY10" i="5"/>
  <c r="AU10" i="5"/>
  <c r="AH10" i="5"/>
  <c r="AJ10" i="5" s="1"/>
  <c r="AK10" i="5" s="1"/>
  <c r="AL10" i="5" s="1"/>
  <c r="P10" i="5"/>
  <c r="Y10" i="5" s="1"/>
  <c r="O10" i="5"/>
  <c r="N10" i="5"/>
  <c r="AY9" i="5"/>
  <c r="AU9" i="5"/>
  <c r="AF9" i="5"/>
  <c r="AJ9" i="5" s="1"/>
  <c r="AH9" i="5"/>
  <c r="P9" i="5"/>
  <c r="Y9" i="5" s="1"/>
  <c r="O9" i="5"/>
  <c r="N9" i="5"/>
  <c r="AY8" i="5"/>
  <c r="AU8" i="5"/>
  <c r="AF8" i="5"/>
  <c r="AJ8" i="5" s="1"/>
  <c r="P8" i="5"/>
  <c r="Y8" i="5" s="1"/>
  <c r="O8" i="5"/>
  <c r="N8" i="5"/>
  <c r="AY7" i="5"/>
  <c r="AU7" i="5"/>
  <c r="AF7" i="5"/>
  <c r="AJ7" i="5" s="1"/>
  <c r="AH7" i="5"/>
  <c r="P7" i="5"/>
  <c r="Y7" i="5" s="1"/>
  <c r="O7" i="5"/>
  <c r="N7" i="5"/>
  <c r="AY6" i="5"/>
  <c r="AU6" i="5"/>
  <c r="AF6" i="5"/>
  <c r="AJ6" i="5" s="1"/>
  <c r="P6" i="5"/>
  <c r="Y6" i="5" s="1"/>
  <c r="O6" i="5"/>
  <c r="N6" i="5"/>
  <c r="AY5" i="5"/>
  <c r="AU5" i="5"/>
  <c r="AF5" i="5"/>
  <c r="AJ5" i="5" s="1"/>
  <c r="AH5" i="5"/>
  <c r="P5" i="5"/>
  <c r="Y5" i="5" s="1"/>
  <c r="O5" i="5"/>
  <c r="N5" i="5"/>
  <c r="AL17" i="5" l="1"/>
  <c r="T11" i="5"/>
  <c r="T12" i="5"/>
  <c r="T13" i="5"/>
  <c r="T8" i="5"/>
  <c r="T9" i="5"/>
  <c r="T5" i="5"/>
  <c r="T6" i="5"/>
  <c r="T7" i="5"/>
  <c r="T14" i="5"/>
  <c r="Y14" i="5"/>
  <c r="AA14" i="5" s="1"/>
  <c r="T16" i="5"/>
  <c r="Y16" i="5"/>
  <c r="AA16" i="5" s="1"/>
  <c r="T18" i="5"/>
  <c r="Y18" i="5"/>
  <c r="AA18" i="5" s="1"/>
  <c r="Y19" i="5"/>
  <c r="T10" i="5"/>
  <c r="T15" i="5"/>
  <c r="Y15" i="5"/>
  <c r="AA15" i="5" s="1"/>
  <c r="T17" i="5"/>
  <c r="T19" i="5"/>
  <c r="T20" i="5"/>
  <c r="S18" i="5"/>
  <c r="AA6" i="5"/>
  <c r="S6" i="5"/>
  <c r="AA7" i="5"/>
  <c r="S7" i="5"/>
  <c r="AA8" i="5"/>
  <c r="S8" i="5"/>
  <c r="AL8" i="5"/>
  <c r="AK8" i="5"/>
  <c r="AM8" i="5" s="1"/>
  <c r="AL9" i="5"/>
  <c r="AK9" i="5"/>
  <c r="AM9" i="5" s="1"/>
  <c r="AL11" i="5"/>
  <c r="AK11" i="5"/>
  <c r="AM11" i="5" s="1"/>
  <c r="AL12" i="5"/>
  <c r="AK12" i="5"/>
  <c r="AM12" i="5" s="1"/>
  <c r="AO17" i="5"/>
  <c r="AP17" i="5" s="1"/>
  <c r="AC17" i="5"/>
  <c r="AO10" i="5"/>
  <c r="AP10" i="5" s="1"/>
  <c r="AM10" i="5"/>
  <c r="AC10" i="5" s="1"/>
  <c r="AA11" i="5"/>
  <c r="S11" i="5"/>
  <c r="AA12" i="5"/>
  <c r="AA13" i="5"/>
  <c r="S13" i="5"/>
  <c r="AO14" i="5"/>
  <c r="AP14" i="5" s="1"/>
  <c r="AC14" i="5"/>
  <c r="AO15" i="5"/>
  <c r="AP15" i="5" s="1"/>
  <c r="AC15" i="5"/>
  <c r="AO16" i="5"/>
  <c r="AP16" i="5" s="1"/>
  <c r="AC16" i="5"/>
  <c r="AK18" i="5"/>
  <c r="AM18" i="5" s="1"/>
  <c r="AL18" i="5"/>
  <c r="AK19" i="5"/>
  <c r="AM19" i="5" s="1"/>
  <c r="AL19" i="5"/>
  <c r="AA5" i="5"/>
  <c r="S5" i="5"/>
  <c r="AL5" i="5"/>
  <c r="AK5" i="5"/>
  <c r="AM5" i="5" s="1"/>
  <c r="AL6" i="5"/>
  <c r="AK6" i="5"/>
  <c r="AM6" i="5" s="1"/>
  <c r="AL7" i="5"/>
  <c r="AK7" i="5"/>
  <c r="AM7" i="5" s="1"/>
  <c r="AA9" i="5"/>
  <c r="S9" i="5"/>
  <c r="AA10" i="5"/>
  <c r="AC13" i="5"/>
  <c r="AO13" i="5"/>
  <c r="AP13" i="5" s="1"/>
  <c r="Z5" i="5"/>
  <c r="AB5" i="5" s="1"/>
  <c r="Z6" i="5"/>
  <c r="AB6" i="5" s="1"/>
  <c r="Z7" i="5"/>
  <c r="AB7" i="5" s="1"/>
  <c r="Z8" i="5"/>
  <c r="AB8" i="5" s="1"/>
  <c r="Z9" i="5"/>
  <c r="AB9" i="5" s="1"/>
  <c r="Z11" i="5"/>
  <c r="AB11" i="5" s="1"/>
  <c r="Z13" i="5"/>
  <c r="AB13" i="5" s="1"/>
  <c r="Y20" i="5"/>
  <c r="AL20" i="5"/>
  <c r="S15" i="5" l="1"/>
  <c r="S14" i="5"/>
  <c r="S16" i="5"/>
  <c r="AA19" i="5"/>
  <c r="S19" i="5"/>
  <c r="AA20" i="5"/>
  <c r="AO19" i="5"/>
  <c r="AP19" i="5" s="1"/>
  <c r="AC19" i="5"/>
  <c r="AO18" i="5"/>
  <c r="AP18" i="5" s="1"/>
  <c r="AC18" i="5"/>
  <c r="AM20" i="5"/>
  <c r="AC20" i="5" s="1"/>
  <c r="AO20" i="5"/>
  <c r="AP20" i="5" s="1"/>
  <c r="AO7" i="5"/>
  <c r="AP7" i="5" s="1"/>
  <c r="AC7" i="5"/>
  <c r="AO6" i="5"/>
  <c r="AP6" i="5" s="1"/>
  <c r="AC6" i="5"/>
  <c r="AO5" i="5"/>
  <c r="AP5" i="5" s="1"/>
  <c r="AC5" i="5"/>
  <c r="AO12" i="5"/>
  <c r="AP12" i="5" s="1"/>
  <c r="AC12" i="5"/>
  <c r="AO11" i="5"/>
  <c r="AP11" i="5" s="1"/>
  <c r="AC11" i="5"/>
  <c r="AO9" i="5"/>
  <c r="AP9" i="5" s="1"/>
  <c r="AC9" i="5"/>
  <c r="AO8" i="5"/>
  <c r="AP8" i="5" s="1"/>
  <c r="AC8" i="5"/>
  <c r="D4" i="3" l="1"/>
  <c r="B4" i="3"/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C4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G8" i="2"/>
  <c r="G7" i="2"/>
  <c r="D1" i="3" l="1"/>
  <c r="C1" i="3"/>
  <c r="AS8" i="5" l="1"/>
  <c r="AS12" i="5"/>
  <c r="AS13" i="5"/>
  <c r="AS14" i="5"/>
  <c r="AS16" i="5"/>
  <c r="AS17" i="5"/>
  <c r="AS20" i="5"/>
  <c r="AS6" i="5"/>
  <c r="AS7" i="5"/>
  <c r="AS9" i="5"/>
  <c r="AS10" i="5"/>
  <c r="AS15" i="5"/>
  <c r="AS5" i="5"/>
  <c r="AS11" i="5"/>
  <c r="AS19" i="5"/>
  <c r="AS18" i="5"/>
</calcChain>
</file>

<file path=xl/sharedStrings.xml><?xml version="1.0" encoding="utf-8"?>
<sst xmlns="http://schemas.openxmlformats.org/spreadsheetml/2006/main" count="803" uniqueCount="321">
  <si>
    <t>Variety</t>
  </si>
  <si>
    <t>Order date</t>
  </si>
  <si>
    <t>surface</t>
  </si>
  <si>
    <t>Compart-ment</t>
  </si>
  <si>
    <t>Steam desinfection</t>
  </si>
  <si>
    <t>Duration of the crop</t>
  </si>
  <si>
    <t>Requested delivery date</t>
  </si>
  <si>
    <t>Check delivery date</t>
  </si>
  <si>
    <t>Change date</t>
  </si>
  <si>
    <t>Remarks</t>
  </si>
  <si>
    <t>Default crop schedules</t>
  </si>
  <si>
    <t>Tomato</t>
  </si>
  <si>
    <t>Cherry</t>
  </si>
  <si>
    <t>Seed production</t>
  </si>
  <si>
    <t>Intermediate</t>
  </si>
  <si>
    <t>Beeftsteak</t>
  </si>
  <si>
    <t>Rootstock</t>
  </si>
  <si>
    <t>Round</t>
  </si>
  <si>
    <t>Grow out</t>
  </si>
  <si>
    <t>Melon</t>
  </si>
  <si>
    <t>seed production</t>
  </si>
  <si>
    <t>DH and crossings block</t>
  </si>
  <si>
    <t>Squash</t>
  </si>
  <si>
    <t>Cucumber</t>
  </si>
  <si>
    <t>Long</t>
  </si>
  <si>
    <t>Mini</t>
  </si>
  <si>
    <t>Gherkin</t>
  </si>
  <si>
    <t>Cucumber/Gherkin</t>
  </si>
  <si>
    <t>Eggplant</t>
  </si>
  <si>
    <t>Pepper</t>
  </si>
  <si>
    <t>Surface</t>
  </si>
  <si>
    <t>Width</t>
  </si>
  <si>
    <t>Substrate</t>
  </si>
  <si>
    <t>Plantingdistance</t>
  </si>
  <si>
    <t>Calc. yield</t>
  </si>
  <si>
    <t>Net length</t>
  </si>
  <si>
    <t>g/pl
RZ</t>
  </si>
  <si>
    <t>Red colour is default</t>
  </si>
  <si>
    <t>Black colour is realised</t>
  </si>
  <si>
    <t>AB 301</t>
  </si>
  <si>
    <t>AB 902</t>
  </si>
  <si>
    <t>PA 034</t>
  </si>
  <si>
    <t>PA 200</t>
  </si>
  <si>
    <t>PA 105</t>
  </si>
  <si>
    <t>PA 488</t>
  </si>
  <si>
    <t>PA 019</t>
  </si>
  <si>
    <t>PA 121</t>
  </si>
  <si>
    <t>PA 500</t>
  </si>
  <si>
    <t>PA 828</t>
  </si>
  <si>
    <t>year</t>
  </si>
  <si>
    <t>TB 031</t>
  </si>
  <si>
    <t>TB 187</t>
  </si>
  <si>
    <t>TB 290</t>
  </si>
  <si>
    <t>TB 463</t>
  </si>
  <si>
    <t>TB 882</t>
  </si>
  <si>
    <t>TT 802</t>
  </si>
  <si>
    <t>TS 786</t>
  </si>
  <si>
    <t>TS 800</t>
  </si>
  <si>
    <t>TX 308</t>
  </si>
  <si>
    <t>TX 415</t>
  </si>
  <si>
    <t>TT 136</t>
  </si>
  <si>
    <t>TT 993</t>
  </si>
  <si>
    <t>TX 014</t>
  </si>
  <si>
    <t>TX 019</t>
  </si>
  <si>
    <t>KK 753</t>
  </si>
  <si>
    <t>MK 272</t>
  </si>
  <si>
    <t>February</t>
  </si>
  <si>
    <t>TB 001</t>
  </si>
  <si>
    <t>Nursery planning</t>
  </si>
  <si>
    <t>Compartments:</t>
  </si>
  <si>
    <t>Sowing</t>
  </si>
  <si>
    <t>number</t>
  </si>
  <si>
    <t>Tidal</t>
  </si>
  <si>
    <t>nr of floors</t>
  </si>
  <si>
    <t>MS</t>
  </si>
  <si>
    <t>pl/m2</t>
  </si>
  <si>
    <t>nr of trays</t>
  </si>
  <si>
    <t>nr/pl</t>
  </si>
  <si>
    <t>TB 677</t>
  </si>
  <si>
    <t>TS 112</t>
  </si>
  <si>
    <t>TX 028</t>
  </si>
  <si>
    <t>TR 722</t>
  </si>
  <si>
    <t>TT 111</t>
  </si>
  <si>
    <t>Gross length</t>
  </si>
  <si>
    <t>Number of rows</t>
  </si>
  <si>
    <t>Gross surface</t>
  </si>
  <si>
    <t>Net surface</t>
  </si>
  <si>
    <t>(lengte * 100 / plantafst) * (ratio F / tot rat) * aant rijen</t>
  </si>
  <si>
    <t>Net number of female plants</t>
  </si>
  <si>
    <t>Net number of male plants</t>
  </si>
  <si>
    <t>(lengte * 100 / plantafst) * (ratio M / tot rat) * aant rijen</t>
  </si>
  <si>
    <t xml:space="preserve"> </t>
  </si>
  <si>
    <t>Female pl. for nursery</t>
  </si>
  <si>
    <t>Male pl. for nursery</t>
  </si>
  <si>
    <t>netto pl M * 1,15</t>
  </si>
  <si>
    <t>x</t>
  </si>
  <si>
    <t>als ( MS = 0  ; netto pl F * 1,15 ; als (MS = 50% of MS = 100% ;  netto pl F * 1,15 / MS ; "check MS" ))</t>
  </si>
  <si>
    <t>Female prod. code</t>
  </si>
  <si>
    <t>Male prod. code</t>
  </si>
  <si>
    <t>als(harv beg+14 &gt; del date +21; check!; als (harv beg + 14 &gt; del date; check; ok)</t>
  </si>
  <si>
    <t>Crop</t>
  </si>
  <si>
    <t>Order</t>
  </si>
  <si>
    <t>SS rec. date</t>
  </si>
  <si>
    <t>Nr of rows</t>
  </si>
  <si>
    <t>Female</t>
  </si>
  <si>
    <t>Male</t>
  </si>
  <si>
    <t>Net nr of plants</t>
  </si>
  <si>
    <t>Ratio</t>
  </si>
  <si>
    <r>
      <t xml:space="preserve">Sowing </t>
    </r>
    <r>
      <rPr>
        <b/>
        <sz val="10"/>
        <rFont val="Arial"/>
        <family val="2"/>
      </rPr>
      <t>M</t>
    </r>
    <r>
      <rPr>
        <sz val="10"/>
        <rFont val="Arial"/>
        <family val="2"/>
      </rPr>
      <t>ale</t>
    </r>
  </si>
  <si>
    <r>
      <t xml:space="preserve">Sowing </t>
    </r>
    <r>
      <rPr>
        <b/>
        <sz val="10"/>
        <rFont val="Arial"/>
        <family val="2"/>
      </rPr>
      <t>F</t>
    </r>
    <r>
      <rPr>
        <sz val="10"/>
        <rFont val="Arial"/>
        <family val="2"/>
      </rPr>
      <t>emale</t>
    </r>
  </si>
  <si>
    <r>
      <t xml:space="preserve">Realised nr of plants </t>
    </r>
    <r>
      <rPr>
        <b/>
        <sz val="10"/>
        <rFont val="Arial"/>
        <family val="2"/>
      </rPr>
      <t>M</t>
    </r>
    <r>
      <rPr>
        <sz val="10"/>
        <rFont val="Arial"/>
        <family val="2"/>
      </rPr>
      <t>ale</t>
    </r>
  </si>
  <si>
    <r>
      <t xml:space="preserve">Realised nr of plants </t>
    </r>
    <r>
      <rPr>
        <b/>
        <sz val="10"/>
        <rFont val="Arial"/>
        <family val="2"/>
      </rPr>
      <t>F</t>
    </r>
    <r>
      <rPr>
        <sz val="10"/>
        <rFont val="Arial"/>
        <family val="2"/>
      </rPr>
      <t>emale</t>
    </r>
  </si>
  <si>
    <r>
      <t xml:space="preserve">Trans-planting </t>
    </r>
    <r>
      <rPr>
        <b/>
        <sz val="10"/>
        <rFont val="Arial"/>
        <family val="2"/>
      </rPr>
      <t>M</t>
    </r>
    <r>
      <rPr>
        <sz val="10"/>
        <rFont val="Arial"/>
        <family val="2"/>
      </rPr>
      <t>ale</t>
    </r>
  </si>
  <si>
    <r>
      <t xml:space="preserve">Trans-planting </t>
    </r>
    <r>
      <rPr>
        <b/>
        <sz val="10"/>
        <rFont val="Arial"/>
        <family val="2"/>
      </rPr>
      <t>F</t>
    </r>
    <r>
      <rPr>
        <sz val="10"/>
        <rFont val="Arial"/>
        <family val="2"/>
      </rPr>
      <t>emale</t>
    </r>
  </si>
  <si>
    <t>New estimation</t>
  </si>
  <si>
    <t>Crop 1</t>
  </si>
  <si>
    <t>Year</t>
  </si>
  <si>
    <t>Pollination</t>
  </si>
  <si>
    <t>x2</t>
  </si>
  <si>
    <t>x3</t>
  </si>
  <si>
    <t>x4</t>
  </si>
  <si>
    <t>Harvest</t>
  </si>
  <si>
    <t>From..</t>
  </si>
  <si>
    <t>Until ..</t>
  </si>
  <si>
    <t>From ..</t>
  </si>
  <si>
    <t>Until..</t>
  </si>
  <si>
    <t>Batch numbers F</t>
  </si>
  <si>
    <t>Batch numbers M</t>
  </si>
  <si>
    <t>SS received F</t>
  </si>
  <si>
    <t>SS used F</t>
  </si>
  <si>
    <t>SS received M</t>
  </si>
  <si>
    <t>SS used M</t>
  </si>
  <si>
    <t>Crop 2</t>
  </si>
  <si>
    <t xml:space="preserve">Female </t>
  </si>
  <si>
    <t xml:space="preserve">Male </t>
  </si>
  <si>
    <t xml:space="preserve">Female  </t>
  </si>
  <si>
    <t xml:space="preserve">Male  </t>
  </si>
  <si>
    <t>Difference estimate - order</t>
  </si>
  <si>
    <t>Female2</t>
  </si>
  <si>
    <t>Male2</t>
  </si>
  <si>
    <t>TO5623</t>
  </si>
  <si>
    <t>PA5062</t>
  </si>
  <si>
    <t>TO5616</t>
  </si>
  <si>
    <t>TX5681</t>
  </si>
  <si>
    <t>TR5515</t>
  </si>
  <si>
    <t>TB5202</t>
  </si>
  <si>
    <t>PA5198</t>
  </si>
  <si>
    <t>PA5185</t>
  </si>
  <si>
    <t>PA5075</t>
  </si>
  <si>
    <t>AB5902</t>
  </si>
  <si>
    <t>AB5480</t>
  </si>
  <si>
    <t>AB5018</t>
  </si>
  <si>
    <t>AB5044</t>
  </si>
  <si>
    <t>MK5832</t>
  </si>
  <si>
    <t>MK5838</t>
  </si>
  <si>
    <t>KK5600</t>
  </si>
  <si>
    <t>KK5692</t>
  </si>
  <si>
    <t>TB5669</t>
  </si>
  <si>
    <t>TB5329</t>
  </si>
  <si>
    <t>TB5607</t>
  </si>
  <si>
    <t>TO5386</t>
  </si>
  <si>
    <t>TB5234</t>
  </si>
  <si>
    <t>TB5235</t>
  </si>
  <si>
    <t>TB5766</t>
  </si>
  <si>
    <t>TO5120</t>
  </si>
  <si>
    <t>TB5882</t>
  </si>
  <si>
    <t>TB5880</t>
  </si>
  <si>
    <t>TO5494</t>
  </si>
  <si>
    <t>TS5295</t>
  </si>
  <si>
    <t>TS5312</t>
  </si>
  <si>
    <t>TR5861</t>
  </si>
  <si>
    <t>TS5607</t>
  </si>
  <si>
    <t>TB5490</t>
  </si>
  <si>
    <t>TB5578</t>
  </si>
  <si>
    <t>PA6302</t>
  </si>
  <si>
    <t>PA5201</t>
  </si>
  <si>
    <t>PA5156</t>
  </si>
  <si>
    <t>PA5096</t>
  </si>
  <si>
    <t>PA5162</t>
  </si>
  <si>
    <t>PA5163</t>
  </si>
  <si>
    <t>PA5079</t>
  </si>
  <si>
    <t>PA5081</t>
  </si>
  <si>
    <t>PA5501</t>
  </si>
  <si>
    <t>PA5135</t>
  </si>
  <si>
    <t>PA5110</t>
  </si>
  <si>
    <t>TX5848</t>
  </si>
  <si>
    <t>TX5900</t>
  </si>
  <si>
    <t>TR5619</t>
  </si>
  <si>
    <t>TX5675</t>
  </si>
  <si>
    <t>TR5845</t>
  </si>
  <si>
    <t>TB5677</t>
  </si>
  <si>
    <t>TB5101</t>
  </si>
  <si>
    <t>TR5207</t>
  </si>
  <si>
    <t>TR5567</t>
  </si>
  <si>
    <t>TS5194</t>
  </si>
  <si>
    <t>TR5577</t>
  </si>
  <si>
    <t>TR5513</t>
  </si>
  <si>
    <t>TB5130</t>
  </si>
  <si>
    <t>100468999/100469000</t>
  </si>
  <si>
    <t>100506300/100506301</t>
  </si>
  <si>
    <t>100448297/100489369</t>
  </si>
  <si>
    <t>100347715/100463510/100463511</t>
  </si>
  <si>
    <t>0.004kg</t>
  </si>
  <si>
    <t>0.002kg</t>
  </si>
  <si>
    <t>100492728/100492729</t>
  </si>
  <si>
    <t>100514166/100514171</t>
  </si>
  <si>
    <t>100496609/100496611</t>
  </si>
  <si>
    <t>100206610/100461594</t>
  </si>
  <si>
    <t>0.003kg</t>
  </si>
  <si>
    <t>100463924/100516028</t>
  </si>
  <si>
    <t>100489651/100489652</t>
  </si>
  <si>
    <t>100514186/100514188</t>
  </si>
  <si>
    <t>100325448/100325449</t>
  </si>
  <si>
    <t>yes</t>
  </si>
  <si>
    <t>Contract number</t>
  </si>
  <si>
    <t>Delivered all yes/no</t>
  </si>
  <si>
    <t>Delivered all 
yes/no</t>
  </si>
  <si>
    <t>AB 159</t>
  </si>
  <si>
    <t>AB5103</t>
  </si>
  <si>
    <t>AB5195</t>
  </si>
  <si>
    <t>no</t>
  </si>
  <si>
    <t>TB 882-2</t>
  </si>
  <si>
    <t>TB 804</t>
  </si>
  <si>
    <t>TB5609</t>
  </si>
  <si>
    <t>TB5109</t>
  </si>
  <si>
    <t>TR 043</t>
  </si>
  <si>
    <t>TR5252</t>
  </si>
  <si>
    <t>TR5204</t>
  </si>
  <si>
    <t>TR 363</t>
  </si>
  <si>
    <t>TR 400</t>
  </si>
  <si>
    <t>TS 839</t>
  </si>
  <si>
    <t>TS 940</t>
  </si>
  <si>
    <t>TT 054</t>
  </si>
  <si>
    <t>TT 072</t>
  </si>
  <si>
    <t>TT 088</t>
  </si>
  <si>
    <t>TT 118</t>
  </si>
  <si>
    <t>TO5548</t>
  </si>
  <si>
    <t>TR5377</t>
  </si>
  <si>
    <t>TS5081</t>
  </si>
  <si>
    <t>TS5032</t>
  </si>
  <si>
    <t>TB5501</t>
  </si>
  <si>
    <t>TT7701</t>
  </si>
  <si>
    <t>TO5348</t>
  </si>
  <si>
    <t>TO5118</t>
  </si>
  <si>
    <t>TO5957</t>
  </si>
  <si>
    <t>TR5123</t>
  </si>
  <si>
    <t>TS5626</t>
  </si>
  <si>
    <t>TB5470</t>
  </si>
  <si>
    <t>TR5306</t>
  </si>
  <si>
    <t>TT7702</t>
  </si>
  <si>
    <t>TO5411</t>
  </si>
  <si>
    <t>Several numbers</t>
  </si>
  <si>
    <t>PA 724</t>
  </si>
  <si>
    <t>PA6062</t>
  </si>
  <si>
    <t>PA5136</t>
  </si>
  <si>
    <t>PA 029</t>
  </si>
  <si>
    <t>PA 073</t>
  </si>
  <si>
    <t>PA 085</t>
  </si>
  <si>
    <t>PA5709</t>
  </si>
  <si>
    <t>PA8738</t>
  </si>
  <si>
    <t>PA5187</t>
  </si>
  <si>
    <t>PA5166</t>
  </si>
  <si>
    <t>PA8727</t>
  </si>
  <si>
    <t>PA8728</t>
  </si>
  <si>
    <t>PA 490</t>
  </si>
  <si>
    <t>PA5039</t>
  </si>
  <si>
    <t>TT 255</t>
  </si>
  <si>
    <t>TT 319</t>
  </si>
  <si>
    <t>TT 485</t>
  </si>
  <si>
    <t>TR5136</t>
  </si>
  <si>
    <t>TB5323</t>
  </si>
  <si>
    <t>TR5137</t>
  </si>
  <si>
    <t>TB5327</t>
  </si>
  <si>
    <t>TB5461</t>
  </si>
  <si>
    <t>TR5495</t>
  </si>
  <si>
    <t>TB 912</t>
  </si>
  <si>
    <t>TB5860</t>
  </si>
  <si>
    <t>TB 819</t>
  </si>
  <si>
    <t>TB5854</t>
  </si>
  <si>
    <t>TT 934</t>
  </si>
  <si>
    <t>PA 820</t>
  </si>
  <si>
    <t>PA5710</t>
  </si>
  <si>
    <t>Longer pollination period, to reach the order</t>
  </si>
  <si>
    <t>May</t>
  </si>
  <si>
    <t>PA 312</t>
  </si>
  <si>
    <t>PA5183</t>
  </si>
  <si>
    <t>PA5184</t>
  </si>
  <si>
    <t xml:space="preserve"> h</t>
  </si>
  <si>
    <t>hhh</t>
  </si>
  <si>
    <t>26/07/10</t>
  </si>
  <si>
    <t>100461563/7</t>
  </si>
  <si>
    <t>100571050/7</t>
  </si>
  <si>
    <t>100580711/7</t>
  </si>
  <si>
    <t>100532058/1</t>
  </si>
  <si>
    <t>100540211/7</t>
  </si>
  <si>
    <t>100481671/1</t>
  </si>
  <si>
    <t>100342519/3</t>
  </si>
  <si>
    <t>100341713/3</t>
  </si>
  <si>
    <t>100582744/7</t>
  </si>
  <si>
    <t>100170873/2</t>
  </si>
  <si>
    <t>100461563/1</t>
  </si>
  <si>
    <t>100570935/7</t>
  </si>
  <si>
    <t>100570929/7</t>
  </si>
  <si>
    <r>
      <t xml:space="preserve">Tidal floor </t>
    </r>
    <r>
      <rPr>
        <b/>
        <sz val="10"/>
        <rFont val="Arial"/>
        <family val="2"/>
      </rPr>
      <t>M</t>
    </r>
    <r>
      <rPr>
        <sz val="10"/>
        <rFont val="Arial"/>
        <family val="2"/>
      </rPr>
      <t>ale</t>
    </r>
  </si>
  <si>
    <r>
      <t xml:space="preserve">Tidal floor </t>
    </r>
    <r>
      <rPr>
        <b/>
        <sz val="10"/>
        <rFont val="Arial"/>
        <family val="2"/>
      </rPr>
      <t>F</t>
    </r>
    <r>
      <rPr>
        <sz val="10"/>
        <rFont val="Arial"/>
        <family val="2"/>
      </rPr>
      <t>emale</t>
    </r>
  </si>
  <si>
    <t>85/86</t>
  </si>
  <si>
    <t>93/94</t>
  </si>
  <si>
    <t>90/91</t>
  </si>
  <si>
    <t>85/86/87/88</t>
  </si>
  <si>
    <t>91/92</t>
  </si>
  <si>
    <t>83/84</t>
  </si>
  <si>
    <t>92/93/94</t>
  </si>
  <si>
    <t>83/84/85</t>
  </si>
  <si>
    <t>89/90</t>
  </si>
  <si>
    <t>87/88</t>
  </si>
  <si>
    <t>100556435/100556436</t>
  </si>
  <si>
    <t>100448297/100489369/100549773</t>
  </si>
  <si>
    <t>100554145/10055254</t>
  </si>
  <si>
    <t>100464301/100464300</t>
  </si>
  <si>
    <t>ok</t>
  </si>
  <si>
    <t>Check!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</si>
</sst>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-* #,##0.00_-;_-* #,##0.00\-;_-* &quot;-&quot;??_-;_-@_-"/>
    <numFmt numFmtId="165" formatCode="dd/mmm/yy"/>
    <numFmt numFmtId="166" formatCode="&quot;-&quot;0"/>
    <numFmt numFmtId="167" formatCode="[$-409]d\-mmm\-yy;@"/>
    <numFmt numFmtId="168" formatCode="0\ &quot;kg&quot;"/>
    <numFmt numFmtId="169" formatCode="0\ &quot;days&quot;"/>
    <numFmt numFmtId="170" formatCode="#,##0\ &quot;kg&quot;"/>
    <numFmt numFmtId="171" formatCode="0.0"/>
    <numFmt numFmtId="172" formatCode="[$-413]d/mmm/yy;@"/>
    <numFmt numFmtId="173" formatCode="[$-413]dd/mmm/yy;@"/>
    <numFmt numFmtId="174" formatCode="#,##0\ &quot;m²&quot;"/>
    <numFmt numFmtId="175" formatCode="#,##0.0&quot; kg&quot;"/>
    <numFmt numFmtId="176" formatCode="0.0&quot; kg&quot;"/>
    <numFmt numFmtId="177" formatCode="#,##0.0&quot; kg&quot;\ ;[Red]\-#,##0.0&quot; kg&quot;"/>
    <numFmt numFmtId="178" formatCode="#,##0&quot; kg&quot;"/>
    <numFmt numFmtId="179" formatCode="#,##0.0"/>
  </numFmts>
  <fonts count="21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  <font>
      <sz val="8"/>
      <color theme="3" tint="0.39997558519241921"/>
      <name val="Arial"/>
      <family val="2"/>
    </font>
    <font>
      <b/>
      <sz val="8"/>
      <color theme="3" tint="0.39997558519241921"/>
      <name val="Arial"/>
      <family val="2"/>
    </font>
    <font>
      <sz val="8"/>
      <color theme="4" tint="-0.249977111117893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3" tint="0.39997558519241921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5" fillId="0" borderId="0" applyFont="0" applyFill="0" applyBorder="0" applyAlignment="0" applyProtection="0"/>
  </cellStyleXfs>
  <cellXfs count="274">
    <xf numFmtId="0" fontId="0" fillId="0" borderId="0" xfId="0"/>
    <xf numFmtId="0" fontId="1" fillId="0" borderId="0" xfId="0" applyFont="1" applyFill="1" applyBorder="1"/>
    <xf numFmtId="0" fontId="4" fillId="0" borderId="0" xfId="0" applyFont="1"/>
    <xf numFmtId="0" fontId="2" fillId="6" borderId="1" xfId="0" applyFont="1" applyFill="1" applyBorder="1"/>
    <xf numFmtId="0" fontId="3" fillId="2" borderId="15" xfId="0" applyFont="1" applyFill="1" applyBorder="1" applyAlignment="1">
      <alignment horizontal="center" vertical="top" wrapText="1"/>
    </xf>
    <xf numFmtId="0" fontId="3" fillId="2" borderId="16" xfId="0" applyFont="1" applyFill="1" applyBorder="1" applyAlignment="1">
      <alignment horizontal="center" vertical="top" wrapText="1"/>
    </xf>
    <xf numFmtId="0" fontId="3" fillId="2" borderId="16" xfId="0" applyFont="1" applyFill="1" applyBorder="1" applyAlignment="1">
      <alignment vertical="top" wrapText="1"/>
    </xf>
    <xf numFmtId="0" fontId="2" fillId="6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5" fillId="0" borderId="2" xfId="0" applyFont="1" applyBorder="1"/>
    <xf numFmtId="174" fontId="5" fillId="0" borderId="2" xfId="0" applyNumberFormat="1" applyFont="1" applyBorder="1"/>
    <xf numFmtId="0" fontId="5" fillId="0" borderId="10" xfId="0" applyFont="1" applyBorder="1"/>
    <xf numFmtId="0" fontId="6" fillId="0" borderId="0" xfId="0" applyFont="1"/>
    <xf numFmtId="0" fontId="6" fillId="0" borderId="2" xfId="0" applyFont="1" applyBorder="1"/>
    <xf numFmtId="0" fontId="5" fillId="0" borderId="11" xfId="0" applyFont="1" applyBorder="1"/>
    <xf numFmtId="0" fontId="6" fillId="0" borderId="11" xfId="0" applyFont="1" applyBorder="1"/>
    <xf numFmtId="174" fontId="5" fillId="0" borderId="11" xfId="0" applyNumberFormat="1" applyFont="1" applyBorder="1"/>
    <xf numFmtId="0" fontId="6" fillId="0" borderId="0" xfId="0" applyFont="1" applyBorder="1"/>
    <xf numFmtId="0" fontId="6" fillId="0" borderId="3" xfId="0" applyFont="1" applyBorder="1"/>
    <xf numFmtId="0" fontId="6" fillId="0" borderId="12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13" xfId="0" applyFont="1" applyBorder="1"/>
    <xf numFmtId="0" fontId="6" fillId="0" borderId="14" xfId="0" applyFont="1" applyBorder="1"/>
    <xf numFmtId="0" fontId="3" fillId="6" borderId="3" xfId="0" applyFont="1" applyFill="1" applyBorder="1" applyAlignment="1">
      <alignment horizontal="center"/>
    </xf>
    <xf numFmtId="174" fontId="3" fillId="6" borderId="12" xfId="0" applyNumberFormat="1" applyFont="1" applyFill="1" applyBorder="1"/>
    <xf numFmtId="0" fontId="3" fillId="6" borderId="4" xfId="0" applyFont="1" applyFill="1" applyBorder="1" applyAlignment="1">
      <alignment horizontal="center"/>
    </xf>
    <xf numFmtId="174" fontId="3" fillId="6" borderId="5" xfId="0" applyNumberFormat="1" applyFont="1" applyFill="1" applyBorder="1"/>
    <xf numFmtId="0" fontId="3" fillId="6" borderId="13" xfId="0" applyFont="1" applyFill="1" applyBorder="1" applyAlignment="1">
      <alignment horizontal="center"/>
    </xf>
    <xf numFmtId="174" fontId="3" fillId="6" borderId="14" xfId="0" applyNumberFormat="1" applyFont="1" applyFill="1" applyBorder="1"/>
    <xf numFmtId="170" fontId="0" fillId="0" borderId="0" xfId="0" applyNumberFormat="1"/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14" borderId="9" xfId="0" applyFont="1" applyFill="1" applyBorder="1" applyAlignment="1">
      <alignment vertical="top" wrapText="1"/>
    </xf>
    <xf numFmtId="166" fontId="2" fillId="14" borderId="9" xfId="0" applyNumberFormat="1" applyFont="1" applyFill="1" applyBorder="1" applyAlignment="1">
      <alignment vertical="top" wrapText="1"/>
    </xf>
    <xf numFmtId="0" fontId="2" fillId="14" borderId="9" xfId="0" applyNumberFormat="1" applyFont="1" applyFill="1" applyBorder="1" applyAlignment="1">
      <alignment vertical="top" wrapText="1"/>
    </xf>
    <xf numFmtId="168" fontId="3" fillId="14" borderId="9" xfId="0" applyNumberFormat="1" applyFont="1" applyFill="1" applyBorder="1" applyAlignment="1">
      <alignment vertical="top" wrapText="1"/>
    </xf>
    <xf numFmtId="172" fontId="3" fillId="14" borderId="9" xfId="0" applyNumberFormat="1" applyFont="1" applyFill="1" applyBorder="1" applyAlignment="1">
      <alignment vertical="top" wrapText="1"/>
    </xf>
    <xf numFmtId="167" fontId="10" fillId="14" borderId="9" xfId="0" applyNumberFormat="1" applyFont="1" applyFill="1" applyBorder="1" applyAlignment="1">
      <alignment vertical="top" wrapText="1"/>
    </xf>
    <xf numFmtId="165" fontId="10" fillId="14" borderId="9" xfId="0" applyNumberFormat="1" applyFont="1" applyFill="1" applyBorder="1" applyAlignment="1">
      <alignment vertical="top" wrapText="1"/>
    </xf>
    <xf numFmtId="0" fontId="3" fillId="14" borderId="9" xfId="0" applyFont="1" applyFill="1" applyBorder="1" applyAlignment="1">
      <alignment vertical="top" wrapText="1"/>
    </xf>
    <xf numFmtId="170" fontId="3" fillId="14" borderId="9" xfId="0" applyNumberFormat="1" applyFont="1" applyFill="1" applyBorder="1" applyAlignment="1">
      <alignment vertical="top" wrapText="1"/>
    </xf>
    <xf numFmtId="174" fontId="3" fillId="14" borderId="9" xfId="0" applyNumberFormat="1" applyFont="1" applyFill="1" applyBorder="1" applyAlignment="1">
      <alignment vertical="top" wrapText="1"/>
    </xf>
    <xf numFmtId="3" fontId="3" fillId="14" borderId="9" xfId="0" applyNumberFormat="1" applyFont="1" applyFill="1" applyBorder="1" applyAlignment="1">
      <alignment vertical="top" wrapText="1"/>
    </xf>
    <xf numFmtId="17" fontId="3" fillId="14" borderId="9" xfId="0" applyNumberFormat="1" applyFont="1" applyFill="1" applyBorder="1" applyAlignment="1">
      <alignment vertical="top" wrapText="1"/>
    </xf>
    <xf numFmtId="15" fontId="3" fillId="14" borderId="9" xfId="0" applyNumberFormat="1" applyFont="1" applyFill="1" applyBorder="1" applyAlignment="1">
      <alignment vertical="top" wrapText="1"/>
    </xf>
    <xf numFmtId="169" fontId="3" fillId="14" borderId="9" xfId="0" applyNumberFormat="1" applyFont="1" applyFill="1" applyBorder="1" applyAlignment="1">
      <alignment vertical="top" wrapText="1"/>
    </xf>
    <xf numFmtId="171" fontId="3" fillId="14" borderId="9" xfId="0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/>
    </xf>
    <xf numFmtId="166" fontId="3" fillId="0" borderId="0" xfId="0" applyNumberFormat="1" applyFont="1" applyAlignment="1">
      <alignment vertical="top"/>
    </xf>
    <xf numFmtId="168" fontId="3" fillId="0" borderId="0" xfId="0" applyNumberFormat="1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3" fontId="3" fillId="0" borderId="0" xfId="0" applyNumberFormat="1" applyFont="1" applyFill="1" applyBorder="1" applyAlignment="1">
      <alignment vertical="top"/>
    </xf>
    <xf numFmtId="3" fontId="3" fillId="0" borderId="20" xfId="0" applyNumberFormat="1" applyFont="1" applyFill="1" applyBorder="1" applyAlignment="1">
      <alignment vertical="top"/>
    </xf>
    <xf numFmtId="0" fontId="3" fillId="8" borderId="14" xfId="0" applyFont="1" applyFill="1" applyBorder="1" applyAlignment="1">
      <alignment vertical="top"/>
    </xf>
    <xf numFmtId="0" fontId="3" fillId="8" borderId="7" xfId="0" applyFont="1" applyFill="1" applyBorder="1" applyAlignment="1">
      <alignment vertical="top"/>
    </xf>
    <xf numFmtId="3" fontId="3" fillId="8" borderId="14" xfId="0" applyNumberFormat="1" applyFont="1" applyFill="1" applyBorder="1" applyAlignment="1">
      <alignment vertical="top"/>
    </xf>
    <xf numFmtId="3" fontId="3" fillId="8" borderId="7" xfId="0" applyNumberFormat="1" applyFont="1" applyFill="1" applyBorder="1" applyAlignment="1">
      <alignment vertical="top"/>
    </xf>
    <xf numFmtId="3" fontId="3" fillId="0" borderId="19" xfId="0" applyNumberFormat="1" applyFont="1" applyFill="1" applyBorder="1" applyAlignment="1">
      <alignment vertical="top"/>
    </xf>
    <xf numFmtId="17" fontId="7" fillId="0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3" fontId="3" fillId="0" borderId="0" xfId="0" applyNumberFormat="1" applyFont="1" applyAlignment="1">
      <alignment vertical="top"/>
    </xf>
    <xf numFmtId="169" fontId="3" fillId="0" borderId="0" xfId="0" applyNumberFormat="1" applyFont="1" applyFill="1" applyAlignment="1">
      <alignment vertical="top"/>
    </xf>
    <xf numFmtId="0" fontId="3" fillId="0" borderId="0" xfId="0" applyFont="1" applyAlignment="1">
      <alignment vertical="top" wrapText="1"/>
    </xf>
    <xf numFmtId="171" fontId="3" fillId="0" borderId="0" xfId="0" applyNumberFormat="1" applyFont="1" applyAlignment="1">
      <alignment vertical="top" wrapText="1"/>
    </xf>
    <xf numFmtId="167" fontId="10" fillId="0" borderId="0" xfId="0" applyNumberFormat="1" applyFont="1" applyAlignment="1">
      <alignment vertical="top"/>
    </xf>
    <xf numFmtId="0" fontId="3" fillId="0" borderId="18" xfId="0" applyFont="1" applyFill="1" applyBorder="1" applyAlignment="1">
      <alignment vertical="top"/>
    </xf>
    <xf numFmtId="3" fontId="3" fillId="0" borderId="18" xfId="0" applyNumberFormat="1" applyFont="1" applyFill="1" applyBorder="1" applyAlignment="1">
      <alignment vertical="top"/>
    </xf>
    <xf numFmtId="3" fontId="3" fillId="0" borderId="8" xfId="0" applyNumberFormat="1" applyFont="1" applyFill="1" applyBorder="1" applyAlignment="1">
      <alignment vertical="top"/>
    </xf>
    <xf numFmtId="0" fontId="3" fillId="8" borderId="12" xfId="0" applyFont="1" applyFill="1" applyBorder="1" applyAlignment="1">
      <alignment horizontal="centerContinuous" vertical="top"/>
    </xf>
    <xf numFmtId="0" fontId="3" fillId="8" borderId="8" xfId="0" applyFont="1" applyFill="1" applyBorder="1" applyAlignment="1">
      <alignment horizontal="centerContinuous" vertical="top"/>
    </xf>
    <xf numFmtId="3" fontId="3" fillId="8" borderId="12" xfId="0" applyNumberFormat="1" applyFont="1" applyFill="1" applyBorder="1" applyAlignment="1">
      <alignment horizontal="centerContinuous" vertical="top"/>
    </xf>
    <xf numFmtId="3" fontId="3" fillId="8" borderId="8" xfId="0" applyNumberFormat="1" applyFont="1" applyFill="1" applyBorder="1" applyAlignment="1">
      <alignment horizontal="centerContinuous" vertical="top"/>
    </xf>
    <xf numFmtId="3" fontId="3" fillId="0" borderId="12" xfId="0" applyNumberFormat="1" applyFont="1" applyFill="1" applyBorder="1" applyAlignment="1">
      <alignment vertical="top"/>
    </xf>
    <xf numFmtId="3" fontId="3" fillId="0" borderId="4" xfId="0" applyNumberFormat="1" applyFont="1" applyFill="1" applyBorder="1" applyAlignment="1">
      <alignment vertical="top"/>
    </xf>
    <xf numFmtId="4" fontId="3" fillId="0" borderId="4" xfId="0" applyNumberFormat="1" applyFont="1" applyFill="1" applyBorder="1" applyAlignment="1">
      <alignment vertical="top"/>
    </xf>
    <xf numFmtId="16" fontId="8" fillId="0" borderId="4" xfId="0" applyNumberFormat="1" applyFont="1" applyBorder="1" applyAlignment="1" applyProtection="1">
      <alignment vertical="top"/>
      <protection locked="0"/>
    </xf>
    <xf numFmtId="169" fontId="8" fillId="0" borderId="4" xfId="0" applyNumberFormat="1" applyFont="1" applyFill="1" applyBorder="1" applyAlignment="1" applyProtection="1">
      <alignment vertical="top"/>
      <protection locked="0"/>
    </xf>
    <xf numFmtId="0" fontId="3" fillId="0" borderId="4" xfId="0" applyFont="1" applyBorder="1" applyAlignment="1" applyProtection="1">
      <alignment vertical="top" wrapText="1"/>
      <protection locked="0"/>
    </xf>
    <xf numFmtId="3" fontId="3" fillId="0" borderId="4" xfId="0" applyNumberFormat="1" applyFont="1" applyBorder="1" applyAlignment="1" applyProtection="1">
      <alignment vertical="top"/>
      <protection locked="0"/>
    </xf>
    <xf numFmtId="171" fontId="3" fillId="0" borderId="4" xfId="0" applyNumberFormat="1" applyFont="1" applyBorder="1" applyAlignment="1" applyProtection="1">
      <alignment vertical="top"/>
      <protection locked="0"/>
    </xf>
    <xf numFmtId="171" fontId="3" fillId="0" borderId="4" xfId="0" applyNumberFormat="1" applyFont="1" applyFill="1" applyBorder="1" applyAlignment="1" applyProtection="1">
      <alignment vertical="top" wrapText="1"/>
      <protection locked="0"/>
    </xf>
    <xf numFmtId="3" fontId="3" fillId="7" borderId="4" xfId="0" applyNumberFormat="1" applyFont="1" applyFill="1" applyBorder="1" applyAlignment="1" applyProtection="1">
      <alignment vertical="top"/>
      <protection locked="0"/>
    </xf>
    <xf numFmtId="171" fontId="3" fillId="7" borderId="4" xfId="0" applyNumberFormat="1" applyFont="1" applyFill="1" applyBorder="1" applyAlignment="1" applyProtection="1">
      <alignment vertical="top"/>
      <protection locked="0"/>
    </xf>
    <xf numFmtId="171" fontId="3" fillId="7" borderId="4" xfId="0" applyNumberFormat="1" applyFont="1" applyFill="1" applyBorder="1" applyAlignment="1" applyProtection="1">
      <alignment vertical="top" wrapText="1"/>
      <protection locked="0"/>
    </xf>
    <xf numFmtId="0" fontId="2" fillId="3" borderId="9" xfId="0" applyFont="1" applyFill="1" applyBorder="1" applyAlignment="1">
      <alignment vertical="top"/>
    </xf>
    <xf numFmtId="166" fontId="3" fillId="3" borderId="9" xfId="0" applyNumberFormat="1" applyFont="1" applyFill="1" applyBorder="1" applyAlignment="1">
      <alignment vertical="top"/>
    </xf>
    <xf numFmtId="168" fontId="3" fillId="3" borderId="9" xfId="0" applyNumberFormat="1" applyFont="1" applyFill="1" applyBorder="1" applyAlignment="1">
      <alignment vertical="top"/>
    </xf>
    <xf numFmtId="3" fontId="3" fillId="3" borderId="9" xfId="0" applyNumberFormat="1" applyFont="1" applyFill="1" applyBorder="1" applyAlignment="1">
      <alignment vertical="top"/>
    </xf>
    <xf numFmtId="9" fontId="3" fillId="3" borderId="9" xfId="0" applyNumberFormat="1" applyFont="1" applyFill="1" applyBorder="1" applyAlignment="1">
      <alignment vertical="top"/>
    </xf>
    <xf numFmtId="167" fontId="10" fillId="3" borderId="9" xfId="0" applyNumberFormat="1" applyFont="1" applyFill="1" applyBorder="1" applyAlignment="1">
      <alignment vertical="top"/>
    </xf>
    <xf numFmtId="0" fontId="11" fillId="3" borderId="9" xfId="0" applyFont="1" applyFill="1" applyBorder="1" applyAlignment="1">
      <alignment vertical="top" wrapText="1"/>
    </xf>
    <xf numFmtId="3" fontId="3" fillId="15" borderId="9" xfId="0" applyNumberFormat="1" applyFont="1" applyFill="1" applyBorder="1" applyAlignment="1">
      <alignment vertical="top"/>
    </xf>
    <xf numFmtId="170" fontId="3" fillId="3" borderId="9" xfId="0" applyNumberFormat="1" applyFont="1" applyFill="1" applyBorder="1" applyAlignment="1">
      <alignment vertical="top"/>
    </xf>
    <xf numFmtId="174" fontId="3" fillId="3" borderId="9" xfId="0" applyNumberFormat="1" applyFont="1" applyFill="1" applyBorder="1" applyAlignment="1">
      <alignment vertical="top"/>
    </xf>
    <xf numFmtId="168" fontId="3" fillId="3" borderId="6" xfId="0" applyNumberFormat="1" applyFont="1" applyFill="1" applyBorder="1" applyAlignment="1">
      <alignment vertical="top"/>
    </xf>
    <xf numFmtId="9" fontId="3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70" fontId="6" fillId="0" borderId="0" xfId="0" applyNumberFormat="1" applyFont="1" applyAlignment="1">
      <alignment vertical="top"/>
    </xf>
    <xf numFmtId="174" fontId="6" fillId="0" borderId="0" xfId="0" applyNumberFormat="1" applyFont="1" applyAlignment="1">
      <alignment vertical="top"/>
    </xf>
    <xf numFmtId="0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>
      <alignment vertical="top" wrapText="1"/>
    </xf>
    <xf numFmtId="0" fontId="3" fillId="0" borderId="0" xfId="0" applyNumberFormat="1" applyFont="1" applyFill="1" applyBorder="1" applyAlignment="1" applyProtection="1">
      <alignment vertical="top"/>
      <protection locked="0"/>
    </xf>
    <xf numFmtId="0" fontId="6" fillId="0" borderId="0" xfId="0" applyNumberFormat="1" applyFont="1" applyFill="1" applyAlignment="1">
      <alignment vertical="top"/>
    </xf>
    <xf numFmtId="0" fontId="2" fillId="14" borderId="9" xfId="0" applyFont="1" applyFill="1" applyBorder="1" applyAlignment="1">
      <alignment vertical="top"/>
    </xf>
    <xf numFmtId="0" fontId="3" fillId="13" borderId="20" xfId="0" applyFont="1" applyFill="1" applyBorder="1" applyAlignment="1">
      <alignment vertical="top" wrapText="1"/>
    </xf>
    <xf numFmtId="0" fontId="3" fillId="13" borderId="17" xfId="0" applyFont="1" applyFill="1" applyBorder="1" applyAlignment="1">
      <alignment vertical="top" wrapText="1"/>
    </xf>
    <xf numFmtId="0" fontId="3" fillId="13" borderId="19" xfId="0" applyFont="1" applyFill="1" applyBorder="1" applyAlignment="1">
      <alignment vertical="top" wrapText="1"/>
    </xf>
    <xf numFmtId="166" fontId="3" fillId="13" borderId="20" xfId="0" applyNumberFormat="1" applyFont="1" applyFill="1" applyBorder="1" applyAlignment="1">
      <alignment vertical="top" wrapText="1"/>
    </xf>
    <xf numFmtId="0" fontId="3" fillId="13" borderId="17" xfId="0" applyNumberFormat="1" applyFont="1" applyFill="1" applyBorder="1" applyAlignment="1">
      <alignment vertical="top" wrapText="1"/>
    </xf>
    <xf numFmtId="168" fontId="3" fillId="13" borderId="17" xfId="0" applyNumberFormat="1" applyFont="1" applyFill="1" applyBorder="1" applyAlignment="1">
      <alignment vertical="top" wrapText="1"/>
    </xf>
    <xf numFmtId="172" fontId="3" fillId="13" borderId="17" xfId="0" applyNumberFormat="1" applyFont="1" applyFill="1" applyBorder="1" applyAlignment="1">
      <alignment vertical="top" wrapText="1"/>
    </xf>
    <xf numFmtId="167" fontId="12" fillId="13" borderId="17" xfId="0" applyNumberFormat="1" applyFont="1" applyFill="1" applyBorder="1" applyAlignment="1">
      <alignment vertical="top" wrapText="1"/>
    </xf>
    <xf numFmtId="165" fontId="12" fillId="13" borderId="17" xfId="0" applyNumberFormat="1" applyFont="1" applyFill="1" applyBorder="1" applyAlignment="1">
      <alignment vertical="top" wrapText="1"/>
    </xf>
    <xf numFmtId="0" fontId="3" fillId="9" borderId="17" xfId="0" applyFont="1" applyFill="1" applyBorder="1" applyAlignment="1">
      <alignment vertical="top" wrapText="1"/>
    </xf>
    <xf numFmtId="0" fontId="3" fillId="8" borderId="17" xfId="0" applyFont="1" applyFill="1" applyBorder="1" applyAlignment="1">
      <alignment vertical="top" wrapText="1"/>
    </xf>
    <xf numFmtId="170" fontId="3" fillId="8" borderId="17" xfId="0" applyNumberFormat="1" applyFont="1" applyFill="1" applyBorder="1" applyAlignment="1">
      <alignment vertical="top" wrapText="1"/>
    </xf>
    <xf numFmtId="174" fontId="3" fillId="8" borderId="17" xfId="0" applyNumberFormat="1" applyFont="1" applyFill="1" applyBorder="1" applyAlignment="1">
      <alignment vertical="top" wrapText="1"/>
    </xf>
    <xf numFmtId="3" fontId="3" fillId="10" borderId="17" xfId="0" applyNumberFormat="1" applyFont="1" applyFill="1" applyBorder="1" applyAlignment="1">
      <alignment vertical="top" wrapText="1"/>
    </xf>
    <xf numFmtId="17" fontId="3" fillId="2" borderId="17" xfId="0" applyNumberFormat="1" applyFont="1" applyFill="1" applyBorder="1" applyAlignment="1">
      <alignment vertical="top" wrapText="1"/>
    </xf>
    <xf numFmtId="15" fontId="3" fillId="12" borderId="17" xfId="0" applyNumberFormat="1" applyFont="1" applyFill="1" applyBorder="1" applyAlignment="1">
      <alignment vertical="top" wrapText="1"/>
    </xf>
    <xf numFmtId="0" fontId="3" fillId="12" borderId="17" xfId="0" applyFont="1" applyFill="1" applyBorder="1" applyAlignment="1">
      <alignment vertical="top" wrapText="1"/>
    </xf>
    <xf numFmtId="0" fontId="3" fillId="2" borderId="17" xfId="0" applyFont="1" applyFill="1" applyBorder="1" applyAlignment="1">
      <alignment vertical="top" wrapText="1"/>
    </xf>
    <xf numFmtId="169" fontId="3" fillId="2" borderId="17" xfId="0" applyNumberFormat="1" applyFont="1" applyFill="1" applyBorder="1" applyAlignment="1">
      <alignment vertical="top" wrapText="1"/>
    </xf>
    <xf numFmtId="168" fontId="3" fillId="9" borderId="17" xfId="0" applyNumberFormat="1" applyFont="1" applyFill="1" applyBorder="1" applyAlignment="1">
      <alignment vertical="top" wrapText="1"/>
    </xf>
    <xf numFmtId="0" fontId="2" fillId="4" borderId="17" xfId="0" applyFont="1" applyFill="1" applyBorder="1" applyAlignment="1">
      <alignment vertical="top" wrapText="1"/>
    </xf>
    <xf numFmtId="0" fontId="3" fillId="4" borderId="17" xfId="0" applyFont="1" applyFill="1" applyBorder="1" applyAlignment="1">
      <alignment vertical="top" wrapText="1"/>
    </xf>
    <xf numFmtId="171" fontId="3" fillId="4" borderId="17" xfId="0" applyNumberFormat="1" applyFont="1" applyFill="1" applyBorder="1" applyAlignment="1">
      <alignment vertical="top" wrapText="1"/>
    </xf>
    <xf numFmtId="0" fontId="2" fillId="5" borderId="17" xfId="0" applyFont="1" applyFill="1" applyBorder="1" applyAlignment="1">
      <alignment vertical="top" wrapText="1"/>
    </xf>
    <xf numFmtId="0" fontId="3" fillId="5" borderId="17" xfId="0" applyFont="1" applyFill="1" applyBorder="1" applyAlignment="1">
      <alignment vertical="top" wrapText="1"/>
    </xf>
    <xf numFmtId="171" fontId="3" fillId="5" borderId="19" xfId="0" applyNumberFormat="1" applyFont="1" applyFill="1" applyBorder="1" applyAlignment="1">
      <alignment vertical="top" wrapText="1"/>
    </xf>
    <xf numFmtId="0" fontId="3" fillId="2" borderId="5" xfId="0" applyFont="1" applyFill="1" applyBorder="1" applyAlignment="1">
      <alignment horizontal="centerContinuous" vertical="top" wrapText="1"/>
    </xf>
    <xf numFmtId="0" fontId="3" fillId="2" borderId="6" xfId="0" applyFont="1" applyFill="1" applyBorder="1" applyAlignment="1">
      <alignment horizontal="centerContinuous" vertical="top" wrapText="1"/>
    </xf>
    <xf numFmtId="0" fontId="3" fillId="0" borderId="0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8" borderId="17" xfId="0" applyFont="1" applyFill="1" applyBorder="1" applyAlignment="1">
      <alignment horizontal="center" vertical="top" wrapText="1"/>
    </xf>
    <xf numFmtId="0" fontId="3" fillId="14" borderId="9" xfId="0" applyFont="1" applyFill="1" applyBorder="1" applyAlignment="1">
      <alignment horizontal="center" vertical="top" wrapText="1"/>
    </xf>
    <xf numFmtId="168" fontId="3" fillId="3" borderId="9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3" fillId="0" borderId="4" xfId="0" applyFont="1" applyFill="1" applyBorder="1" applyAlignment="1" applyProtection="1">
      <alignment vertical="top"/>
      <protection locked="0"/>
    </xf>
    <xf numFmtId="0" fontId="3" fillId="0" borderId="5" xfId="0" applyFont="1" applyFill="1" applyBorder="1" applyAlignment="1" applyProtection="1">
      <alignment vertical="top"/>
      <protection locked="0"/>
    </xf>
    <xf numFmtId="166" fontId="3" fillId="0" borderId="6" xfId="0" applyNumberFormat="1" applyFont="1" applyFill="1" applyBorder="1" applyAlignment="1" applyProtection="1">
      <alignment vertical="top"/>
      <protection locked="0"/>
    </xf>
    <xf numFmtId="168" fontId="3" fillId="0" borderId="4" xfId="0" applyNumberFormat="1" applyFont="1" applyFill="1" applyBorder="1" applyAlignment="1" applyProtection="1">
      <alignment vertical="top"/>
      <protection locked="0"/>
    </xf>
    <xf numFmtId="3" fontId="3" fillId="0" borderId="4" xfId="0" applyNumberFormat="1" applyFont="1" applyFill="1" applyBorder="1" applyAlignment="1" applyProtection="1">
      <alignment vertical="top"/>
      <protection locked="0"/>
    </xf>
    <xf numFmtId="9" fontId="3" fillId="0" borderId="4" xfId="0" applyNumberFormat="1" applyFont="1" applyFill="1" applyBorder="1" applyAlignment="1" applyProtection="1">
      <alignment vertical="top"/>
      <protection locked="0"/>
    </xf>
    <xf numFmtId="173" fontId="3" fillId="0" borderId="4" xfId="0" applyNumberFormat="1" applyFont="1" applyFill="1" applyBorder="1" applyAlignment="1" applyProtection="1">
      <alignment vertical="top"/>
      <protection locked="0"/>
    </xf>
    <xf numFmtId="0" fontId="2" fillId="0" borderId="4" xfId="0" applyFont="1" applyFill="1" applyBorder="1" applyAlignment="1" applyProtection="1">
      <alignment horizontal="center" vertical="top"/>
      <protection locked="0"/>
    </xf>
    <xf numFmtId="15" fontId="8" fillId="0" borderId="4" xfId="0" applyNumberFormat="1" applyFont="1" applyFill="1" applyBorder="1" applyAlignment="1" applyProtection="1">
      <alignment vertical="top"/>
      <protection locked="0"/>
    </xf>
    <xf numFmtId="3" fontId="3" fillId="8" borderId="17" xfId="0" applyNumberFormat="1" applyFont="1" applyFill="1" applyBorder="1" applyAlignment="1">
      <alignment horizontal="center" vertical="top" wrapText="1"/>
    </xf>
    <xf numFmtId="0" fontId="3" fillId="0" borderId="6" xfId="0" applyFont="1" applyFill="1" applyBorder="1" applyAlignment="1" applyProtection="1">
      <alignment vertical="top"/>
      <protection locked="0"/>
    </xf>
    <xf numFmtId="172" fontId="10" fillId="0" borderId="4" xfId="0" applyNumberFormat="1" applyFont="1" applyFill="1" applyBorder="1" applyAlignment="1" applyProtection="1">
      <alignment vertical="top"/>
      <protection locked="0"/>
    </xf>
    <xf numFmtId="175" fontId="3" fillId="11" borderId="4" xfId="0" applyNumberFormat="1" applyFont="1" applyFill="1" applyBorder="1" applyAlignment="1">
      <alignment vertical="top"/>
    </xf>
    <xf numFmtId="174" fontId="3" fillId="11" borderId="4" xfId="0" applyNumberFormat="1" applyFont="1" applyFill="1" applyBorder="1" applyAlignment="1">
      <alignment horizontal="right" vertical="top"/>
    </xf>
    <xf numFmtId="3" fontId="3" fillId="11" borderId="4" xfId="0" applyNumberFormat="1" applyFont="1" applyFill="1" applyBorder="1" applyAlignment="1">
      <alignment vertical="top"/>
    </xf>
    <xf numFmtId="3" fontId="3" fillId="11" borderId="4" xfId="0" quotePrefix="1" applyNumberFormat="1" applyFont="1" applyFill="1" applyBorder="1" applyAlignment="1">
      <alignment vertical="top"/>
    </xf>
    <xf numFmtId="0" fontId="3" fillId="11" borderId="4" xfId="0" quotePrefix="1" applyNumberFormat="1" applyFont="1" applyFill="1" applyBorder="1" applyAlignment="1">
      <alignment horizontal="center" vertical="top"/>
    </xf>
    <xf numFmtId="176" fontId="3" fillId="0" borderId="4" xfId="0" applyNumberFormat="1" applyFont="1" applyFill="1" applyBorder="1" applyAlignment="1" applyProtection="1">
      <alignment vertical="top"/>
      <protection locked="0"/>
    </xf>
    <xf numFmtId="171" fontId="3" fillId="14" borderId="6" xfId="0" applyNumberFormat="1" applyFont="1" applyFill="1" applyBorder="1" applyAlignment="1">
      <alignment vertical="top" wrapText="1"/>
    </xf>
    <xf numFmtId="49" fontId="3" fillId="9" borderId="4" xfId="0" applyNumberFormat="1" applyFont="1" applyFill="1" applyBorder="1" applyAlignment="1">
      <alignment vertical="top" wrapText="1"/>
    </xf>
    <xf numFmtId="17" fontId="3" fillId="2" borderId="4" xfId="0" applyNumberFormat="1" applyFont="1" applyFill="1" applyBorder="1" applyAlignment="1">
      <alignment vertical="top" wrapText="1"/>
    </xf>
    <xf numFmtId="15" fontId="3" fillId="12" borderId="4" xfId="0" applyNumberFormat="1" applyFont="1" applyFill="1" applyBorder="1" applyAlignment="1">
      <alignment vertical="top" wrapText="1"/>
    </xf>
    <xf numFmtId="0" fontId="3" fillId="12" borderId="4" xfId="0" applyFont="1" applyFill="1" applyBorder="1" applyAlignment="1">
      <alignment vertical="top" wrapText="1"/>
    </xf>
    <xf numFmtId="3" fontId="3" fillId="12" borderId="4" xfId="0" applyNumberFormat="1" applyFont="1" applyFill="1" applyBorder="1" applyAlignment="1">
      <alignment vertical="top" wrapText="1"/>
    </xf>
    <xf numFmtId="0" fontId="3" fillId="13" borderId="4" xfId="0" applyFont="1" applyFill="1" applyBorder="1" applyAlignment="1">
      <alignment vertical="top" wrapText="1"/>
    </xf>
    <xf numFmtId="0" fontId="3" fillId="13" borderId="5" xfId="0" applyFont="1" applyFill="1" applyBorder="1" applyAlignment="1">
      <alignment vertical="top" wrapText="1"/>
    </xf>
    <xf numFmtId="166" fontId="3" fillId="13" borderId="6" xfId="0" applyNumberFormat="1" applyFont="1" applyFill="1" applyBorder="1" applyAlignment="1">
      <alignment vertical="top" wrapText="1"/>
    </xf>
    <xf numFmtId="0" fontId="3" fillId="13" borderId="4" xfId="0" applyNumberFormat="1" applyFont="1" applyFill="1" applyBorder="1" applyAlignment="1">
      <alignment vertical="top" wrapText="1"/>
    </xf>
    <xf numFmtId="168" fontId="3" fillId="13" borderId="4" xfId="0" applyNumberFormat="1" applyFont="1" applyFill="1" applyBorder="1" applyAlignment="1">
      <alignment vertical="top" wrapText="1"/>
    </xf>
    <xf numFmtId="172" fontId="3" fillId="13" borderId="4" xfId="0" applyNumberFormat="1" applyFont="1" applyFill="1" applyBorder="1" applyAlignment="1">
      <alignment vertical="top" wrapText="1"/>
    </xf>
    <xf numFmtId="167" fontId="12" fillId="13" borderId="4" xfId="0" applyNumberFormat="1" applyFont="1" applyFill="1" applyBorder="1" applyAlignment="1">
      <alignment vertical="top" wrapText="1"/>
    </xf>
    <xf numFmtId="165" fontId="12" fillId="13" borderId="4" xfId="0" applyNumberFormat="1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169" fontId="3" fillId="2" borderId="4" xfId="0" applyNumberFormat="1" applyFont="1" applyFill="1" applyBorder="1" applyAlignment="1">
      <alignment vertical="top" wrapText="1"/>
    </xf>
    <xf numFmtId="0" fontId="3" fillId="9" borderId="4" xfId="0" applyFont="1" applyFill="1" applyBorder="1" applyAlignment="1">
      <alignment vertical="top" wrapText="1"/>
    </xf>
    <xf numFmtId="168" fontId="3" fillId="9" borderId="4" xfId="0" applyNumberFormat="1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0" fontId="3" fillId="4" borderId="4" xfId="0" applyFont="1" applyFill="1" applyBorder="1" applyAlignment="1">
      <alignment vertical="top" wrapText="1"/>
    </xf>
    <xf numFmtId="171" fontId="3" fillId="4" borderId="4" xfId="0" applyNumberFormat="1" applyFont="1" applyFill="1" applyBorder="1" applyAlignment="1">
      <alignment vertical="top" wrapText="1"/>
    </xf>
    <xf numFmtId="0" fontId="2" fillId="5" borderId="4" xfId="0" applyFont="1" applyFill="1" applyBorder="1" applyAlignment="1">
      <alignment vertical="top" wrapText="1"/>
    </xf>
    <xf numFmtId="0" fontId="3" fillId="5" borderId="4" xfId="0" applyFont="1" applyFill="1" applyBorder="1" applyAlignment="1">
      <alignment vertical="top" wrapText="1"/>
    </xf>
    <xf numFmtId="171" fontId="3" fillId="5" borderId="4" xfId="0" applyNumberFormat="1" applyFont="1" applyFill="1" applyBorder="1" applyAlignment="1">
      <alignment vertical="top" wrapText="1"/>
    </xf>
    <xf numFmtId="177" fontId="3" fillId="11" borderId="4" xfId="0" applyNumberFormat="1" applyFont="1" applyFill="1" applyBorder="1" applyAlignment="1" applyProtection="1">
      <alignment horizontal="right" vertical="top"/>
    </xf>
    <xf numFmtId="0" fontId="2" fillId="11" borderId="4" xfId="0" applyNumberFormat="1" applyFont="1" applyFill="1" applyBorder="1" applyAlignment="1" applyProtection="1">
      <alignment vertical="top"/>
    </xf>
    <xf numFmtId="177" fontId="3" fillId="14" borderId="9" xfId="0" applyNumberFormat="1" applyFont="1" applyFill="1" applyBorder="1" applyAlignment="1" applyProtection="1">
      <alignment horizontal="right" vertical="top" wrapText="1"/>
    </xf>
    <xf numFmtId="177" fontId="3" fillId="11" borderId="4" xfId="0" applyNumberFormat="1" applyFont="1" applyFill="1" applyBorder="1" applyAlignment="1" applyProtection="1">
      <alignment horizontal="right" vertical="top" wrapText="1"/>
    </xf>
    <xf numFmtId="0" fontId="2" fillId="14" borderId="9" xfId="0" applyNumberFormat="1" applyFont="1" applyFill="1" applyBorder="1" applyAlignment="1" applyProtection="1">
      <alignment vertical="top" wrapText="1"/>
    </xf>
    <xf numFmtId="16" fontId="8" fillId="16" borderId="4" xfId="0" applyNumberFormat="1" applyFont="1" applyFill="1" applyBorder="1" applyAlignment="1" applyProtection="1">
      <alignment vertical="top"/>
      <protection locked="0"/>
    </xf>
    <xf numFmtId="15" fontId="3" fillId="0" borderId="4" xfId="0" applyNumberFormat="1" applyFont="1" applyFill="1" applyBorder="1" applyAlignment="1" applyProtection="1">
      <alignment vertical="top"/>
      <protection locked="0"/>
    </xf>
    <xf numFmtId="0" fontId="1" fillId="7" borderId="4" xfId="0" applyNumberFormat="1" applyFont="1" applyFill="1" applyBorder="1" applyProtection="1">
      <protection locked="0"/>
    </xf>
    <xf numFmtId="171" fontId="1" fillId="6" borderId="4" xfId="0" applyNumberFormat="1" applyFont="1" applyFill="1" applyBorder="1" applyProtection="1">
      <protection locked="0"/>
    </xf>
    <xf numFmtId="171" fontId="1" fillId="7" borderId="4" xfId="0" applyNumberFormat="1" applyFont="1" applyFill="1" applyBorder="1" applyProtection="1">
      <protection locked="0"/>
    </xf>
    <xf numFmtId="0" fontId="0" fillId="0" borderId="0" xfId="0" applyFill="1" applyBorder="1" applyAlignment="1" applyProtection="1">
      <alignment horizontal="right"/>
      <protection locked="0"/>
    </xf>
    <xf numFmtId="173" fontId="3" fillId="7" borderId="4" xfId="0" applyNumberFormat="1" applyFont="1" applyFill="1" applyBorder="1" applyAlignment="1" applyProtection="1">
      <alignment vertical="top"/>
      <protection locked="0"/>
    </xf>
    <xf numFmtId="15" fontId="3" fillId="7" borderId="4" xfId="0" applyNumberFormat="1" applyFont="1" applyFill="1" applyBorder="1" applyAlignment="1" applyProtection="1">
      <alignment vertical="top"/>
      <protection locked="0"/>
    </xf>
    <xf numFmtId="3" fontId="10" fillId="0" borderId="0" xfId="0" applyNumberFormat="1" applyFont="1" applyAlignment="1">
      <alignment vertical="top"/>
    </xf>
    <xf numFmtId="3" fontId="10" fillId="0" borderId="4" xfId="0" applyNumberFormat="1" applyFont="1" applyFill="1" applyBorder="1" applyAlignment="1" applyProtection="1">
      <alignment vertical="top"/>
      <protection locked="0"/>
    </xf>
    <xf numFmtId="3" fontId="12" fillId="13" borderId="4" xfId="0" applyNumberFormat="1" applyFont="1" applyFill="1" applyBorder="1" applyAlignment="1">
      <alignment vertical="top" wrapText="1"/>
    </xf>
    <xf numFmtId="3" fontId="10" fillId="3" borderId="9" xfId="0" applyNumberFormat="1" applyFont="1" applyFill="1" applyBorder="1" applyAlignment="1">
      <alignment vertical="top"/>
    </xf>
    <xf numFmtId="3" fontId="0" fillId="0" borderId="0" xfId="0" applyNumberFormat="1"/>
    <xf numFmtId="0" fontId="3" fillId="2" borderId="9" xfId="0" applyFont="1" applyFill="1" applyBorder="1" applyAlignment="1">
      <alignment horizontal="centerContinuous" vertical="top" wrapText="1"/>
    </xf>
    <xf numFmtId="16" fontId="3" fillId="0" borderId="4" xfId="0" applyNumberFormat="1" applyFont="1" applyBorder="1" applyAlignment="1" applyProtection="1">
      <alignment vertical="top"/>
      <protection locked="0"/>
    </xf>
    <xf numFmtId="0" fontId="14" fillId="0" borderId="0" xfId="0" applyFont="1"/>
    <xf numFmtId="3" fontId="10" fillId="0" borderId="0" xfId="0" applyNumberFormat="1" applyFont="1" applyAlignment="1">
      <alignment horizontal="center" vertical="top"/>
    </xf>
    <xf numFmtId="3" fontId="12" fillId="13" borderId="17" xfId="0" applyNumberFormat="1" applyFont="1" applyFill="1" applyBorder="1" applyAlignment="1">
      <alignment horizontal="center" vertical="top" wrapText="1"/>
    </xf>
    <xf numFmtId="3" fontId="10" fillId="14" borderId="9" xfId="0" applyNumberFormat="1" applyFont="1" applyFill="1" applyBorder="1" applyAlignment="1">
      <alignment horizontal="center" vertical="top" wrapText="1"/>
    </xf>
    <xf numFmtId="3" fontId="10" fillId="0" borderId="4" xfId="0" applyNumberFormat="1" applyFont="1" applyFill="1" applyBorder="1" applyAlignment="1" applyProtection="1">
      <alignment horizontal="center" vertical="top"/>
      <protection locked="0"/>
    </xf>
    <xf numFmtId="16" fontId="3" fillId="0" borderId="4" xfId="0" applyNumberFormat="1" applyFont="1" applyFill="1" applyBorder="1" applyAlignment="1" applyProtection="1">
      <alignment vertical="top"/>
      <protection locked="0"/>
    </xf>
    <xf numFmtId="0" fontId="2" fillId="7" borderId="4" xfId="0" applyFont="1" applyFill="1" applyBorder="1" applyAlignment="1" applyProtection="1">
      <alignment horizontal="center" vertical="top"/>
      <protection locked="0"/>
    </xf>
    <xf numFmtId="168" fontId="3" fillId="0" borderId="0" xfId="0" applyNumberFormat="1" applyFont="1" applyAlignment="1">
      <alignment vertical="top" wrapText="1"/>
    </xf>
    <xf numFmtId="0" fontId="3" fillId="0" borderId="5" xfId="0" applyFont="1" applyFill="1" applyBorder="1" applyAlignment="1">
      <alignment vertical="top"/>
    </xf>
    <xf numFmtId="0" fontId="3" fillId="0" borderId="0" xfId="0" applyFont="1" applyFill="1" applyAlignment="1" applyProtection="1">
      <alignment vertical="top"/>
      <protection locked="0"/>
    </xf>
    <xf numFmtId="15" fontId="3" fillId="0" borderId="0" xfId="0" applyNumberFormat="1" applyFont="1" applyFill="1" applyAlignment="1" applyProtection="1">
      <alignment horizontal="center" vertical="top"/>
      <protection locked="0"/>
    </xf>
    <xf numFmtId="178" fontId="3" fillId="0" borderId="4" xfId="1" applyNumberFormat="1" applyFont="1" applyFill="1" applyBorder="1" applyAlignment="1">
      <alignment vertical="top"/>
    </xf>
    <xf numFmtId="179" fontId="10" fillId="0" borderId="0" xfId="0" applyNumberFormat="1" applyFont="1" applyAlignment="1">
      <alignment horizontal="center" vertical="top"/>
    </xf>
    <xf numFmtId="16" fontId="8" fillId="10" borderId="4" xfId="0" applyNumberFormat="1" applyFont="1" applyFill="1" applyBorder="1" applyAlignment="1" applyProtection="1">
      <alignment vertical="top"/>
      <protection locked="0"/>
    </xf>
    <xf numFmtId="0" fontId="3" fillId="10" borderId="4" xfId="0" applyFont="1" applyFill="1" applyBorder="1" applyAlignment="1" applyProtection="1">
      <alignment vertical="top"/>
      <protection locked="0"/>
    </xf>
    <xf numFmtId="168" fontId="3" fillId="10" borderId="4" xfId="0" applyNumberFormat="1" applyFont="1" applyFill="1" applyBorder="1" applyAlignment="1" applyProtection="1">
      <alignment vertical="top"/>
      <protection locked="0"/>
    </xf>
    <xf numFmtId="0" fontId="3" fillId="0" borderId="8" xfId="0" applyFont="1" applyFill="1" applyBorder="1" applyAlignment="1" applyProtection="1">
      <alignment vertical="top"/>
      <protection locked="0"/>
    </xf>
    <xf numFmtId="167" fontId="10" fillId="0" borderId="6" xfId="0" applyNumberFormat="1" applyFont="1" applyFill="1" applyBorder="1" applyAlignment="1" applyProtection="1">
      <alignment vertical="top"/>
      <protection locked="0"/>
    </xf>
    <xf numFmtId="172" fontId="10" fillId="0" borderId="5" xfId="0" applyNumberFormat="1" applyFont="1" applyFill="1" applyBorder="1" applyAlignment="1" applyProtection="1">
      <alignment vertical="top"/>
      <protection locked="0"/>
    </xf>
    <xf numFmtId="171" fontId="3" fillId="0" borderId="6" xfId="0" applyNumberFormat="1" applyFont="1" applyFill="1" applyBorder="1" applyAlignment="1" applyProtection="1">
      <alignment vertical="top" wrapText="1"/>
      <protection locked="0"/>
    </xf>
    <xf numFmtId="0" fontId="3" fillId="10" borderId="5" xfId="0" applyFont="1" applyFill="1" applyBorder="1" applyAlignment="1" applyProtection="1">
      <alignment vertical="top"/>
      <protection locked="0"/>
    </xf>
    <xf numFmtId="166" fontId="3" fillId="10" borderId="6" xfId="0" applyNumberFormat="1" applyFont="1" applyFill="1" applyBorder="1" applyAlignment="1" applyProtection="1">
      <alignment vertical="top"/>
      <protection locked="0"/>
    </xf>
    <xf numFmtId="178" fontId="3" fillId="10" borderId="4" xfId="1" applyNumberFormat="1" applyFont="1" applyFill="1" applyBorder="1" applyAlignment="1">
      <alignment vertical="top"/>
    </xf>
    <xf numFmtId="3" fontId="3" fillId="10" borderId="4" xfId="0" applyNumberFormat="1" applyFont="1" applyFill="1" applyBorder="1" applyAlignment="1" applyProtection="1">
      <alignment vertical="top"/>
      <protection locked="0"/>
    </xf>
    <xf numFmtId="0" fontId="16" fillId="0" borderId="8" xfId="0" applyFont="1" applyFill="1" applyBorder="1" applyAlignment="1" applyProtection="1">
      <alignment vertical="top"/>
      <protection locked="0"/>
    </xf>
    <xf numFmtId="0" fontId="16" fillId="0" borderId="4" xfId="0" applyFont="1" applyFill="1" applyBorder="1" applyAlignment="1" applyProtection="1">
      <alignment vertical="top"/>
      <protection locked="0"/>
    </xf>
    <xf numFmtId="3" fontId="16" fillId="0" borderId="4" xfId="0" applyNumberFormat="1" applyFont="1" applyFill="1" applyBorder="1" applyAlignment="1" applyProtection="1">
      <alignment vertical="top"/>
      <protection locked="0"/>
    </xf>
    <xf numFmtId="9" fontId="16" fillId="0" borderId="4" xfId="0" applyNumberFormat="1" applyFont="1" applyFill="1" applyBorder="1" applyAlignment="1" applyProtection="1">
      <alignment vertical="top"/>
      <protection locked="0"/>
    </xf>
    <xf numFmtId="173" fontId="16" fillId="0" borderId="4" xfId="0" applyNumberFormat="1" applyFont="1" applyFill="1" applyBorder="1" applyAlignment="1" applyProtection="1">
      <alignment vertical="top"/>
      <protection locked="0"/>
    </xf>
    <xf numFmtId="167" fontId="17" fillId="0" borderId="6" xfId="0" applyNumberFormat="1" applyFont="1" applyFill="1" applyBorder="1" applyAlignment="1" applyProtection="1">
      <alignment vertical="top"/>
      <protection locked="0"/>
    </xf>
    <xf numFmtId="0" fontId="18" fillId="0" borderId="4" xfId="0" applyFont="1" applyFill="1" applyBorder="1" applyAlignment="1" applyProtection="1">
      <alignment horizontal="center" vertical="top"/>
      <protection locked="0"/>
    </xf>
    <xf numFmtId="0" fontId="19" fillId="0" borderId="4" xfId="0" applyFont="1" applyFill="1" applyBorder="1" applyAlignment="1" applyProtection="1">
      <alignment vertical="top"/>
      <protection locked="0"/>
    </xf>
    <xf numFmtId="175" fontId="16" fillId="11" borderId="4" xfId="0" applyNumberFormat="1" applyFont="1" applyFill="1" applyBorder="1" applyAlignment="1">
      <alignment vertical="top"/>
    </xf>
    <xf numFmtId="174" fontId="16" fillId="6" borderId="4" xfId="0" applyNumberFormat="1" applyFont="1" applyFill="1" applyBorder="1" applyAlignment="1">
      <alignment horizontal="right" vertical="top"/>
    </xf>
    <xf numFmtId="177" fontId="16" fillId="0" borderId="4" xfId="0" applyNumberFormat="1" applyFont="1" applyFill="1" applyBorder="1" applyAlignment="1" applyProtection="1">
      <alignment vertical="top"/>
      <protection locked="0"/>
    </xf>
    <xf numFmtId="177" fontId="16" fillId="11" borderId="4" xfId="0" applyNumberFormat="1" applyFont="1" applyFill="1" applyBorder="1" applyAlignment="1" applyProtection="1">
      <alignment horizontal="right" vertical="top" wrapText="1"/>
    </xf>
    <xf numFmtId="171" fontId="16" fillId="0" borderId="4" xfId="0" applyNumberFormat="1" applyFont="1" applyFill="1" applyBorder="1" applyAlignment="1" applyProtection="1">
      <alignment vertical="top"/>
      <protection locked="0"/>
    </xf>
    <xf numFmtId="171" fontId="16" fillId="0" borderId="4" xfId="0" applyNumberFormat="1" applyFont="1" applyFill="1" applyBorder="1" applyAlignment="1" applyProtection="1">
      <alignment vertical="top" wrapText="1"/>
      <protection locked="0"/>
    </xf>
    <xf numFmtId="171" fontId="16" fillId="0" borderId="6" xfId="0" applyNumberFormat="1" applyFont="1" applyFill="1" applyBorder="1" applyAlignment="1" applyProtection="1">
      <alignment vertical="top" wrapText="1"/>
      <protection locked="0"/>
    </xf>
    <xf numFmtId="15" fontId="8" fillId="10" borderId="4" xfId="0" applyNumberFormat="1" applyFont="1" applyFill="1" applyBorder="1" applyAlignment="1" applyProtection="1">
      <alignment vertical="top"/>
      <protection locked="0"/>
    </xf>
    <xf numFmtId="16" fontId="8" fillId="0" borderId="4" xfId="0" applyNumberFormat="1" applyFont="1" applyFill="1" applyBorder="1" applyAlignment="1" applyProtection="1">
      <alignment vertical="top"/>
      <protection locked="0"/>
    </xf>
    <xf numFmtId="0" fontId="3" fillId="15" borderId="17" xfId="0" applyFont="1" applyFill="1" applyBorder="1" applyAlignment="1">
      <alignment vertical="top" wrapText="1"/>
    </xf>
    <xf numFmtId="0" fontId="0" fillId="17" borderId="4" xfId="0" applyFill="1" applyBorder="1"/>
    <xf numFmtId="3" fontId="3" fillId="17" borderId="4" xfId="0" applyNumberFormat="1" applyFont="1" applyFill="1" applyBorder="1" applyAlignment="1" applyProtection="1">
      <alignment vertical="top"/>
      <protection locked="0"/>
    </xf>
    <xf numFmtId="0" fontId="1" fillId="17" borderId="4" xfId="0" applyNumberFormat="1" applyFont="1" applyFill="1" applyBorder="1" applyProtection="1">
      <protection locked="0"/>
    </xf>
    <xf numFmtId="171" fontId="3" fillId="17" borderId="4" xfId="0" applyNumberFormat="1" applyFont="1" applyFill="1" applyBorder="1" applyAlignment="1" applyProtection="1">
      <alignment vertical="top" wrapText="1"/>
      <protection locked="0"/>
    </xf>
    <xf numFmtId="2" fontId="3" fillId="0" borderId="0" xfId="0" applyNumberFormat="1" applyFont="1" applyFill="1" applyBorder="1" applyAlignment="1">
      <alignment vertical="top"/>
    </xf>
    <xf numFmtId="2" fontId="3" fillId="9" borderId="17" xfId="0" applyNumberFormat="1" applyFont="1" applyFill="1" applyBorder="1" applyAlignment="1">
      <alignment vertical="top" wrapText="1"/>
    </xf>
    <xf numFmtId="2" fontId="3" fillId="14" borderId="9" xfId="0" applyNumberFormat="1" applyFont="1" applyFill="1" applyBorder="1" applyAlignment="1">
      <alignment vertical="top" wrapText="1"/>
    </xf>
    <xf numFmtId="2" fontId="3" fillId="0" borderId="4" xfId="0" applyNumberFormat="1" applyFont="1" applyFill="1" applyBorder="1" applyAlignment="1">
      <alignment vertical="top"/>
    </xf>
    <xf numFmtId="2" fontId="16" fillId="0" borderId="4" xfId="0" applyNumberFormat="1" applyFont="1" applyFill="1" applyBorder="1" applyAlignment="1">
      <alignment vertical="top"/>
    </xf>
    <xf numFmtId="2" fontId="3" fillId="0" borderId="0" xfId="0" applyNumberFormat="1" applyFont="1" applyFill="1" applyAlignment="1">
      <alignment vertical="top"/>
    </xf>
    <xf numFmtId="1" fontId="3" fillId="8" borderId="14" xfId="0" applyNumberFormat="1" applyFont="1" applyFill="1" applyBorder="1" applyAlignment="1">
      <alignment vertical="top"/>
    </xf>
    <xf numFmtId="1" fontId="3" fillId="8" borderId="7" xfId="0" applyNumberFormat="1" applyFont="1" applyFill="1" applyBorder="1" applyAlignment="1">
      <alignment vertical="top"/>
    </xf>
    <xf numFmtId="1" fontId="3" fillId="0" borderId="19" xfId="0" applyNumberFormat="1" applyFont="1" applyFill="1" applyBorder="1" applyAlignment="1">
      <alignment vertical="top"/>
    </xf>
    <xf numFmtId="1" fontId="3" fillId="0" borderId="0" xfId="0" applyNumberFormat="1" applyFont="1" applyFill="1" applyBorder="1" applyAlignment="1">
      <alignment vertical="top"/>
    </xf>
    <xf numFmtId="1" fontId="3" fillId="8" borderId="12" xfId="0" applyNumberFormat="1" applyFont="1" applyFill="1" applyBorder="1" applyAlignment="1">
      <alignment horizontal="centerContinuous" vertical="top"/>
    </xf>
    <xf numFmtId="1" fontId="3" fillId="8" borderId="8" xfId="0" applyNumberFormat="1" applyFont="1" applyFill="1" applyBorder="1" applyAlignment="1">
      <alignment horizontal="centerContinuous" vertical="top"/>
    </xf>
    <xf numFmtId="1" fontId="3" fillId="0" borderId="12" xfId="0" applyNumberFormat="1" applyFont="1" applyFill="1" applyBorder="1" applyAlignment="1">
      <alignment vertical="top"/>
    </xf>
    <xf numFmtId="1" fontId="3" fillId="0" borderId="18" xfId="0" applyNumberFormat="1" applyFont="1" applyFill="1" applyBorder="1" applyAlignment="1">
      <alignment vertical="top"/>
    </xf>
    <xf numFmtId="1" fontId="3" fillId="8" borderId="17" xfId="0" applyNumberFormat="1" applyFont="1" applyFill="1" applyBorder="1" applyAlignment="1">
      <alignment horizontal="center" vertical="top" wrapText="1"/>
    </xf>
    <xf numFmtId="1" fontId="3" fillId="10" borderId="17" xfId="0" applyNumberFormat="1" applyFont="1" applyFill="1" applyBorder="1" applyAlignment="1">
      <alignment vertical="top" wrapText="1"/>
    </xf>
    <xf numFmtId="1" fontId="3" fillId="14" borderId="9" xfId="0" applyNumberFormat="1" applyFont="1" applyFill="1" applyBorder="1" applyAlignment="1">
      <alignment vertical="top" wrapText="1"/>
    </xf>
    <xf numFmtId="1" fontId="3" fillId="11" borderId="4" xfId="0" applyNumberFormat="1" applyFont="1" applyFill="1" applyBorder="1" applyAlignment="1">
      <alignment vertical="top"/>
    </xf>
    <xf numFmtId="1" fontId="3" fillId="11" borderId="4" xfId="0" quotePrefix="1" applyNumberFormat="1" applyFont="1" applyFill="1" applyBorder="1" applyAlignment="1">
      <alignment vertical="top"/>
    </xf>
    <xf numFmtId="1" fontId="3" fillId="0" borderId="0" xfId="0" applyNumberFormat="1" applyFont="1" applyAlignment="1">
      <alignment vertical="top"/>
    </xf>
    <xf numFmtId="1" fontId="3" fillId="12" borderId="17" xfId="0" applyNumberFormat="1" applyFont="1" applyFill="1" applyBorder="1" applyAlignment="1">
      <alignment vertical="top" wrapText="1"/>
    </xf>
    <xf numFmtId="1" fontId="3" fillId="17" borderId="4" xfId="0" applyNumberFormat="1" applyFont="1" applyFill="1" applyBorder="1" applyAlignment="1" applyProtection="1">
      <alignment vertical="top"/>
      <protection locked="0"/>
    </xf>
    <xf numFmtId="1" fontId="3" fillId="0" borderId="4" xfId="0" applyNumberFormat="1" applyFont="1" applyFill="1" applyBorder="1" applyAlignment="1" applyProtection="1">
      <alignment vertical="top"/>
      <protection locked="0"/>
    </xf>
    <xf numFmtId="1" fontId="3" fillId="0" borderId="4" xfId="0" applyNumberFormat="1" applyFont="1" applyBorder="1" applyAlignment="1" applyProtection="1">
      <alignment vertical="top"/>
      <protection locked="0"/>
    </xf>
  </cellXfs>
  <cellStyles count="2">
    <cellStyle name="Millares" xfId="1" builtinId="3"/>
    <cellStyle name="Normal" xfId="0" builtinId="0"/>
  </cellStyles>
  <dxfs count="94"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4" formatCode="#,##0\ &quot;m²&quot;"/>
      <fill>
        <patternFill patternType="solid">
          <fgColor indexed="64"/>
          <bgColor indexed="9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4" formatCode="#,##0\ &quot;m²&quot;"/>
      <fill>
        <patternFill patternType="solid">
          <fgColor indexed="64"/>
          <bgColor indexed="9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double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>
          <fgColor indexed="64"/>
        </patternFill>
      </fill>
      <alignment textRotation="0" relativeIndent="0" justifyLastLine="0" shrinkToFit="0" readingOrder="0"/>
      <border diagonalUp="0" diagonalDown="0" outline="0"/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3"/>
        </patternFill>
      </fill>
      <alignment horizontal="general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"/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"/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7" formatCode="#,##0.0&quot; kg&quot;\ ;[Red]\-#,##0.0&quot; kg&quot;"/>
      <fill>
        <patternFill patternType="solid">
          <fgColor indexed="64"/>
          <bgColor rgb="FFFFFFCC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7" formatCode="#,##0.0&quot; kg&quot;\ ;[Red]\-#,##0.0&quot; kg&quot;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9" formatCode="0\ &quot;days&quot;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0" formatCode="d/mmm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0" formatCode="d/mmm"/>
      <alignment horizontal="general" vertical="top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0" formatCode="d/mmm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0" formatCode="d/mmm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0" formatCode="d/mmm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0" formatCode="d/mmm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0" formatCode="d/mmm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0" formatCode="d/mmm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1" formatCode="d\-mmm"/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1" formatCode="d\-mmm"/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0" formatCode="d/mmm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82" formatCode="d/mmm/yy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4" formatCode="#,##0\ &quot;m²&quot;"/>
      <fill>
        <patternFill patternType="solid">
          <fgColor indexed="64"/>
          <bgColor indexed="9"/>
        </patternFill>
      </fill>
      <alignment horizontal="right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5" formatCode="#,##0.0&quot; kg&quot;"/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0.39997558519241921"/>
        <name val="Arial"/>
        <scheme val="none"/>
      </font>
      <numFmt numFmtId="172" formatCode="[$-413]d/mmm/yy;@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0.39997558519241921"/>
        <name val="Arial"/>
        <scheme val="none"/>
      </font>
      <numFmt numFmtId="172" formatCode="[$-413]d/mmm/yy;@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0.3999755851924192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0.3999755851924192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0.39997558519241921"/>
        <name val="Arial"/>
        <scheme val="none"/>
      </font>
      <numFmt numFmtId="167" formatCode="[$-409]d\-mmm\-yy;@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3" formatCode="[$-413]dd/mmm/yy;@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\ &quot;kg&quot;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&quot;-&quot;0"/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relative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2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2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CC99FF"/>
      <color rgb="FFFFFFCC"/>
      <color rgb="FFFFFF99"/>
      <color rgb="FF999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114300</xdr:colOff>
          <xdr:row>0</xdr:row>
          <xdr:rowOff>47625</xdr:rowOff>
        </xdr:from>
        <xdr:to>
          <xdr:col>8</xdr:col>
          <xdr:colOff>171450</xdr:colOff>
          <xdr:row>1</xdr:row>
          <xdr:rowOff>142875</xdr:rowOff>
        </xdr:to>
        <xdr:sp macro="" textlink="">
          <xdr:nvSpPr>
            <xdr:cNvPr id="1167" name="Button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Insert empty row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47625</xdr:rowOff>
        </xdr:from>
        <xdr:to>
          <xdr:col>5</xdr:col>
          <xdr:colOff>314325</xdr:colOff>
          <xdr:row>1</xdr:row>
          <xdr:rowOff>142875</xdr:rowOff>
        </xdr:to>
        <xdr:sp macro="" textlink="">
          <xdr:nvSpPr>
            <xdr:cNvPr id="1169" name="Button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Insert new row based on default crop schedule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361950</xdr:colOff>
          <xdr:row>0</xdr:row>
          <xdr:rowOff>47625</xdr:rowOff>
        </xdr:from>
        <xdr:to>
          <xdr:col>10</xdr:col>
          <xdr:colOff>285750</xdr:colOff>
          <xdr:row>1</xdr:row>
          <xdr:rowOff>142875</xdr:rowOff>
        </xdr:to>
        <xdr:sp macro="" textlink="">
          <xdr:nvSpPr>
            <xdr:cNvPr id="1170" name="Button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 row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39</xdr:col>
          <xdr:colOff>57150</xdr:colOff>
          <xdr:row>0</xdr:row>
          <xdr:rowOff>38100</xdr:rowOff>
        </xdr:from>
        <xdr:to>
          <xdr:col>42</xdr:col>
          <xdr:colOff>476250</xdr:colOff>
          <xdr:row>1</xdr:row>
          <xdr:rowOff>152400</xdr:rowOff>
        </xdr:to>
        <xdr:sp macro="" textlink="">
          <xdr:nvSpPr>
            <xdr:cNvPr id="1171" name="Button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Add column for monthly remarks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3" name="Planning" displayName="Planning" ref="A3:BD79" totalsRowShown="0" tableBorderDxfId="73">
  <autoFilter ref="A3:BD79"/>
  <tableColumns count="56">
    <tableColumn id="1" name="x" dataDxfId="72"/>
    <tableColumn id="2" name="Crop" dataDxfId="71"/>
    <tableColumn id="3" name="Variety" dataDxfId="70"/>
    <tableColumn id="4" name=" " dataDxfId="69"/>
    <tableColumn id="5" name="Order" dataDxfId="68"/>
    <tableColumn id="6" name="g/pl_x000a_RZ" dataDxfId="67"/>
    <tableColumn id="7" name="MS" dataDxfId="66"/>
    <tableColumn id="8" name="Requested delivery date" dataDxfId="65"/>
    <tableColumn id="9" name="Order date" dataDxfId="64"/>
    <tableColumn id="53" name="Contract number" dataDxfId="63"/>
    <tableColumn id="10" name="SS rec. date" dataDxfId="62"/>
    <tableColumn id="52" name="Female" dataDxfId="61"/>
    <tableColumn id="51" name="Male" dataDxfId="60"/>
    <tableColumn id="11" name="x2" dataDxfId="59"/>
    <tableColumn id="12" name="x3" dataDxfId="58"/>
    <tableColumn id="13" name="x4" dataDxfId="57"/>
    <tableColumn id="14" name="Compart-ment" dataDxfId="56"/>
    <tableColumn id="15" name="Nr of rows" dataDxfId="55"/>
    <tableColumn id="16" name="Calc. yield" dataDxfId="54"/>
    <tableColumn id="17" name="Surface" dataDxfId="53"/>
    <tableColumn id="18" name="Female2" dataDxfId="52"/>
    <tableColumn id="19" name="Male2" dataDxfId="51"/>
    <tableColumn id="20" name="Female " dataDxfId="50"/>
    <tableColumn id="21" name="Male " dataDxfId="49"/>
    <tableColumn id="22" name="Female  " dataDxfId="48"/>
    <tableColumn id="23" name="Male  " dataDxfId="47"/>
    <tableColumn id="24" name="Female pl. for nursery" dataDxfId="46"/>
    <tableColumn id="25" name="Male pl. for nursery" dataDxfId="45"/>
    <tableColumn id="26" name="Check delivery date" dataDxfId="44"/>
    <tableColumn id="27" name="Sowing Male" dataDxfId="43"/>
    <tableColumn id="28" name="Sowing Female" dataDxfId="42"/>
    <tableColumn id="59" name="Tidal floor Male" dataDxfId="41"/>
    <tableColumn id="58" name="Tidal floor Female" dataDxfId="40"/>
    <tableColumn id="29" name="Trans-planting Male" dataDxfId="39"/>
    <tableColumn id="30" name="Realised nr of plants Male" dataDxfId="38"/>
    <tableColumn id="31" name="Trans-planting Female" dataDxfId="37"/>
    <tableColumn id="32" name="Realised nr of plants Female" dataDxfId="36"/>
    <tableColumn id="33" name="From.." dataDxfId="35"/>
    <tableColumn id="34" name="Until.." dataDxfId="34"/>
    <tableColumn id="35" name="From .." dataDxfId="33"/>
    <tableColumn id="36" name="Until .." dataDxfId="32"/>
    <tableColumn id="54" name="Delivered all yes/no" dataDxfId="31"/>
    <tableColumn id="37" name="Steam desinfection" dataDxfId="30"/>
    <tableColumn id="38" name="Duration of the crop" dataDxfId="29"/>
    <tableColumn id="39" name="Change date" dataDxfId="28"/>
    <tableColumn id="40" name="New estimation" dataDxfId="27"/>
    <tableColumn id="50" name="Difference estimate - order" dataDxfId="26"/>
    <tableColumn id="41" name="May" dataDxfId="25"/>
    <tableColumn id="42" name="Female prod. code" dataDxfId="24"/>
    <tableColumn id="43" name="Batch numbers F" dataDxfId="23"/>
    <tableColumn id="44" name="SS received F" dataDxfId="22"/>
    <tableColumn id="45" name="SS used F" dataDxfId="21"/>
    <tableColumn id="46" name="Male prod. code" dataDxfId="20"/>
    <tableColumn id="47" name="Batch numbers M" dataDxfId="19"/>
    <tableColumn id="48" name="SS received M" dataDxfId="18"/>
    <tableColumn id="49" name="SS used M" dataDxfId="1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Compartments" displayName="Compartments" ref="A3:H21" totalsRowShown="0" headerRowDxfId="11" dataDxfId="9" headerRowBorderDxfId="10" tableBorderDxfId="8">
  <autoFilter ref="A3:H21"/>
  <tableColumns count="8">
    <tableColumn id="1" name="Compart-ment" dataDxfId="7"/>
    <tableColumn id="2" name="Number of rows" dataDxfId="6">
      <calculatedColumnFormula>G4/0.8</calculatedColumnFormula>
    </tableColumn>
    <tableColumn id="3" name="Gross surface" dataDxfId="5">
      <calculatedColumnFormula>E4*G4</calculatedColumnFormula>
    </tableColumn>
    <tableColumn id="4" name="Net surface" dataDxfId="4">
      <calculatedColumnFormula>F4*G4</calculatedColumnFormula>
    </tableColumn>
    <tableColumn id="5" name="Gross length" dataDxfId="3"/>
    <tableColumn id="6" name="Net length" dataDxfId="2"/>
    <tableColumn id="7" name="Width" dataDxfId="1"/>
    <tableColumn id="8" name="Remark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1"/>
  <dimension ref="A1:BG82"/>
  <sheetViews>
    <sheetView tabSelected="1" zoomScaleNormal="100" workbookViewId="0">
      <pane xSplit="8" ySplit="3" topLeftCell="AI4" activePane="bottomRight" state="frozen"/>
      <selection pane="topRight" activeCell="I1" sqref="I1"/>
      <selection pane="bottomLeft" activeCell="A4" sqref="A4"/>
      <selection pane="bottomRight" activeCell="AQ7" sqref="AQ7"/>
    </sheetView>
  </sheetViews>
  <sheetFormatPr baseColWidth="10" defaultColWidth="9.140625" defaultRowHeight="15" x14ac:dyDescent="0.25"/>
  <cols>
    <col min="1" max="1" width="4" style="100" customWidth="1"/>
    <col min="2" max="2" width="11.140625" style="100" customWidth="1"/>
    <col min="3" max="3" width="9.140625" style="100" customWidth="1"/>
    <col min="4" max="4" width="5" style="100" customWidth="1"/>
    <col min="5" max="5" width="9.140625" style="100"/>
    <col min="6" max="6" width="6" style="64" customWidth="1"/>
    <col min="7" max="7" width="6.28515625" style="99" customWidth="1"/>
    <col min="8" max="8" width="11.42578125" style="100" customWidth="1"/>
    <col min="9" max="9" width="10.42578125" style="54" customWidth="1"/>
    <col min="10" max="10" width="9.28515625" style="205" customWidth="1"/>
    <col min="11" max="11" width="5.85546875" style="54" customWidth="1"/>
    <col min="12" max="13" width="9.85546875" style="54" customWidth="1"/>
    <col min="14" max="14" width="5.5703125" style="255" bestFit="1" customWidth="1"/>
    <col min="15" max="15" width="7.5703125" style="255" bestFit="1" customWidth="1"/>
    <col min="16" max="16" width="5.7109375" style="255" bestFit="1" customWidth="1"/>
    <col min="17" max="17" width="10.140625" style="141" customWidth="1"/>
    <col min="18" max="18" width="5.85546875" style="100" customWidth="1"/>
    <col min="19" max="19" width="9.7109375" style="101" customWidth="1"/>
    <col min="20" max="20" width="10.7109375" style="102" customWidth="1"/>
    <col min="21" max="22" width="8" style="100" customWidth="1"/>
    <col min="23" max="24" width="7.140625" style="100" customWidth="1"/>
    <col min="25" max="26" width="9.5703125" style="269" customWidth="1"/>
    <col min="27" max="28" width="10.42578125" style="269" customWidth="1"/>
    <col min="29" max="33" width="9.42578125" style="100" customWidth="1"/>
    <col min="34" max="34" width="11.140625" style="100" customWidth="1"/>
    <col min="35" max="35" width="11.140625" style="269" customWidth="1"/>
    <col min="36" max="36" width="11.140625" style="100" customWidth="1"/>
    <col min="37" max="37" width="11.140625" style="269" customWidth="1"/>
    <col min="38" max="41" width="11.140625" style="100" customWidth="1"/>
    <col min="42" max="42" width="8.28515625" style="33" hidden="1" customWidth="1"/>
    <col min="43" max="44" width="11.140625" style="100" customWidth="1"/>
    <col min="45" max="45" width="10.42578125" customWidth="1"/>
    <col min="46" max="46" width="9.85546875" style="33" customWidth="1"/>
    <col min="47" max="47" width="11.5703125" style="52" customWidth="1"/>
    <col min="48" max="48" width="25.42578125" style="211" customWidth="1"/>
    <col min="50" max="50" width="11.28515625" style="52" customWidth="1"/>
    <col min="51" max="51" width="14.7109375" style="66" bestFit="1" customWidth="1"/>
    <col min="52" max="52" width="8.5703125" style="100" customWidth="1"/>
    <col min="53" max="53" width="9.42578125" style="100" customWidth="1"/>
    <col min="54" max="54" width="11.140625" style="100" customWidth="1"/>
    <col min="55" max="55" width="10.42578125" style="100" customWidth="1"/>
    <col min="56" max="56" width="8.5703125" style="100" customWidth="1"/>
    <col min="57" max="57" width="11.5703125" style="100" customWidth="1"/>
    <col min="58" max="58" width="11.140625" style="100" customWidth="1"/>
    <col min="59" max="59" width="10.42578125" style="100" customWidth="1"/>
    <col min="60" max="16384" width="9.140625" style="106"/>
  </cols>
  <sheetData>
    <row r="1" spans="1:58" s="103" customFormat="1" ht="14.25" customHeight="1" x14ac:dyDescent="0.25">
      <c r="A1" s="50"/>
      <c r="C1" s="33"/>
      <c r="D1" s="51"/>
      <c r="E1" s="52"/>
      <c r="F1" s="53"/>
      <c r="G1" s="53"/>
      <c r="H1" s="53"/>
      <c r="I1" s="54"/>
      <c r="J1" s="205"/>
      <c r="K1" s="54"/>
      <c r="L1" s="54"/>
      <c r="M1" s="54"/>
      <c r="N1" s="250"/>
      <c r="O1" s="250"/>
      <c r="P1" s="250"/>
      <c r="Q1" s="136"/>
      <c r="R1" s="53"/>
      <c r="S1" s="55"/>
      <c r="T1" s="56"/>
      <c r="U1" s="57"/>
      <c r="V1" s="58"/>
      <c r="W1" s="57"/>
      <c r="X1" s="58"/>
      <c r="Y1" s="256"/>
      <c r="Z1" s="257"/>
      <c r="AA1" s="258"/>
      <c r="AB1" s="259"/>
      <c r="AC1" s="62"/>
      <c r="AD1" s="63" t="s">
        <v>37</v>
      </c>
      <c r="AE1" s="63"/>
      <c r="AF1" s="63"/>
      <c r="AG1" s="63"/>
      <c r="AH1" s="33"/>
      <c r="AI1" s="269"/>
      <c r="AJ1" s="33"/>
      <c r="AK1" s="269"/>
      <c r="AL1" s="33"/>
      <c r="AM1" s="33"/>
      <c r="AN1" s="33"/>
      <c r="AO1" s="33"/>
      <c r="AP1" s="33"/>
      <c r="AQ1" s="33"/>
      <c r="AR1" s="65"/>
      <c r="AS1" s="33"/>
      <c r="AT1" s="52"/>
      <c r="AU1" s="52"/>
      <c r="AV1" s="211"/>
      <c r="AW1" s="34"/>
      <c r="AX1" s="33"/>
      <c r="AY1" s="33"/>
      <c r="AZ1" s="67"/>
      <c r="BA1" s="34"/>
      <c r="BB1" s="33"/>
      <c r="BC1" s="33"/>
      <c r="BD1" s="33"/>
    </row>
    <row r="2" spans="1:58" s="103" customFormat="1" ht="14.25" customHeight="1" x14ac:dyDescent="0.25">
      <c r="A2" s="33"/>
      <c r="B2" s="53"/>
      <c r="C2" s="33"/>
      <c r="D2" s="51"/>
      <c r="E2" s="52"/>
      <c r="F2" s="53"/>
      <c r="G2" s="53"/>
      <c r="H2" s="53"/>
      <c r="I2" s="68"/>
      <c r="J2" s="205"/>
      <c r="K2" s="54"/>
      <c r="L2" s="54"/>
      <c r="M2" s="54"/>
      <c r="N2" s="250"/>
      <c r="O2" s="250"/>
      <c r="P2" s="250"/>
      <c r="Q2" s="137"/>
      <c r="R2" s="69"/>
      <c r="S2" s="70"/>
      <c r="T2" s="71"/>
      <c r="U2" s="72" t="s">
        <v>33</v>
      </c>
      <c r="V2" s="73"/>
      <c r="W2" s="72" t="s">
        <v>107</v>
      </c>
      <c r="X2" s="73"/>
      <c r="Y2" s="260" t="s">
        <v>106</v>
      </c>
      <c r="Z2" s="261"/>
      <c r="AA2" s="262"/>
      <c r="AB2" s="263"/>
      <c r="AC2" s="62"/>
      <c r="AD2" s="33" t="s">
        <v>38</v>
      </c>
      <c r="AE2" s="33"/>
      <c r="AF2" s="33"/>
      <c r="AG2" s="33"/>
      <c r="AH2" s="33"/>
      <c r="AI2" s="269"/>
      <c r="AJ2" s="33"/>
      <c r="AK2" s="269"/>
      <c r="AL2" s="134" t="s">
        <v>117</v>
      </c>
      <c r="AM2" s="135"/>
      <c r="AN2" s="134" t="s">
        <v>121</v>
      </c>
      <c r="AO2" s="202"/>
      <c r="AP2" s="135"/>
      <c r="AQ2" s="33"/>
      <c r="AR2" s="65"/>
      <c r="AS2" s="33"/>
      <c r="AT2" s="52"/>
      <c r="AU2" s="52"/>
      <c r="AV2" s="211"/>
      <c r="AW2" s="34"/>
      <c r="AX2" s="33"/>
      <c r="AY2" s="33"/>
      <c r="AZ2" s="67"/>
      <c r="BA2" s="34"/>
      <c r="BB2" s="33"/>
      <c r="BC2" s="33"/>
      <c r="BD2" s="33"/>
    </row>
    <row r="3" spans="1:58" s="104" customFormat="1" ht="38.25" x14ac:dyDescent="0.25">
      <c r="A3" s="108" t="s">
        <v>95</v>
      </c>
      <c r="B3" s="109" t="s">
        <v>100</v>
      </c>
      <c r="C3" s="110" t="s">
        <v>0</v>
      </c>
      <c r="D3" s="111" t="s">
        <v>91</v>
      </c>
      <c r="E3" s="112" t="s">
        <v>101</v>
      </c>
      <c r="F3" s="113" t="s">
        <v>36</v>
      </c>
      <c r="G3" s="113" t="s">
        <v>74</v>
      </c>
      <c r="H3" s="114" t="s">
        <v>6</v>
      </c>
      <c r="I3" s="115" t="s">
        <v>1</v>
      </c>
      <c r="J3" s="206" t="s">
        <v>214</v>
      </c>
      <c r="K3" s="116" t="s">
        <v>102</v>
      </c>
      <c r="L3" s="116" t="s">
        <v>104</v>
      </c>
      <c r="M3" s="116" t="s">
        <v>105</v>
      </c>
      <c r="N3" s="251" t="s">
        <v>118</v>
      </c>
      <c r="O3" s="251" t="s">
        <v>119</v>
      </c>
      <c r="P3" s="251" t="s">
        <v>120</v>
      </c>
      <c r="Q3" s="138" t="s">
        <v>3</v>
      </c>
      <c r="R3" s="118" t="s">
        <v>103</v>
      </c>
      <c r="S3" s="119" t="s">
        <v>34</v>
      </c>
      <c r="T3" s="120" t="s">
        <v>30</v>
      </c>
      <c r="U3" s="138" t="s">
        <v>138</v>
      </c>
      <c r="V3" s="138" t="s">
        <v>139</v>
      </c>
      <c r="W3" s="151" t="s">
        <v>133</v>
      </c>
      <c r="X3" s="151" t="s">
        <v>134</v>
      </c>
      <c r="Y3" s="264" t="s">
        <v>135</v>
      </c>
      <c r="Z3" s="264" t="s">
        <v>136</v>
      </c>
      <c r="AA3" s="265" t="s">
        <v>92</v>
      </c>
      <c r="AB3" s="265" t="s">
        <v>93</v>
      </c>
      <c r="AC3" s="122" t="s">
        <v>7</v>
      </c>
      <c r="AD3" s="123" t="s">
        <v>108</v>
      </c>
      <c r="AE3" s="124" t="s">
        <v>109</v>
      </c>
      <c r="AF3" s="245" t="s">
        <v>303</v>
      </c>
      <c r="AG3" s="245" t="s">
        <v>304</v>
      </c>
      <c r="AH3" s="124" t="s">
        <v>112</v>
      </c>
      <c r="AI3" s="270" t="s">
        <v>110</v>
      </c>
      <c r="AJ3" s="124" t="s">
        <v>113</v>
      </c>
      <c r="AK3" s="270" t="s">
        <v>111</v>
      </c>
      <c r="AL3" s="125" t="s">
        <v>122</v>
      </c>
      <c r="AM3" s="125" t="s">
        <v>125</v>
      </c>
      <c r="AN3" s="125" t="s">
        <v>124</v>
      </c>
      <c r="AO3" s="125" t="s">
        <v>123</v>
      </c>
      <c r="AP3" s="125" t="s">
        <v>215</v>
      </c>
      <c r="AQ3" s="125" t="s">
        <v>4</v>
      </c>
      <c r="AR3" s="126" t="s">
        <v>5</v>
      </c>
      <c r="AS3" s="117" t="s">
        <v>8</v>
      </c>
      <c r="AT3" s="127" t="s">
        <v>114</v>
      </c>
      <c r="AU3" s="161" t="s">
        <v>137</v>
      </c>
      <c r="AV3" s="161" t="s">
        <v>283</v>
      </c>
      <c r="AW3" s="128" t="s">
        <v>97</v>
      </c>
      <c r="AX3" s="129" t="s">
        <v>126</v>
      </c>
      <c r="AY3" s="129" t="s">
        <v>128</v>
      </c>
      <c r="AZ3" s="130" t="s">
        <v>129</v>
      </c>
      <c r="BA3" s="131" t="s">
        <v>98</v>
      </c>
      <c r="BB3" s="132" t="s">
        <v>127</v>
      </c>
      <c r="BC3" s="132" t="s">
        <v>130</v>
      </c>
      <c r="BD3" s="133" t="s">
        <v>131</v>
      </c>
    </row>
    <row r="4" spans="1:58" s="104" customFormat="1" ht="12.75" customHeight="1" x14ac:dyDescent="0.25">
      <c r="A4" s="107">
        <v>1</v>
      </c>
      <c r="B4" s="35" t="s">
        <v>115</v>
      </c>
      <c r="C4" s="35" t="s">
        <v>116</v>
      </c>
      <c r="D4" s="36"/>
      <c r="E4" s="37">
        <v>2010</v>
      </c>
      <c r="F4" s="38"/>
      <c r="G4" s="38"/>
      <c r="H4" s="39" t="s">
        <v>288</v>
      </c>
      <c r="I4" s="40" t="s">
        <v>287</v>
      </c>
      <c r="J4" s="207"/>
      <c r="K4" s="41"/>
      <c r="L4" s="41"/>
      <c r="M4" s="41"/>
      <c r="N4" s="252"/>
      <c r="O4" s="252"/>
      <c r="P4" s="252"/>
      <c r="Q4" s="139"/>
      <c r="R4" s="42"/>
      <c r="S4" s="43"/>
      <c r="T4" s="44"/>
      <c r="U4" s="42"/>
      <c r="V4" s="42"/>
      <c r="W4" s="45"/>
      <c r="X4" s="45"/>
      <c r="Y4" s="266"/>
      <c r="Z4" s="266"/>
      <c r="AA4" s="266"/>
      <c r="AB4" s="266"/>
      <c r="AC4" s="46"/>
      <c r="AD4" s="47"/>
      <c r="AE4" s="42"/>
      <c r="AF4" s="42"/>
      <c r="AG4" s="42"/>
      <c r="AH4" s="42"/>
      <c r="AI4" s="266"/>
      <c r="AJ4" s="42"/>
      <c r="AK4" s="266"/>
      <c r="AL4" s="42"/>
      <c r="AM4" s="42"/>
      <c r="AN4" s="42"/>
      <c r="AO4" s="42"/>
      <c r="AP4" s="42"/>
      <c r="AQ4" s="42"/>
      <c r="AR4" s="48"/>
      <c r="AS4" s="42"/>
      <c r="AT4" s="38">
        <v>-691440</v>
      </c>
      <c r="AU4" s="186">
        <v>-693450</v>
      </c>
      <c r="AV4" s="42"/>
      <c r="AW4" s="188"/>
      <c r="AX4" s="42"/>
      <c r="AY4" s="42"/>
      <c r="AZ4" s="49"/>
      <c r="BA4" s="188"/>
      <c r="BB4" s="42"/>
      <c r="BC4" s="42"/>
      <c r="BD4" s="160"/>
    </row>
    <row r="5" spans="1:58" s="103" customFormat="1" x14ac:dyDescent="0.25">
      <c r="A5" s="152">
        <v>1</v>
      </c>
      <c r="B5" s="142" t="s">
        <v>11</v>
      </c>
      <c r="C5" s="143" t="s">
        <v>62</v>
      </c>
      <c r="D5" s="144"/>
      <c r="E5" s="145">
        <v>7</v>
      </c>
      <c r="F5" s="146">
        <v>4</v>
      </c>
      <c r="G5" s="147"/>
      <c r="H5" s="148">
        <v>40483</v>
      </c>
      <c r="I5" s="153">
        <v>40099</v>
      </c>
      <c r="J5" s="208">
        <v>105256</v>
      </c>
      <c r="K5" s="153" t="s">
        <v>213</v>
      </c>
      <c r="L5" s="153" t="s">
        <v>140</v>
      </c>
      <c r="M5" s="153" t="s">
        <v>185</v>
      </c>
      <c r="N5" s="255">
        <v>40</v>
      </c>
      <c r="O5" s="255">
        <v>1296</v>
      </c>
      <c r="P5" s="253">
        <v>37.75</v>
      </c>
      <c r="Q5" s="149">
        <v>111</v>
      </c>
      <c r="R5" s="142">
        <v>35</v>
      </c>
      <c r="S5" s="154">
        <v>8.8083333333333336</v>
      </c>
      <c r="T5" s="155">
        <v>1134</v>
      </c>
      <c r="U5" s="142">
        <v>50</v>
      </c>
      <c r="V5" s="142">
        <v>50</v>
      </c>
      <c r="W5" s="142">
        <v>5</v>
      </c>
      <c r="X5" s="142">
        <v>1</v>
      </c>
      <c r="Y5" s="267">
        <v>2202.0833333333335</v>
      </c>
      <c r="Z5" s="267">
        <v>440.41666666666663</v>
      </c>
      <c r="AA5" s="268">
        <v>2532.3958333333335</v>
      </c>
      <c r="AB5" s="267">
        <v>506.47916666666657</v>
      </c>
      <c r="AC5" s="158" t="s">
        <v>319</v>
      </c>
      <c r="AD5" s="190">
        <v>40247</v>
      </c>
      <c r="AE5" s="209">
        <v>40276</v>
      </c>
      <c r="AF5" s="246">
        <v>111</v>
      </c>
      <c r="AG5" s="246" t="s">
        <v>305</v>
      </c>
      <c r="AH5" s="209">
        <v>40297</v>
      </c>
      <c r="AI5" s="271">
        <v>428</v>
      </c>
      <c r="AJ5" s="209">
        <v>40313</v>
      </c>
      <c r="AK5" s="272">
        <v>2202</v>
      </c>
      <c r="AL5" s="209">
        <v>40329</v>
      </c>
      <c r="AM5" s="217">
        <v>40405</v>
      </c>
      <c r="AN5" s="79">
        <v>40389</v>
      </c>
      <c r="AO5" s="79">
        <v>40469</v>
      </c>
      <c r="AP5" s="203" t="s">
        <v>220</v>
      </c>
      <c r="AQ5" s="79">
        <v>40476</v>
      </c>
      <c r="AR5" s="80">
        <v>229</v>
      </c>
      <c r="AS5" s="148"/>
      <c r="AT5" s="159">
        <v>-2387</v>
      </c>
      <c r="AU5" s="187">
        <v>-2394</v>
      </c>
      <c r="AV5" s="81"/>
      <c r="AW5" s="185" t="s">
        <v>140</v>
      </c>
      <c r="AX5" s="82">
        <v>100464052</v>
      </c>
      <c r="AY5" s="83">
        <v>3000</v>
      </c>
      <c r="AZ5" s="249">
        <v>2985</v>
      </c>
      <c r="BA5" s="185" t="s">
        <v>185</v>
      </c>
      <c r="BB5" s="85">
        <v>100532447</v>
      </c>
      <c r="BC5" s="86" t="s">
        <v>208</v>
      </c>
      <c r="BD5" s="87"/>
    </row>
    <row r="6" spans="1:58" s="103" customFormat="1" ht="12.75" customHeight="1" x14ac:dyDescent="0.25">
      <c r="A6" s="152">
        <v>1</v>
      </c>
      <c r="B6" s="142" t="s">
        <v>11</v>
      </c>
      <c r="C6" s="143" t="s">
        <v>60</v>
      </c>
      <c r="D6" s="144"/>
      <c r="E6" s="145">
        <v>29</v>
      </c>
      <c r="F6" s="146">
        <v>8</v>
      </c>
      <c r="G6" s="147"/>
      <c r="H6" s="148">
        <v>40452</v>
      </c>
      <c r="I6" s="153">
        <v>40099</v>
      </c>
      <c r="J6" s="208">
        <v>105246</v>
      </c>
      <c r="K6" s="153" t="s">
        <v>213</v>
      </c>
      <c r="L6" s="153" t="s">
        <v>144</v>
      </c>
      <c r="M6" s="153" t="s">
        <v>145</v>
      </c>
      <c r="N6" s="255">
        <v>60</v>
      </c>
      <c r="O6" s="255">
        <v>1944</v>
      </c>
      <c r="P6" s="253">
        <v>37.75</v>
      </c>
      <c r="Q6" s="210">
        <v>112</v>
      </c>
      <c r="R6" s="142">
        <v>60</v>
      </c>
      <c r="S6" s="154">
        <v>30.200000000000003</v>
      </c>
      <c r="T6" s="155">
        <v>1944</v>
      </c>
      <c r="U6" s="142">
        <v>50</v>
      </c>
      <c r="V6" s="142">
        <v>50</v>
      </c>
      <c r="W6" s="142">
        <v>5</v>
      </c>
      <c r="X6" s="142">
        <v>1</v>
      </c>
      <c r="Y6" s="267">
        <v>3775.0000000000005</v>
      </c>
      <c r="Z6" s="267">
        <v>754.99999999999989</v>
      </c>
      <c r="AA6" s="268">
        <v>4341.25</v>
      </c>
      <c r="AB6" s="267">
        <v>868.24999999999977</v>
      </c>
      <c r="AC6" s="158" t="s">
        <v>320</v>
      </c>
      <c r="AD6" s="190">
        <v>40228</v>
      </c>
      <c r="AE6" s="209">
        <v>40242</v>
      </c>
      <c r="AF6" s="246">
        <v>93</v>
      </c>
      <c r="AG6" s="246">
        <v>84</v>
      </c>
      <c r="AH6" s="209">
        <v>40269</v>
      </c>
      <c r="AI6" s="272">
        <v>750</v>
      </c>
      <c r="AJ6" s="209">
        <v>40273</v>
      </c>
      <c r="AK6" s="272">
        <v>3750</v>
      </c>
      <c r="AL6" s="209">
        <v>40318</v>
      </c>
      <c r="AM6" s="217">
        <v>40392</v>
      </c>
      <c r="AN6" s="79">
        <v>40378</v>
      </c>
      <c r="AO6" s="79">
        <v>40456</v>
      </c>
      <c r="AP6" s="203" t="s">
        <v>220</v>
      </c>
      <c r="AQ6" s="79">
        <v>40463</v>
      </c>
      <c r="AR6" s="80">
        <v>235</v>
      </c>
      <c r="AS6" s="148"/>
      <c r="AT6" s="159">
        <v>-9889</v>
      </c>
      <c r="AU6" s="187">
        <v>-9918</v>
      </c>
      <c r="AV6" s="81"/>
      <c r="AW6" s="185" t="s">
        <v>144</v>
      </c>
      <c r="AX6" s="191" t="s">
        <v>198</v>
      </c>
      <c r="AY6" s="192">
        <v>7000</v>
      </c>
      <c r="AZ6" s="84">
        <v>5850</v>
      </c>
      <c r="BA6" s="185" t="s">
        <v>145</v>
      </c>
      <c r="BB6" s="85">
        <v>100466952</v>
      </c>
      <c r="BC6" s="86">
        <v>3000</v>
      </c>
      <c r="BD6" s="87">
        <v>2100</v>
      </c>
    </row>
    <row r="7" spans="1:58" s="105" customFormat="1" x14ac:dyDescent="0.25">
      <c r="A7" s="152">
        <v>1</v>
      </c>
      <c r="B7" s="142" t="s">
        <v>11</v>
      </c>
      <c r="C7" s="143" t="s">
        <v>58</v>
      </c>
      <c r="D7" s="144">
        <v>1</v>
      </c>
      <c r="E7" s="145">
        <v>13</v>
      </c>
      <c r="F7" s="146">
        <v>3</v>
      </c>
      <c r="G7" s="147"/>
      <c r="H7" s="195">
        <v>40452</v>
      </c>
      <c r="I7" s="153">
        <v>40128</v>
      </c>
      <c r="J7" s="208">
        <v>105260</v>
      </c>
      <c r="K7" s="153" t="s">
        <v>213</v>
      </c>
      <c r="L7" s="153" t="s">
        <v>140</v>
      </c>
      <c r="M7" s="153" t="s">
        <v>142</v>
      </c>
      <c r="N7" s="255">
        <v>60</v>
      </c>
      <c r="O7" s="255">
        <v>1944</v>
      </c>
      <c r="P7" s="253">
        <v>37.75</v>
      </c>
      <c r="Q7" s="210">
        <v>113</v>
      </c>
      <c r="R7" s="142">
        <v>45</v>
      </c>
      <c r="S7" s="154">
        <v>8.4937500000000004</v>
      </c>
      <c r="T7" s="155">
        <v>1458</v>
      </c>
      <c r="U7" s="142">
        <v>50</v>
      </c>
      <c r="V7" s="142">
        <v>50</v>
      </c>
      <c r="W7" s="142">
        <v>5</v>
      </c>
      <c r="X7" s="142">
        <v>1</v>
      </c>
      <c r="Y7" s="267">
        <v>2831.25</v>
      </c>
      <c r="Z7" s="267">
        <v>566.25</v>
      </c>
      <c r="AA7" s="268">
        <v>3255.9374999999995</v>
      </c>
      <c r="AB7" s="267">
        <v>651.1875</v>
      </c>
      <c r="AC7" s="158" t="s">
        <v>320</v>
      </c>
      <c r="AD7" s="196">
        <v>40227</v>
      </c>
      <c r="AE7" s="209">
        <v>40248</v>
      </c>
      <c r="AF7" s="246" t="s">
        <v>306</v>
      </c>
      <c r="AG7" s="246">
        <v>111</v>
      </c>
      <c r="AH7" s="209">
        <v>40268</v>
      </c>
      <c r="AI7" s="272">
        <v>550</v>
      </c>
      <c r="AJ7" s="209">
        <v>40281</v>
      </c>
      <c r="AK7" s="271">
        <v>2831</v>
      </c>
      <c r="AL7" s="209">
        <v>40288</v>
      </c>
      <c r="AM7" s="217">
        <v>40392</v>
      </c>
      <c r="AN7" s="79">
        <v>40348</v>
      </c>
      <c r="AO7" s="79">
        <v>40456</v>
      </c>
      <c r="AP7" s="203" t="s">
        <v>220</v>
      </c>
      <c r="AQ7" s="79">
        <v>40463</v>
      </c>
      <c r="AR7" s="80">
        <v>236</v>
      </c>
      <c r="AS7" s="148"/>
      <c r="AT7" s="159">
        <v>-4433</v>
      </c>
      <c r="AU7" s="187">
        <v>-4446</v>
      </c>
      <c r="AV7" s="81"/>
      <c r="AW7" s="185" t="s">
        <v>140</v>
      </c>
      <c r="AX7" s="146">
        <v>100464039</v>
      </c>
      <c r="AY7" s="194">
        <v>10000</v>
      </c>
      <c r="AZ7" s="249">
        <v>3600</v>
      </c>
      <c r="BA7" s="185" t="s">
        <v>142</v>
      </c>
      <c r="BB7" s="85">
        <v>100385010</v>
      </c>
      <c r="BC7" s="86">
        <v>2500</v>
      </c>
      <c r="BD7" s="87">
        <v>2100</v>
      </c>
    </row>
    <row r="8" spans="1:58" s="103" customFormat="1" x14ac:dyDescent="0.25">
      <c r="A8" s="152">
        <v>1</v>
      </c>
      <c r="B8" s="142" t="s">
        <v>11</v>
      </c>
      <c r="C8" s="143" t="s">
        <v>56</v>
      </c>
      <c r="D8" s="144"/>
      <c r="E8" s="145">
        <v>7</v>
      </c>
      <c r="F8" s="146">
        <v>8</v>
      </c>
      <c r="G8" s="147"/>
      <c r="H8" s="148">
        <v>40452</v>
      </c>
      <c r="I8" s="153">
        <v>40099</v>
      </c>
      <c r="J8" s="208">
        <v>105251</v>
      </c>
      <c r="K8" s="153" t="s">
        <v>213</v>
      </c>
      <c r="L8" s="153" t="s">
        <v>170</v>
      </c>
      <c r="M8" s="153" t="s">
        <v>171</v>
      </c>
      <c r="N8" s="255">
        <v>60</v>
      </c>
      <c r="O8" s="255">
        <v>1944</v>
      </c>
      <c r="P8" s="253">
        <v>37.75</v>
      </c>
      <c r="Q8" s="210">
        <v>113</v>
      </c>
      <c r="R8" s="142">
        <v>15</v>
      </c>
      <c r="S8" s="154">
        <v>7.5500000000000007</v>
      </c>
      <c r="T8" s="155">
        <v>486</v>
      </c>
      <c r="U8" s="142">
        <v>50</v>
      </c>
      <c r="V8" s="142">
        <v>50</v>
      </c>
      <c r="W8" s="142">
        <v>5</v>
      </c>
      <c r="X8" s="142">
        <v>1</v>
      </c>
      <c r="Y8" s="267">
        <v>943.75000000000011</v>
      </c>
      <c r="Z8" s="267">
        <v>188.74999999999997</v>
      </c>
      <c r="AA8" s="268">
        <v>1085.3125</v>
      </c>
      <c r="AB8" s="267">
        <v>217.06249999999994</v>
      </c>
      <c r="AC8" s="158" t="s">
        <v>320</v>
      </c>
      <c r="AD8" s="196">
        <v>40226</v>
      </c>
      <c r="AE8" s="209">
        <v>40239</v>
      </c>
      <c r="AF8" s="246">
        <v>94</v>
      </c>
      <c r="AG8" s="246">
        <v>89</v>
      </c>
      <c r="AH8" s="209">
        <v>40266</v>
      </c>
      <c r="AI8" s="272">
        <v>195</v>
      </c>
      <c r="AJ8" s="209">
        <v>40273</v>
      </c>
      <c r="AK8" s="272">
        <v>930</v>
      </c>
      <c r="AL8" s="209">
        <v>40303</v>
      </c>
      <c r="AM8" s="217">
        <v>40392</v>
      </c>
      <c r="AN8" s="79">
        <v>40363</v>
      </c>
      <c r="AO8" s="79">
        <v>40456</v>
      </c>
      <c r="AP8" s="203" t="s">
        <v>220</v>
      </c>
      <c r="AQ8" s="79">
        <v>40463</v>
      </c>
      <c r="AR8" s="80">
        <v>237</v>
      </c>
      <c r="AS8" s="148"/>
      <c r="AT8" s="159">
        <v>-2387</v>
      </c>
      <c r="AU8" s="187">
        <v>-2394</v>
      </c>
      <c r="AV8" s="81"/>
      <c r="AW8" s="185" t="s">
        <v>170</v>
      </c>
      <c r="AX8" s="82">
        <v>100477241</v>
      </c>
      <c r="AY8" s="83">
        <v>1500</v>
      </c>
      <c r="AZ8" s="84">
        <v>1500</v>
      </c>
      <c r="BA8" s="185" t="s">
        <v>171</v>
      </c>
      <c r="BB8" s="85" t="s">
        <v>205</v>
      </c>
      <c r="BC8" s="86">
        <v>1500</v>
      </c>
      <c r="BD8" s="87">
        <v>1500</v>
      </c>
    </row>
    <row r="9" spans="1:58" s="103" customFormat="1" x14ac:dyDescent="0.25">
      <c r="A9" s="152">
        <v>1</v>
      </c>
      <c r="B9" s="142" t="s">
        <v>11</v>
      </c>
      <c r="C9" s="143" t="s">
        <v>59</v>
      </c>
      <c r="D9" s="144"/>
      <c r="E9" s="145">
        <v>14</v>
      </c>
      <c r="F9" s="146">
        <v>4</v>
      </c>
      <c r="G9" s="147"/>
      <c r="H9" s="148">
        <v>40452</v>
      </c>
      <c r="I9" s="153">
        <v>40099</v>
      </c>
      <c r="J9" s="208">
        <v>105257</v>
      </c>
      <c r="K9" s="153" t="s">
        <v>213</v>
      </c>
      <c r="L9" s="153" t="s">
        <v>140</v>
      </c>
      <c r="M9" s="153" t="s">
        <v>143</v>
      </c>
      <c r="N9" s="255">
        <v>60</v>
      </c>
      <c r="O9" s="255">
        <v>1944</v>
      </c>
      <c r="P9" s="253">
        <v>37.75</v>
      </c>
      <c r="Q9" s="210">
        <v>114</v>
      </c>
      <c r="R9" s="142">
        <v>60</v>
      </c>
      <c r="S9" s="154">
        <v>15.100000000000001</v>
      </c>
      <c r="T9" s="155">
        <v>1944</v>
      </c>
      <c r="U9" s="142">
        <v>50</v>
      </c>
      <c r="V9" s="142">
        <v>50</v>
      </c>
      <c r="W9" s="142">
        <v>5</v>
      </c>
      <c r="X9" s="142">
        <v>1</v>
      </c>
      <c r="Y9" s="267">
        <v>3775.0000000000005</v>
      </c>
      <c r="Z9" s="267">
        <v>754.99999999999989</v>
      </c>
      <c r="AA9" s="268">
        <v>4341.25</v>
      </c>
      <c r="AB9" s="267">
        <v>868.24999999999977</v>
      </c>
      <c r="AC9" s="158" t="s">
        <v>320</v>
      </c>
      <c r="AD9" s="190">
        <v>40226</v>
      </c>
      <c r="AE9" s="209">
        <v>40247</v>
      </c>
      <c r="AF9" s="246">
        <v>94</v>
      </c>
      <c r="AG9" s="246">
        <v>111</v>
      </c>
      <c r="AH9" s="209">
        <v>40267</v>
      </c>
      <c r="AI9" s="272">
        <v>750</v>
      </c>
      <c r="AJ9" s="209">
        <v>40274</v>
      </c>
      <c r="AK9" s="272">
        <v>3750</v>
      </c>
      <c r="AL9" s="209">
        <v>40295</v>
      </c>
      <c r="AM9" s="217">
        <v>40392</v>
      </c>
      <c r="AN9" s="79">
        <v>40355</v>
      </c>
      <c r="AO9" s="79">
        <v>40456</v>
      </c>
      <c r="AP9" s="203" t="s">
        <v>220</v>
      </c>
      <c r="AQ9" s="79">
        <v>40463</v>
      </c>
      <c r="AR9" s="80">
        <v>237</v>
      </c>
      <c r="AS9" s="148"/>
      <c r="AT9" s="159">
        <v>-4774</v>
      </c>
      <c r="AU9" s="187">
        <v>-4788</v>
      </c>
      <c r="AV9" s="81"/>
      <c r="AW9" s="185" t="s">
        <v>140</v>
      </c>
      <c r="AX9" s="82">
        <v>100464052</v>
      </c>
      <c r="AY9" s="83">
        <v>6000</v>
      </c>
      <c r="AZ9" s="249">
        <v>4800</v>
      </c>
      <c r="BA9" s="185" t="s">
        <v>143</v>
      </c>
      <c r="BB9" s="85">
        <v>100253427</v>
      </c>
      <c r="BC9" s="86">
        <v>2000</v>
      </c>
      <c r="BD9" s="87">
        <v>1950</v>
      </c>
    </row>
    <row r="10" spans="1:58" s="103" customFormat="1" ht="12.75" customHeight="1" x14ac:dyDescent="0.25">
      <c r="A10" s="152">
        <v>1</v>
      </c>
      <c r="B10" s="142" t="s">
        <v>29</v>
      </c>
      <c r="C10" s="143" t="s">
        <v>41</v>
      </c>
      <c r="D10" s="144"/>
      <c r="E10" s="145">
        <v>7</v>
      </c>
      <c r="F10" s="146">
        <v>10</v>
      </c>
      <c r="G10" s="147">
        <v>0.5</v>
      </c>
      <c r="H10" s="148">
        <v>40483</v>
      </c>
      <c r="I10" s="153">
        <v>40072</v>
      </c>
      <c r="J10" s="208">
        <v>104977</v>
      </c>
      <c r="K10" s="153" t="s">
        <v>213</v>
      </c>
      <c r="L10" s="153" t="s">
        <v>146</v>
      </c>
      <c r="M10" s="153" t="s">
        <v>147</v>
      </c>
      <c r="N10" s="255">
        <v>60</v>
      </c>
      <c r="O10" s="255">
        <v>1944</v>
      </c>
      <c r="P10" s="253">
        <v>37.75</v>
      </c>
      <c r="Q10" s="149">
        <v>115</v>
      </c>
      <c r="R10" s="142">
        <v>19</v>
      </c>
      <c r="S10" s="154">
        <v>11.954166666666667</v>
      </c>
      <c r="T10" s="155">
        <v>615.6</v>
      </c>
      <c r="U10" s="142">
        <v>50</v>
      </c>
      <c r="V10" s="142">
        <v>50</v>
      </c>
      <c r="W10" s="142">
        <v>5</v>
      </c>
      <c r="X10" s="142">
        <v>1</v>
      </c>
      <c r="Y10" s="267">
        <v>1195.4166666666667</v>
      </c>
      <c r="Z10" s="267">
        <v>239.08333333333331</v>
      </c>
      <c r="AA10" s="268">
        <v>1374.7291666666667</v>
      </c>
      <c r="AB10" s="267">
        <v>274.94583333333327</v>
      </c>
      <c r="AC10" s="158" t="s">
        <v>320</v>
      </c>
      <c r="AD10" s="196">
        <v>40231</v>
      </c>
      <c r="AE10" s="209">
        <v>40238</v>
      </c>
      <c r="AF10" s="246">
        <v>92</v>
      </c>
      <c r="AG10" s="246" t="s">
        <v>307</v>
      </c>
      <c r="AH10" s="209">
        <v>40273</v>
      </c>
      <c r="AI10" s="272">
        <v>192</v>
      </c>
      <c r="AJ10" s="209">
        <v>40277</v>
      </c>
      <c r="AK10" s="272">
        <v>1197</v>
      </c>
      <c r="AL10" s="209">
        <v>40315</v>
      </c>
      <c r="AM10" s="79">
        <v>40435</v>
      </c>
      <c r="AN10" s="79">
        <v>40385</v>
      </c>
      <c r="AO10" s="79">
        <v>40505</v>
      </c>
      <c r="AP10" s="203" t="s">
        <v>220</v>
      </c>
      <c r="AQ10" s="79">
        <v>40512</v>
      </c>
      <c r="AR10" s="80">
        <v>281</v>
      </c>
      <c r="AS10" s="148"/>
      <c r="AT10" s="159">
        <v>-2387</v>
      </c>
      <c r="AU10" s="187">
        <v>-2394</v>
      </c>
      <c r="AV10" s="81"/>
      <c r="AW10" s="185" t="s">
        <v>146</v>
      </c>
      <c r="AX10" s="191" t="s">
        <v>199</v>
      </c>
      <c r="AY10" s="193">
        <v>2500</v>
      </c>
      <c r="AZ10" s="84">
        <v>2550</v>
      </c>
      <c r="BA10" s="185" t="s">
        <v>147</v>
      </c>
      <c r="BB10" s="85">
        <v>100506278</v>
      </c>
      <c r="BC10" s="86">
        <v>500</v>
      </c>
      <c r="BD10" s="87">
        <v>450</v>
      </c>
    </row>
    <row r="11" spans="1:58" s="103" customFormat="1" ht="12.75" customHeight="1" x14ac:dyDescent="0.25">
      <c r="A11" s="152">
        <v>1</v>
      </c>
      <c r="B11" s="142" t="s">
        <v>29</v>
      </c>
      <c r="C11" s="143" t="s">
        <v>42</v>
      </c>
      <c r="D11" s="144"/>
      <c r="E11" s="145">
        <v>21</v>
      </c>
      <c r="F11" s="146">
        <v>10</v>
      </c>
      <c r="G11" s="147">
        <v>0.5</v>
      </c>
      <c r="H11" s="148">
        <v>40483</v>
      </c>
      <c r="I11" s="153">
        <v>40072</v>
      </c>
      <c r="J11" s="208">
        <v>104978</v>
      </c>
      <c r="K11" s="153" t="s">
        <v>213</v>
      </c>
      <c r="L11" s="153" t="s">
        <v>141</v>
      </c>
      <c r="M11" s="153" t="s">
        <v>148</v>
      </c>
      <c r="N11" s="255">
        <v>60</v>
      </c>
      <c r="O11" s="255">
        <v>1944</v>
      </c>
      <c r="P11" s="253">
        <v>37.75</v>
      </c>
      <c r="Q11" s="149">
        <v>115</v>
      </c>
      <c r="R11" s="142">
        <v>41</v>
      </c>
      <c r="S11" s="154">
        <v>25.795833333333334</v>
      </c>
      <c r="T11" s="155">
        <v>1328.4</v>
      </c>
      <c r="U11" s="142">
        <v>50</v>
      </c>
      <c r="V11" s="142">
        <v>50</v>
      </c>
      <c r="W11" s="142">
        <v>5</v>
      </c>
      <c r="X11" s="142">
        <v>1</v>
      </c>
      <c r="Y11" s="267">
        <v>2579.5833333333335</v>
      </c>
      <c r="Z11" s="267">
        <v>515.91666666666663</v>
      </c>
      <c r="AA11" s="268">
        <v>2966.5208333333335</v>
      </c>
      <c r="AB11" s="267">
        <v>593.30416666666656</v>
      </c>
      <c r="AC11" s="158" t="s">
        <v>320</v>
      </c>
      <c r="AD11" s="190">
        <v>40232</v>
      </c>
      <c r="AE11" s="209">
        <v>40239</v>
      </c>
      <c r="AF11" s="246">
        <v>92</v>
      </c>
      <c r="AG11" s="246" t="s">
        <v>308</v>
      </c>
      <c r="AH11" s="209">
        <v>40273</v>
      </c>
      <c r="AI11" s="272">
        <v>492</v>
      </c>
      <c r="AJ11" s="209">
        <v>40277</v>
      </c>
      <c r="AK11" s="272">
        <v>2542</v>
      </c>
      <c r="AL11" s="209">
        <v>40315</v>
      </c>
      <c r="AM11" s="79">
        <v>40435</v>
      </c>
      <c r="AN11" s="79">
        <v>40385</v>
      </c>
      <c r="AO11" s="79">
        <v>40505</v>
      </c>
      <c r="AP11" s="203" t="s">
        <v>220</v>
      </c>
      <c r="AQ11" s="79">
        <v>40512</v>
      </c>
      <c r="AR11" s="80">
        <v>280</v>
      </c>
      <c r="AS11" s="148"/>
      <c r="AT11" s="159">
        <v>-7161</v>
      </c>
      <c r="AU11" s="187">
        <v>-7182</v>
      </c>
      <c r="AV11" s="81"/>
      <c r="AW11" s="185" t="s">
        <v>141</v>
      </c>
      <c r="AX11" s="191">
        <v>100461580</v>
      </c>
      <c r="AY11" s="193">
        <v>7000</v>
      </c>
      <c r="AZ11" s="84">
        <v>7050</v>
      </c>
      <c r="BA11" s="185" t="s">
        <v>148</v>
      </c>
      <c r="BB11" s="85">
        <v>100461817</v>
      </c>
      <c r="BC11" s="86">
        <v>1000</v>
      </c>
      <c r="BD11" s="87">
        <v>900</v>
      </c>
    </row>
    <row r="12" spans="1:58" s="103" customFormat="1" ht="12.75" customHeight="1" x14ac:dyDescent="0.25">
      <c r="A12" s="152">
        <v>1</v>
      </c>
      <c r="B12" s="142" t="s">
        <v>28</v>
      </c>
      <c r="C12" s="143" t="s">
        <v>40</v>
      </c>
      <c r="D12" s="144"/>
      <c r="E12" s="145">
        <v>6</v>
      </c>
      <c r="F12" s="146">
        <v>15</v>
      </c>
      <c r="G12" s="147"/>
      <c r="H12" s="148">
        <v>40452</v>
      </c>
      <c r="I12" s="153">
        <v>40072</v>
      </c>
      <c r="J12" s="208">
        <v>104972</v>
      </c>
      <c r="K12" s="153" t="s">
        <v>213</v>
      </c>
      <c r="L12" s="153" t="s">
        <v>149</v>
      </c>
      <c r="M12" s="153" t="s">
        <v>150</v>
      </c>
      <c r="N12" s="255">
        <v>40</v>
      </c>
      <c r="O12" s="255">
        <v>1296</v>
      </c>
      <c r="P12" s="253">
        <v>37.75</v>
      </c>
      <c r="Q12" s="149">
        <v>116</v>
      </c>
      <c r="R12" s="142">
        <v>11</v>
      </c>
      <c r="S12" s="154">
        <v>10.9003125</v>
      </c>
      <c r="T12" s="155">
        <v>356.4</v>
      </c>
      <c r="U12" s="142">
        <v>50</v>
      </c>
      <c r="V12" s="142">
        <v>50</v>
      </c>
      <c r="W12" s="142">
        <v>7</v>
      </c>
      <c r="X12" s="142">
        <v>1</v>
      </c>
      <c r="Y12" s="267">
        <v>726.6875</v>
      </c>
      <c r="Z12" s="267">
        <v>103.8125</v>
      </c>
      <c r="AA12" s="268">
        <v>835.69062499999995</v>
      </c>
      <c r="AB12" s="267">
        <v>119.38437499999999</v>
      </c>
      <c r="AC12" s="158" t="s">
        <v>320</v>
      </c>
      <c r="AD12" s="190">
        <v>40234</v>
      </c>
      <c r="AE12" s="209">
        <v>40241</v>
      </c>
      <c r="AF12" s="246">
        <v>91</v>
      </c>
      <c r="AG12" s="246">
        <v>111</v>
      </c>
      <c r="AH12" s="209">
        <v>40273</v>
      </c>
      <c r="AI12" s="272">
        <v>99</v>
      </c>
      <c r="AJ12" s="209">
        <v>40280</v>
      </c>
      <c r="AK12" s="272">
        <v>726</v>
      </c>
      <c r="AL12" s="209">
        <v>40312</v>
      </c>
      <c r="AM12" s="79">
        <v>40368</v>
      </c>
      <c r="AN12" s="79">
        <v>40407</v>
      </c>
      <c r="AO12" s="79">
        <v>40458</v>
      </c>
      <c r="AP12" s="203" t="s">
        <v>220</v>
      </c>
      <c r="AQ12" s="79">
        <v>40465</v>
      </c>
      <c r="AR12" s="80">
        <v>231</v>
      </c>
      <c r="AS12" s="148"/>
      <c r="AT12" s="159">
        <v>-2046</v>
      </c>
      <c r="AU12" s="187">
        <v>-2052</v>
      </c>
      <c r="AV12" s="81"/>
      <c r="AW12" s="185" t="s">
        <v>149</v>
      </c>
      <c r="AX12" s="191">
        <v>100346809</v>
      </c>
      <c r="AY12" s="193">
        <v>1000</v>
      </c>
      <c r="AZ12" s="84">
        <v>900</v>
      </c>
      <c r="BA12" s="185" t="s">
        <v>150</v>
      </c>
      <c r="BB12" s="85">
        <v>100346813</v>
      </c>
      <c r="BC12" s="86">
        <v>500</v>
      </c>
      <c r="BD12" s="84">
        <v>450</v>
      </c>
      <c r="BF12" s="103" t="s">
        <v>91</v>
      </c>
    </row>
    <row r="13" spans="1:58" s="103" customFormat="1" ht="12.75" customHeight="1" x14ac:dyDescent="0.25">
      <c r="A13" s="152">
        <v>1</v>
      </c>
      <c r="B13" s="142" t="s">
        <v>28</v>
      </c>
      <c r="C13" s="143" t="s">
        <v>39</v>
      </c>
      <c r="D13" s="144"/>
      <c r="E13" s="145">
        <v>30</v>
      </c>
      <c r="F13" s="146">
        <v>25</v>
      </c>
      <c r="G13" s="147"/>
      <c r="H13" s="148">
        <v>40452</v>
      </c>
      <c r="I13" s="153">
        <v>40072</v>
      </c>
      <c r="J13" s="208">
        <v>104974</v>
      </c>
      <c r="K13" s="153" t="s">
        <v>213</v>
      </c>
      <c r="L13" s="153" t="s">
        <v>151</v>
      </c>
      <c r="M13" s="153" t="s">
        <v>152</v>
      </c>
      <c r="N13" s="255">
        <v>40</v>
      </c>
      <c r="O13" s="255">
        <v>1296</v>
      </c>
      <c r="P13" s="253">
        <v>37.75</v>
      </c>
      <c r="Q13" s="149">
        <v>116</v>
      </c>
      <c r="R13" s="142">
        <v>24</v>
      </c>
      <c r="S13" s="154">
        <v>39.637500000000003</v>
      </c>
      <c r="T13" s="155">
        <v>777.6</v>
      </c>
      <c r="U13" s="142">
        <v>50</v>
      </c>
      <c r="V13" s="142">
        <v>50</v>
      </c>
      <c r="W13" s="142">
        <v>7</v>
      </c>
      <c r="X13" s="142">
        <v>1</v>
      </c>
      <c r="Y13" s="267">
        <v>1585.5</v>
      </c>
      <c r="Z13" s="267">
        <v>226.5</v>
      </c>
      <c r="AA13" s="268">
        <v>1823.3249999999998</v>
      </c>
      <c r="AB13" s="267">
        <v>260.47499999999997</v>
      </c>
      <c r="AC13" s="158" t="s">
        <v>320</v>
      </c>
      <c r="AD13" s="190">
        <v>40234</v>
      </c>
      <c r="AE13" s="209">
        <v>40241</v>
      </c>
      <c r="AF13" s="246" t="s">
        <v>309</v>
      </c>
      <c r="AG13" s="246">
        <v>111</v>
      </c>
      <c r="AH13" s="209">
        <v>40273</v>
      </c>
      <c r="AI13" s="272">
        <v>216</v>
      </c>
      <c r="AJ13" s="209">
        <v>40280</v>
      </c>
      <c r="AK13" s="272">
        <v>1584</v>
      </c>
      <c r="AL13" s="209">
        <v>40312</v>
      </c>
      <c r="AM13" s="79">
        <v>40368</v>
      </c>
      <c r="AN13" s="79">
        <v>40407</v>
      </c>
      <c r="AO13" s="79">
        <v>40458</v>
      </c>
      <c r="AP13" s="203" t="s">
        <v>220</v>
      </c>
      <c r="AQ13" s="79">
        <v>40465</v>
      </c>
      <c r="AR13" s="80">
        <v>231</v>
      </c>
      <c r="AS13" s="148"/>
      <c r="AT13" s="159">
        <v>-10230</v>
      </c>
      <c r="AU13" s="187">
        <v>-10260</v>
      </c>
      <c r="AV13" s="81"/>
      <c r="AW13" s="185" t="s">
        <v>151</v>
      </c>
      <c r="AX13" s="191">
        <v>100382415</v>
      </c>
      <c r="AY13" s="193">
        <v>2000</v>
      </c>
      <c r="AZ13" s="84">
        <v>1950</v>
      </c>
      <c r="BA13" s="185" t="s">
        <v>152</v>
      </c>
      <c r="BB13" s="85">
        <v>100532067</v>
      </c>
      <c r="BC13" s="86">
        <v>1000</v>
      </c>
      <c r="BD13" s="84">
        <v>900</v>
      </c>
      <c r="BF13" s="103" t="s">
        <v>91</v>
      </c>
    </row>
    <row r="14" spans="1:58" s="103" customFormat="1" ht="12.75" customHeight="1" x14ac:dyDescent="0.25">
      <c r="A14" s="152">
        <v>1</v>
      </c>
      <c r="B14" s="142" t="s">
        <v>28</v>
      </c>
      <c r="C14" s="143" t="s">
        <v>217</v>
      </c>
      <c r="D14" s="144"/>
      <c r="E14" s="145">
        <v>5</v>
      </c>
      <c r="F14" s="146">
        <v>25</v>
      </c>
      <c r="G14" s="147"/>
      <c r="H14" s="148">
        <v>40452</v>
      </c>
      <c r="I14" s="153">
        <v>40239</v>
      </c>
      <c r="J14" s="208">
        <v>104973</v>
      </c>
      <c r="K14" s="153" t="s">
        <v>213</v>
      </c>
      <c r="L14" s="153" t="s">
        <v>218</v>
      </c>
      <c r="M14" s="153" t="s">
        <v>219</v>
      </c>
      <c r="N14" s="255">
        <v>40</v>
      </c>
      <c r="O14" s="255">
        <v>1296</v>
      </c>
      <c r="P14" s="253">
        <v>37.75</v>
      </c>
      <c r="Q14" s="149">
        <v>116</v>
      </c>
      <c r="R14" s="142">
        <v>5</v>
      </c>
      <c r="S14" s="154">
        <v>8.2578125</v>
      </c>
      <c r="T14" s="155">
        <v>162</v>
      </c>
      <c r="U14" s="142">
        <v>50</v>
      </c>
      <c r="V14" s="142">
        <v>50</v>
      </c>
      <c r="W14" s="142">
        <v>7</v>
      </c>
      <c r="X14" s="142">
        <v>1</v>
      </c>
      <c r="Y14" s="267">
        <v>330.3125</v>
      </c>
      <c r="Z14" s="267">
        <v>47.1875</v>
      </c>
      <c r="AA14" s="268">
        <v>379.85937499999994</v>
      </c>
      <c r="AB14" s="267">
        <v>54.265624999999993</v>
      </c>
      <c r="AC14" s="158" t="s">
        <v>320</v>
      </c>
      <c r="AD14" s="190">
        <v>40238</v>
      </c>
      <c r="AE14" s="209">
        <v>40245</v>
      </c>
      <c r="AF14" s="246">
        <v>91</v>
      </c>
      <c r="AG14" s="246">
        <v>111</v>
      </c>
      <c r="AH14" s="209">
        <v>40273</v>
      </c>
      <c r="AI14" s="272">
        <v>45</v>
      </c>
      <c r="AJ14" s="209">
        <v>40280</v>
      </c>
      <c r="AK14" s="272">
        <v>330</v>
      </c>
      <c r="AL14" s="209">
        <v>40312</v>
      </c>
      <c r="AM14" s="79">
        <v>40368</v>
      </c>
      <c r="AN14" s="79">
        <v>40407</v>
      </c>
      <c r="AO14" s="79">
        <v>40458</v>
      </c>
      <c r="AP14" s="203" t="s">
        <v>220</v>
      </c>
      <c r="AQ14" s="79">
        <v>40465</v>
      </c>
      <c r="AR14" s="80">
        <v>227</v>
      </c>
      <c r="AS14" s="148"/>
      <c r="AT14" s="159">
        <v>-1730</v>
      </c>
      <c r="AU14" s="187">
        <v>-1735</v>
      </c>
      <c r="AV14" s="81"/>
      <c r="AW14" s="185" t="s">
        <v>218</v>
      </c>
      <c r="AX14" s="191">
        <v>100382415</v>
      </c>
      <c r="AY14" s="193">
        <v>2000</v>
      </c>
      <c r="AZ14" s="249">
        <v>950</v>
      </c>
      <c r="BA14" s="185" t="s">
        <v>219</v>
      </c>
      <c r="BB14" s="85">
        <v>100532067</v>
      </c>
      <c r="BC14" s="86">
        <v>1000</v>
      </c>
      <c r="BD14" s="87">
        <v>900</v>
      </c>
    </row>
    <row r="15" spans="1:58" s="103" customFormat="1" ht="12.75" customHeight="1" x14ac:dyDescent="0.25">
      <c r="A15" s="152">
        <v>1</v>
      </c>
      <c r="B15" s="142" t="s">
        <v>23</v>
      </c>
      <c r="C15" s="143" t="s">
        <v>65</v>
      </c>
      <c r="D15" s="144">
        <v>1</v>
      </c>
      <c r="E15" s="145">
        <v>31</v>
      </c>
      <c r="F15" s="146">
        <v>15</v>
      </c>
      <c r="G15" s="147"/>
      <c r="H15" s="148">
        <v>40452</v>
      </c>
      <c r="I15" s="153">
        <v>40126</v>
      </c>
      <c r="J15" s="208">
        <v>105331</v>
      </c>
      <c r="K15" s="153" t="s">
        <v>213</v>
      </c>
      <c r="L15" s="153" t="s">
        <v>153</v>
      </c>
      <c r="M15" s="153" t="s">
        <v>154</v>
      </c>
      <c r="N15" s="255">
        <v>40</v>
      </c>
      <c r="O15" s="255">
        <v>1296</v>
      </c>
      <c r="P15" s="253">
        <v>37.75</v>
      </c>
      <c r="Q15" s="149">
        <v>121</v>
      </c>
      <c r="R15" s="142">
        <v>40</v>
      </c>
      <c r="S15" s="154">
        <v>38.828571428571429</v>
      </c>
      <c r="T15" s="155">
        <v>1296</v>
      </c>
      <c r="U15" s="142">
        <v>50</v>
      </c>
      <c r="V15" s="142">
        <v>50</v>
      </c>
      <c r="W15" s="142">
        <v>6</v>
      </c>
      <c r="X15" s="142">
        <v>1</v>
      </c>
      <c r="Y15" s="267">
        <v>2588.5714285714284</v>
      </c>
      <c r="Z15" s="267">
        <v>431.42857142857139</v>
      </c>
      <c r="AA15" s="268">
        <v>2976.8571428571427</v>
      </c>
      <c r="AB15" s="267">
        <v>496.14285714285705</v>
      </c>
      <c r="AC15" s="158" t="s">
        <v>319</v>
      </c>
      <c r="AD15" s="190">
        <v>40252</v>
      </c>
      <c r="AE15" s="209">
        <v>40274</v>
      </c>
      <c r="AF15" s="246">
        <v>111</v>
      </c>
      <c r="AG15" s="246">
        <v>91</v>
      </c>
      <c r="AH15" s="209">
        <v>40280</v>
      </c>
      <c r="AI15" s="272">
        <v>450</v>
      </c>
      <c r="AJ15" s="209">
        <v>40294</v>
      </c>
      <c r="AK15" s="272">
        <v>2475</v>
      </c>
      <c r="AL15" s="209">
        <v>40321</v>
      </c>
      <c r="AM15" s="79">
        <v>40339</v>
      </c>
      <c r="AN15" s="79">
        <v>40404</v>
      </c>
      <c r="AO15" s="79">
        <v>40434</v>
      </c>
      <c r="AP15" s="203" t="s">
        <v>220</v>
      </c>
      <c r="AQ15" s="79">
        <v>40441</v>
      </c>
      <c r="AR15" s="80">
        <v>189</v>
      </c>
      <c r="AS15" s="148"/>
      <c r="AT15" s="159">
        <v>-10726</v>
      </c>
      <c r="AU15" s="187">
        <v>-10757</v>
      </c>
      <c r="AV15" s="81"/>
      <c r="AW15" s="185" t="s">
        <v>153</v>
      </c>
      <c r="AX15" s="191" t="s">
        <v>200</v>
      </c>
      <c r="AY15" s="193">
        <v>2000</v>
      </c>
      <c r="AZ15" s="249"/>
      <c r="BA15" s="185" t="s">
        <v>154</v>
      </c>
      <c r="BB15" s="85">
        <v>100489375</v>
      </c>
      <c r="BC15" s="86">
        <v>1000</v>
      </c>
      <c r="BD15" s="87"/>
    </row>
    <row r="16" spans="1:58" s="103" customFormat="1" ht="12.75" customHeight="1" x14ac:dyDescent="0.25">
      <c r="A16" s="152">
        <v>1</v>
      </c>
      <c r="B16" s="142" t="s">
        <v>11</v>
      </c>
      <c r="C16" s="143" t="s">
        <v>78</v>
      </c>
      <c r="D16" s="144"/>
      <c r="E16" s="145">
        <v>12</v>
      </c>
      <c r="F16" s="146">
        <v>10</v>
      </c>
      <c r="G16" s="147"/>
      <c r="H16" s="148">
        <v>40483</v>
      </c>
      <c r="I16" s="153">
        <v>40128</v>
      </c>
      <c r="J16" s="208">
        <v>105943</v>
      </c>
      <c r="K16" s="153" t="s">
        <v>213</v>
      </c>
      <c r="L16" s="153" t="s">
        <v>190</v>
      </c>
      <c r="M16" s="153" t="s">
        <v>191</v>
      </c>
      <c r="N16" s="255">
        <v>60</v>
      </c>
      <c r="O16" s="255">
        <v>1944</v>
      </c>
      <c r="P16" s="253">
        <v>37.75</v>
      </c>
      <c r="Q16" s="149">
        <v>122</v>
      </c>
      <c r="R16" s="142">
        <v>19</v>
      </c>
      <c r="S16" s="154">
        <v>11.954166666666667</v>
      </c>
      <c r="T16" s="155">
        <v>615.6</v>
      </c>
      <c r="U16" s="142">
        <v>50</v>
      </c>
      <c r="V16" s="142">
        <v>50</v>
      </c>
      <c r="W16" s="142">
        <v>5</v>
      </c>
      <c r="X16" s="142">
        <v>1</v>
      </c>
      <c r="Y16" s="267">
        <v>1195.4166666666667</v>
      </c>
      <c r="Z16" s="267">
        <v>239.08333333333331</v>
      </c>
      <c r="AA16" s="268">
        <v>1374.7291666666667</v>
      </c>
      <c r="AB16" s="267">
        <v>274.94583333333327</v>
      </c>
      <c r="AC16" s="158" t="s">
        <v>320</v>
      </c>
      <c r="AD16" s="190">
        <v>40240</v>
      </c>
      <c r="AE16" s="209">
        <v>40254</v>
      </c>
      <c r="AF16" s="246">
        <v>83</v>
      </c>
      <c r="AG16" s="246">
        <v>111</v>
      </c>
      <c r="AH16" s="209">
        <v>40283</v>
      </c>
      <c r="AI16" s="272">
        <v>247</v>
      </c>
      <c r="AJ16" s="209">
        <v>40287</v>
      </c>
      <c r="AK16" s="272">
        <v>1178</v>
      </c>
      <c r="AL16" s="209">
        <v>40304</v>
      </c>
      <c r="AM16" s="217">
        <v>40422</v>
      </c>
      <c r="AN16" s="79">
        <v>40364</v>
      </c>
      <c r="AO16" s="79">
        <v>40486</v>
      </c>
      <c r="AP16" s="203" t="s">
        <v>220</v>
      </c>
      <c r="AQ16" s="79">
        <v>40493</v>
      </c>
      <c r="AR16" s="80">
        <v>253</v>
      </c>
      <c r="AS16" s="148"/>
      <c r="AT16" s="159">
        <v>-4152</v>
      </c>
      <c r="AU16" s="187">
        <v>-4164</v>
      </c>
      <c r="AV16" s="81"/>
      <c r="AW16" s="185" t="s">
        <v>190</v>
      </c>
      <c r="AX16" s="82">
        <v>100493670</v>
      </c>
      <c r="AY16" s="83">
        <v>2000</v>
      </c>
      <c r="AZ16" s="249">
        <v>1950</v>
      </c>
      <c r="BA16" s="185" t="s">
        <v>191</v>
      </c>
      <c r="BB16" s="85">
        <v>100481950</v>
      </c>
      <c r="BC16" s="86">
        <v>1000</v>
      </c>
      <c r="BD16" s="87">
        <v>900</v>
      </c>
    </row>
    <row r="17" spans="1:56" s="103" customFormat="1" ht="12.75" customHeight="1" x14ac:dyDescent="0.25">
      <c r="A17" s="152">
        <v>1</v>
      </c>
      <c r="B17" s="142" t="s">
        <v>11</v>
      </c>
      <c r="C17" s="143" t="s">
        <v>52</v>
      </c>
      <c r="D17" s="144"/>
      <c r="E17" s="145">
        <v>21</v>
      </c>
      <c r="F17" s="146">
        <v>8</v>
      </c>
      <c r="G17" s="147"/>
      <c r="H17" s="148">
        <v>40483</v>
      </c>
      <c r="I17" s="153">
        <v>40128</v>
      </c>
      <c r="J17" s="208">
        <v>105262</v>
      </c>
      <c r="K17" s="153" t="s">
        <v>213</v>
      </c>
      <c r="L17" s="153" t="s">
        <v>157</v>
      </c>
      <c r="M17" s="153" t="s">
        <v>158</v>
      </c>
      <c r="N17" s="255">
        <v>60</v>
      </c>
      <c r="O17" s="255">
        <v>1944</v>
      </c>
      <c r="P17" s="253">
        <v>37.75</v>
      </c>
      <c r="Q17" s="149">
        <v>122</v>
      </c>
      <c r="R17" s="142">
        <v>41</v>
      </c>
      <c r="S17" s="154">
        <v>20.636666666666667</v>
      </c>
      <c r="T17" s="155">
        <v>1328.4</v>
      </c>
      <c r="U17" s="142">
        <v>50</v>
      </c>
      <c r="V17" s="142">
        <v>50</v>
      </c>
      <c r="W17" s="142">
        <v>5</v>
      </c>
      <c r="X17" s="142">
        <v>1</v>
      </c>
      <c r="Y17" s="267">
        <v>2579.5833333333335</v>
      </c>
      <c r="Z17" s="267">
        <v>515.91666666666663</v>
      </c>
      <c r="AA17" s="268">
        <v>2966.5208333333335</v>
      </c>
      <c r="AB17" s="267">
        <v>593.30416666666656</v>
      </c>
      <c r="AC17" s="158" t="s">
        <v>320</v>
      </c>
      <c r="AD17" s="190">
        <v>40240</v>
      </c>
      <c r="AE17" s="209">
        <v>40254</v>
      </c>
      <c r="AF17" s="246">
        <v>88</v>
      </c>
      <c r="AG17" s="246">
        <v>111</v>
      </c>
      <c r="AH17" s="209">
        <v>40283</v>
      </c>
      <c r="AI17" s="272">
        <v>533</v>
      </c>
      <c r="AJ17" s="209">
        <v>40287</v>
      </c>
      <c r="AK17" s="272">
        <v>2542</v>
      </c>
      <c r="AL17" s="209">
        <v>40304</v>
      </c>
      <c r="AM17" s="217">
        <v>40422</v>
      </c>
      <c r="AN17" s="79">
        <v>40364</v>
      </c>
      <c r="AO17" s="79">
        <v>40486</v>
      </c>
      <c r="AP17" s="203" t="s">
        <v>220</v>
      </c>
      <c r="AQ17" s="79">
        <v>40493</v>
      </c>
      <c r="AR17" s="80">
        <v>253</v>
      </c>
      <c r="AS17" s="148"/>
      <c r="AT17" s="159">
        <v>-7266</v>
      </c>
      <c r="AU17" s="187">
        <v>-7287</v>
      </c>
      <c r="AV17" s="81"/>
      <c r="AW17" s="185" t="s">
        <v>157</v>
      </c>
      <c r="AX17" s="82">
        <v>100515946</v>
      </c>
      <c r="AY17" s="83">
        <v>9000</v>
      </c>
      <c r="AZ17" s="249">
        <v>8950</v>
      </c>
      <c r="BA17" s="185" t="s">
        <v>158</v>
      </c>
      <c r="BB17" s="85" t="s">
        <v>201</v>
      </c>
      <c r="BC17" s="86">
        <v>4500</v>
      </c>
      <c r="BD17" s="87">
        <v>2100</v>
      </c>
    </row>
    <row r="18" spans="1:56" s="103" customFormat="1" ht="12.75" customHeight="1" x14ac:dyDescent="0.25">
      <c r="A18" s="152">
        <v>1</v>
      </c>
      <c r="B18" s="142" t="s">
        <v>11</v>
      </c>
      <c r="C18" s="143" t="s">
        <v>51</v>
      </c>
      <c r="D18" s="144"/>
      <c r="E18" s="145">
        <v>4</v>
      </c>
      <c r="F18" s="146">
        <v>8</v>
      </c>
      <c r="G18" s="147"/>
      <c r="H18" s="148">
        <v>40483</v>
      </c>
      <c r="I18" s="153">
        <v>40099</v>
      </c>
      <c r="J18" s="208">
        <v>105248</v>
      </c>
      <c r="K18" s="153" t="s">
        <v>213</v>
      </c>
      <c r="L18" s="153" t="s">
        <v>159</v>
      </c>
      <c r="M18" s="153" t="s">
        <v>160</v>
      </c>
      <c r="N18" s="255">
        <v>60</v>
      </c>
      <c r="O18" s="255">
        <v>1944</v>
      </c>
      <c r="P18" s="253">
        <v>37.75</v>
      </c>
      <c r="Q18" s="149">
        <v>123</v>
      </c>
      <c r="R18" s="142">
        <v>8</v>
      </c>
      <c r="S18" s="154">
        <v>4.0266666666666673</v>
      </c>
      <c r="T18" s="155">
        <v>259.2</v>
      </c>
      <c r="U18" s="142">
        <v>50</v>
      </c>
      <c r="V18" s="142">
        <v>50</v>
      </c>
      <c r="W18" s="142">
        <v>5</v>
      </c>
      <c r="X18" s="142">
        <v>1</v>
      </c>
      <c r="Y18" s="267">
        <v>503.33333333333337</v>
      </c>
      <c r="Z18" s="267">
        <v>100.66666666666666</v>
      </c>
      <c r="AA18" s="268">
        <v>578.83333333333337</v>
      </c>
      <c r="AB18" s="267">
        <v>115.76666666666665</v>
      </c>
      <c r="AC18" s="158" t="s">
        <v>320</v>
      </c>
      <c r="AD18" s="190">
        <v>40242</v>
      </c>
      <c r="AE18" s="209">
        <v>40271</v>
      </c>
      <c r="AF18" s="246">
        <v>83</v>
      </c>
      <c r="AG18" s="246" t="s">
        <v>307</v>
      </c>
      <c r="AH18" s="209">
        <v>40282</v>
      </c>
      <c r="AI18" s="272">
        <v>102</v>
      </c>
      <c r="AJ18" s="209">
        <v>40301</v>
      </c>
      <c r="AK18" s="272">
        <v>496</v>
      </c>
      <c r="AL18" s="209">
        <v>40317</v>
      </c>
      <c r="AM18" s="217">
        <v>40422</v>
      </c>
      <c r="AN18" s="79">
        <v>40377</v>
      </c>
      <c r="AO18" s="79">
        <v>40486</v>
      </c>
      <c r="AP18" s="203" t="s">
        <v>220</v>
      </c>
      <c r="AQ18" s="79">
        <v>40493</v>
      </c>
      <c r="AR18" s="80">
        <v>251</v>
      </c>
      <c r="AS18" s="148"/>
      <c r="AT18" s="159">
        <v>-1384</v>
      </c>
      <c r="AU18" s="187">
        <v>-1388</v>
      </c>
      <c r="AV18" s="81"/>
      <c r="AW18" s="185" t="s">
        <v>159</v>
      </c>
      <c r="AX18" s="82">
        <v>100385463</v>
      </c>
      <c r="AY18" s="83">
        <v>1000</v>
      </c>
      <c r="AZ18" s="249">
        <v>970</v>
      </c>
      <c r="BA18" s="185" t="s">
        <v>160</v>
      </c>
      <c r="BB18" s="85">
        <v>100230529</v>
      </c>
      <c r="BC18" s="86">
        <v>500</v>
      </c>
      <c r="BD18" s="87">
        <v>450</v>
      </c>
    </row>
    <row r="19" spans="1:56" s="103" customFormat="1" ht="12.75" customHeight="1" x14ac:dyDescent="0.25">
      <c r="A19" s="152">
        <v>1</v>
      </c>
      <c r="B19" s="142" t="s">
        <v>11</v>
      </c>
      <c r="C19" s="143" t="s">
        <v>53</v>
      </c>
      <c r="D19" s="144"/>
      <c r="E19" s="145">
        <v>4</v>
      </c>
      <c r="F19" s="146">
        <v>8</v>
      </c>
      <c r="G19" s="147"/>
      <c r="H19" s="148">
        <v>40483</v>
      </c>
      <c r="I19" s="153">
        <v>40099</v>
      </c>
      <c r="J19" s="208">
        <v>105249</v>
      </c>
      <c r="K19" s="153" t="s">
        <v>213</v>
      </c>
      <c r="L19" s="153" t="s">
        <v>161</v>
      </c>
      <c r="M19" s="153" t="s">
        <v>162</v>
      </c>
      <c r="N19" s="255">
        <v>60</v>
      </c>
      <c r="O19" s="255">
        <v>1944</v>
      </c>
      <c r="P19" s="253">
        <v>37.75</v>
      </c>
      <c r="Q19" s="149">
        <v>123</v>
      </c>
      <c r="R19" s="142">
        <v>8</v>
      </c>
      <c r="S19" s="154">
        <v>4.0266666666666673</v>
      </c>
      <c r="T19" s="155">
        <v>259.2</v>
      </c>
      <c r="U19" s="142">
        <v>50</v>
      </c>
      <c r="V19" s="142">
        <v>50</v>
      </c>
      <c r="W19" s="142">
        <v>5</v>
      </c>
      <c r="X19" s="142">
        <v>1</v>
      </c>
      <c r="Y19" s="267">
        <v>503.33333333333337</v>
      </c>
      <c r="Z19" s="267">
        <v>100.66666666666666</v>
      </c>
      <c r="AA19" s="268">
        <v>578.83333333333337</v>
      </c>
      <c r="AB19" s="267">
        <v>115.76666666666665</v>
      </c>
      <c r="AC19" s="158" t="s">
        <v>320</v>
      </c>
      <c r="AD19" s="190">
        <v>40242</v>
      </c>
      <c r="AE19" s="209">
        <v>40271</v>
      </c>
      <c r="AF19" s="246">
        <v>83</v>
      </c>
      <c r="AG19" s="246">
        <v>92</v>
      </c>
      <c r="AH19" s="209">
        <v>40282</v>
      </c>
      <c r="AI19" s="272">
        <v>102</v>
      </c>
      <c r="AJ19" s="209">
        <v>40301</v>
      </c>
      <c r="AK19" s="272">
        <v>496</v>
      </c>
      <c r="AL19" s="209">
        <v>40317</v>
      </c>
      <c r="AM19" s="217">
        <v>40422</v>
      </c>
      <c r="AN19" s="79">
        <v>40377</v>
      </c>
      <c r="AO19" s="79">
        <v>40486</v>
      </c>
      <c r="AP19" s="203" t="s">
        <v>220</v>
      </c>
      <c r="AQ19" s="79">
        <v>40493</v>
      </c>
      <c r="AR19" s="80">
        <v>251</v>
      </c>
      <c r="AS19" s="148"/>
      <c r="AT19" s="159">
        <v>-1384</v>
      </c>
      <c r="AU19" s="187">
        <v>-1388</v>
      </c>
      <c r="AV19" s="81"/>
      <c r="AW19" s="185" t="s">
        <v>161</v>
      </c>
      <c r="AX19" s="82">
        <v>100542255</v>
      </c>
      <c r="AY19" s="83" t="s">
        <v>202</v>
      </c>
      <c r="AZ19" s="249">
        <v>750</v>
      </c>
      <c r="BA19" s="185" t="s">
        <v>162</v>
      </c>
      <c r="BB19" s="85">
        <v>100542254</v>
      </c>
      <c r="BC19" s="86" t="s">
        <v>203</v>
      </c>
      <c r="BD19" s="87">
        <v>300</v>
      </c>
    </row>
    <row r="20" spans="1:56" s="103" customFormat="1" ht="12.75" customHeight="1" x14ac:dyDescent="0.25">
      <c r="A20" s="152">
        <v>1</v>
      </c>
      <c r="B20" s="142" t="s">
        <v>11</v>
      </c>
      <c r="C20" s="143" t="s">
        <v>50</v>
      </c>
      <c r="D20" s="144"/>
      <c r="E20" s="145">
        <v>5</v>
      </c>
      <c r="F20" s="146">
        <v>6</v>
      </c>
      <c r="G20" s="147"/>
      <c r="H20" s="148">
        <v>40483</v>
      </c>
      <c r="I20" s="153">
        <v>40099</v>
      </c>
      <c r="J20" s="208">
        <v>105250</v>
      </c>
      <c r="K20" s="153" t="s">
        <v>213</v>
      </c>
      <c r="L20" s="153" t="s">
        <v>163</v>
      </c>
      <c r="M20" s="153" t="s">
        <v>164</v>
      </c>
      <c r="N20" s="255">
        <v>60</v>
      </c>
      <c r="O20" s="255">
        <v>1944</v>
      </c>
      <c r="P20" s="253">
        <v>37.75</v>
      </c>
      <c r="Q20" s="149">
        <v>123</v>
      </c>
      <c r="R20" s="142">
        <v>14</v>
      </c>
      <c r="S20" s="154">
        <v>5.2850000000000001</v>
      </c>
      <c r="T20" s="155">
        <v>453.6</v>
      </c>
      <c r="U20" s="142">
        <v>50</v>
      </c>
      <c r="V20" s="142">
        <v>50</v>
      </c>
      <c r="W20" s="142">
        <v>5</v>
      </c>
      <c r="X20" s="142">
        <v>1</v>
      </c>
      <c r="Y20" s="267">
        <v>880.83333333333337</v>
      </c>
      <c r="Z20" s="267">
        <v>176.16666666666666</v>
      </c>
      <c r="AA20" s="268">
        <v>1012.9583333333333</v>
      </c>
      <c r="AB20" s="267">
        <v>202.59166666666664</v>
      </c>
      <c r="AC20" s="158" t="s">
        <v>320</v>
      </c>
      <c r="AD20" s="190">
        <v>40242</v>
      </c>
      <c r="AE20" s="209">
        <v>40271</v>
      </c>
      <c r="AF20" s="246">
        <v>83</v>
      </c>
      <c r="AG20" s="246">
        <v>92</v>
      </c>
      <c r="AH20" s="209">
        <v>40282</v>
      </c>
      <c r="AI20" s="272">
        <v>182</v>
      </c>
      <c r="AJ20" s="209">
        <v>40301</v>
      </c>
      <c r="AK20" s="272">
        <v>868</v>
      </c>
      <c r="AL20" s="209">
        <v>40317</v>
      </c>
      <c r="AM20" s="217">
        <v>40422</v>
      </c>
      <c r="AN20" s="79">
        <v>40377</v>
      </c>
      <c r="AO20" s="79">
        <v>40486</v>
      </c>
      <c r="AP20" s="203" t="s">
        <v>220</v>
      </c>
      <c r="AQ20" s="79">
        <v>40493</v>
      </c>
      <c r="AR20" s="80">
        <v>251</v>
      </c>
      <c r="AS20" s="148"/>
      <c r="AT20" s="159">
        <v>-1730</v>
      </c>
      <c r="AU20" s="187">
        <v>-1735</v>
      </c>
      <c r="AV20" s="81"/>
      <c r="AW20" s="185" t="s">
        <v>163</v>
      </c>
      <c r="AX20" s="82">
        <v>100410518</v>
      </c>
      <c r="AY20" s="83">
        <v>2000</v>
      </c>
      <c r="AZ20" s="249">
        <v>1990</v>
      </c>
      <c r="BA20" s="185" t="s">
        <v>164</v>
      </c>
      <c r="BB20" s="85">
        <v>100424754</v>
      </c>
      <c r="BC20" s="86">
        <v>1000</v>
      </c>
      <c r="BD20" s="87">
        <v>450</v>
      </c>
    </row>
    <row r="21" spans="1:56" s="103" customFormat="1" ht="12.75" customHeight="1" x14ac:dyDescent="0.25">
      <c r="A21" s="152">
        <v>1</v>
      </c>
      <c r="B21" s="142" t="s">
        <v>11</v>
      </c>
      <c r="C21" s="143" t="s">
        <v>54</v>
      </c>
      <c r="D21" s="144">
        <v>1</v>
      </c>
      <c r="E21" s="145">
        <v>10</v>
      </c>
      <c r="F21" s="146">
        <v>10</v>
      </c>
      <c r="G21" s="147"/>
      <c r="H21" s="148">
        <v>40483</v>
      </c>
      <c r="I21" s="153">
        <v>40099</v>
      </c>
      <c r="J21" s="208">
        <v>105253</v>
      </c>
      <c r="K21" s="153" t="s">
        <v>213</v>
      </c>
      <c r="L21" s="153" t="s">
        <v>165</v>
      </c>
      <c r="M21" s="153" t="s">
        <v>166</v>
      </c>
      <c r="N21" s="255">
        <v>60</v>
      </c>
      <c r="O21" s="255">
        <v>1944</v>
      </c>
      <c r="P21" s="253">
        <v>37.75</v>
      </c>
      <c r="Q21" s="149">
        <v>123</v>
      </c>
      <c r="R21" s="142">
        <v>14</v>
      </c>
      <c r="S21" s="154">
        <v>8.8083333333333336</v>
      </c>
      <c r="T21" s="155">
        <v>453.6</v>
      </c>
      <c r="U21" s="142">
        <v>50</v>
      </c>
      <c r="V21" s="142">
        <v>50</v>
      </c>
      <c r="W21" s="142">
        <v>5</v>
      </c>
      <c r="X21" s="142">
        <v>1</v>
      </c>
      <c r="Y21" s="267">
        <v>880.83333333333337</v>
      </c>
      <c r="Z21" s="267">
        <v>176.16666666666666</v>
      </c>
      <c r="AA21" s="268">
        <v>1012.9583333333333</v>
      </c>
      <c r="AB21" s="267">
        <v>202.59166666666664</v>
      </c>
      <c r="AC21" s="158" t="s">
        <v>320</v>
      </c>
      <c r="AD21" s="190">
        <v>40242</v>
      </c>
      <c r="AE21" s="209">
        <v>40271</v>
      </c>
      <c r="AF21" s="246">
        <v>83</v>
      </c>
      <c r="AG21" s="246">
        <v>90</v>
      </c>
      <c r="AH21" s="209">
        <v>40282</v>
      </c>
      <c r="AI21" s="272">
        <v>182</v>
      </c>
      <c r="AJ21" s="209">
        <v>40301</v>
      </c>
      <c r="AK21" s="272">
        <v>868</v>
      </c>
      <c r="AL21" s="209">
        <v>40317</v>
      </c>
      <c r="AM21" s="217">
        <v>40422</v>
      </c>
      <c r="AN21" s="79">
        <v>40377</v>
      </c>
      <c r="AO21" s="79">
        <v>40486</v>
      </c>
      <c r="AP21" s="203" t="s">
        <v>220</v>
      </c>
      <c r="AQ21" s="79">
        <v>40493</v>
      </c>
      <c r="AR21" s="80">
        <v>251</v>
      </c>
      <c r="AS21" s="148"/>
      <c r="AT21" s="159">
        <v>-3460</v>
      </c>
      <c r="AU21" s="187">
        <v>-3470</v>
      </c>
      <c r="AV21" s="81"/>
      <c r="AW21" s="185" t="s">
        <v>165</v>
      </c>
      <c r="AX21" s="82" t="s">
        <v>204</v>
      </c>
      <c r="AY21" s="83">
        <v>3500</v>
      </c>
      <c r="AZ21" s="249"/>
      <c r="BA21" s="185" t="s">
        <v>166</v>
      </c>
      <c r="BB21" s="85">
        <v>100526404</v>
      </c>
      <c r="BC21" s="86">
        <v>1000</v>
      </c>
      <c r="BD21" s="87">
        <v>600</v>
      </c>
    </row>
    <row r="22" spans="1:56" s="103" customFormat="1" ht="12.75" customHeight="1" x14ac:dyDescent="0.25">
      <c r="A22" s="152">
        <v>1</v>
      </c>
      <c r="B22" s="142" t="s">
        <v>11</v>
      </c>
      <c r="C22" s="143" t="s">
        <v>55</v>
      </c>
      <c r="D22" s="144"/>
      <c r="E22" s="145">
        <v>10</v>
      </c>
      <c r="F22" s="146">
        <v>10</v>
      </c>
      <c r="G22" s="147"/>
      <c r="H22" s="148">
        <v>40483</v>
      </c>
      <c r="I22" s="153">
        <v>40099</v>
      </c>
      <c r="J22" s="208">
        <v>105247</v>
      </c>
      <c r="K22" s="153" t="s">
        <v>213</v>
      </c>
      <c r="L22" s="153" t="s">
        <v>167</v>
      </c>
      <c r="M22" s="153" t="s">
        <v>164</v>
      </c>
      <c r="N22" s="255">
        <v>60</v>
      </c>
      <c r="O22" s="255">
        <v>1944</v>
      </c>
      <c r="P22" s="253">
        <v>37.75</v>
      </c>
      <c r="Q22" s="149">
        <v>123</v>
      </c>
      <c r="R22" s="142">
        <v>16</v>
      </c>
      <c r="S22" s="154">
        <v>10.066666666666668</v>
      </c>
      <c r="T22" s="155">
        <v>518.4</v>
      </c>
      <c r="U22" s="142">
        <v>50</v>
      </c>
      <c r="V22" s="142">
        <v>50</v>
      </c>
      <c r="W22" s="142">
        <v>5</v>
      </c>
      <c r="X22" s="142">
        <v>1</v>
      </c>
      <c r="Y22" s="267">
        <v>1006.6666666666667</v>
      </c>
      <c r="Z22" s="267">
        <v>201.33333333333331</v>
      </c>
      <c r="AA22" s="268">
        <v>1157.6666666666667</v>
      </c>
      <c r="AB22" s="267">
        <v>231.5333333333333</v>
      </c>
      <c r="AC22" s="158" t="s">
        <v>320</v>
      </c>
      <c r="AD22" s="190">
        <v>40242</v>
      </c>
      <c r="AE22" s="209">
        <v>40271</v>
      </c>
      <c r="AF22" s="246">
        <v>83</v>
      </c>
      <c r="AG22" s="246">
        <v>89</v>
      </c>
      <c r="AH22" s="209">
        <v>40282</v>
      </c>
      <c r="AI22" s="272">
        <v>206</v>
      </c>
      <c r="AJ22" s="209">
        <v>40301</v>
      </c>
      <c r="AK22" s="272">
        <v>992</v>
      </c>
      <c r="AL22" s="209">
        <v>40317</v>
      </c>
      <c r="AM22" s="217">
        <v>40422</v>
      </c>
      <c r="AN22" s="79">
        <v>40377</v>
      </c>
      <c r="AO22" s="79">
        <v>40486</v>
      </c>
      <c r="AP22" s="203" t="s">
        <v>220</v>
      </c>
      <c r="AQ22" s="79">
        <v>40493</v>
      </c>
      <c r="AR22" s="80">
        <v>251</v>
      </c>
      <c r="AS22" s="148"/>
      <c r="AT22" s="159">
        <v>-3460</v>
      </c>
      <c r="AU22" s="187">
        <v>-3470</v>
      </c>
      <c r="AV22" s="81"/>
      <c r="AW22" s="185" t="s">
        <v>167</v>
      </c>
      <c r="AX22" s="82">
        <v>100168441</v>
      </c>
      <c r="AY22" s="83">
        <v>2000</v>
      </c>
      <c r="AZ22" s="249">
        <v>1970</v>
      </c>
      <c r="BA22" s="185" t="s">
        <v>164</v>
      </c>
      <c r="BB22" s="85">
        <v>100424754</v>
      </c>
      <c r="BC22" s="86">
        <v>1000</v>
      </c>
      <c r="BD22" s="87">
        <v>600</v>
      </c>
    </row>
    <row r="23" spans="1:56" s="103" customFormat="1" x14ac:dyDescent="0.25">
      <c r="A23" s="152">
        <v>1</v>
      </c>
      <c r="B23" s="142" t="s">
        <v>11</v>
      </c>
      <c r="C23" s="143" t="s">
        <v>57</v>
      </c>
      <c r="D23" s="144"/>
      <c r="E23" s="145">
        <v>4</v>
      </c>
      <c r="F23" s="146">
        <v>5</v>
      </c>
      <c r="G23" s="147"/>
      <c r="H23" s="148">
        <v>40483</v>
      </c>
      <c r="I23" s="153">
        <v>40099</v>
      </c>
      <c r="J23" s="208">
        <v>105254</v>
      </c>
      <c r="K23" s="153" t="s">
        <v>213</v>
      </c>
      <c r="L23" s="153" t="s">
        <v>168</v>
      </c>
      <c r="M23" s="153" t="s">
        <v>169</v>
      </c>
      <c r="N23" s="255">
        <v>60</v>
      </c>
      <c r="O23" s="255">
        <v>1944</v>
      </c>
      <c r="P23" s="253">
        <v>37.75</v>
      </c>
      <c r="Q23" s="149">
        <v>124</v>
      </c>
      <c r="R23" s="142">
        <v>16</v>
      </c>
      <c r="S23" s="154">
        <v>5.0333333333333341</v>
      </c>
      <c r="T23" s="155">
        <v>518.4</v>
      </c>
      <c r="U23" s="142">
        <v>50</v>
      </c>
      <c r="V23" s="142">
        <v>50</v>
      </c>
      <c r="W23" s="142">
        <v>5</v>
      </c>
      <c r="X23" s="142">
        <v>1</v>
      </c>
      <c r="Y23" s="267">
        <v>1006.6666666666667</v>
      </c>
      <c r="Z23" s="267">
        <v>201.33333333333331</v>
      </c>
      <c r="AA23" s="268">
        <v>1157.6666666666667</v>
      </c>
      <c r="AB23" s="267">
        <v>231.5333333333333</v>
      </c>
      <c r="AC23" s="158" t="s">
        <v>319</v>
      </c>
      <c r="AD23" s="190">
        <v>40246</v>
      </c>
      <c r="AE23" s="209">
        <v>40273</v>
      </c>
      <c r="AF23" s="246">
        <v>94</v>
      </c>
      <c r="AG23" s="246">
        <v>111</v>
      </c>
      <c r="AH23" s="209">
        <v>40325</v>
      </c>
      <c r="AI23" s="272">
        <v>350</v>
      </c>
      <c r="AJ23" s="209">
        <v>40305</v>
      </c>
      <c r="AK23" s="271">
        <v>1000</v>
      </c>
      <c r="AL23" s="209">
        <v>40318</v>
      </c>
      <c r="AM23" s="79">
        <v>40408</v>
      </c>
      <c r="AN23" s="79">
        <v>40378</v>
      </c>
      <c r="AO23" s="79">
        <v>40467</v>
      </c>
      <c r="AP23" s="203" t="s">
        <v>220</v>
      </c>
      <c r="AQ23" s="79">
        <v>40474</v>
      </c>
      <c r="AR23" s="80">
        <v>228</v>
      </c>
      <c r="AS23" s="148"/>
      <c r="AT23" s="159">
        <v>-1384</v>
      </c>
      <c r="AU23" s="187">
        <v>-1388</v>
      </c>
      <c r="AV23" s="81"/>
      <c r="AW23" s="185" t="s">
        <v>168</v>
      </c>
      <c r="AX23" s="82">
        <v>100463876</v>
      </c>
      <c r="AY23" s="83">
        <v>2000</v>
      </c>
      <c r="AZ23" s="249">
        <v>1980</v>
      </c>
      <c r="BA23" s="185" t="s">
        <v>169</v>
      </c>
      <c r="BB23" s="85">
        <v>100515977</v>
      </c>
      <c r="BC23" s="86">
        <v>5000</v>
      </c>
      <c r="BD23" s="87"/>
    </row>
    <row r="24" spans="1:56" s="103" customFormat="1" ht="38.25" customHeight="1" x14ac:dyDescent="0.25">
      <c r="A24" s="152">
        <v>1</v>
      </c>
      <c r="B24" s="142" t="s">
        <v>11</v>
      </c>
      <c r="C24" s="143" t="s">
        <v>58</v>
      </c>
      <c r="D24" s="144">
        <v>2</v>
      </c>
      <c r="E24" s="145">
        <v>4</v>
      </c>
      <c r="F24" s="146">
        <v>5</v>
      </c>
      <c r="G24" s="147"/>
      <c r="H24" s="148">
        <v>40483</v>
      </c>
      <c r="I24" s="153">
        <v>40128</v>
      </c>
      <c r="J24" s="208">
        <v>105261</v>
      </c>
      <c r="K24" s="153" t="s">
        <v>213</v>
      </c>
      <c r="L24" s="153" t="s">
        <v>140</v>
      </c>
      <c r="M24" s="153" t="s">
        <v>142</v>
      </c>
      <c r="N24" s="255">
        <v>60</v>
      </c>
      <c r="O24" s="255">
        <v>1944</v>
      </c>
      <c r="P24" s="253">
        <v>37.75</v>
      </c>
      <c r="Q24" s="149">
        <v>124</v>
      </c>
      <c r="R24" s="142">
        <v>30</v>
      </c>
      <c r="S24" s="154">
        <v>9.4375000000000018</v>
      </c>
      <c r="T24" s="155">
        <v>972</v>
      </c>
      <c r="U24" s="142">
        <v>50</v>
      </c>
      <c r="V24" s="142">
        <v>50</v>
      </c>
      <c r="W24" s="142">
        <v>5</v>
      </c>
      <c r="X24" s="142">
        <v>1</v>
      </c>
      <c r="Y24" s="267">
        <v>1887.5000000000002</v>
      </c>
      <c r="Z24" s="267">
        <v>377.49999999999994</v>
      </c>
      <c r="AA24" s="268">
        <v>2170.625</v>
      </c>
      <c r="AB24" s="267">
        <v>434.12499999999989</v>
      </c>
      <c r="AC24" s="158" t="s">
        <v>319</v>
      </c>
      <c r="AD24" s="190">
        <v>40239</v>
      </c>
      <c r="AE24" s="209">
        <v>40273</v>
      </c>
      <c r="AF24" s="246">
        <v>89</v>
      </c>
      <c r="AG24" s="246">
        <v>87</v>
      </c>
      <c r="AH24" s="209">
        <v>40285</v>
      </c>
      <c r="AI24" s="272">
        <v>390</v>
      </c>
      <c r="AJ24" s="209">
        <v>40303</v>
      </c>
      <c r="AK24" s="271">
        <v>1858</v>
      </c>
      <c r="AL24" s="209">
        <v>40322</v>
      </c>
      <c r="AM24" s="79">
        <v>40412</v>
      </c>
      <c r="AN24" s="79">
        <v>40382</v>
      </c>
      <c r="AO24" s="79">
        <v>40476</v>
      </c>
      <c r="AP24" s="203" t="s">
        <v>220</v>
      </c>
      <c r="AQ24" s="79">
        <v>40483</v>
      </c>
      <c r="AR24" s="80">
        <v>244</v>
      </c>
      <c r="AS24" s="148"/>
      <c r="AT24" s="159">
        <v>-1384</v>
      </c>
      <c r="AU24" s="187">
        <v>-1388</v>
      </c>
      <c r="AV24" s="81"/>
      <c r="AW24" s="185" t="s">
        <v>140</v>
      </c>
      <c r="AX24" s="146">
        <v>100464052</v>
      </c>
      <c r="AY24" s="83">
        <v>2000</v>
      </c>
      <c r="AZ24" s="249">
        <v>2400</v>
      </c>
      <c r="BA24" s="185" t="s">
        <v>142</v>
      </c>
      <c r="BB24" s="85">
        <v>100385010</v>
      </c>
      <c r="BC24" s="86">
        <v>300</v>
      </c>
      <c r="BD24" s="87">
        <v>450</v>
      </c>
    </row>
    <row r="25" spans="1:56" s="103" customFormat="1" ht="12.75" customHeight="1" x14ac:dyDescent="0.25">
      <c r="A25" s="152">
        <v>1</v>
      </c>
      <c r="B25" s="142" t="s">
        <v>11</v>
      </c>
      <c r="C25" s="143" t="s">
        <v>67</v>
      </c>
      <c r="D25" s="144"/>
      <c r="E25" s="145">
        <v>8</v>
      </c>
      <c r="F25" s="146">
        <v>10</v>
      </c>
      <c r="G25" s="147"/>
      <c r="H25" s="148">
        <v>40483</v>
      </c>
      <c r="I25" s="153">
        <v>40128</v>
      </c>
      <c r="J25" s="208">
        <v>105255</v>
      </c>
      <c r="K25" s="153" t="s">
        <v>213</v>
      </c>
      <c r="L25" s="153" t="s">
        <v>172</v>
      </c>
      <c r="M25" s="153" t="s">
        <v>173</v>
      </c>
      <c r="N25" s="255">
        <v>60</v>
      </c>
      <c r="O25" s="255">
        <v>1944</v>
      </c>
      <c r="P25" s="253">
        <v>37.75</v>
      </c>
      <c r="Q25" s="149">
        <v>124</v>
      </c>
      <c r="R25" s="142">
        <v>14</v>
      </c>
      <c r="S25" s="154">
        <v>8.8083333333333336</v>
      </c>
      <c r="T25" s="155">
        <v>453.6</v>
      </c>
      <c r="U25" s="142">
        <v>50</v>
      </c>
      <c r="V25" s="142">
        <v>50</v>
      </c>
      <c r="W25" s="142">
        <v>5</v>
      </c>
      <c r="X25" s="142">
        <v>1</v>
      </c>
      <c r="Y25" s="267">
        <v>880.83333333333337</v>
      </c>
      <c r="Z25" s="267">
        <v>176.16666666666666</v>
      </c>
      <c r="AA25" s="268">
        <v>1012.9583333333333</v>
      </c>
      <c r="AB25" s="267">
        <v>202.59166666666664</v>
      </c>
      <c r="AC25" s="158" t="s">
        <v>319</v>
      </c>
      <c r="AD25" s="190">
        <v>40246</v>
      </c>
      <c r="AE25" s="209">
        <v>40273</v>
      </c>
      <c r="AF25" s="246">
        <v>111</v>
      </c>
      <c r="AG25" s="246">
        <v>88</v>
      </c>
      <c r="AH25" s="209">
        <v>40285</v>
      </c>
      <c r="AI25" s="272">
        <v>182</v>
      </c>
      <c r="AJ25" s="209">
        <v>40304</v>
      </c>
      <c r="AK25" s="271">
        <v>880</v>
      </c>
      <c r="AL25" s="209">
        <v>40322</v>
      </c>
      <c r="AM25" s="79">
        <v>40412</v>
      </c>
      <c r="AN25" s="79">
        <v>40382</v>
      </c>
      <c r="AO25" s="79">
        <v>40476</v>
      </c>
      <c r="AP25" s="203" t="s">
        <v>220</v>
      </c>
      <c r="AQ25" s="79">
        <v>40483</v>
      </c>
      <c r="AR25" s="80">
        <v>237</v>
      </c>
      <c r="AS25" s="148"/>
      <c r="AT25" s="159">
        <v>-2768</v>
      </c>
      <c r="AU25" s="187">
        <v>-2776</v>
      </c>
      <c r="AV25" s="81"/>
      <c r="AW25" s="185" t="s">
        <v>172</v>
      </c>
      <c r="AX25" s="82">
        <v>100312565</v>
      </c>
      <c r="AY25" s="83">
        <v>1500</v>
      </c>
      <c r="AZ25" s="84"/>
      <c r="BA25" s="185" t="s">
        <v>173</v>
      </c>
      <c r="BB25" s="85">
        <v>100521762</v>
      </c>
      <c r="BC25" s="86">
        <v>500</v>
      </c>
      <c r="BD25" s="87"/>
    </row>
    <row r="26" spans="1:56" s="103" customFormat="1" ht="12.75" customHeight="1" x14ac:dyDescent="0.25">
      <c r="A26" s="152">
        <v>1</v>
      </c>
      <c r="B26" s="142" t="s">
        <v>29</v>
      </c>
      <c r="C26" s="143" t="s">
        <v>47</v>
      </c>
      <c r="D26" s="144"/>
      <c r="E26" s="145">
        <v>5</v>
      </c>
      <c r="F26" s="146">
        <v>10</v>
      </c>
      <c r="G26" s="147">
        <v>0.5</v>
      </c>
      <c r="H26" s="148">
        <v>40513</v>
      </c>
      <c r="I26" s="153">
        <v>40072</v>
      </c>
      <c r="J26" s="208">
        <v>104976</v>
      </c>
      <c r="K26" s="153" t="s">
        <v>213</v>
      </c>
      <c r="L26" s="153" t="s">
        <v>174</v>
      </c>
      <c r="M26" s="153" t="s">
        <v>175</v>
      </c>
      <c r="N26" s="255">
        <v>60</v>
      </c>
      <c r="O26" s="255">
        <v>1944</v>
      </c>
      <c r="P26" s="253">
        <v>37.75</v>
      </c>
      <c r="Q26" s="149">
        <v>125</v>
      </c>
      <c r="R26" s="142">
        <v>10</v>
      </c>
      <c r="S26" s="154">
        <v>6.2916666666666679</v>
      </c>
      <c r="T26" s="155">
        <v>324</v>
      </c>
      <c r="U26" s="142">
        <v>50</v>
      </c>
      <c r="V26" s="142">
        <v>50</v>
      </c>
      <c r="W26" s="142">
        <v>5</v>
      </c>
      <c r="X26" s="142">
        <v>1</v>
      </c>
      <c r="Y26" s="267">
        <v>629.16666666666674</v>
      </c>
      <c r="Z26" s="267">
        <v>125.83333333333331</v>
      </c>
      <c r="AA26" s="268">
        <v>723.54166666666674</v>
      </c>
      <c r="AB26" s="267">
        <v>144.70833333333331</v>
      </c>
      <c r="AC26" s="158" t="s">
        <v>320</v>
      </c>
      <c r="AD26" s="190">
        <v>40248</v>
      </c>
      <c r="AE26" s="209">
        <v>40267</v>
      </c>
      <c r="AF26" s="246">
        <v>111</v>
      </c>
      <c r="AG26" s="246">
        <v>83</v>
      </c>
      <c r="AH26" s="209">
        <v>40291</v>
      </c>
      <c r="AI26" s="272">
        <v>130</v>
      </c>
      <c r="AJ26" s="209">
        <v>40329</v>
      </c>
      <c r="AK26" s="271">
        <v>621</v>
      </c>
      <c r="AL26" s="244">
        <v>40374</v>
      </c>
      <c r="AM26" s="79">
        <v>40454</v>
      </c>
      <c r="AN26" s="79">
        <v>40444</v>
      </c>
      <c r="AO26" s="79">
        <v>40524</v>
      </c>
      <c r="AP26" s="203" t="s">
        <v>220</v>
      </c>
      <c r="AQ26" s="79">
        <v>40531</v>
      </c>
      <c r="AR26" s="80">
        <v>283</v>
      </c>
      <c r="AS26" s="148"/>
      <c r="AT26" s="159">
        <v>-1730</v>
      </c>
      <c r="AU26" s="187">
        <v>-1735</v>
      </c>
      <c r="AV26" s="81"/>
      <c r="AW26" s="185" t="s">
        <v>174</v>
      </c>
      <c r="AX26" s="82">
        <v>100528910</v>
      </c>
      <c r="AY26" s="83">
        <v>2263</v>
      </c>
      <c r="AZ26" s="84"/>
      <c r="BA26" s="185" t="s">
        <v>175</v>
      </c>
      <c r="BB26" s="85">
        <v>100481598</v>
      </c>
      <c r="BC26" s="86">
        <v>500</v>
      </c>
      <c r="BD26" s="87"/>
    </row>
    <row r="27" spans="1:56" s="103" customFormat="1" ht="12.75" customHeight="1" x14ac:dyDescent="0.25">
      <c r="A27" s="152">
        <v>1</v>
      </c>
      <c r="B27" s="142" t="s">
        <v>29</v>
      </c>
      <c r="C27" s="143" t="s">
        <v>48</v>
      </c>
      <c r="D27" s="144"/>
      <c r="E27" s="145">
        <v>9</v>
      </c>
      <c r="F27" s="146">
        <v>10</v>
      </c>
      <c r="G27" s="147">
        <v>0.5</v>
      </c>
      <c r="H27" s="148">
        <v>40513</v>
      </c>
      <c r="I27" s="153">
        <v>40072</v>
      </c>
      <c r="J27" s="208">
        <v>104979</v>
      </c>
      <c r="K27" s="153" t="s">
        <v>213</v>
      </c>
      <c r="L27" s="153" t="s">
        <v>176</v>
      </c>
      <c r="M27" s="153" t="s">
        <v>177</v>
      </c>
      <c r="N27" s="255">
        <v>60</v>
      </c>
      <c r="O27" s="255">
        <v>1944</v>
      </c>
      <c r="P27" s="253">
        <v>37.75</v>
      </c>
      <c r="Q27" s="149">
        <v>125</v>
      </c>
      <c r="R27" s="142">
        <v>14</v>
      </c>
      <c r="S27" s="154">
        <v>8.8083333333333336</v>
      </c>
      <c r="T27" s="155">
        <v>453.6</v>
      </c>
      <c r="U27" s="142">
        <v>50</v>
      </c>
      <c r="V27" s="142">
        <v>50</v>
      </c>
      <c r="W27" s="142">
        <v>5</v>
      </c>
      <c r="X27" s="142">
        <v>1</v>
      </c>
      <c r="Y27" s="267">
        <v>880.83333333333337</v>
      </c>
      <c r="Z27" s="267">
        <v>176.16666666666666</v>
      </c>
      <c r="AA27" s="268">
        <v>1012.9583333333333</v>
      </c>
      <c r="AB27" s="267">
        <v>202.59166666666664</v>
      </c>
      <c r="AC27" s="158" t="s">
        <v>320</v>
      </c>
      <c r="AD27" s="190">
        <v>40248</v>
      </c>
      <c r="AE27" s="209">
        <v>40267</v>
      </c>
      <c r="AF27" s="246">
        <v>111</v>
      </c>
      <c r="AG27" s="246">
        <v>87</v>
      </c>
      <c r="AH27" s="209">
        <v>40291</v>
      </c>
      <c r="AI27" s="272">
        <v>182</v>
      </c>
      <c r="AJ27" s="209">
        <v>40329</v>
      </c>
      <c r="AK27" s="271">
        <v>880</v>
      </c>
      <c r="AL27" s="244">
        <v>40374</v>
      </c>
      <c r="AM27" s="79">
        <v>40454</v>
      </c>
      <c r="AN27" s="79">
        <v>40444</v>
      </c>
      <c r="AO27" s="79">
        <v>40524</v>
      </c>
      <c r="AP27" s="203" t="s">
        <v>220</v>
      </c>
      <c r="AQ27" s="79">
        <v>40531</v>
      </c>
      <c r="AR27" s="80">
        <v>283</v>
      </c>
      <c r="AS27" s="148"/>
      <c r="AT27" s="159">
        <v>-3114</v>
      </c>
      <c r="AU27" s="187">
        <v>-3123</v>
      </c>
      <c r="AV27" s="81"/>
      <c r="AW27" s="185" t="s">
        <v>176</v>
      </c>
      <c r="AX27" s="82">
        <v>100419598</v>
      </c>
      <c r="AY27" s="83">
        <v>3000</v>
      </c>
      <c r="AZ27" s="84"/>
      <c r="BA27" s="185" t="s">
        <v>177</v>
      </c>
      <c r="BB27" s="85">
        <v>100218488</v>
      </c>
      <c r="BC27" s="86">
        <v>500</v>
      </c>
      <c r="BD27" s="87"/>
    </row>
    <row r="28" spans="1:56" s="103" customFormat="1" ht="12.75" customHeight="1" x14ac:dyDescent="0.25">
      <c r="A28" s="152">
        <v>1</v>
      </c>
      <c r="B28" s="142" t="s">
        <v>29</v>
      </c>
      <c r="C28" s="143" t="s">
        <v>45</v>
      </c>
      <c r="D28" s="144"/>
      <c r="E28" s="145">
        <v>10</v>
      </c>
      <c r="F28" s="146">
        <v>12</v>
      </c>
      <c r="G28" s="147">
        <v>0.5</v>
      </c>
      <c r="H28" s="148">
        <v>40513</v>
      </c>
      <c r="I28" s="153">
        <v>40072</v>
      </c>
      <c r="J28" s="208">
        <v>104982</v>
      </c>
      <c r="K28" s="153" t="s">
        <v>213</v>
      </c>
      <c r="L28" s="153" t="s">
        <v>178</v>
      </c>
      <c r="M28" s="153" t="s">
        <v>179</v>
      </c>
      <c r="N28" s="255">
        <v>60</v>
      </c>
      <c r="O28" s="255">
        <v>1944</v>
      </c>
      <c r="P28" s="253">
        <v>37.75</v>
      </c>
      <c r="Q28" s="149">
        <v>125</v>
      </c>
      <c r="R28" s="142">
        <v>14</v>
      </c>
      <c r="S28" s="154">
        <v>10.57</v>
      </c>
      <c r="T28" s="155">
        <v>453.6</v>
      </c>
      <c r="U28" s="142">
        <v>50</v>
      </c>
      <c r="V28" s="142">
        <v>50</v>
      </c>
      <c r="W28" s="142">
        <v>5</v>
      </c>
      <c r="X28" s="142">
        <v>1</v>
      </c>
      <c r="Y28" s="267">
        <v>880.83333333333337</v>
      </c>
      <c r="Z28" s="267">
        <v>176.16666666666666</v>
      </c>
      <c r="AA28" s="268">
        <v>1012.9583333333333</v>
      </c>
      <c r="AB28" s="267">
        <v>202.59166666666664</v>
      </c>
      <c r="AC28" s="158" t="s">
        <v>320</v>
      </c>
      <c r="AD28" s="190">
        <v>40248</v>
      </c>
      <c r="AE28" s="209">
        <v>40267</v>
      </c>
      <c r="AF28" s="246">
        <v>111</v>
      </c>
      <c r="AG28" s="246">
        <v>86</v>
      </c>
      <c r="AH28" s="209">
        <v>40291</v>
      </c>
      <c r="AI28" s="272">
        <v>182</v>
      </c>
      <c r="AJ28" s="209">
        <v>40330</v>
      </c>
      <c r="AK28" s="271">
        <v>880</v>
      </c>
      <c r="AL28" s="244">
        <v>40375</v>
      </c>
      <c r="AM28" s="79">
        <v>40455</v>
      </c>
      <c r="AN28" s="79">
        <v>40445</v>
      </c>
      <c r="AO28" s="79">
        <v>40525</v>
      </c>
      <c r="AP28" s="203" t="s">
        <v>220</v>
      </c>
      <c r="AQ28" s="79">
        <v>40532</v>
      </c>
      <c r="AR28" s="80">
        <v>284</v>
      </c>
      <c r="AS28" s="148"/>
      <c r="AT28" s="159">
        <v>-3460</v>
      </c>
      <c r="AU28" s="187">
        <v>-3470</v>
      </c>
      <c r="AV28" s="81"/>
      <c r="AW28" s="185" t="s">
        <v>178</v>
      </c>
      <c r="AX28" s="82" t="s">
        <v>206</v>
      </c>
      <c r="AY28" s="83">
        <v>3000</v>
      </c>
      <c r="AZ28" s="84"/>
      <c r="BA28" s="185" t="s">
        <v>179</v>
      </c>
      <c r="BB28" s="85">
        <v>100373323</v>
      </c>
      <c r="BC28" s="86">
        <v>500</v>
      </c>
      <c r="BD28" s="87"/>
    </row>
    <row r="29" spans="1:56" s="103" customFormat="1" ht="12.75" customHeight="1" x14ac:dyDescent="0.25">
      <c r="A29" s="152">
        <v>1</v>
      </c>
      <c r="B29" s="142" t="s">
        <v>29</v>
      </c>
      <c r="C29" s="143" t="s">
        <v>44</v>
      </c>
      <c r="D29" s="144"/>
      <c r="E29" s="145">
        <v>17</v>
      </c>
      <c r="F29" s="146">
        <v>12</v>
      </c>
      <c r="G29" s="147">
        <v>1</v>
      </c>
      <c r="H29" s="148">
        <v>40513</v>
      </c>
      <c r="I29" s="153">
        <v>40072</v>
      </c>
      <c r="J29" s="208">
        <v>104981</v>
      </c>
      <c r="K29" s="153" t="s">
        <v>213</v>
      </c>
      <c r="L29" s="153" t="s">
        <v>180</v>
      </c>
      <c r="M29" s="153" t="s">
        <v>181</v>
      </c>
      <c r="N29" s="255">
        <v>60</v>
      </c>
      <c r="O29" s="255">
        <v>1944</v>
      </c>
      <c r="P29" s="253">
        <v>37.75</v>
      </c>
      <c r="Q29" s="149">
        <v>125</v>
      </c>
      <c r="R29" s="142">
        <v>22</v>
      </c>
      <c r="S29" s="154">
        <v>16.61</v>
      </c>
      <c r="T29" s="155">
        <v>712.8</v>
      </c>
      <c r="U29" s="142">
        <v>50</v>
      </c>
      <c r="V29" s="142">
        <v>50</v>
      </c>
      <c r="W29" s="142">
        <v>5</v>
      </c>
      <c r="X29" s="142">
        <v>1</v>
      </c>
      <c r="Y29" s="267">
        <v>1384.1666666666667</v>
      </c>
      <c r="Z29" s="267">
        <v>276.83333333333331</v>
      </c>
      <c r="AA29" s="268">
        <v>1591.7916666666667</v>
      </c>
      <c r="AB29" s="267">
        <v>318.35833333333329</v>
      </c>
      <c r="AC29" s="158" t="s">
        <v>319</v>
      </c>
      <c r="AD29" s="190">
        <v>40248</v>
      </c>
      <c r="AE29" s="209">
        <v>40267</v>
      </c>
      <c r="AF29" s="246">
        <v>111</v>
      </c>
      <c r="AG29" s="246">
        <v>84</v>
      </c>
      <c r="AH29" s="209">
        <v>40291</v>
      </c>
      <c r="AI29" s="272">
        <v>312</v>
      </c>
      <c r="AJ29" s="209">
        <v>40315</v>
      </c>
      <c r="AK29" s="271">
        <v>1384</v>
      </c>
      <c r="AL29" s="209">
        <v>40350</v>
      </c>
      <c r="AM29" s="79">
        <v>40430</v>
      </c>
      <c r="AN29" s="79">
        <v>40420</v>
      </c>
      <c r="AO29" s="79">
        <v>40500</v>
      </c>
      <c r="AP29" s="203" t="s">
        <v>220</v>
      </c>
      <c r="AQ29" s="79">
        <v>40507</v>
      </c>
      <c r="AR29" s="80">
        <v>259</v>
      </c>
      <c r="AS29" s="148"/>
      <c r="AT29" s="159">
        <v>-5882</v>
      </c>
      <c r="AU29" s="187">
        <v>-5899</v>
      </c>
      <c r="AV29" s="81"/>
      <c r="AW29" s="185" t="s">
        <v>180</v>
      </c>
      <c r="AX29" s="82" t="s">
        <v>207</v>
      </c>
      <c r="AY29" s="83">
        <v>2300</v>
      </c>
      <c r="AZ29" s="84"/>
      <c r="BA29" s="185" t="s">
        <v>181</v>
      </c>
      <c r="BB29" s="85">
        <v>100464586</v>
      </c>
      <c r="BC29" s="86">
        <v>1000</v>
      </c>
      <c r="BD29" s="87"/>
    </row>
    <row r="30" spans="1:56" s="103" customFormat="1" ht="12.75" customHeight="1" x14ac:dyDescent="0.25">
      <c r="A30" s="152">
        <v>1</v>
      </c>
      <c r="B30" s="142" t="s">
        <v>29</v>
      </c>
      <c r="C30" s="143" t="s">
        <v>46</v>
      </c>
      <c r="D30" s="144"/>
      <c r="E30" s="145">
        <v>9</v>
      </c>
      <c r="F30" s="146">
        <v>10</v>
      </c>
      <c r="G30" s="147">
        <v>0.5</v>
      </c>
      <c r="H30" s="148">
        <v>40513</v>
      </c>
      <c r="I30" s="153">
        <v>40072</v>
      </c>
      <c r="J30" s="208">
        <v>104980</v>
      </c>
      <c r="K30" s="153" t="s">
        <v>213</v>
      </c>
      <c r="L30" s="153" t="s">
        <v>182</v>
      </c>
      <c r="M30" s="153" t="s">
        <v>183</v>
      </c>
      <c r="N30" s="255">
        <v>40</v>
      </c>
      <c r="O30" s="255">
        <v>1296</v>
      </c>
      <c r="P30" s="253">
        <v>37.75</v>
      </c>
      <c r="Q30" s="149">
        <v>126</v>
      </c>
      <c r="R30" s="142">
        <v>19</v>
      </c>
      <c r="S30" s="154">
        <v>11.954166666666667</v>
      </c>
      <c r="T30" s="155">
        <v>615.6</v>
      </c>
      <c r="U30" s="142">
        <v>50</v>
      </c>
      <c r="V30" s="142">
        <v>50</v>
      </c>
      <c r="W30" s="142">
        <v>5</v>
      </c>
      <c r="X30" s="142">
        <v>1</v>
      </c>
      <c r="Y30" s="267">
        <v>1195.4166666666667</v>
      </c>
      <c r="Z30" s="267">
        <v>239.08333333333331</v>
      </c>
      <c r="AA30" s="268">
        <v>1374.7291666666667</v>
      </c>
      <c r="AB30" s="267">
        <v>274.94583333333327</v>
      </c>
      <c r="AC30" s="158" t="s">
        <v>320</v>
      </c>
      <c r="AD30" s="190">
        <v>40252</v>
      </c>
      <c r="AE30" s="209">
        <v>40274</v>
      </c>
      <c r="AF30" s="246">
        <v>111</v>
      </c>
      <c r="AG30" s="246">
        <v>85</v>
      </c>
      <c r="AH30" s="209">
        <v>40288</v>
      </c>
      <c r="AI30" s="272">
        <v>260</v>
      </c>
      <c r="AJ30" s="209">
        <v>40324</v>
      </c>
      <c r="AK30" s="271">
        <v>668</v>
      </c>
      <c r="AL30" s="244">
        <v>40369</v>
      </c>
      <c r="AM30" s="79">
        <v>40449</v>
      </c>
      <c r="AN30" s="79">
        <v>40439</v>
      </c>
      <c r="AO30" s="79">
        <v>40519</v>
      </c>
      <c r="AP30" s="203" t="s">
        <v>220</v>
      </c>
      <c r="AQ30" s="217">
        <v>40374</v>
      </c>
      <c r="AR30" s="80">
        <v>122</v>
      </c>
      <c r="AS30" s="148"/>
      <c r="AT30" s="159">
        <v>-3114</v>
      </c>
      <c r="AU30" s="187">
        <v>-3123</v>
      </c>
      <c r="AV30" s="81"/>
      <c r="AW30" s="185" t="s">
        <v>182</v>
      </c>
      <c r="AX30" s="82">
        <v>100487857</v>
      </c>
      <c r="AY30" s="83">
        <v>3000</v>
      </c>
      <c r="AZ30" s="84"/>
      <c r="BA30" s="185" t="s">
        <v>183</v>
      </c>
      <c r="BB30" s="85">
        <v>100412012</v>
      </c>
      <c r="BC30" s="86">
        <v>500</v>
      </c>
      <c r="BD30" s="87"/>
    </row>
    <row r="31" spans="1:56" s="103" customFormat="1" x14ac:dyDescent="0.25">
      <c r="A31" s="152">
        <v>1</v>
      </c>
      <c r="B31" s="142" t="s">
        <v>29</v>
      </c>
      <c r="C31" s="143" t="s">
        <v>43</v>
      </c>
      <c r="D31" s="144"/>
      <c r="E31" s="145">
        <v>10</v>
      </c>
      <c r="F31" s="146">
        <v>10</v>
      </c>
      <c r="G31" s="147">
        <v>1</v>
      </c>
      <c r="H31" s="148">
        <v>40513</v>
      </c>
      <c r="I31" s="153">
        <v>40072</v>
      </c>
      <c r="J31" s="208">
        <v>104975</v>
      </c>
      <c r="K31" s="153" t="s">
        <v>213</v>
      </c>
      <c r="L31" s="153" t="s">
        <v>184</v>
      </c>
      <c r="M31" s="153" t="s">
        <v>175</v>
      </c>
      <c r="N31" s="255">
        <v>40</v>
      </c>
      <c r="O31" s="255">
        <v>1296</v>
      </c>
      <c r="P31" s="253">
        <v>37.75</v>
      </c>
      <c r="Q31" s="149">
        <v>126</v>
      </c>
      <c r="R31" s="142">
        <v>21</v>
      </c>
      <c r="S31" s="154">
        <v>13.2125</v>
      </c>
      <c r="T31" s="155">
        <v>680.4</v>
      </c>
      <c r="U31" s="142">
        <v>50</v>
      </c>
      <c r="V31" s="142">
        <v>50</v>
      </c>
      <c r="W31" s="142">
        <v>5</v>
      </c>
      <c r="X31" s="142">
        <v>1</v>
      </c>
      <c r="Y31" s="267">
        <v>1321.25</v>
      </c>
      <c r="Z31" s="267">
        <v>264.25</v>
      </c>
      <c r="AA31" s="268">
        <v>1519.4374999999998</v>
      </c>
      <c r="AB31" s="267">
        <v>303.88749999999999</v>
      </c>
      <c r="AC31" s="158" t="s">
        <v>319</v>
      </c>
      <c r="AD31" s="190">
        <v>40252</v>
      </c>
      <c r="AE31" s="209">
        <v>40276</v>
      </c>
      <c r="AF31" s="246">
        <v>111</v>
      </c>
      <c r="AG31" s="246">
        <v>92</v>
      </c>
      <c r="AH31" s="209">
        <v>40288</v>
      </c>
      <c r="AI31" s="272">
        <v>260</v>
      </c>
      <c r="AJ31" s="209">
        <v>40316</v>
      </c>
      <c r="AK31" s="271">
        <v>1320</v>
      </c>
      <c r="AL31" s="209">
        <v>40348</v>
      </c>
      <c r="AM31" s="79">
        <v>40428</v>
      </c>
      <c r="AN31" s="79">
        <v>40418</v>
      </c>
      <c r="AO31" s="79">
        <v>40498</v>
      </c>
      <c r="AP31" s="203" t="s">
        <v>220</v>
      </c>
      <c r="AQ31" s="217">
        <v>40374</v>
      </c>
      <c r="AR31" s="80">
        <v>122</v>
      </c>
      <c r="AS31" s="148"/>
      <c r="AT31" s="159">
        <v>-3460</v>
      </c>
      <c r="AU31" s="187">
        <v>-3470</v>
      </c>
      <c r="AV31" s="81"/>
      <c r="AW31" s="185" t="s">
        <v>184</v>
      </c>
      <c r="AX31" s="82">
        <v>100373017</v>
      </c>
      <c r="AY31" s="83">
        <v>2000</v>
      </c>
      <c r="AZ31" s="84"/>
      <c r="BA31" s="185" t="s">
        <v>175</v>
      </c>
      <c r="BB31" s="85">
        <v>100481598</v>
      </c>
      <c r="BC31" s="86">
        <v>500</v>
      </c>
      <c r="BD31" s="87"/>
    </row>
    <row r="32" spans="1:56" s="105" customFormat="1" ht="12.75" customHeight="1" x14ac:dyDescent="0.25">
      <c r="A32" s="152">
        <v>1</v>
      </c>
      <c r="B32" s="142" t="s">
        <v>11</v>
      </c>
      <c r="C32" s="143" t="s">
        <v>221</v>
      </c>
      <c r="D32" s="144"/>
      <c r="E32" s="145">
        <v>22</v>
      </c>
      <c r="F32" s="146">
        <v>10</v>
      </c>
      <c r="G32" s="147"/>
      <c r="H32" s="148">
        <v>40391</v>
      </c>
      <c r="I32" s="153">
        <v>40128</v>
      </c>
      <c r="J32" s="208">
        <v>105253</v>
      </c>
      <c r="K32" s="153" t="s">
        <v>213</v>
      </c>
      <c r="L32" s="153" t="s">
        <v>165</v>
      </c>
      <c r="M32" s="153" t="s">
        <v>166</v>
      </c>
      <c r="N32" s="255">
        <v>40</v>
      </c>
      <c r="O32" s="255">
        <v>1296</v>
      </c>
      <c r="P32" s="253">
        <v>37.75</v>
      </c>
      <c r="Q32" s="149">
        <v>131</v>
      </c>
      <c r="R32" s="142">
        <v>35</v>
      </c>
      <c r="S32" s="154">
        <v>22.020833333333336</v>
      </c>
      <c r="T32" s="155">
        <v>1134</v>
      </c>
      <c r="U32" s="142">
        <v>50</v>
      </c>
      <c r="V32" s="142">
        <v>50</v>
      </c>
      <c r="W32" s="142">
        <v>5</v>
      </c>
      <c r="X32" s="142">
        <v>1</v>
      </c>
      <c r="Y32" s="267">
        <v>2202.0833333333335</v>
      </c>
      <c r="Z32" s="267">
        <v>440.41666666666663</v>
      </c>
      <c r="AA32" s="268">
        <v>2532.3958333333335</v>
      </c>
      <c r="AB32" s="267">
        <v>506.47916666666657</v>
      </c>
      <c r="AC32" s="158" t="s">
        <v>320</v>
      </c>
      <c r="AD32" s="190">
        <v>40336</v>
      </c>
      <c r="AE32" s="209">
        <v>40350</v>
      </c>
      <c r="AF32" s="246">
        <v>87</v>
      </c>
      <c r="AG32" s="246" t="s">
        <v>310</v>
      </c>
      <c r="AH32" s="244">
        <v>40364</v>
      </c>
      <c r="AI32" s="271">
        <v>2202</v>
      </c>
      <c r="AJ32" s="244">
        <v>40378</v>
      </c>
      <c r="AK32" s="271">
        <v>440</v>
      </c>
      <c r="AL32" s="244">
        <v>40392</v>
      </c>
      <c r="AM32" s="79">
        <v>40482</v>
      </c>
      <c r="AN32" s="79">
        <v>40452</v>
      </c>
      <c r="AO32" s="79">
        <v>40546</v>
      </c>
      <c r="AP32" s="203" t="s">
        <v>220</v>
      </c>
      <c r="AQ32" s="79">
        <v>40553</v>
      </c>
      <c r="AR32" s="80">
        <v>217</v>
      </c>
      <c r="AS32" s="148"/>
      <c r="AT32" s="159">
        <v>-7612</v>
      </c>
      <c r="AU32" s="187">
        <v>-7634</v>
      </c>
      <c r="AV32" s="81"/>
      <c r="AW32" s="185" t="s">
        <v>165</v>
      </c>
      <c r="AX32" s="247" t="s">
        <v>204</v>
      </c>
      <c r="AY32" s="83"/>
      <c r="AZ32" s="84"/>
      <c r="BA32" s="185" t="s">
        <v>166</v>
      </c>
      <c r="BB32" s="247">
        <v>100481950</v>
      </c>
      <c r="BC32" s="86"/>
      <c r="BD32" s="87"/>
    </row>
    <row r="33" spans="1:56" s="103" customFormat="1" ht="12.75" customHeight="1" x14ac:dyDescent="0.25">
      <c r="A33" s="152">
        <v>1</v>
      </c>
      <c r="B33" s="142" t="s">
        <v>11</v>
      </c>
      <c r="C33" s="143" t="s">
        <v>79</v>
      </c>
      <c r="D33" s="144"/>
      <c r="E33" s="145">
        <v>2</v>
      </c>
      <c r="F33" s="146">
        <v>8</v>
      </c>
      <c r="G33" s="147"/>
      <c r="H33" s="148">
        <v>40483</v>
      </c>
      <c r="I33" s="153">
        <v>40199</v>
      </c>
      <c r="J33" s="208">
        <v>106011</v>
      </c>
      <c r="K33" s="153"/>
      <c r="L33" s="153" t="s">
        <v>194</v>
      </c>
      <c r="M33" s="153" t="s">
        <v>195</v>
      </c>
      <c r="N33" s="255">
        <v>40</v>
      </c>
      <c r="O33" s="255">
        <v>1296</v>
      </c>
      <c r="P33" s="253">
        <v>37.75</v>
      </c>
      <c r="Q33" s="149">
        <v>131</v>
      </c>
      <c r="R33" s="142">
        <v>5</v>
      </c>
      <c r="S33" s="154">
        <v>2.5166666666666671</v>
      </c>
      <c r="T33" s="155">
        <v>162</v>
      </c>
      <c r="U33" s="142">
        <v>50</v>
      </c>
      <c r="V33" s="142">
        <v>50</v>
      </c>
      <c r="W33" s="142">
        <v>5</v>
      </c>
      <c r="X33" s="142">
        <v>1</v>
      </c>
      <c r="Y33" s="267">
        <v>314.58333333333337</v>
      </c>
      <c r="Z33" s="267">
        <v>62.916666666666657</v>
      </c>
      <c r="AA33" s="268">
        <v>361.77083333333337</v>
      </c>
      <c r="AB33" s="267">
        <v>72.354166666666657</v>
      </c>
      <c r="AC33" s="158" t="s">
        <v>320</v>
      </c>
      <c r="AD33" s="190">
        <v>40337</v>
      </c>
      <c r="AE33" s="244">
        <v>40351</v>
      </c>
      <c r="AF33" s="246"/>
      <c r="AG33" s="246"/>
      <c r="AH33" s="244">
        <v>40365</v>
      </c>
      <c r="AI33" s="272"/>
      <c r="AJ33" s="244">
        <v>40379</v>
      </c>
      <c r="AK33" s="272"/>
      <c r="AL33" s="244">
        <v>40393</v>
      </c>
      <c r="AM33" s="79">
        <v>40483</v>
      </c>
      <c r="AN33" s="79">
        <v>40453</v>
      </c>
      <c r="AO33" s="79">
        <v>40547</v>
      </c>
      <c r="AP33" s="203" t="s">
        <v>220</v>
      </c>
      <c r="AQ33" s="79">
        <v>40554</v>
      </c>
      <c r="AR33" s="80">
        <v>217</v>
      </c>
      <c r="AS33" s="148"/>
      <c r="AT33" s="159">
        <v>-692</v>
      </c>
      <c r="AU33" s="187">
        <v>-694</v>
      </c>
      <c r="AV33" s="81"/>
      <c r="AW33" s="185" t="s">
        <v>194</v>
      </c>
      <c r="AX33" s="82"/>
      <c r="AY33" s="83"/>
      <c r="AZ33" s="84"/>
      <c r="BA33" s="185" t="s">
        <v>195</v>
      </c>
      <c r="BB33" s="247" t="s">
        <v>317</v>
      </c>
      <c r="BC33" s="86"/>
      <c r="BD33" s="87"/>
    </row>
    <row r="34" spans="1:56" s="103" customFormat="1" x14ac:dyDescent="0.25">
      <c r="A34" s="152">
        <v>1</v>
      </c>
      <c r="B34" s="142" t="s">
        <v>11</v>
      </c>
      <c r="C34" s="143" t="s">
        <v>80</v>
      </c>
      <c r="D34" s="144"/>
      <c r="E34" s="145">
        <v>5</v>
      </c>
      <c r="F34" s="146">
        <v>6</v>
      </c>
      <c r="G34" s="147"/>
      <c r="H34" s="148">
        <v>40483</v>
      </c>
      <c r="I34" s="153">
        <v>40204</v>
      </c>
      <c r="J34" s="208">
        <v>106007</v>
      </c>
      <c r="K34" s="153"/>
      <c r="L34" s="153" t="s">
        <v>140</v>
      </c>
      <c r="M34" s="153" t="s">
        <v>186</v>
      </c>
      <c r="N34" s="255">
        <v>60</v>
      </c>
      <c r="O34" s="255">
        <v>1944</v>
      </c>
      <c r="P34" s="253">
        <v>37.75</v>
      </c>
      <c r="Q34" s="149">
        <v>132</v>
      </c>
      <c r="R34" s="142">
        <v>15</v>
      </c>
      <c r="S34" s="154">
        <v>5.6625000000000005</v>
      </c>
      <c r="T34" s="155">
        <v>486</v>
      </c>
      <c r="U34" s="142">
        <v>50</v>
      </c>
      <c r="V34" s="142">
        <v>50</v>
      </c>
      <c r="W34" s="142">
        <v>5</v>
      </c>
      <c r="X34" s="142">
        <v>1</v>
      </c>
      <c r="Y34" s="267">
        <v>943.75000000000011</v>
      </c>
      <c r="Z34" s="267">
        <v>188.74999999999997</v>
      </c>
      <c r="AA34" s="268">
        <v>1085.3125</v>
      </c>
      <c r="AB34" s="267">
        <v>217.06249999999994</v>
      </c>
      <c r="AC34" s="158" t="s">
        <v>320</v>
      </c>
      <c r="AD34" s="190">
        <v>40334</v>
      </c>
      <c r="AE34" s="209">
        <v>40353</v>
      </c>
      <c r="AF34" s="246">
        <v>89</v>
      </c>
      <c r="AG34" s="246">
        <v>86</v>
      </c>
      <c r="AH34" s="244">
        <v>40362</v>
      </c>
      <c r="AI34" s="271">
        <v>208</v>
      </c>
      <c r="AJ34" s="244">
        <v>40381</v>
      </c>
      <c r="AK34" s="271">
        <v>2475</v>
      </c>
      <c r="AL34" s="244">
        <v>40390</v>
      </c>
      <c r="AM34" s="79">
        <v>40480</v>
      </c>
      <c r="AN34" s="79">
        <v>40450</v>
      </c>
      <c r="AO34" s="79">
        <v>40544</v>
      </c>
      <c r="AP34" s="203" t="s">
        <v>220</v>
      </c>
      <c r="AQ34" s="79">
        <v>40551</v>
      </c>
      <c r="AR34" s="80">
        <v>217</v>
      </c>
      <c r="AS34" s="148"/>
      <c r="AT34" s="159">
        <v>-1730</v>
      </c>
      <c r="AU34" s="187">
        <v>-1735</v>
      </c>
      <c r="AV34" s="81"/>
      <c r="AW34" s="185" t="s">
        <v>140</v>
      </c>
      <c r="AX34" s="82">
        <v>100464052</v>
      </c>
      <c r="AY34" s="83">
        <v>2000</v>
      </c>
      <c r="AZ34" s="84"/>
      <c r="BA34" s="185" t="s">
        <v>186</v>
      </c>
      <c r="BB34" s="247" t="s">
        <v>318</v>
      </c>
      <c r="BC34" s="86"/>
      <c r="BD34" s="87"/>
    </row>
    <row r="35" spans="1:56" s="103" customFormat="1" ht="12.75" customHeight="1" x14ac:dyDescent="0.25">
      <c r="A35" s="152">
        <v>1</v>
      </c>
      <c r="B35" s="142" t="s">
        <v>11</v>
      </c>
      <c r="C35" s="143" t="s">
        <v>63</v>
      </c>
      <c r="D35" s="144"/>
      <c r="E35" s="145">
        <v>6</v>
      </c>
      <c r="F35" s="146">
        <v>7</v>
      </c>
      <c r="G35" s="147"/>
      <c r="H35" s="148">
        <v>40483</v>
      </c>
      <c r="I35" s="153">
        <v>40204</v>
      </c>
      <c r="J35" s="208">
        <v>105259</v>
      </c>
      <c r="K35" s="153" t="s">
        <v>213</v>
      </c>
      <c r="L35" s="153" t="s">
        <v>187</v>
      </c>
      <c r="M35" s="153" t="s">
        <v>188</v>
      </c>
      <c r="N35" s="255">
        <v>60</v>
      </c>
      <c r="O35" s="255">
        <v>1944</v>
      </c>
      <c r="P35" s="253">
        <v>37.75</v>
      </c>
      <c r="Q35" s="149">
        <v>132</v>
      </c>
      <c r="R35" s="142">
        <v>15</v>
      </c>
      <c r="S35" s="154">
        <v>6.6062500000000011</v>
      </c>
      <c r="T35" s="155">
        <v>486</v>
      </c>
      <c r="U35" s="142">
        <v>50</v>
      </c>
      <c r="V35" s="142">
        <v>50</v>
      </c>
      <c r="W35" s="142">
        <v>5</v>
      </c>
      <c r="X35" s="142">
        <v>1</v>
      </c>
      <c r="Y35" s="267">
        <v>943.75000000000011</v>
      </c>
      <c r="Z35" s="267">
        <v>188.74999999999997</v>
      </c>
      <c r="AA35" s="268">
        <v>1085.3125</v>
      </c>
      <c r="AB35" s="267">
        <v>217.06249999999994</v>
      </c>
      <c r="AC35" s="158" t="s">
        <v>320</v>
      </c>
      <c r="AD35" s="190">
        <v>40334</v>
      </c>
      <c r="AE35" s="209">
        <v>40353</v>
      </c>
      <c r="AF35" s="246">
        <v>89</v>
      </c>
      <c r="AG35" s="246">
        <v>85</v>
      </c>
      <c r="AH35" s="244">
        <v>40362</v>
      </c>
      <c r="AI35" s="271">
        <v>208</v>
      </c>
      <c r="AJ35" s="244">
        <v>40381</v>
      </c>
      <c r="AK35" s="271">
        <v>1136</v>
      </c>
      <c r="AL35" s="244">
        <v>40390</v>
      </c>
      <c r="AM35" s="79">
        <v>40480</v>
      </c>
      <c r="AN35" s="79">
        <v>40450</v>
      </c>
      <c r="AO35" s="79">
        <v>40544</v>
      </c>
      <c r="AP35" s="203" t="s">
        <v>220</v>
      </c>
      <c r="AQ35" s="79">
        <v>40551</v>
      </c>
      <c r="AR35" s="80">
        <v>217</v>
      </c>
      <c r="AS35" s="148"/>
      <c r="AT35" s="159">
        <v>-2076</v>
      </c>
      <c r="AU35" s="187">
        <v>-2082</v>
      </c>
      <c r="AV35" s="81"/>
      <c r="AW35" s="185" t="s">
        <v>187</v>
      </c>
      <c r="AX35" s="82" t="s">
        <v>209</v>
      </c>
      <c r="AY35" s="83">
        <v>8000</v>
      </c>
      <c r="AZ35" s="84"/>
      <c r="BA35" s="185" t="s">
        <v>188</v>
      </c>
      <c r="BB35" s="85">
        <v>100516026</v>
      </c>
      <c r="BC35" s="86">
        <v>4000</v>
      </c>
      <c r="BD35" s="87"/>
    </row>
    <row r="36" spans="1:56" s="103" customFormat="1" ht="12.75" customHeight="1" x14ac:dyDescent="0.25">
      <c r="A36" s="152">
        <v>1</v>
      </c>
      <c r="B36" s="142" t="s">
        <v>11</v>
      </c>
      <c r="C36" s="143" t="s">
        <v>81</v>
      </c>
      <c r="D36" s="144"/>
      <c r="E36" s="145">
        <v>12</v>
      </c>
      <c r="F36" s="146">
        <v>10</v>
      </c>
      <c r="G36" s="147"/>
      <c r="H36" s="148">
        <v>40483</v>
      </c>
      <c r="I36" s="153">
        <v>40211</v>
      </c>
      <c r="J36" s="208">
        <v>106041</v>
      </c>
      <c r="K36" s="153"/>
      <c r="L36" s="153" t="s">
        <v>192</v>
      </c>
      <c r="M36" s="153" t="s">
        <v>193</v>
      </c>
      <c r="N36" s="255">
        <v>60</v>
      </c>
      <c r="O36" s="255">
        <v>1944</v>
      </c>
      <c r="P36" s="253">
        <v>37.75</v>
      </c>
      <c r="Q36" s="149">
        <v>132</v>
      </c>
      <c r="R36" s="142">
        <v>15</v>
      </c>
      <c r="S36" s="154">
        <v>9.4375000000000018</v>
      </c>
      <c r="T36" s="155">
        <v>486</v>
      </c>
      <c r="U36" s="142">
        <v>50</v>
      </c>
      <c r="V36" s="142">
        <v>50</v>
      </c>
      <c r="W36" s="142">
        <v>5</v>
      </c>
      <c r="X36" s="142">
        <v>1</v>
      </c>
      <c r="Y36" s="267">
        <v>943.75000000000011</v>
      </c>
      <c r="Z36" s="267">
        <v>188.74999999999997</v>
      </c>
      <c r="AA36" s="268">
        <v>1085.3125</v>
      </c>
      <c r="AB36" s="267">
        <v>217.06249999999994</v>
      </c>
      <c r="AC36" s="158" t="s">
        <v>320</v>
      </c>
      <c r="AD36" s="190">
        <v>40334</v>
      </c>
      <c r="AE36" s="209">
        <v>40353</v>
      </c>
      <c r="AF36" s="246">
        <v>89</v>
      </c>
      <c r="AG36" s="246">
        <v>87</v>
      </c>
      <c r="AH36" s="244">
        <v>40362</v>
      </c>
      <c r="AI36" s="271">
        <v>208</v>
      </c>
      <c r="AJ36" s="244">
        <v>40381</v>
      </c>
      <c r="AK36" s="271">
        <v>1136</v>
      </c>
      <c r="AL36" s="244">
        <v>40390</v>
      </c>
      <c r="AM36" s="79">
        <v>40480</v>
      </c>
      <c r="AN36" s="79">
        <v>40450</v>
      </c>
      <c r="AO36" s="79">
        <v>40544</v>
      </c>
      <c r="AP36" s="203" t="s">
        <v>220</v>
      </c>
      <c r="AQ36" s="79">
        <v>40551</v>
      </c>
      <c r="AR36" s="80">
        <v>217</v>
      </c>
      <c r="AS36" s="148"/>
      <c r="AT36" s="159">
        <v>-4152</v>
      </c>
      <c r="AU36" s="187">
        <v>-4164</v>
      </c>
      <c r="AV36" s="81"/>
      <c r="AW36" s="185" t="s">
        <v>192</v>
      </c>
      <c r="AX36" s="247">
        <v>100552092</v>
      </c>
      <c r="AY36" s="83"/>
      <c r="AZ36" s="84"/>
      <c r="BA36" s="185" t="s">
        <v>193</v>
      </c>
      <c r="BB36" s="247">
        <v>100552100</v>
      </c>
      <c r="BC36" s="86"/>
      <c r="BD36" s="87"/>
    </row>
    <row r="37" spans="1:56" s="103" customFormat="1" ht="12.75" customHeight="1" x14ac:dyDescent="0.25">
      <c r="A37" s="152">
        <v>1</v>
      </c>
      <c r="B37" s="142" t="s">
        <v>11</v>
      </c>
      <c r="C37" s="143" t="s">
        <v>82</v>
      </c>
      <c r="D37" s="144"/>
      <c r="E37" s="145">
        <v>8</v>
      </c>
      <c r="F37" s="146">
        <v>12</v>
      </c>
      <c r="G37" s="147"/>
      <c r="H37" s="148">
        <v>40483</v>
      </c>
      <c r="I37" s="153">
        <v>40212</v>
      </c>
      <c r="J37" s="208">
        <v>106085</v>
      </c>
      <c r="K37" s="153"/>
      <c r="L37" s="153" t="s">
        <v>196</v>
      </c>
      <c r="M37" s="153" t="s">
        <v>197</v>
      </c>
      <c r="N37" s="255">
        <v>60</v>
      </c>
      <c r="O37" s="255">
        <v>1944</v>
      </c>
      <c r="P37" s="253">
        <v>37.75</v>
      </c>
      <c r="Q37" s="149">
        <v>132</v>
      </c>
      <c r="R37" s="142">
        <v>10</v>
      </c>
      <c r="S37" s="154">
        <v>7.5500000000000007</v>
      </c>
      <c r="T37" s="155">
        <v>324</v>
      </c>
      <c r="U37" s="142">
        <v>50</v>
      </c>
      <c r="V37" s="142">
        <v>50</v>
      </c>
      <c r="W37" s="142">
        <v>5</v>
      </c>
      <c r="X37" s="142">
        <v>1</v>
      </c>
      <c r="Y37" s="267">
        <v>629.16666666666674</v>
      </c>
      <c r="Z37" s="267">
        <v>125.83333333333331</v>
      </c>
      <c r="AA37" s="268">
        <v>723.54166666666674</v>
      </c>
      <c r="AB37" s="267">
        <v>144.70833333333331</v>
      </c>
      <c r="AC37" s="158" t="s">
        <v>320</v>
      </c>
      <c r="AD37" s="190">
        <v>40334</v>
      </c>
      <c r="AE37" s="209">
        <v>40347</v>
      </c>
      <c r="AF37" s="246">
        <v>87</v>
      </c>
      <c r="AG37" s="246">
        <v>91</v>
      </c>
      <c r="AH37" s="244">
        <v>40362</v>
      </c>
      <c r="AI37" s="271">
        <v>156</v>
      </c>
      <c r="AJ37" s="244">
        <v>40375</v>
      </c>
      <c r="AK37" s="271">
        <v>852</v>
      </c>
      <c r="AL37" s="244">
        <v>40390</v>
      </c>
      <c r="AM37" s="79">
        <v>40480</v>
      </c>
      <c r="AN37" s="79">
        <v>40450</v>
      </c>
      <c r="AO37" s="79">
        <v>40544</v>
      </c>
      <c r="AP37" s="203" t="s">
        <v>220</v>
      </c>
      <c r="AQ37" s="79">
        <v>40551</v>
      </c>
      <c r="AR37" s="80">
        <v>217</v>
      </c>
      <c r="AS37" s="148"/>
      <c r="AT37" s="159">
        <v>-2768</v>
      </c>
      <c r="AU37" s="187">
        <v>-2776</v>
      </c>
      <c r="AV37" s="81"/>
      <c r="AW37" s="185" t="s">
        <v>196</v>
      </c>
      <c r="AX37" s="247" t="s">
        <v>315</v>
      </c>
      <c r="AY37" s="83"/>
      <c r="AZ37" s="84"/>
      <c r="BA37" s="185" t="s">
        <v>197</v>
      </c>
      <c r="BB37" s="247">
        <v>100556417</v>
      </c>
      <c r="BC37" s="86"/>
      <c r="BD37" s="87"/>
    </row>
    <row r="38" spans="1:56" s="104" customFormat="1" ht="12.75" customHeight="1" x14ac:dyDescent="0.25">
      <c r="A38" s="152">
        <v>1</v>
      </c>
      <c r="B38" s="142" t="s">
        <v>11</v>
      </c>
      <c r="C38" s="143" t="s">
        <v>61</v>
      </c>
      <c r="D38" s="144"/>
      <c r="E38" s="145">
        <v>31</v>
      </c>
      <c r="F38" s="146">
        <v>8</v>
      </c>
      <c r="G38" s="147"/>
      <c r="H38" s="148">
        <v>40483</v>
      </c>
      <c r="I38" s="153">
        <v>40128</v>
      </c>
      <c r="J38" s="208">
        <v>105245</v>
      </c>
      <c r="K38" s="153" t="s">
        <v>213</v>
      </c>
      <c r="L38" s="153" t="s">
        <v>189</v>
      </c>
      <c r="M38" s="153" t="s">
        <v>173</v>
      </c>
      <c r="N38" s="255">
        <v>60</v>
      </c>
      <c r="O38" s="255">
        <v>1944</v>
      </c>
      <c r="P38" s="253">
        <v>37.75</v>
      </c>
      <c r="Q38" s="149">
        <v>133</v>
      </c>
      <c r="R38" s="142">
        <v>60</v>
      </c>
      <c r="S38" s="154">
        <v>30.200000000000003</v>
      </c>
      <c r="T38" s="155">
        <v>1944</v>
      </c>
      <c r="U38" s="142">
        <v>50</v>
      </c>
      <c r="V38" s="142">
        <v>50</v>
      </c>
      <c r="W38" s="142">
        <v>5</v>
      </c>
      <c r="X38" s="142">
        <v>1</v>
      </c>
      <c r="Y38" s="267">
        <v>3775.0000000000005</v>
      </c>
      <c r="Z38" s="267">
        <v>754.99999999999989</v>
      </c>
      <c r="AA38" s="268">
        <v>4341.25</v>
      </c>
      <c r="AB38" s="267">
        <v>868.24999999999977</v>
      </c>
      <c r="AC38" s="158" t="s">
        <v>320</v>
      </c>
      <c r="AD38" s="190">
        <v>40334</v>
      </c>
      <c r="AE38" s="209">
        <v>40347</v>
      </c>
      <c r="AF38" s="246">
        <v>88</v>
      </c>
      <c r="AG38" s="246" t="s">
        <v>311</v>
      </c>
      <c r="AH38" s="244">
        <v>40362</v>
      </c>
      <c r="AI38" s="271">
        <v>750</v>
      </c>
      <c r="AJ38" s="244">
        <v>40375</v>
      </c>
      <c r="AK38" s="271">
        <v>3750</v>
      </c>
      <c r="AL38" s="244">
        <v>40390</v>
      </c>
      <c r="AM38" s="79">
        <v>40480</v>
      </c>
      <c r="AN38" s="79">
        <v>40450</v>
      </c>
      <c r="AO38" s="79">
        <v>40544</v>
      </c>
      <c r="AP38" s="203" t="s">
        <v>220</v>
      </c>
      <c r="AQ38" s="79">
        <v>40551</v>
      </c>
      <c r="AR38" s="80">
        <v>217</v>
      </c>
      <c r="AS38" s="148"/>
      <c r="AT38" s="159">
        <v>-10726</v>
      </c>
      <c r="AU38" s="187">
        <v>-10757</v>
      </c>
      <c r="AV38" s="81"/>
      <c r="AW38" s="185" t="s">
        <v>189</v>
      </c>
      <c r="AX38" s="82" t="s">
        <v>210</v>
      </c>
      <c r="AY38" s="83">
        <v>6000</v>
      </c>
      <c r="AZ38" s="84"/>
      <c r="BA38" s="185" t="s">
        <v>173</v>
      </c>
      <c r="BB38" s="85" t="s">
        <v>211</v>
      </c>
      <c r="BC38" s="86">
        <v>1100</v>
      </c>
      <c r="BD38" s="87"/>
    </row>
    <row r="39" spans="1:56" s="103" customFormat="1" x14ac:dyDescent="0.25">
      <c r="A39" s="152">
        <v>1</v>
      </c>
      <c r="B39" s="142" t="s">
        <v>23</v>
      </c>
      <c r="C39" s="143" t="s">
        <v>65</v>
      </c>
      <c r="D39" s="144">
        <v>2</v>
      </c>
      <c r="E39" s="145">
        <v>62</v>
      </c>
      <c r="F39" s="146">
        <v>15</v>
      </c>
      <c r="G39" s="147"/>
      <c r="H39" s="148">
        <v>40452</v>
      </c>
      <c r="I39" s="153">
        <v>40240</v>
      </c>
      <c r="J39" s="208">
        <v>105331</v>
      </c>
      <c r="K39" s="153"/>
      <c r="L39" s="153" t="s">
        <v>153</v>
      </c>
      <c r="M39" s="153" t="s">
        <v>154</v>
      </c>
      <c r="N39" s="255">
        <v>60</v>
      </c>
      <c r="O39" s="255">
        <v>1944</v>
      </c>
      <c r="P39" s="253">
        <v>37.75</v>
      </c>
      <c r="Q39" s="149">
        <v>134</v>
      </c>
      <c r="R39" s="142">
        <v>60</v>
      </c>
      <c r="S39" s="154">
        <v>58.24285714285714</v>
      </c>
      <c r="T39" s="155">
        <v>1944</v>
      </c>
      <c r="U39" s="142">
        <v>50</v>
      </c>
      <c r="V39" s="142">
        <v>50</v>
      </c>
      <c r="W39" s="142">
        <v>6</v>
      </c>
      <c r="X39" s="142">
        <v>1</v>
      </c>
      <c r="Y39" s="267">
        <v>3882.8571428571427</v>
      </c>
      <c r="Z39" s="267">
        <v>647.14285714285711</v>
      </c>
      <c r="AA39" s="268">
        <v>4465.2857142857138</v>
      </c>
      <c r="AB39" s="267">
        <v>744.21428571428567</v>
      </c>
      <c r="AC39" s="158" t="s">
        <v>320</v>
      </c>
      <c r="AD39" s="190">
        <v>40341</v>
      </c>
      <c r="AE39" s="209">
        <v>40350</v>
      </c>
      <c r="AF39" s="246">
        <v>86</v>
      </c>
      <c r="AG39" s="246" t="s">
        <v>312</v>
      </c>
      <c r="AH39" s="244">
        <v>40355</v>
      </c>
      <c r="AI39" s="271">
        <v>702</v>
      </c>
      <c r="AJ39" s="244">
        <v>40364</v>
      </c>
      <c r="AK39" s="271">
        <v>3978</v>
      </c>
      <c r="AL39" s="244">
        <v>40399</v>
      </c>
      <c r="AM39" s="79">
        <v>40417</v>
      </c>
      <c r="AN39" s="79">
        <v>40482</v>
      </c>
      <c r="AO39" s="79">
        <v>40512</v>
      </c>
      <c r="AP39" s="203" t="s">
        <v>220</v>
      </c>
      <c r="AQ39" s="79">
        <v>40519</v>
      </c>
      <c r="AR39" s="80">
        <v>178</v>
      </c>
      <c r="AS39" s="148"/>
      <c r="AT39" s="159">
        <v>-21452</v>
      </c>
      <c r="AU39" s="187">
        <v>-21514</v>
      </c>
      <c r="AV39" s="81"/>
      <c r="AW39" s="185" t="s">
        <v>153</v>
      </c>
      <c r="AX39" s="248" t="s">
        <v>316</v>
      </c>
      <c r="AY39" s="83"/>
      <c r="AZ39" s="84"/>
      <c r="BA39" s="185" t="s">
        <v>154</v>
      </c>
      <c r="BB39" s="247">
        <v>100489375</v>
      </c>
      <c r="BC39" s="86"/>
      <c r="BD39" s="87"/>
    </row>
    <row r="40" spans="1:56" s="103" customFormat="1" ht="12.75" customHeight="1" x14ac:dyDescent="0.25">
      <c r="A40" s="152">
        <v>1</v>
      </c>
      <c r="B40" s="142" t="s">
        <v>11</v>
      </c>
      <c r="C40" s="143" t="s">
        <v>58</v>
      </c>
      <c r="D40" s="144">
        <v>3</v>
      </c>
      <c r="E40" s="145">
        <v>13</v>
      </c>
      <c r="F40" s="146">
        <v>3</v>
      </c>
      <c r="G40" s="147"/>
      <c r="H40" s="148">
        <v>40483</v>
      </c>
      <c r="I40" s="153">
        <v>40128</v>
      </c>
      <c r="J40" s="208">
        <v>105261</v>
      </c>
      <c r="K40" s="153" t="s">
        <v>213</v>
      </c>
      <c r="L40" s="153" t="s">
        <v>140</v>
      </c>
      <c r="M40" s="153" t="s">
        <v>142</v>
      </c>
      <c r="N40" s="255">
        <v>60</v>
      </c>
      <c r="O40" s="255">
        <v>1944</v>
      </c>
      <c r="P40" s="253">
        <v>37.75</v>
      </c>
      <c r="Q40" s="149">
        <v>135</v>
      </c>
      <c r="R40" s="142">
        <v>60</v>
      </c>
      <c r="S40" s="154">
        <v>11.325000000000001</v>
      </c>
      <c r="T40" s="155">
        <v>1944</v>
      </c>
      <c r="U40" s="142">
        <v>50</v>
      </c>
      <c r="V40" s="142">
        <v>50</v>
      </c>
      <c r="W40" s="142">
        <v>5</v>
      </c>
      <c r="X40" s="142">
        <v>1</v>
      </c>
      <c r="Y40" s="267">
        <v>3775.0000000000005</v>
      </c>
      <c r="Z40" s="267">
        <v>754.99999999999989</v>
      </c>
      <c r="AA40" s="268">
        <v>4341.25</v>
      </c>
      <c r="AB40" s="267">
        <v>868.24999999999977</v>
      </c>
      <c r="AC40" s="158" t="s">
        <v>320</v>
      </c>
      <c r="AD40" s="190">
        <v>40350</v>
      </c>
      <c r="AE40" s="244">
        <v>40371</v>
      </c>
      <c r="AF40" s="246">
        <v>91</v>
      </c>
      <c r="AG40" s="246" t="s">
        <v>313</v>
      </c>
      <c r="AH40" s="244">
        <v>40378</v>
      </c>
      <c r="AI40" s="271">
        <v>624</v>
      </c>
      <c r="AJ40" s="244">
        <v>40399</v>
      </c>
      <c r="AK40" s="271">
        <v>4056</v>
      </c>
      <c r="AL40" s="244">
        <v>40406</v>
      </c>
      <c r="AM40" s="79">
        <v>40496</v>
      </c>
      <c r="AN40" s="79">
        <v>40466</v>
      </c>
      <c r="AO40" s="79">
        <v>40560</v>
      </c>
      <c r="AP40" s="203" t="s">
        <v>220</v>
      </c>
      <c r="AQ40" s="79">
        <v>40567</v>
      </c>
      <c r="AR40" s="80">
        <v>217</v>
      </c>
      <c r="AS40" s="148"/>
      <c r="AT40" s="159">
        <v>-4498</v>
      </c>
      <c r="AU40" s="187">
        <v>-4511</v>
      </c>
      <c r="AV40" s="81"/>
      <c r="AW40" s="185" t="s">
        <v>140</v>
      </c>
      <c r="AX40" s="146">
        <v>100464039</v>
      </c>
      <c r="AY40" s="83">
        <v>10000</v>
      </c>
      <c r="AZ40" s="84"/>
      <c r="BA40" s="185" t="s">
        <v>142</v>
      </c>
      <c r="BB40" s="85">
        <v>100385010</v>
      </c>
      <c r="BC40" s="86">
        <v>2200</v>
      </c>
      <c r="BD40" s="87"/>
    </row>
    <row r="41" spans="1:56" s="103" customFormat="1" ht="12.75" customHeight="1" x14ac:dyDescent="0.25">
      <c r="A41" s="152">
        <v>1</v>
      </c>
      <c r="B41" s="142" t="s">
        <v>23</v>
      </c>
      <c r="C41" s="143" t="s">
        <v>64</v>
      </c>
      <c r="D41" s="144"/>
      <c r="E41" s="145">
        <v>35</v>
      </c>
      <c r="F41" s="146">
        <v>15</v>
      </c>
      <c r="G41" s="147"/>
      <c r="H41" s="148">
        <v>40452</v>
      </c>
      <c r="I41" s="153">
        <v>40126</v>
      </c>
      <c r="J41" s="208">
        <v>105330</v>
      </c>
      <c r="K41" s="153" t="s">
        <v>213</v>
      </c>
      <c r="L41" s="153" t="s">
        <v>155</v>
      </c>
      <c r="M41" s="153" t="s">
        <v>156</v>
      </c>
      <c r="N41" s="255">
        <v>40</v>
      </c>
      <c r="O41" s="255">
        <v>1296</v>
      </c>
      <c r="P41" s="253">
        <v>37.75</v>
      </c>
      <c r="Q41" s="149">
        <v>136</v>
      </c>
      <c r="R41" s="142">
        <v>40</v>
      </c>
      <c r="S41" s="154">
        <v>37.750000000000007</v>
      </c>
      <c r="T41" s="155">
        <v>1296</v>
      </c>
      <c r="U41" s="142">
        <v>50</v>
      </c>
      <c r="V41" s="142">
        <v>50</v>
      </c>
      <c r="W41" s="142">
        <v>5</v>
      </c>
      <c r="X41" s="142">
        <v>1</v>
      </c>
      <c r="Y41" s="267">
        <v>2516.666666666667</v>
      </c>
      <c r="Z41" s="267">
        <v>503.33333333333326</v>
      </c>
      <c r="AA41" s="268">
        <v>2894.166666666667</v>
      </c>
      <c r="AB41" s="267">
        <v>578.83333333333326</v>
      </c>
      <c r="AC41" s="158" t="s">
        <v>320</v>
      </c>
      <c r="AD41" s="190">
        <v>40350</v>
      </c>
      <c r="AE41" s="244">
        <v>40357</v>
      </c>
      <c r="AF41" s="246">
        <v>90</v>
      </c>
      <c r="AG41" s="246" t="s">
        <v>314</v>
      </c>
      <c r="AH41" s="244">
        <v>40364</v>
      </c>
      <c r="AI41" s="271">
        <v>546</v>
      </c>
      <c r="AJ41" s="244">
        <v>40371</v>
      </c>
      <c r="AK41" s="271">
        <v>2574</v>
      </c>
      <c r="AL41" s="244">
        <v>40406</v>
      </c>
      <c r="AM41" s="79">
        <v>40424</v>
      </c>
      <c r="AN41" s="79">
        <v>40489</v>
      </c>
      <c r="AO41" s="79">
        <v>40519</v>
      </c>
      <c r="AP41" s="203" t="s">
        <v>220</v>
      </c>
      <c r="AQ41" s="79">
        <v>40526</v>
      </c>
      <c r="AR41" s="80">
        <v>176</v>
      </c>
      <c r="AS41" s="148"/>
      <c r="AT41" s="159">
        <v>-12110</v>
      </c>
      <c r="AU41" s="187">
        <v>-12145</v>
      </c>
      <c r="AV41" s="81"/>
      <c r="AW41" s="185" t="s">
        <v>155</v>
      </c>
      <c r="AX41" s="82" t="s">
        <v>212</v>
      </c>
      <c r="AY41" s="83">
        <v>2000</v>
      </c>
      <c r="AZ41" s="84"/>
      <c r="BA41" s="185" t="s">
        <v>156</v>
      </c>
      <c r="BB41" s="85">
        <v>100489362</v>
      </c>
      <c r="BC41" s="86">
        <v>412</v>
      </c>
      <c r="BD41" s="87"/>
    </row>
    <row r="42" spans="1:56" s="103" customFormat="1" ht="12.75" customHeight="1" x14ac:dyDescent="0.25">
      <c r="A42" s="107">
        <v>2</v>
      </c>
      <c r="B42" s="35" t="s">
        <v>132</v>
      </c>
      <c r="C42" s="35" t="s">
        <v>49</v>
      </c>
      <c r="D42" s="36"/>
      <c r="E42" s="37">
        <v>2011</v>
      </c>
      <c r="F42" s="38"/>
      <c r="G42" s="38"/>
      <c r="H42" s="39"/>
      <c r="I42" s="40"/>
      <c r="J42" s="207"/>
      <c r="K42" s="41"/>
      <c r="L42" s="41"/>
      <c r="M42" s="41"/>
      <c r="N42" s="255"/>
      <c r="O42" s="255"/>
      <c r="P42" s="252"/>
      <c r="Q42" s="139"/>
      <c r="R42" s="42"/>
      <c r="S42" s="43"/>
      <c r="T42" s="44"/>
      <c r="U42" s="42"/>
      <c r="V42" s="42"/>
      <c r="W42" s="45"/>
      <c r="X42" s="45"/>
      <c r="Y42" s="266"/>
      <c r="Z42" s="266"/>
      <c r="AA42" s="268">
        <v>0</v>
      </c>
      <c r="AB42" s="266"/>
      <c r="AC42" s="46"/>
      <c r="AD42" s="47"/>
      <c r="AE42" s="42"/>
      <c r="AF42" s="42"/>
      <c r="AG42" s="42"/>
      <c r="AH42" s="42"/>
      <c r="AI42" s="266"/>
      <c r="AJ42" s="42"/>
      <c r="AK42" s="266"/>
      <c r="AL42" s="42"/>
      <c r="AM42" s="42"/>
      <c r="AN42" s="42"/>
      <c r="AO42" s="42"/>
      <c r="AP42" s="42"/>
      <c r="AQ42" s="42"/>
      <c r="AR42" s="48"/>
      <c r="AS42" s="42"/>
      <c r="AT42" s="38">
        <v>-695806</v>
      </c>
      <c r="AU42" s="186">
        <v>-697817</v>
      </c>
      <c r="AV42" s="42"/>
      <c r="AW42" s="188"/>
      <c r="AX42" s="42"/>
      <c r="AY42" s="42"/>
      <c r="AZ42" s="49"/>
      <c r="BA42" s="188"/>
      <c r="BB42" s="42"/>
      <c r="BC42" s="42"/>
      <c r="BD42" s="160"/>
    </row>
    <row r="43" spans="1:56" s="103" customFormat="1" ht="12.75" x14ac:dyDescent="0.25">
      <c r="A43" s="152">
        <v>2</v>
      </c>
      <c r="B43" s="213" t="s">
        <v>11</v>
      </c>
      <c r="C43" s="143" t="s">
        <v>222</v>
      </c>
      <c r="D43" s="213"/>
      <c r="E43" s="145">
        <v>12</v>
      </c>
      <c r="F43" s="146">
        <v>7</v>
      </c>
      <c r="G43" s="214"/>
      <c r="H43" s="148">
        <v>40664</v>
      </c>
      <c r="I43" s="153">
        <v>40325</v>
      </c>
      <c r="J43" s="208">
        <v>107124</v>
      </c>
      <c r="K43" s="153"/>
      <c r="L43" s="153" t="s">
        <v>223</v>
      </c>
      <c r="M43" s="153" t="s">
        <v>224</v>
      </c>
      <c r="N43" s="255">
        <v>40</v>
      </c>
      <c r="O43" s="255">
        <v>1296</v>
      </c>
      <c r="P43" s="253">
        <v>37.75</v>
      </c>
      <c r="Q43" s="149">
        <v>111</v>
      </c>
      <c r="R43" s="142">
        <v>30</v>
      </c>
      <c r="S43" s="154">
        <v>12.684000000000001</v>
      </c>
      <c r="T43" s="155">
        <v>972</v>
      </c>
      <c r="U43" s="142">
        <v>50</v>
      </c>
      <c r="V43" s="142">
        <v>50</v>
      </c>
      <c r="W43" s="218">
        <v>4</v>
      </c>
      <c r="X43" s="142">
        <v>1</v>
      </c>
      <c r="Y43" s="267">
        <v>1812.0000000000002</v>
      </c>
      <c r="Z43" s="267">
        <v>453.00000000000006</v>
      </c>
      <c r="AA43" s="268">
        <v>2083.8000000000002</v>
      </c>
      <c r="AB43" s="267">
        <v>520.95000000000005</v>
      </c>
      <c r="AC43" s="158" t="s">
        <v>320</v>
      </c>
      <c r="AD43" s="150">
        <v>40469</v>
      </c>
      <c r="AE43" s="79">
        <v>40483</v>
      </c>
      <c r="AF43" s="79"/>
      <c r="AG43" s="79"/>
      <c r="AH43" s="79">
        <v>40497</v>
      </c>
      <c r="AI43" s="273"/>
      <c r="AJ43" s="79">
        <v>40511</v>
      </c>
      <c r="AK43" s="273"/>
      <c r="AL43" s="79">
        <v>40525</v>
      </c>
      <c r="AM43" s="79">
        <v>40615</v>
      </c>
      <c r="AN43" s="79">
        <v>40585</v>
      </c>
      <c r="AO43" s="79">
        <v>40679</v>
      </c>
      <c r="AP43" s="203"/>
      <c r="AQ43" s="79">
        <v>40686</v>
      </c>
      <c r="AR43" s="80">
        <v>217</v>
      </c>
      <c r="AS43" s="148"/>
      <c r="AT43" s="159">
        <v>-4152</v>
      </c>
      <c r="AU43" s="184">
        <v>-4164</v>
      </c>
      <c r="AV43" s="81"/>
      <c r="AW43" s="185" t="s">
        <v>223</v>
      </c>
      <c r="AX43" s="82"/>
      <c r="AY43" s="83"/>
      <c r="AZ43" s="84"/>
      <c r="BA43" s="185" t="s">
        <v>224</v>
      </c>
      <c r="BB43" s="85"/>
      <c r="BC43" s="86"/>
      <c r="BD43" s="87"/>
    </row>
    <row r="44" spans="1:56" s="103" customFormat="1" ht="12.75" x14ac:dyDescent="0.25">
      <c r="A44" s="152">
        <v>2</v>
      </c>
      <c r="B44" s="142" t="s">
        <v>11</v>
      </c>
      <c r="C44" s="143" t="s">
        <v>225</v>
      </c>
      <c r="D44" s="144"/>
      <c r="E44" s="145">
        <v>4</v>
      </c>
      <c r="F44" s="146">
        <v>7</v>
      </c>
      <c r="G44" s="147"/>
      <c r="H44" s="148">
        <v>40664</v>
      </c>
      <c r="I44" s="153">
        <v>40325</v>
      </c>
      <c r="J44" s="208">
        <v>107114</v>
      </c>
      <c r="K44" s="153"/>
      <c r="L44" s="153" t="s">
        <v>226</v>
      </c>
      <c r="M44" s="153" t="s">
        <v>227</v>
      </c>
      <c r="N44" s="255">
        <v>40</v>
      </c>
      <c r="O44" s="255">
        <v>1296</v>
      </c>
      <c r="P44" s="253">
        <v>37.75</v>
      </c>
      <c r="Q44" s="149">
        <v>111</v>
      </c>
      <c r="R44" s="142">
        <v>10</v>
      </c>
      <c r="S44" s="154">
        <v>4.2279999999999998</v>
      </c>
      <c r="T44" s="155">
        <v>324</v>
      </c>
      <c r="U44" s="142">
        <v>50</v>
      </c>
      <c r="V44" s="142">
        <v>50</v>
      </c>
      <c r="W44" s="218">
        <v>4</v>
      </c>
      <c r="X44" s="142">
        <v>1</v>
      </c>
      <c r="Y44" s="267">
        <v>604</v>
      </c>
      <c r="Z44" s="267">
        <v>151</v>
      </c>
      <c r="AA44" s="268">
        <v>694.59999999999991</v>
      </c>
      <c r="AB44" s="267">
        <v>173.64999999999998</v>
      </c>
      <c r="AC44" s="158" t="s">
        <v>320</v>
      </c>
      <c r="AD44" s="150">
        <v>40469</v>
      </c>
      <c r="AE44" s="79">
        <v>40483</v>
      </c>
      <c r="AF44" s="79"/>
      <c r="AG44" s="79"/>
      <c r="AH44" s="79">
        <v>40497</v>
      </c>
      <c r="AI44" s="273"/>
      <c r="AJ44" s="79">
        <v>40511</v>
      </c>
      <c r="AK44" s="273"/>
      <c r="AL44" s="79">
        <v>40525</v>
      </c>
      <c r="AM44" s="79">
        <v>40615</v>
      </c>
      <c r="AN44" s="79">
        <v>40585</v>
      </c>
      <c r="AO44" s="79">
        <v>40679</v>
      </c>
      <c r="AP44" s="203"/>
      <c r="AQ44" s="79">
        <v>40686</v>
      </c>
      <c r="AR44" s="80">
        <v>217</v>
      </c>
      <c r="AS44" s="148"/>
      <c r="AT44" s="159">
        <v>-1384</v>
      </c>
      <c r="AU44" s="184">
        <v>-1388</v>
      </c>
      <c r="AV44" s="81"/>
      <c r="AW44" s="185" t="s">
        <v>226</v>
      </c>
      <c r="AX44" s="82"/>
      <c r="AY44" s="83"/>
      <c r="AZ44" s="84"/>
      <c r="BA44" s="185" t="s">
        <v>227</v>
      </c>
      <c r="BB44" s="85"/>
      <c r="BC44" s="86"/>
      <c r="BD44" s="87"/>
    </row>
    <row r="45" spans="1:56" s="103" customFormat="1" ht="12.75" x14ac:dyDescent="0.25">
      <c r="A45" s="152">
        <v>2</v>
      </c>
      <c r="B45" s="142" t="s">
        <v>11</v>
      </c>
      <c r="C45" s="212" t="s">
        <v>228</v>
      </c>
      <c r="D45" s="144"/>
      <c r="E45" s="145">
        <v>2</v>
      </c>
      <c r="F45" s="146">
        <v>8</v>
      </c>
      <c r="G45" s="147"/>
      <c r="H45" s="148">
        <v>40664</v>
      </c>
      <c r="I45" s="153">
        <v>40325</v>
      </c>
      <c r="J45" s="208">
        <v>107116</v>
      </c>
      <c r="K45" s="153"/>
      <c r="L45" s="153" t="s">
        <v>236</v>
      </c>
      <c r="M45" s="153" t="s">
        <v>243</v>
      </c>
      <c r="N45" s="255">
        <v>60</v>
      </c>
      <c r="O45" s="255">
        <v>1944</v>
      </c>
      <c r="P45" s="253">
        <v>37.75</v>
      </c>
      <c r="Q45" s="149">
        <v>112</v>
      </c>
      <c r="R45" s="142">
        <v>4</v>
      </c>
      <c r="S45" s="154">
        <v>1.9328000000000001</v>
      </c>
      <c r="T45" s="155">
        <v>129.6</v>
      </c>
      <c r="U45" s="142">
        <v>50</v>
      </c>
      <c r="V45" s="142">
        <v>50</v>
      </c>
      <c r="W45" s="218">
        <v>4</v>
      </c>
      <c r="X45" s="142">
        <v>1</v>
      </c>
      <c r="Y45" s="267">
        <v>241.60000000000002</v>
      </c>
      <c r="Z45" s="267">
        <v>60.400000000000006</v>
      </c>
      <c r="AA45" s="268">
        <v>277.84000000000003</v>
      </c>
      <c r="AB45" s="267">
        <v>69.460000000000008</v>
      </c>
      <c r="AC45" s="158" t="s">
        <v>320</v>
      </c>
      <c r="AD45" s="150">
        <v>40456</v>
      </c>
      <c r="AE45" s="79">
        <v>40470</v>
      </c>
      <c r="AF45" s="79"/>
      <c r="AG45" s="79"/>
      <c r="AH45" s="79">
        <v>40484</v>
      </c>
      <c r="AI45" s="273"/>
      <c r="AJ45" s="79">
        <v>40498</v>
      </c>
      <c r="AK45" s="273"/>
      <c r="AL45" s="79">
        <v>40512</v>
      </c>
      <c r="AM45" s="79">
        <v>40602</v>
      </c>
      <c r="AN45" s="79">
        <v>40572</v>
      </c>
      <c r="AO45" s="79">
        <v>40666</v>
      </c>
      <c r="AP45" s="203"/>
      <c r="AQ45" s="79">
        <v>40673</v>
      </c>
      <c r="AR45" s="80">
        <v>217</v>
      </c>
      <c r="AS45" s="148"/>
      <c r="AT45" s="159">
        <v>-692</v>
      </c>
      <c r="AU45" s="184">
        <v>-694</v>
      </c>
      <c r="AV45" s="81"/>
      <c r="AW45" s="185" t="s">
        <v>236</v>
      </c>
      <c r="AX45" s="82"/>
      <c r="AY45" s="83"/>
      <c r="AZ45" s="84"/>
      <c r="BA45" s="185" t="s">
        <v>243</v>
      </c>
      <c r="BB45" s="85"/>
      <c r="BC45" s="86"/>
      <c r="BD45" s="87"/>
    </row>
    <row r="46" spans="1:56" s="103" customFormat="1" ht="12.75" x14ac:dyDescent="0.25">
      <c r="A46" s="152">
        <v>2</v>
      </c>
      <c r="B46" s="142" t="s">
        <v>11</v>
      </c>
      <c r="C46" s="212" t="s">
        <v>229</v>
      </c>
      <c r="D46" s="144"/>
      <c r="E46" s="145">
        <v>2</v>
      </c>
      <c r="F46" s="146">
        <v>6.5</v>
      </c>
      <c r="G46" s="147"/>
      <c r="H46" s="148">
        <v>40664</v>
      </c>
      <c r="I46" s="153">
        <v>40325</v>
      </c>
      <c r="J46" s="208">
        <v>107115</v>
      </c>
      <c r="K46" s="153"/>
      <c r="L46" s="153" t="s">
        <v>237</v>
      </c>
      <c r="M46" s="153" t="s">
        <v>244</v>
      </c>
      <c r="N46" s="255">
        <v>60</v>
      </c>
      <c r="O46" s="255">
        <v>1944</v>
      </c>
      <c r="P46" s="253">
        <v>37.75</v>
      </c>
      <c r="Q46" s="149">
        <v>112</v>
      </c>
      <c r="R46" s="142">
        <v>5</v>
      </c>
      <c r="S46" s="154">
        <v>1.9630000000000001</v>
      </c>
      <c r="T46" s="155">
        <v>162</v>
      </c>
      <c r="U46" s="142">
        <v>50</v>
      </c>
      <c r="V46" s="142">
        <v>50</v>
      </c>
      <c r="W46" s="218">
        <v>4</v>
      </c>
      <c r="X46" s="142">
        <v>1</v>
      </c>
      <c r="Y46" s="267">
        <v>302</v>
      </c>
      <c r="Z46" s="267">
        <v>75.5</v>
      </c>
      <c r="AA46" s="268">
        <v>347.29999999999995</v>
      </c>
      <c r="AB46" s="267">
        <v>86.824999999999989</v>
      </c>
      <c r="AC46" s="158" t="s">
        <v>320</v>
      </c>
      <c r="AD46" s="150">
        <v>40456</v>
      </c>
      <c r="AE46" s="79">
        <v>40470</v>
      </c>
      <c r="AF46" s="79"/>
      <c r="AG46" s="79"/>
      <c r="AH46" s="79">
        <v>40484</v>
      </c>
      <c r="AI46" s="273"/>
      <c r="AJ46" s="79">
        <v>40498</v>
      </c>
      <c r="AK46" s="273"/>
      <c r="AL46" s="79">
        <v>40512</v>
      </c>
      <c r="AM46" s="79">
        <v>40602</v>
      </c>
      <c r="AN46" s="79">
        <v>40572</v>
      </c>
      <c r="AO46" s="79">
        <v>40666</v>
      </c>
      <c r="AP46" s="203"/>
      <c r="AQ46" s="79">
        <v>40673</v>
      </c>
      <c r="AR46" s="80">
        <v>217</v>
      </c>
      <c r="AS46" s="148"/>
      <c r="AT46" s="159">
        <v>-692</v>
      </c>
      <c r="AU46" s="184">
        <v>-694</v>
      </c>
      <c r="AV46" s="81"/>
      <c r="AW46" s="185" t="s">
        <v>237</v>
      </c>
      <c r="AX46" s="82"/>
      <c r="AY46" s="83"/>
      <c r="AZ46" s="84"/>
      <c r="BA46" s="185" t="s">
        <v>244</v>
      </c>
      <c r="BB46" s="85"/>
      <c r="BC46" s="86"/>
      <c r="BD46" s="87"/>
    </row>
    <row r="47" spans="1:56" s="103" customFormat="1" ht="12.75" x14ac:dyDescent="0.25">
      <c r="A47" s="152">
        <v>2</v>
      </c>
      <c r="B47" s="142" t="s">
        <v>11</v>
      </c>
      <c r="C47" s="212" t="s">
        <v>230</v>
      </c>
      <c r="D47" s="144"/>
      <c r="E47" s="145">
        <v>2</v>
      </c>
      <c r="F47" s="146">
        <v>6</v>
      </c>
      <c r="G47" s="147"/>
      <c r="H47" s="148">
        <v>40664</v>
      </c>
      <c r="I47" s="153">
        <v>40325</v>
      </c>
      <c r="J47" s="208">
        <v>107125</v>
      </c>
      <c r="K47" s="153"/>
      <c r="L47" s="153" t="s">
        <v>238</v>
      </c>
      <c r="M47" s="153" t="s">
        <v>245</v>
      </c>
      <c r="N47" s="255">
        <v>60</v>
      </c>
      <c r="O47" s="255">
        <v>1944</v>
      </c>
      <c r="P47" s="253">
        <v>37.75</v>
      </c>
      <c r="Q47" s="149">
        <v>112</v>
      </c>
      <c r="R47" s="142">
        <v>5</v>
      </c>
      <c r="S47" s="154">
        <v>1.8120000000000001</v>
      </c>
      <c r="T47" s="155">
        <v>162</v>
      </c>
      <c r="U47" s="142">
        <v>50</v>
      </c>
      <c r="V47" s="142">
        <v>50</v>
      </c>
      <c r="W47" s="218">
        <v>4</v>
      </c>
      <c r="X47" s="142">
        <v>1</v>
      </c>
      <c r="Y47" s="267">
        <v>302</v>
      </c>
      <c r="Z47" s="267">
        <v>75.5</v>
      </c>
      <c r="AA47" s="268">
        <v>347.29999999999995</v>
      </c>
      <c r="AB47" s="267">
        <v>86.824999999999989</v>
      </c>
      <c r="AC47" s="158" t="s">
        <v>320</v>
      </c>
      <c r="AD47" s="150">
        <v>40456</v>
      </c>
      <c r="AE47" s="79">
        <v>40470</v>
      </c>
      <c r="AF47" s="79"/>
      <c r="AG47" s="79"/>
      <c r="AH47" s="79">
        <v>40484</v>
      </c>
      <c r="AI47" s="273"/>
      <c r="AJ47" s="79">
        <v>40498</v>
      </c>
      <c r="AK47" s="273"/>
      <c r="AL47" s="79">
        <v>40512</v>
      </c>
      <c r="AM47" s="79">
        <v>40602</v>
      </c>
      <c r="AN47" s="79">
        <v>40572</v>
      </c>
      <c r="AO47" s="79">
        <v>40666</v>
      </c>
      <c r="AP47" s="203"/>
      <c r="AQ47" s="79">
        <v>40673</v>
      </c>
      <c r="AR47" s="80">
        <v>217</v>
      </c>
      <c r="AS47" s="148"/>
      <c r="AT47" s="159">
        <v>-692</v>
      </c>
      <c r="AU47" s="184">
        <v>-694</v>
      </c>
      <c r="AV47" s="81"/>
      <c r="AW47" s="185" t="s">
        <v>238</v>
      </c>
      <c r="AX47" s="82"/>
      <c r="AY47" s="83"/>
      <c r="AZ47" s="84"/>
      <c r="BA47" s="185" t="s">
        <v>245</v>
      </c>
      <c r="BB47" s="85"/>
      <c r="BC47" s="86"/>
      <c r="BD47" s="87"/>
    </row>
    <row r="48" spans="1:56" s="103" customFormat="1" ht="12.75" x14ac:dyDescent="0.25">
      <c r="A48" s="152">
        <v>2</v>
      </c>
      <c r="B48" s="142" t="s">
        <v>11</v>
      </c>
      <c r="C48" s="212" t="s">
        <v>231</v>
      </c>
      <c r="D48" s="144"/>
      <c r="E48" s="145">
        <v>1</v>
      </c>
      <c r="F48" s="146">
        <v>4.5</v>
      </c>
      <c r="G48" s="147"/>
      <c r="H48" s="148">
        <v>40664</v>
      </c>
      <c r="I48" s="153">
        <v>40325</v>
      </c>
      <c r="J48" s="208">
        <v>107126</v>
      </c>
      <c r="K48" s="153"/>
      <c r="L48" s="153" t="s">
        <v>239</v>
      </c>
      <c r="M48" s="153" t="s">
        <v>246</v>
      </c>
      <c r="N48" s="255">
        <v>60</v>
      </c>
      <c r="O48" s="255">
        <v>1944</v>
      </c>
      <c r="P48" s="253">
        <v>37.75</v>
      </c>
      <c r="Q48" s="149">
        <v>112</v>
      </c>
      <c r="R48" s="142">
        <v>5</v>
      </c>
      <c r="S48" s="154">
        <v>1.359</v>
      </c>
      <c r="T48" s="155">
        <v>162</v>
      </c>
      <c r="U48" s="142">
        <v>50</v>
      </c>
      <c r="V48" s="142">
        <v>50</v>
      </c>
      <c r="W48" s="218">
        <v>4</v>
      </c>
      <c r="X48" s="142">
        <v>1</v>
      </c>
      <c r="Y48" s="267">
        <v>302</v>
      </c>
      <c r="Z48" s="267">
        <v>75.5</v>
      </c>
      <c r="AA48" s="268">
        <v>347.29999999999995</v>
      </c>
      <c r="AB48" s="267">
        <v>86.824999999999989</v>
      </c>
      <c r="AC48" s="158" t="s">
        <v>320</v>
      </c>
      <c r="AD48" s="150">
        <v>40456</v>
      </c>
      <c r="AE48" s="79">
        <v>40470</v>
      </c>
      <c r="AF48" s="79"/>
      <c r="AG48" s="79"/>
      <c r="AH48" s="79">
        <v>40484</v>
      </c>
      <c r="AI48" s="273"/>
      <c r="AJ48" s="79">
        <v>40498</v>
      </c>
      <c r="AK48" s="273"/>
      <c r="AL48" s="79">
        <v>40512</v>
      </c>
      <c r="AM48" s="79">
        <v>40602</v>
      </c>
      <c r="AN48" s="79">
        <v>40572</v>
      </c>
      <c r="AO48" s="79">
        <v>40666</v>
      </c>
      <c r="AP48" s="203"/>
      <c r="AQ48" s="79">
        <v>40673</v>
      </c>
      <c r="AR48" s="80">
        <v>217</v>
      </c>
      <c r="AS48" s="148"/>
      <c r="AT48" s="159">
        <v>-346</v>
      </c>
      <c r="AU48" s="184">
        <v>-347</v>
      </c>
      <c r="AV48" s="81"/>
      <c r="AW48" s="185" t="s">
        <v>239</v>
      </c>
      <c r="AX48" s="82"/>
      <c r="AY48" s="83"/>
      <c r="AZ48" s="84"/>
      <c r="BA48" s="185" t="s">
        <v>246</v>
      </c>
      <c r="BB48" s="85"/>
      <c r="BC48" s="86"/>
      <c r="BD48" s="87"/>
    </row>
    <row r="49" spans="1:56" s="103" customFormat="1" ht="12.75" x14ac:dyDescent="0.25">
      <c r="A49" s="152">
        <v>2</v>
      </c>
      <c r="B49" s="142" t="s">
        <v>11</v>
      </c>
      <c r="C49" s="212" t="s">
        <v>232</v>
      </c>
      <c r="D49" s="144"/>
      <c r="E49" s="145">
        <v>8</v>
      </c>
      <c r="F49" s="146">
        <v>9</v>
      </c>
      <c r="G49" s="147"/>
      <c r="H49" s="148">
        <v>40664</v>
      </c>
      <c r="I49" s="153">
        <v>40325</v>
      </c>
      <c r="J49" s="208">
        <v>107123</v>
      </c>
      <c r="K49" s="153"/>
      <c r="L49" s="153" t="s">
        <v>160</v>
      </c>
      <c r="M49" s="153" t="s">
        <v>247</v>
      </c>
      <c r="N49" s="255">
        <v>60</v>
      </c>
      <c r="O49" s="255">
        <v>1944</v>
      </c>
      <c r="P49" s="253">
        <v>37.75</v>
      </c>
      <c r="Q49" s="149">
        <v>112</v>
      </c>
      <c r="R49" s="142">
        <v>14</v>
      </c>
      <c r="S49" s="154">
        <v>7.6104000000000012</v>
      </c>
      <c r="T49" s="155">
        <v>453.6</v>
      </c>
      <c r="U49" s="142">
        <v>50</v>
      </c>
      <c r="V49" s="142">
        <v>50</v>
      </c>
      <c r="W49" s="218">
        <v>4</v>
      </c>
      <c r="X49" s="142">
        <v>1</v>
      </c>
      <c r="Y49" s="267">
        <v>845.60000000000014</v>
      </c>
      <c r="Z49" s="267">
        <v>211.40000000000003</v>
      </c>
      <c r="AA49" s="268">
        <v>972.44</v>
      </c>
      <c r="AB49" s="267">
        <v>243.11</v>
      </c>
      <c r="AC49" s="158" t="s">
        <v>320</v>
      </c>
      <c r="AD49" s="150">
        <v>40456</v>
      </c>
      <c r="AE49" s="79">
        <v>40470</v>
      </c>
      <c r="AF49" s="79"/>
      <c r="AG49" s="79"/>
      <c r="AH49" s="79">
        <v>40484</v>
      </c>
      <c r="AI49" s="273"/>
      <c r="AJ49" s="79">
        <v>40498</v>
      </c>
      <c r="AK49" s="273"/>
      <c r="AL49" s="79">
        <v>40512</v>
      </c>
      <c r="AM49" s="79">
        <v>40602</v>
      </c>
      <c r="AN49" s="79">
        <v>40572</v>
      </c>
      <c r="AO49" s="79">
        <v>40666</v>
      </c>
      <c r="AP49" s="203"/>
      <c r="AQ49" s="79">
        <v>40673</v>
      </c>
      <c r="AR49" s="80">
        <v>217</v>
      </c>
      <c r="AS49" s="148"/>
      <c r="AT49" s="159">
        <v>-2768</v>
      </c>
      <c r="AU49" s="184">
        <v>-2776</v>
      </c>
      <c r="AV49" s="81"/>
      <c r="AW49" s="185" t="s">
        <v>160</v>
      </c>
      <c r="AX49" s="82"/>
      <c r="AY49" s="83"/>
      <c r="AZ49" s="84"/>
      <c r="BA49" s="185" t="s">
        <v>247</v>
      </c>
      <c r="BB49" s="85"/>
      <c r="BC49" s="86"/>
      <c r="BD49" s="87"/>
    </row>
    <row r="50" spans="1:56" s="103" customFormat="1" ht="12.75" x14ac:dyDescent="0.25">
      <c r="A50" s="152">
        <v>2</v>
      </c>
      <c r="B50" s="142" t="s">
        <v>11</v>
      </c>
      <c r="C50" s="212" t="s">
        <v>233</v>
      </c>
      <c r="D50" s="144"/>
      <c r="E50" s="145">
        <v>3</v>
      </c>
      <c r="F50" s="146">
        <v>8</v>
      </c>
      <c r="G50" s="147"/>
      <c r="H50" s="148">
        <v>40664</v>
      </c>
      <c r="I50" s="153">
        <v>40325</v>
      </c>
      <c r="J50" s="208">
        <v>107119</v>
      </c>
      <c r="K50" s="153"/>
      <c r="L50" s="153" t="s">
        <v>240</v>
      </c>
      <c r="M50" s="153" t="s">
        <v>248</v>
      </c>
      <c r="N50" s="255">
        <v>60</v>
      </c>
      <c r="O50" s="255">
        <v>1944</v>
      </c>
      <c r="P50" s="253">
        <v>37.75</v>
      </c>
      <c r="Q50" s="149">
        <v>112</v>
      </c>
      <c r="R50" s="142">
        <v>7</v>
      </c>
      <c r="S50" s="154">
        <v>3.3824000000000005</v>
      </c>
      <c r="T50" s="155">
        <v>226.8</v>
      </c>
      <c r="U50" s="142">
        <v>50</v>
      </c>
      <c r="V50" s="142">
        <v>50</v>
      </c>
      <c r="W50" s="218">
        <v>4</v>
      </c>
      <c r="X50" s="142">
        <v>1</v>
      </c>
      <c r="Y50" s="267">
        <v>422.80000000000007</v>
      </c>
      <c r="Z50" s="267">
        <v>105.70000000000002</v>
      </c>
      <c r="AA50" s="268">
        <v>486.22</v>
      </c>
      <c r="AB50" s="267">
        <v>121.55500000000001</v>
      </c>
      <c r="AC50" s="158" t="s">
        <v>320</v>
      </c>
      <c r="AD50" s="150">
        <v>40456</v>
      </c>
      <c r="AE50" s="79">
        <v>40470</v>
      </c>
      <c r="AF50" s="79"/>
      <c r="AG50" s="79"/>
      <c r="AH50" s="79">
        <v>40484</v>
      </c>
      <c r="AI50" s="273"/>
      <c r="AJ50" s="79">
        <v>40498</v>
      </c>
      <c r="AK50" s="273"/>
      <c r="AL50" s="79">
        <v>40512</v>
      </c>
      <c r="AM50" s="79">
        <v>40602</v>
      </c>
      <c r="AN50" s="79">
        <v>40572</v>
      </c>
      <c r="AO50" s="79">
        <v>40666</v>
      </c>
      <c r="AP50" s="203"/>
      <c r="AQ50" s="79">
        <v>40673</v>
      </c>
      <c r="AR50" s="80">
        <v>217</v>
      </c>
      <c r="AS50" s="148"/>
      <c r="AT50" s="159">
        <v>-1038</v>
      </c>
      <c r="AU50" s="184">
        <v>-1041</v>
      </c>
      <c r="AV50" s="81"/>
      <c r="AW50" s="185" t="s">
        <v>240</v>
      </c>
      <c r="AX50" s="82"/>
      <c r="AY50" s="83"/>
      <c r="AZ50" s="84"/>
      <c r="BA50" s="185" t="s">
        <v>248</v>
      </c>
      <c r="BB50" s="85"/>
      <c r="BC50" s="86"/>
      <c r="BD50" s="87"/>
    </row>
    <row r="51" spans="1:56" s="103" customFormat="1" ht="12.75" x14ac:dyDescent="0.25">
      <c r="A51" s="152">
        <v>2</v>
      </c>
      <c r="B51" s="142" t="s">
        <v>11</v>
      </c>
      <c r="C51" s="212" t="s">
        <v>234</v>
      </c>
      <c r="D51" s="144"/>
      <c r="E51" s="145">
        <v>2</v>
      </c>
      <c r="F51" s="146">
        <v>6</v>
      </c>
      <c r="G51" s="147"/>
      <c r="H51" s="148">
        <v>40664</v>
      </c>
      <c r="I51" s="153">
        <v>40325</v>
      </c>
      <c r="J51" s="208">
        <v>107129</v>
      </c>
      <c r="K51" s="153"/>
      <c r="L51" s="153" t="s">
        <v>241</v>
      </c>
      <c r="M51" s="153" t="s">
        <v>249</v>
      </c>
      <c r="N51" s="255">
        <v>60</v>
      </c>
      <c r="O51" s="255">
        <v>1944</v>
      </c>
      <c r="P51" s="253">
        <v>37.75</v>
      </c>
      <c r="Q51" s="149">
        <v>112</v>
      </c>
      <c r="R51" s="142">
        <v>5</v>
      </c>
      <c r="S51" s="154">
        <v>1.8120000000000001</v>
      </c>
      <c r="T51" s="155">
        <v>162</v>
      </c>
      <c r="U51" s="142">
        <v>50</v>
      </c>
      <c r="V51" s="142">
        <v>50</v>
      </c>
      <c r="W51" s="218">
        <v>4</v>
      </c>
      <c r="X51" s="142">
        <v>1</v>
      </c>
      <c r="Y51" s="267">
        <v>302</v>
      </c>
      <c r="Z51" s="267">
        <v>75.5</v>
      </c>
      <c r="AA51" s="268">
        <v>347.29999999999995</v>
      </c>
      <c r="AB51" s="267">
        <v>86.824999999999989</v>
      </c>
      <c r="AC51" s="158" t="s">
        <v>320</v>
      </c>
      <c r="AD51" s="150">
        <v>40456</v>
      </c>
      <c r="AE51" s="79">
        <v>40470</v>
      </c>
      <c r="AF51" s="79"/>
      <c r="AG51" s="79"/>
      <c r="AH51" s="79">
        <v>40484</v>
      </c>
      <c r="AI51" s="273"/>
      <c r="AJ51" s="79">
        <v>40498</v>
      </c>
      <c r="AK51" s="273"/>
      <c r="AL51" s="79">
        <v>40512</v>
      </c>
      <c r="AM51" s="79">
        <v>40602</v>
      </c>
      <c r="AN51" s="79">
        <v>40572</v>
      </c>
      <c r="AO51" s="79">
        <v>40666</v>
      </c>
      <c r="AP51" s="203"/>
      <c r="AQ51" s="79">
        <v>40673</v>
      </c>
      <c r="AR51" s="80">
        <v>217</v>
      </c>
      <c r="AS51" s="148"/>
      <c r="AT51" s="159">
        <v>-692</v>
      </c>
      <c r="AU51" s="184">
        <v>-694</v>
      </c>
      <c r="AV51" s="81"/>
      <c r="AW51" s="185" t="s">
        <v>241</v>
      </c>
      <c r="AX51" s="82"/>
      <c r="AY51" s="83"/>
      <c r="AZ51" s="84"/>
      <c r="BA51" s="185" t="s">
        <v>249</v>
      </c>
      <c r="BB51" s="85"/>
      <c r="BC51" s="86"/>
      <c r="BD51" s="87"/>
    </row>
    <row r="52" spans="1:56" s="103" customFormat="1" ht="12.75" x14ac:dyDescent="0.25">
      <c r="A52" s="152">
        <v>2</v>
      </c>
      <c r="B52" s="142" t="s">
        <v>11</v>
      </c>
      <c r="C52" s="212" t="s">
        <v>235</v>
      </c>
      <c r="D52" s="144"/>
      <c r="E52" s="145">
        <v>2</v>
      </c>
      <c r="F52" s="146">
        <v>8</v>
      </c>
      <c r="G52" s="147"/>
      <c r="H52" s="148">
        <v>40664</v>
      </c>
      <c r="I52" s="153">
        <v>40325</v>
      </c>
      <c r="J52" s="208">
        <v>107118</v>
      </c>
      <c r="K52" s="153"/>
      <c r="L52" s="153" t="s">
        <v>242</v>
      </c>
      <c r="M52" s="153" t="s">
        <v>250</v>
      </c>
      <c r="N52" s="255">
        <v>60</v>
      </c>
      <c r="O52" s="255">
        <v>1944</v>
      </c>
      <c r="P52" s="253">
        <v>37.75</v>
      </c>
      <c r="Q52" s="149">
        <v>112</v>
      </c>
      <c r="R52" s="142">
        <v>5</v>
      </c>
      <c r="S52" s="154">
        <v>2.4159999999999999</v>
      </c>
      <c r="T52" s="155">
        <v>162</v>
      </c>
      <c r="U52" s="142">
        <v>50</v>
      </c>
      <c r="V52" s="142">
        <v>50</v>
      </c>
      <c r="W52" s="218">
        <v>4</v>
      </c>
      <c r="X52" s="142">
        <v>1</v>
      </c>
      <c r="Y52" s="267">
        <v>302</v>
      </c>
      <c r="Z52" s="267">
        <v>75.5</v>
      </c>
      <c r="AA52" s="268">
        <v>347.29999999999995</v>
      </c>
      <c r="AB52" s="267">
        <v>86.824999999999989</v>
      </c>
      <c r="AC52" s="158" t="s">
        <v>320</v>
      </c>
      <c r="AD52" s="150">
        <v>40456</v>
      </c>
      <c r="AE52" s="79">
        <v>40470</v>
      </c>
      <c r="AF52" s="79"/>
      <c r="AG52" s="79"/>
      <c r="AH52" s="79">
        <v>40484</v>
      </c>
      <c r="AI52" s="273"/>
      <c r="AJ52" s="79">
        <v>40498</v>
      </c>
      <c r="AK52" s="273"/>
      <c r="AL52" s="79">
        <v>40512</v>
      </c>
      <c r="AM52" s="79">
        <v>40602</v>
      </c>
      <c r="AN52" s="79">
        <v>40572</v>
      </c>
      <c r="AO52" s="79">
        <v>40666</v>
      </c>
      <c r="AP52" s="203"/>
      <c r="AQ52" s="79">
        <v>40673</v>
      </c>
      <c r="AR52" s="80">
        <v>217</v>
      </c>
      <c r="AS52" s="148"/>
      <c r="AT52" s="159">
        <v>-692</v>
      </c>
      <c r="AU52" s="184">
        <v>-694</v>
      </c>
      <c r="AV52" s="81"/>
      <c r="AW52" s="185" t="s">
        <v>242</v>
      </c>
      <c r="AX52" s="82"/>
      <c r="AY52" s="83"/>
      <c r="AZ52" s="84"/>
      <c r="BA52" s="185" t="s">
        <v>250</v>
      </c>
      <c r="BB52" s="85"/>
      <c r="BC52" s="86"/>
      <c r="BD52" s="87"/>
    </row>
    <row r="53" spans="1:56" s="103" customFormat="1" ht="12.75" x14ac:dyDescent="0.25">
      <c r="A53" s="152">
        <v>2</v>
      </c>
      <c r="B53" s="142" t="s">
        <v>11</v>
      </c>
      <c r="C53" s="212" t="s">
        <v>61</v>
      </c>
      <c r="D53" s="144"/>
      <c r="E53" s="145">
        <v>4</v>
      </c>
      <c r="F53" s="146">
        <v>6</v>
      </c>
      <c r="G53" s="147"/>
      <c r="H53" s="148">
        <v>40664</v>
      </c>
      <c r="I53" s="153">
        <v>40325</v>
      </c>
      <c r="J53" s="208">
        <v>107121</v>
      </c>
      <c r="K53" s="153"/>
      <c r="L53" s="153" t="s">
        <v>189</v>
      </c>
      <c r="M53" s="153" t="s">
        <v>173</v>
      </c>
      <c r="N53" s="255">
        <v>60</v>
      </c>
      <c r="O53" s="255">
        <v>1944</v>
      </c>
      <c r="P53" s="253">
        <v>37.75</v>
      </c>
      <c r="Q53" s="149">
        <v>112</v>
      </c>
      <c r="R53" s="142">
        <v>10</v>
      </c>
      <c r="S53" s="154">
        <v>3.6240000000000001</v>
      </c>
      <c r="T53" s="155">
        <v>324</v>
      </c>
      <c r="U53" s="142">
        <v>50</v>
      </c>
      <c r="V53" s="142">
        <v>50</v>
      </c>
      <c r="W53" s="218">
        <v>4</v>
      </c>
      <c r="X53" s="142">
        <v>1</v>
      </c>
      <c r="Y53" s="267">
        <v>604</v>
      </c>
      <c r="Z53" s="267">
        <v>151</v>
      </c>
      <c r="AA53" s="268">
        <v>694.59999999999991</v>
      </c>
      <c r="AB53" s="267">
        <v>173.64999999999998</v>
      </c>
      <c r="AC53" s="158" t="s">
        <v>320</v>
      </c>
      <c r="AD53" s="150">
        <v>40456</v>
      </c>
      <c r="AE53" s="79">
        <v>40470</v>
      </c>
      <c r="AF53" s="79"/>
      <c r="AG53" s="79"/>
      <c r="AH53" s="79">
        <v>40484</v>
      </c>
      <c r="AI53" s="273"/>
      <c r="AJ53" s="79">
        <v>40498</v>
      </c>
      <c r="AK53" s="273"/>
      <c r="AL53" s="79">
        <v>40512</v>
      </c>
      <c r="AM53" s="79">
        <v>40602</v>
      </c>
      <c r="AN53" s="79">
        <v>40572</v>
      </c>
      <c r="AO53" s="79">
        <v>40666</v>
      </c>
      <c r="AP53" s="203"/>
      <c r="AQ53" s="79">
        <v>40673</v>
      </c>
      <c r="AR53" s="80">
        <v>217</v>
      </c>
      <c r="AS53" s="148"/>
      <c r="AT53" s="159">
        <v>-1384</v>
      </c>
      <c r="AU53" s="184">
        <v>-1388</v>
      </c>
      <c r="AV53" s="81"/>
      <c r="AW53" s="185" t="s">
        <v>189</v>
      </c>
      <c r="AX53" s="82"/>
      <c r="AY53" s="83"/>
      <c r="AZ53" s="84"/>
      <c r="BA53" s="185" t="s">
        <v>173</v>
      </c>
      <c r="BB53" s="85"/>
      <c r="BC53" s="86"/>
      <c r="BD53" s="87"/>
    </row>
    <row r="54" spans="1:56" ht="12.75" x14ac:dyDescent="0.25">
      <c r="A54" s="152">
        <v>2</v>
      </c>
      <c r="B54" s="142" t="s">
        <v>29</v>
      </c>
      <c r="C54" s="143" t="s">
        <v>251</v>
      </c>
      <c r="D54" s="144"/>
      <c r="E54" s="145"/>
      <c r="F54" s="146"/>
      <c r="G54" s="147"/>
      <c r="H54" s="148">
        <v>40695</v>
      </c>
      <c r="I54" s="153">
        <v>40317</v>
      </c>
      <c r="J54" s="198"/>
      <c r="K54" s="153"/>
      <c r="L54" s="153"/>
      <c r="M54" s="153"/>
      <c r="N54" s="255">
        <v>60</v>
      </c>
      <c r="O54" s="255">
        <v>1944</v>
      </c>
      <c r="P54" s="253">
        <v>37.75</v>
      </c>
      <c r="Q54" s="149">
        <v>113</v>
      </c>
      <c r="R54" s="142">
        <v>60</v>
      </c>
      <c r="S54" s="154">
        <v>0</v>
      </c>
      <c r="T54" s="155">
        <v>1944</v>
      </c>
      <c r="U54" s="142">
        <v>50</v>
      </c>
      <c r="V54" s="142">
        <v>50</v>
      </c>
      <c r="W54" s="142">
        <v>5</v>
      </c>
      <c r="X54" s="142">
        <v>1</v>
      </c>
      <c r="Y54" s="267">
        <v>3775.0000000000005</v>
      </c>
      <c r="Z54" s="267">
        <v>754.99999999999989</v>
      </c>
      <c r="AA54" s="268">
        <v>4341.25</v>
      </c>
      <c r="AB54" s="267">
        <v>868.24999999999977</v>
      </c>
      <c r="AC54" s="158" t="s">
        <v>319</v>
      </c>
      <c r="AD54" s="150">
        <v>40456</v>
      </c>
      <c r="AE54" s="79">
        <v>40463</v>
      </c>
      <c r="AF54" s="79"/>
      <c r="AG54" s="79"/>
      <c r="AH54" s="79">
        <v>40477</v>
      </c>
      <c r="AI54" s="273"/>
      <c r="AJ54" s="79">
        <v>40491</v>
      </c>
      <c r="AK54" s="273"/>
      <c r="AL54" s="79">
        <v>40536</v>
      </c>
      <c r="AM54" s="79">
        <v>40616</v>
      </c>
      <c r="AN54" s="79">
        <v>40606</v>
      </c>
      <c r="AO54" s="79">
        <v>40686</v>
      </c>
      <c r="AP54" s="203"/>
      <c r="AQ54" s="79">
        <v>40693</v>
      </c>
      <c r="AR54" s="80">
        <v>237</v>
      </c>
      <c r="AS54" s="148"/>
      <c r="AT54" s="159">
        <v>0</v>
      </c>
      <c r="AU54" s="184">
        <v>0</v>
      </c>
      <c r="AV54" s="81"/>
      <c r="AW54" s="185">
        <v>0</v>
      </c>
      <c r="AX54" s="82"/>
      <c r="AY54" s="83"/>
      <c r="AZ54" s="84"/>
      <c r="BA54" s="185">
        <v>0</v>
      </c>
      <c r="BB54" s="85"/>
      <c r="BC54" s="86"/>
      <c r="BD54" s="87"/>
    </row>
    <row r="55" spans="1:56" ht="12.75" x14ac:dyDescent="0.25">
      <c r="A55" s="152">
        <v>2</v>
      </c>
      <c r="B55" s="142" t="s">
        <v>29</v>
      </c>
      <c r="C55" s="143" t="s">
        <v>251</v>
      </c>
      <c r="D55" s="144"/>
      <c r="E55" s="145"/>
      <c r="F55" s="146"/>
      <c r="G55" s="147"/>
      <c r="H55" s="148">
        <v>40695</v>
      </c>
      <c r="I55" s="153">
        <v>40317</v>
      </c>
      <c r="J55" s="198"/>
      <c r="K55" s="153"/>
      <c r="L55" s="153"/>
      <c r="M55" s="153"/>
      <c r="N55" s="255">
        <v>60</v>
      </c>
      <c r="O55" s="255">
        <v>1944</v>
      </c>
      <c r="P55" s="253">
        <v>37.75</v>
      </c>
      <c r="Q55" s="149">
        <v>114</v>
      </c>
      <c r="R55" s="142">
        <v>60</v>
      </c>
      <c r="S55" s="154">
        <v>0</v>
      </c>
      <c r="T55" s="155">
        <v>1944</v>
      </c>
      <c r="U55" s="142">
        <v>50</v>
      </c>
      <c r="V55" s="142">
        <v>50</v>
      </c>
      <c r="W55" s="142">
        <v>5</v>
      </c>
      <c r="X55" s="142">
        <v>1</v>
      </c>
      <c r="Y55" s="267">
        <v>3775.0000000000005</v>
      </c>
      <c r="Z55" s="267">
        <v>754.99999999999989</v>
      </c>
      <c r="AA55" s="268">
        <v>4341.25</v>
      </c>
      <c r="AB55" s="267">
        <v>868.24999999999977</v>
      </c>
      <c r="AC55" s="158" t="s">
        <v>319</v>
      </c>
      <c r="AD55" s="150">
        <v>40456</v>
      </c>
      <c r="AE55" s="79">
        <v>40463</v>
      </c>
      <c r="AF55" s="79"/>
      <c r="AG55" s="79"/>
      <c r="AH55" s="79">
        <v>40477</v>
      </c>
      <c r="AI55" s="273"/>
      <c r="AJ55" s="79">
        <v>40491</v>
      </c>
      <c r="AK55" s="273"/>
      <c r="AL55" s="79">
        <v>40536</v>
      </c>
      <c r="AM55" s="79">
        <v>40616</v>
      </c>
      <c r="AN55" s="79">
        <v>40606</v>
      </c>
      <c r="AO55" s="79">
        <v>40686</v>
      </c>
      <c r="AP55" s="203"/>
      <c r="AQ55" s="79">
        <v>40693</v>
      </c>
      <c r="AR55" s="80">
        <v>237</v>
      </c>
      <c r="AS55" s="148"/>
      <c r="AT55" s="159">
        <v>0</v>
      </c>
      <c r="AU55" s="184">
        <v>0</v>
      </c>
      <c r="AV55" s="81"/>
      <c r="AW55" s="185">
        <v>0</v>
      </c>
      <c r="AX55" s="82"/>
      <c r="AY55" s="83"/>
      <c r="AZ55" s="84"/>
      <c r="BA55" s="185">
        <v>0</v>
      </c>
      <c r="BB55" s="85"/>
      <c r="BC55" s="86"/>
      <c r="BD55" s="87"/>
    </row>
    <row r="56" spans="1:56" s="103" customFormat="1" ht="12.75" x14ac:dyDescent="0.25">
      <c r="A56" s="152">
        <v>2</v>
      </c>
      <c r="B56" s="142" t="s">
        <v>11</v>
      </c>
      <c r="C56" s="224"/>
      <c r="D56" s="225"/>
      <c r="E56" s="226"/>
      <c r="F56" s="227"/>
      <c r="G56" s="147"/>
      <c r="H56" s="148">
        <v>40664</v>
      </c>
      <c r="I56" s="153">
        <v>40325</v>
      </c>
      <c r="J56" s="208"/>
      <c r="K56" s="153"/>
      <c r="L56" s="153" t="s">
        <v>273</v>
      </c>
      <c r="M56" s="153" t="s">
        <v>274</v>
      </c>
      <c r="N56" s="255">
        <v>60</v>
      </c>
      <c r="O56" s="255">
        <v>1944</v>
      </c>
      <c r="P56" s="253">
        <v>37.75</v>
      </c>
      <c r="Q56" s="149">
        <v>115</v>
      </c>
      <c r="R56" s="218">
        <v>0</v>
      </c>
      <c r="S56" s="154">
        <v>0</v>
      </c>
      <c r="T56" s="155">
        <v>0</v>
      </c>
      <c r="U56" s="142">
        <v>50</v>
      </c>
      <c r="V56" s="142">
        <v>50</v>
      </c>
      <c r="W56" s="218">
        <v>4</v>
      </c>
      <c r="X56" s="142">
        <v>1</v>
      </c>
      <c r="Y56" s="267">
        <v>0</v>
      </c>
      <c r="Z56" s="267">
        <v>0</v>
      </c>
      <c r="AA56" s="268">
        <v>0</v>
      </c>
      <c r="AB56" s="267">
        <v>0</v>
      </c>
      <c r="AC56" s="158" t="s">
        <v>320</v>
      </c>
      <c r="AD56" s="150">
        <v>40505</v>
      </c>
      <c r="AE56" s="79">
        <v>40519</v>
      </c>
      <c r="AF56" s="79"/>
      <c r="AG56" s="79"/>
      <c r="AH56" s="79">
        <v>40533</v>
      </c>
      <c r="AI56" s="273"/>
      <c r="AJ56" s="79">
        <v>40547</v>
      </c>
      <c r="AK56" s="273"/>
      <c r="AL56" s="79">
        <v>40561</v>
      </c>
      <c r="AM56" s="79">
        <v>40651</v>
      </c>
      <c r="AN56" s="79">
        <v>40621</v>
      </c>
      <c r="AO56" s="79">
        <v>40715</v>
      </c>
      <c r="AP56" s="203"/>
      <c r="AQ56" s="79">
        <v>40722</v>
      </c>
      <c r="AR56" s="80">
        <v>217</v>
      </c>
      <c r="AS56" s="148"/>
      <c r="AT56" s="159">
        <v>0</v>
      </c>
      <c r="AU56" s="184">
        <v>0</v>
      </c>
      <c r="AV56" s="81"/>
      <c r="AW56" s="185" t="s">
        <v>273</v>
      </c>
      <c r="AX56" s="82"/>
      <c r="AY56" s="83"/>
      <c r="AZ56" s="84"/>
      <c r="BA56" s="185" t="s">
        <v>274</v>
      </c>
      <c r="BB56" s="85"/>
      <c r="BC56" s="86"/>
      <c r="BD56" s="87"/>
    </row>
    <row r="57" spans="1:56" s="103" customFormat="1" ht="12.75" x14ac:dyDescent="0.25">
      <c r="A57" s="152">
        <v>2</v>
      </c>
      <c r="B57" s="142" t="s">
        <v>11</v>
      </c>
      <c r="C57" s="143" t="s">
        <v>275</v>
      </c>
      <c r="D57" s="144"/>
      <c r="E57" s="219">
        <v>0</v>
      </c>
      <c r="F57" s="146"/>
      <c r="G57" s="147"/>
      <c r="H57" s="148">
        <v>40664</v>
      </c>
      <c r="I57" s="153">
        <v>40325</v>
      </c>
      <c r="J57" s="208">
        <v>107127</v>
      </c>
      <c r="K57" s="153"/>
      <c r="L57" s="153" t="s">
        <v>276</v>
      </c>
      <c r="M57" s="153" t="s">
        <v>166</v>
      </c>
      <c r="N57" s="255">
        <v>60</v>
      </c>
      <c r="O57" s="255">
        <v>1944</v>
      </c>
      <c r="P57" s="253">
        <v>37.75</v>
      </c>
      <c r="Q57" s="149">
        <v>115</v>
      </c>
      <c r="R57" s="218">
        <v>0</v>
      </c>
      <c r="S57" s="154">
        <v>0</v>
      </c>
      <c r="T57" s="155">
        <v>0</v>
      </c>
      <c r="U57" s="142">
        <v>50</v>
      </c>
      <c r="V57" s="142">
        <v>50</v>
      </c>
      <c r="W57" s="218">
        <v>4</v>
      </c>
      <c r="X57" s="142">
        <v>1</v>
      </c>
      <c r="Y57" s="267">
        <v>0</v>
      </c>
      <c r="Z57" s="267">
        <v>0</v>
      </c>
      <c r="AA57" s="268">
        <v>0</v>
      </c>
      <c r="AB57" s="267">
        <v>0</v>
      </c>
      <c r="AC57" s="158" t="s">
        <v>320</v>
      </c>
      <c r="AD57" s="150">
        <v>40505</v>
      </c>
      <c r="AE57" s="79">
        <v>40519</v>
      </c>
      <c r="AF57" s="79"/>
      <c r="AG57" s="79"/>
      <c r="AH57" s="79">
        <v>40533</v>
      </c>
      <c r="AI57" s="273"/>
      <c r="AJ57" s="79">
        <v>40547</v>
      </c>
      <c r="AK57" s="273"/>
      <c r="AL57" s="79">
        <v>40561</v>
      </c>
      <c r="AM57" s="79">
        <v>40651</v>
      </c>
      <c r="AN57" s="79">
        <v>40621</v>
      </c>
      <c r="AO57" s="79">
        <v>40715</v>
      </c>
      <c r="AP57" s="203"/>
      <c r="AQ57" s="79">
        <v>40722</v>
      </c>
      <c r="AR57" s="80">
        <v>217</v>
      </c>
      <c r="AS57" s="148"/>
      <c r="AT57" s="159">
        <v>0</v>
      </c>
      <c r="AU57" s="184">
        <v>0</v>
      </c>
      <c r="AV57" s="81"/>
      <c r="AW57" s="185" t="s">
        <v>276</v>
      </c>
      <c r="AX57" s="82"/>
      <c r="AY57" s="83"/>
      <c r="AZ57" s="84"/>
      <c r="BA57" s="185" t="s">
        <v>166</v>
      </c>
      <c r="BB57" s="85"/>
      <c r="BC57" s="86"/>
      <c r="BD57" s="87"/>
    </row>
    <row r="58" spans="1:56" s="103" customFormat="1" ht="12.75" x14ac:dyDescent="0.25">
      <c r="A58" s="152">
        <v>2</v>
      </c>
      <c r="B58" s="142" t="s">
        <v>11</v>
      </c>
      <c r="C58" s="143" t="s">
        <v>266</v>
      </c>
      <c r="D58" s="144"/>
      <c r="E58" s="215">
        <v>11</v>
      </c>
      <c r="F58" s="146">
        <v>8</v>
      </c>
      <c r="G58" s="147"/>
      <c r="H58" s="148">
        <v>40664</v>
      </c>
      <c r="I58" s="153">
        <v>40325</v>
      </c>
      <c r="J58" s="208">
        <v>107122</v>
      </c>
      <c r="K58" s="153"/>
      <c r="L58" s="153" t="s">
        <v>269</v>
      </c>
      <c r="M58" s="153" t="s">
        <v>270</v>
      </c>
      <c r="N58" s="255">
        <v>40</v>
      </c>
      <c r="O58" s="255">
        <v>1296</v>
      </c>
      <c r="P58" s="253">
        <v>37.75</v>
      </c>
      <c r="Q58" s="149">
        <v>116</v>
      </c>
      <c r="R58" s="142">
        <v>21</v>
      </c>
      <c r="S58" s="154">
        <v>10.147200000000002</v>
      </c>
      <c r="T58" s="155">
        <v>680.4</v>
      </c>
      <c r="U58" s="142">
        <v>50</v>
      </c>
      <c r="V58" s="142">
        <v>50</v>
      </c>
      <c r="W58" s="218">
        <v>4</v>
      </c>
      <c r="X58" s="142">
        <v>1</v>
      </c>
      <c r="Y58" s="267">
        <v>1268.4000000000001</v>
      </c>
      <c r="Z58" s="267">
        <v>317.10000000000002</v>
      </c>
      <c r="AA58" s="268">
        <v>1458.66</v>
      </c>
      <c r="AB58" s="267">
        <v>364.66500000000002</v>
      </c>
      <c r="AC58" s="158" t="s">
        <v>320</v>
      </c>
      <c r="AD58" s="150">
        <v>40458</v>
      </c>
      <c r="AE58" s="79">
        <v>40472</v>
      </c>
      <c r="AF58" s="79"/>
      <c r="AG58" s="79"/>
      <c r="AH58" s="79">
        <v>40486</v>
      </c>
      <c r="AI58" s="273"/>
      <c r="AJ58" s="79">
        <v>40500</v>
      </c>
      <c r="AK58" s="273"/>
      <c r="AL58" s="79">
        <v>40514</v>
      </c>
      <c r="AM58" s="79">
        <v>40604</v>
      </c>
      <c r="AN58" s="79">
        <v>40574</v>
      </c>
      <c r="AO58" s="79">
        <v>40668</v>
      </c>
      <c r="AP58" s="203"/>
      <c r="AQ58" s="79">
        <v>40675</v>
      </c>
      <c r="AR58" s="80">
        <v>217</v>
      </c>
      <c r="AS58" s="148"/>
      <c r="AT58" s="159">
        <v>-3806</v>
      </c>
      <c r="AU58" s="184">
        <v>-3817</v>
      </c>
      <c r="AV58" s="81"/>
      <c r="AW58" s="185" t="s">
        <v>269</v>
      </c>
      <c r="AX58" s="82"/>
      <c r="AY58" s="83"/>
      <c r="AZ58" s="84"/>
      <c r="BA58" s="185" t="s">
        <v>270</v>
      </c>
      <c r="BB58" s="85"/>
      <c r="BC58" s="86"/>
      <c r="BD58" s="87"/>
    </row>
    <row r="59" spans="1:56" s="103" customFormat="1" ht="12.75" x14ac:dyDescent="0.25">
      <c r="A59" s="152">
        <v>2</v>
      </c>
      <c r="B59" s="142" t="s">
        <v>11</v>
      </c>
      <c r="C59" s="143" t="s">
        <v>267</v>
      </c>
      <c r="D59" s="144"/>
      <c r="E59" s="215">
        <v>9</v>
      </c>
      <c r="F59" s="146">
        <v>8</v>
      </c>
      <c r="G59" s="147"/>
      <c r="H59" s="148">
        <v>40664</v>
      </c>
      <c r="I59" s="153">
        <v>40325</v>
      </c>
      <c r="J59" s="208">
        <v>107131</v>
      </c>
      <c r="K59" s="153"/>
      <c r="L59" s="153" t="s">
        <v>271</v>
      </c>
      <c r="M59" s="153" t="s">
        <v>272</v>
      </c>
      <c r="N59" s="255">
        <v>40</v>
      </c>
      <c r="O59" s="255">
        <v>1296</v>
      </c>
      <c r="P59" s="253">
        <v>37.75</v>
      </c>
      <c r="Q59" s="149">
        <v>116</v>
      </c>
      <c r="R59" s="142">
        <v>19</v>
      </c>
      <c r="S59" s="154">
        <v>9.1808000000000014</v>
      </c>
      <c r="T59" s="155">
        <v>615.6</v>
      </c>
      <c r="U59" s="142">
        <v>50</v>
      </c>
      <c r="V59" s="142">
        <v>50</v>
      </c>
      <c r="W59" s="218">
        <v>4</v>
      </c>
      <c r="X59" s="142">
        <v>1</v>
      </c>
      <c r="Y59" s="267">
        <v>1147.6000000000001</v>
      </c>
      <c r="Z59" s="267">
        <v>286.90000000000003</v>
      </c>
      <c r="AA59" s="268">
        <v>1319.74</v>
      </c>
      <c r="AB59" s="267">
        <v>329.935</v>
      </c>
      <c r="AC59" s="158" t="s">
        <v>320</v>
      </c>
      <c r="AD59" s="150">
        <v>40458</v>
      </c>
      <c r="AE59" s="79">
        <v>40472</v>
      </c>
      <c r="AF59" s="79"/>
      <c r="AG59" s="79"/>
      <c r="AH59" s="79">
        <v>40486</v>
      </c>
      <c r="AI59" s="273"/>
      <c r="AJ59" s="79">
        <v>40500</v>
      </c>
      <c r="AK59" s="273"/>
      <c r="AL59" s="79">
        <v>40514</v>
      </c>
      <c r="AM59" s="79">
        <v>40604</v>
      </c>
      <c r="AN59" s="79">
        <v>40574</v>
      </c>
      <c r="AO59" s="79">
        <v>40668</v>
      </c>
      <c r="AP59" s="203"/>
      <c r="AQ59" s="79">
        <v>40675</v>
      </c>
      <c r="AR59" s="80">
        <v>217</v>
      </c>
      <c r="AS59" s="148"/>
      <c r="AT59" s="159">
        <v>-3114</v>
      </c>
      <c r="AU59" s="184">
        <v>-3123</v>
      </c>
      <c r="AV59" s="81"/>
      <c r="AW59" s="185" t="s">
        <v>271</v>
      </c>
      <c r="AX59" s="82"/>
      <c r="AY59" s="83"/>
      <c r="AZ59" s="84"/>
      <c r="BA59" s="185" t="s">
        <v>272</v>
      </c>
      <c r="BB59" s="85"/>
      <c r="BC59" s="86"/>
      <c r="BD59" s="87"/>
    </row>
    <row r="60" spans="1:56" ht="25.5" x14ac:dyDescent="0.25">
      <c r="A60" s="152">
        <v>2</v>
      </c>
      <c r="B60" s="142" t="s">
        <v>29</v>
      </c>
      <c r="C60" s="143" t="s">
        <v>43</v>
      </c>
      <c r="D60" s="144">
        <v>2</v>
      </c>
      <c r="E60" s="145">
        <v>14</v>
      </c>
      <c r="F60" s="146">
        <v>9</v>
      </c>
      <c r="G60" s="147"/>
      <c r="H60" s="148">
        <v>40269</v>
      </c>
      <c r="I60" s="153">
        <v>40317</v>
      </c>
      <c r="J60" s="208">
        <v>107059</v>
      </c>
      <c r="K60" s="153"/>
      <c r="L60" s="153" t="s">
        <v>184</v>
      </c>
      <c r="M60" s="153" t="s">
        <v>175</v>
      </c>
      <c r="N60" s="255">
        <v>40</v>
      </c>
      <c r="O60" s="255">
        <v>1296</v>
      </c>
      <c r="P60" s="253">
        <v>37.75</v>
      </c>
      <c r="Q60" s="149">
        <v>121</v>
      </c>
      <c r="R60" s="142">
        <v>21</v>
      </c>
      <c r="S60" s="154">
        <v>11.891249999999999</v>
      </c>
      <c r="T60" s="155">
        <v>680.4</v>
      </c>
      <c r="U60" s="142">
        <v>50</v>
      </c>
      <c r="V60" s="142">
        <v>50</v>
      </c>
      <c r="W60" s="142">
        <v>5</v>
      </c>
      <c r="X60" s="142">
        <v>1</v>
      </c>
      <c r="Y60" s="267">
        <v>1321.25</v>
      </c>
      <c r="Z60" s="267">
        <v>264.25</v>
      </c>
      <c r="AA60" s="268">
        <v>1519.4374999999998</v>
      </c>
      <c r="AB60" s="267"/>
      <c r="AC60" s="158" t="s">
        <v>320</v>
      </c>
      <c r="AD60" s="150">
        <v>40434</v>
      </c>
      <c r="AE60" s="79">
        <v>40441</v>
      </c>
      <c r="AF60" s="79"/>
      <c r="AG60" s="79"/>
      <c r="AH60" s="79">
        <v>40455</v>
      </c>
      <c r="AI60" s="273"/>
      <c r="AJ60" s="79">
        <v>40469</v>
      </c>
      <c r="AK60" s="273"/>
      <c r="AL60" s="79">
        <v>40514</v>
      </c>
      <c r="AM60" s="79">
        <v>40594</v>
      </c>
      <c r="AN60" s="79">
        <v>40584</v>
      </c>
      <c r="AO60" s="79">
        <v>40664</v>
      </c>
      <c r="AP60" s="203"/>
      <c r="AQ60" s="79">
        <v>40671</v>
      </c>
      <c r="AR60" s="80">
        <v>237</v>
      </c>
      <c r="AS60" s="148"/>
      <c r="AT60" s="159">
        <v>-4844</v>
      </c>
      <c r="AU60" s="184">
        <v>-4858</v>
      </c>
      <c r="AV60" s="81" t="s">
        <v>282</v>
      </c>
      <c r="AW60" s="185" t="s">
        <v>184</v>
      </c>
      <c r="AX60" s="82"/>
      <c r="AY60" s="83"/>
      <c r="AZ60" s="84"/>
      <c r="BA60" s="185" t="s">
        <v>175</v>
      </c>
      <c r="BB60" s="85"/>
      <c r="BC60" s="86"/>
      <c r="BD60" s="87"/>
    </row>
    <row r="61" spans="1:56" ht="12.75" x14ac:dyDescent="0.25">
      <c r="A61" s="152">
        <v>2</v>
      </c>
      <c r="B61" s="142" t="s">
        <v>29</v>
      </c>
      <c r="C61" s="143" t="s">
        <v>280</v>
      </c>
      <c r="D61" s="144"/>
      <c r="E61" s="145">
        <v>13</v>
      </c>
      <c r="F61" s="146">
        <v>8</v>
      </c>
      <c r="G61" s="147"/>
      <c r="H61" s="148">
        <v>40634</v>
      </c>
      <c r="I61" s="153">
        <v>40317</v>
      </c>
      <c r="J61" s="208">
        <v>107055</v>
      </c>
      <c r="K61" s="153" t="s">
        <v>289</v>
      </c>
      <c r="L61" s="153" t="s">
        <v>258</v>
      </c>
      <c r="M61" s="153" t="s">
        <v>281</v>
      </c>
      <c r="N61" s="255">
        <v>40</v>
      </c>
      <c r="O61" s="255">
        <v>1296</v>
      </c>
      <c r="P61" s="253">
        <v>37.75</v>
      </c>
      <c r="Q61" s="149">
        <v>121</v>
      </c>
      <c r="R61" s="142">
        <v>19</v>
      </c>
      <c r="S61" s="154">
        <v>9.5633333333333344</v>
      </c>
      <c r="T61" s="155">
        <v>615.6</v>
      </c>
      <c r="U61" s="142">
        <v>50</v>
      </c>
      <c r="V61" s="142">
        <v>50</v>
      </c>
      <c r="W61" s="142">
        <v>5</v>
      </c>
      <c r="X61" s="142">
        <v>1</v>
      </c>
      <c r="Y61" s="267">
        <v>1195.4166666666667</v>
      </c>
      <c r="Z61" s="267">
        <v>239.08333333333331</v>
      </c>
      <c r="AA61" s="268">
        <v>1374.7291666666667</v>
      </c>
      <c r="AB61" s="267">
        <v>274.94583333333327</v>
      </c>
      <c r="AC61" s="158" t="s">
        <v>319</v>
      </c>
      <c r="AD61" s="150"/>
      <c r="AE61" s="79">
        <v>7</v>
      </c>
      <c r="AF61" s="79"/>
      <c r="AG61" s="79"/>
      <c r="AH61" s="79">
        <v>21</v>
      </c>
      <c r="AI61" s="273"/>
      <c r="AJ61" s="79">
        <v>35</v>
      </c>
      <c r="AK61" s="273"/>
      <c r="AL61" s="79">
        <v>80</v>
      </c>
      <c r="AM61" s="79">
        <v>160</v>
      </c>
      <c r="AN61" s="79">
        <v>150</v>
      </c>
      <c r="AO61" s="79">
        <v>230</v>
      </c>
      <c r="AP61" s="203"/>
      <c r="AQ61" s="79">
        <v>237</v>
      </c>
      <c r="AR61" s="80">
        <v>237</v>
      </c>
      <c r="AS61" s="148"/>
      <c r="AT61" s="159">
        <v>-4498</v>
      </c>
      <c r="AU61" s="184">
        <v>-4511</v>
      </c>
      <c r="AV61" s="81"/>
      <c r="AW61" s="185" t="s">
        <v>258</v>
      </c>
      <c r="AX61" s="82" t="s">
        <v>296</v>
      </c>
      <c r="AY61" s="83">
        <v>2500</v>
      </c>
      <c r="AZ61" s="84"/>
      <c r="BA61" s="185" t="s">
        <v>281</v>
      </c>
      <c r="BB61" s="85" t="s">
        <v>297</v>
      </c>
      <c r="BC61" s="86">
        <v>1000</v>
      </c>
      <c r="BD61" s="87"/>
    </row>
    <row r="62" spans="1:56" ht="12.75" x14ac:dyDescent="0.25">
      <c r="A62" s="152">
        <v>2</v>
      </c>
      <c r="B62" s="142" t="s">
        <v>29</v>
      </c>
      <c r="C62" s="143" t="s">
        <v>251</v>
      </c>
      <c r="D62" s="144"/>
      <c r="E62" s="145"/>
      <c r="F62" s="146"/>
      <c r="G62" s="147"/>
      <c r="H62" s="148">
        <v>40695</v>
      </c>
      <c r="I62" s="153">
        <v>40317</v>
      </c>
      <c r="J62" s="198"/>
      <c r="K62" s="153"/>
      <c r="L62" s="153" t="s">
        <v>258</v>
      </c>
      <c r="M62" s="153" t="s">
        <v>281</v>
      </c>
      <c r="N62" s="255">
        <v>60</v>
      </c>
      <c r="O62" s="255">
        <v>1944</v>
      </c>
      <c r="P62" s="253">
        <v>37.75</v>
      </c>
      <c r="Q62" s="149">
        <v>122</v>
      </c>
      <c r="R62" s="142">
        <v>29</v>
      </c>
      <c r="S62" s="154">
        <v>0</v>
      </c>
      <c r="T62" s="155">
        <v>939.6</v>
      </c>
      <c r="U62" s="142">
        <v>50</v>
      </c>
      <c r="V62" s="142">
        <v>50</v>
      </c>
      <c r="W62" s="142">
        <v>5</v>
      </c>
      <c r="X62" s="142">
        <v>1</v>
      </c>
      <c r="Y62" s="267">
        <v>1824.5833333333335</v>
      </c>
      <c r="Z62" s="267">
        <v>364.91666666666663</v>
      </c>
      <c r="AA62" s="268">
        <v>2098.2708333333335</v>
      </c>
      <c r="AB62" s="267">
        <v>419.65416666666658</v>
      </c>
      <c r="AC62" s="158" t="s">
        <v>320</v>
      </c>
      <c r="AD62" s="150">
        <v>40486</v>
      </c>
      <c r="AE62" s="79">
        <v>40493</v>
      </c>
      <c r="AF62" s="79"/>
      <c r="AG62" s="79"/>
      <c r="AH62" s="79">
        <v>40507</v>
      </c>
      <c r="AI62" s="273"/>
      <c r="AJ62" s="79">
        <v>40521</v>
      </c>
      <c r="AK62" s="273"/>
      <c r="AL62" s="79">
        <v>40566</v>
      </c>
      <c r="AM62" s="79">
        <v>40646</v>
      </c>
      <c r="AN62" s="79">
        <v>40636</v>
      </c>
      <c r="AO62" s="79">
        <v>40716</v>
      </c>
      <c r="AP62" s="203"/>
      <c r="AQ62" s="79">
        <v>40723</v>
      </c>
      <c r="AR62" s="80">
        <v>237</v>
      </c>
      <c r="AS62" s="148"/>
      <c r="AT62" s="159">
        <v>0</v>
      </c>
      <c r="AU62" s="184">
        <v>0</v>
      </c>
      <c r="AV62" s="81"/>
      <c r="AW62" s="185" t="s">
        <v>258</v>
      </c>
      <c r="AX62" s="82"/>
      <c r="AY62" s="83"/>
      <c r="AZ62" s="84"/>
      <c r="BA62" s="185" t="s">
        <v>281</v>
      </c>
      <c r="BB62" s="85"/>
      <c r="BC62" s="86"/>
      <c r="BD62" s="87"/>
    </row>
    <row r="63" spans="1:56" ht="12.75" x14ac:dyDescent="0.25">
      <c r="A63" s="152">
        <v>2</v>
      </c>
      <c r="B63" s="142" t="s">
        <v>29</v>
      </c>
      <c r="C63" s="143" t="s">
        <v>252</v>
      </c>
      <c r="D63" s="144"/>
      <c r="E63" s="145">
        <v>10</v>
      </c>
      <c r="F63" s="146">
        <v>5</v>
      </c>
      <c r="G63" s="147">
        <v>0.5</v>
      </c>
      <c r="H63" s="148">
        <v>40664</v>
      </c>
      <c r="I63" s="153">
        <v>40317</v>
      </c>
      <c r="J63" s="208">
        <v>107061</v>
      </c>
      <c r="K63" s="153" t="s">
        <v>289</v>
      </c>
      <c r="L63" s="153" t="s">
        <v>253</v>
      </c>
      <c r="M63" s="153" t="s">
        <v>254</v>
      </c>
      <c r="N63" s="255">
        <v>60</v>
      </c>
      <c r="O63" s="255">
        <v>1944</v>
      </c>
      <c r="P63" s="253">
        <v>37.75</v>
      </c>
      <c r="Q63" s="149">
        <v>122</v>
      </c>
      <c r="R63" s="142">
        <v>31</v>
      </c>
      <c r="S63" s="154">
        <v>8.7768750000000004</v>
      </c>
      <c r="T63" s="155">
        <v>1004.4</v>
      </c>
      <c r="U63" s="142">
        <v>50</v>
      </c>
      <c r="V63" s="142">
        <v>50</v>
      </c>
      <c r="W63" s="142">
        <v>3</v>
      </c>
      <c r="X63" s="142">
        <v>1</v>
      </c>
      <c r="Y63" s="267">
        <v>1755.375</v>
      </c>
      <c r="Z63" s="267">
        <v>585.125</v>
      </c>
      <c r="AA63" s="268">
        <v>2018.6812499999999</v>
      </c>
      <c r="AB63" s="267">
        <v>672.89374999999995</v>
      </c>
      <c r="AC63" s="158" t="s">
        <v>320</v>
      </c>
      <c r="AD63" s="150">
        <v>40486</v>
      </c>
      <c r="AE63" s="79">
        <v>40493</v>
      </c>
      <c r="AF63" s="79"/>
      <c r="AG63" s="79"/>
      <c r="AH63" s="79">
        <v>40507</v>
      </c>
      <c r="AI63" s="273"/>
      <c r="AJ63" s="79">
        <v>40521</v>
      </c>
      <c r="AK63" s="273"/>
      <c r="AL63" s="79">
        <v>40566</v>
      </c>
      <c r="AM63" s="79">
        <v>40646</v>
      </c>
      <c r="AN63" s="79">
        <v>40636</v>
      </c>
      <c r="AO63" s="79">
        <v>40716</v>
      </c>
      <c r="AP63" s="203"/>
      <c r="AQ63" s="79">
        <v>40723</v>
      </c>
      <c r="AR63" s="80">
        <v>237</v>
      </c>
      <c r="AS63" s="148"/>
      <c r="AT63" s="159">
        <v>-3460</v>
      </c>
      <c r="AU63" s="184">
        <v>-3470</v>
      </c>
      <c r="AV63" s="81"/>
      <c r="AW63" s="185" t="s">
        <v>253</v>
      </c>
      <c r="AX63" s="82"/>
      <c r="AY63" s="83"/>
      <c r="AZ63" s="84"/>
      <c r="BA63" s="185" t="s">
        <v>254</v>
      </c>
      <c r="BB63" s="85" t="s">
        <v>298</v>
      </c>
      <c r="BC63" s="86">
        <v>2500</v>
      </c>
      <c r="BD63" s="87"/>
    </row>
    <row r="64" spans="1:56" ht="12.75" x14ac:dyDescent="0.25">
      <c r="A64" s="152">
        <v>2</v>
      </c>
      <c r="B64" s="142" t="s">
        <v>29</v>
      </c>
      <c r="C64" s="143" t="s">
        <v>255</v>
      </c>
      <c r="D64" s="144"/>
      <c r="E64" s="145">
        <v>5</v>
      </c>
      <c r="F64" s="146">
        <v>9</v>
      </c>
      <c r="G64" s="147"/>
      <c r="H64" s="148">
        <v>40695</v>
      </c>
      <c r="I64" s="153">
        <v>40317</v>
      </c>
      <c r="J64" s="208">
        <v>107056</v>
      </c>
      <c r="K64" s="153"/>
      <c r="L64" s="153" t="s">
        <v>258</v>
      </c>
      <c r="M64" s="153" t="s">
        <v>259</v>
      </c>
      <c r="N64" s="255">
        <v>60</v>
      </c>
      <c r="O64" s="255">
        <v>1944</v>
      </c>
      <c r="P64" s="253">
        <v>37.75</v>
      </c>
      <c r="Q64" s="149">
        <v>123</v>
      </c>
      <c r="R64" s="142">
        <v>10</v>
      </c>
      <c r="S64" s="154">
        <v>5.6625000000000005</v>
      </c>
      <c r="T64" s="155">
        <v>324</v>
      </c>
      <c r="U64" s="142">
        <v>50</v>
      </c>
      <c r="V64" s="142">
        <v>50</v>
      </c>
      <c r="W64" s="142">
        <v>5</v>
      </c>
      <c r="X64" s="142">
        <v>1</v>
      </c>
      <c r="Y64" s="267">
        <v>629.16666666666674</v>
      </c>
      <c r="Z64" s="267">
        <v>125.83333333333331</v>
      </c>
      <c r="AA64" s="268">
        <v>723.54166666666674</v>
      </c>
      <c r="AB64" s="267">
        <v>144.70833333333331</v>
      </c>
      <c r="AC64" s="158" t="s">
        <v>320</v>
      </c>
      <c r="AD64" s="150">
        <v>40486</v>
      </c>
      <c r="AE64" s="79">
        <v>40493</v>
      </c>
      <c r="AF64" s="79"/>
      <c r="AG64" s="79"/>
      <c r="AH64" s="79">
        <v>40507</v>
      </c>
      <c r="AI64" s="273"/>
      <c r="AJ64" s="79">
        <v>40521</v>
      </c>
      <c r="AK64" s="273"/>
      <c r="AL64" s="79">
        <v>40566</v>
      </c>
      <c r="AM64" s="79">
        <v>40646</v>
      </c>
      <c r="AN64" s="79">
        <v>40636</v>
      </c>
      <c r="AO64" s="79">
        <v>40716</v>
      </c>
      <c r="AP64" s="203"/>
      <c r="AQ64" s="79">
        <v>40723</v>
      </c>
      <c r="AR64" s="80">
        <v>237</v>
      </c>
      <c r="AS64" s="148"/>
      <c r="AT64" s="159">
        <v>-1730</v>
      </c>
      <c r="AU64" s="184">
        <v>-1735</v>
      </c>
      <c r="AV64" s="81"/>
      <c r="AW64" s="185" t="s">
        <v>258</v>
      </c>
      <c r="AX64" s="82"/>
      <c r="AY64" s="83"/>
      <c r="AZ64" s="84"/>
      <c r="BA64" s="185" t="s">
        <v>259</v>
      </c>
      <c r="BB64" s="85"/>
      <c r="BC64" s="86"/>
      <c r="BD64" s="87"/>
    </row>
    <row r="65" spans="1:56" ht="12.75" x14ac:dyDescent="0.25">
      <c r="A65" s="152">
        <v>2</v>
      </c>
      <c r="B65" s="142" t="s">
        <v>29</v>
      </c>
      <c r="C65" s="143" t="s">
        <v>256</v>
      </c>
      <c r="D65" s="144"/>
      <c r="E65" s="145">
        <v>5</v>
      </c>
      <c r="F65" s="146">
        <v>8</v>
      </c>
      <c r="G65" s="147"/>
      <c r="H65" s="148">
        <v>40664</v>
      </c>
      <c r="I65" s="153">
        <v>40317</v>
      </c>
      <c r="J65" s="208">
        <v>107057</v>
      </c>
      <c r="K65" s="153" t="s">
        <v>289</v>
      </c>
      <c r="L65" s="153" t="s">
        <v>260</v>
      </c>
      <c r="M65" s="153" t="s">
        <v>261</v>
      </c>
      <c r="N65" s="255">
        <v>60</v>
      </c>
      <c r="O65" s="255">
        <v>1944</v>
      </c>
      <c r="P65" s="253">
        <v>37.75</v>
      </c>
      <c r="Q65" s="149">
        <v>123</v>
      </c>
      <c r="R65" s="142">
        <v>11</v>
      </c>
      <c r="S65" s="154">
        <v>5.5366666666666671</v>
      </c>
      <c r="T65" s="155">
        <v>356.4</v>
      </c>
      <c r="U65" s="142">
        <v>50</v>
      </c>
      <c r="V65" s="142">
        <v>50</v>
      </c>
      <c r="W65" s="142">
        <v>5</v>
      </c>
      <c r="X65" s="142">
        <v>1</v>
      </c>
      <c r="Y65" s="267">
        <v>692.08333333333337</v>
      </c>
      <c r="Z65" s="267">
        <v>138.41666666666666</v>
      </c>
      <c r="AA65" s="268">
        <v>795.89583333333337</v>
      </c>
      <c r="AB65" s="267">
        <v>159.17916666666665</v>
      </c>
      <c r="AC65" s="158" t="s">
        <v>320</v>
      </c>
      <c r="AD65" s="150">
        <v>40486</v>
      </c>
      <c r="AE65" s="79">
        <v>40493</v>
      </c>
      <c r="AF65" s="79"/>
      <c r="AG65" s="79"/>
      <c r="AH65" s="79">
        <v>40507</v>
      </c>
      <c r="AI65" s="273"/>
      <c r="AJ65" s="79">
        <v>40521</v>
      </c>
      <c r="AK65" s="273"/>
      <c r="AL65" s="79">
        <v>40566</v>
      </c>
      <c r="AM65" s="79">
        <v>40646</v>
      </c>
      <c r="AN65" s="79">
        <v>40636</v>
      </c>
      <c r="AO65" s="79">
        <v>40716</v>
      </c>
      <c r="AP65" s="203"/>
      <c r="AQ65" s="79">
        <v>40723</v>
      </c>
      <c r="AR65" s="80">
        <v>237</v>
      </c>
      <c r="AS65" s="148"/>
      <c r="AT65" s="159">
        <v>-1730</v>
      </c>
      <c r="AU65" s="184">
        <v>-1735</v>
      </c>
      <c r="AV65" s="81"/>
      <c r="AW65" s="185" t="s">
        <v>260</v>
      </c>
      <c r="AX65" s="82" t="s">
        <v>293</v>
      </c>
      <c r="AY65" s="83">
        <v>1000</v>
      </c>
      <c r="AZ65" s="84"/>
      <c r="BA65" s="185" t="s">
        <v>261</v>
      </c>
      <c r="BB65" s="85" t="s">
        <v>292</v>
      </c>
      <c r="BC65" s="86">
        <v>500</v>
      </c>
      <c r="BD65" s="87"/>
    </row>
    <row r="66" spans="1:56" ht="12.75" x14ac:dyDescent="0.25">
      <c r="A66" s="152">
        <v>2</v>
      </c>
      <c r="B66" s="142" t="s">
        <v>29</v>
      </c>
      <c r="C66" s="143" t="s">
        <v>257</v>
      </c>
      <c r="D66" s="144"/>
      <c r="E66" s="145">
        <v>10</v>
      </c>
      <c r="F66" s="146">
        <v>8</v>
      </c>
      <c r="G66" s="147"/>
      <c r="H66" s="148">
        <v>40725</v>
      </c>
      <c r="I66" s="153">
        <v>40317</v>
      </c>
      <c r="J66" s="208">
        <v>107054</v>
      </c>
      <c r="K66" s="153" t="s">
        <v>289</v>
      </c>
      <c r="L66" s="153" t="s">
        <v>262</v>
      </c>
      <c r="M66" s="153" t="s">
        <v>263</v>
      </c>
      <c r="N66" s="255">
        <v>60</v>
      </c>
      <c r="O66" s="255">
        <v>1944</v>
      </c>
      <c r="P66" s="253">
        <v>37.75</v>
      </c>
      <c r="Q66" s="149">
        <v>123</v>
      </c>
      <c r="R66" s="142">
        <v>21</v>
      </c>
      <c r="S66" s="154">
        <v>10.57</v>
      </c>
      <c r="T66" s="155">
        <v>680.4</v>
      </c>
      <c r="U66" s="142">
        <v>50</v>
      </c>
      <c r="V66" s="142">
        <v>50</v>
      </c>
      <c r="W66" s="142">
        <v>5</v>
      </c>
      <c r="X66" s="142">
        <v>1</v>
      </c>
      <c r="Y66" s="267">
        <v>1321.25</v>
      </c>
      <c r="Z66" s="267">
        <v>264.25</v>
      </c>
      <c r="AA66" s="268">
        <v>1519.4374999999998</v>
      </c>
      <c r="AB66" s="267">
        <v>303.88749999999999</v>
      </c>
      <c r="AC66" s="158" t="s">
        <v>319</v>
      </c>
      <c r="AD66" s="150">
        <v>40486</v>
      </c>
      <c r="AE66" s="79">
        <v>40493</v>
      </c>
      <c r="AF66" s="79"/>
      <c r="AG66" s="79"/>
      <c r="AH66" s="79">
        <v>40507</v>
      </c>
      <c r="AI66" s="273"/>
      <c r="AJ66" s="79">
        <v>40521</v>
      </c>
      <c r="AK66" s="273"/>
      <c r="AL66" s="79">
        <v>40566</v>
      </c>
      <c r="AM66" s="79">
        <v>40646</v>
      </c>
      <c r="AN66" s="79">
        <v>40636</v>
      </c>
      <c r="AO66" s="79">
        <v>40716</v>
      </c>
      <c r="AP66" s="203"/>
      <c r="AQ66" s="79">
        <v>40723</v>
      </c>
      <c r="AR66" s="80">
        <v>237</v>
      </c>
      <c r="AS66" s="148"/>
      <c r="AT66" s="159">
        <v>-3460</v>
      </c>
      <c r="AU66" s="184">
        <v>-3470</v>
      </c>
      <c r="AV66" s="81"/>
      <c r="AW66" s="185" t="s">
        <v>262</v>
      </c>
      <c r="AX66" s="82" t="s">
        <v>302</v>
      </c>
      <c r="AY66" s="83">
        <v>2000</v>
      </c>
      <c r="AZ66" s="84"/>
      <c r="BA66" s="185" t="s">
        <v>263</v>
      </c>
      <c r="BB66" s="82" t="s">
        <v>301</v>
      </c>
      <c r="BC66" s="86">
        <v>1000</v>
      </c>
      <c r="BD66" s="87"/>
    </row>
    <row r="67" spans="1:56" s="103" customFormat="1" ht="12.75" x14ac:dyDescent="0.25">
      <c r="A67" s="152">
        <v>2</v>
      </c>
      <c r="B67" s="142" t="s">
        <v>29</v>
      </c>
      <c r="C67" s="143" t="s">
        <v>264</v>
      </c>
      <c r="D67" s="144"/>
      <c r="E67" s="219">
        <v>0</v>
      </c>
      <c r="F67" s="146">
        <v>8</v>
      </c>
      <c r="G67" s="147">
        <v>0.5</v>
      </c>
      <c r="H67" s="148">
        <v>40634</v>
      </c>
      <c r="I67" s="153">
        <v>40317</v>
      </c>
      <c r="J67" s="208">
        <v>107060</v>
      </c>
      <c r="K67" s="153" t="s">
        <v>289</v>
      </c>
      <c r="L67" s="153" t="s">
        <v>141</v>
      </c>
      <c r="M67" s="153" t="s">
        <v>265</v>
      </c>
      <c r="N67" s="255">
        <v>60</v>
      </c>
      <c r="O67" s="255">
        <v>1944</v>
      </c>
      <c r="P67" s="253">
        <v>37.75</v>
      </c>
      <c r="Q67" s="149">
        <v>123</v>
      </c>
      <c r="R67" s="218">
        <v>0</v>
      </c>
      <c r="S67" s="154">
        <v>0</v>
      </c>
      <c r="T67" s="155">
        <v>0</v>
      </c>
      <c r="U67" s="142">
        <v>50</v>
      </c>
      <c r="V67" s="142">
        <v>50</v>
      </c>
      <c r="W67" s="142">
        <v>5</v>
      </c>
      <c r="X67" s="142">
        <v>1</v>
      </c>
      <c r="Y67" s="267">
        <v>0</v>
      </c>
      <c r="Z67" s="267">
        <v>0</v>
      </c>
      <c r="AA67" s="268">
        <v>0</v>
      </c>
      <c r="AB67" s="267">
        <v>0</v>
      </c>
      <c r="AC67" s="158" t="s">
        <v>320</v>
      </c>
      <c r="AD67" s="150">
        <v>40486</v>
      </c>
      <c r="AE67" s="79">
        <v>40493</v>
      </c>
      <c r="AF67" s="79"/>
      <c r="AG67" s="79"/>
      <c r="AH67" s="79">
        <v>40507</v>
      </c>
      <c r="AI67" s="273"/>
      <c r="AJ67" s="79">
        <v>40521</v>
      </c>
      <c r="AK67" s="273"/>
      <c r="AL67" s="79">
        <v>40566</v>
      </c>
      <c r="AM67" s="79">
        <v>40646</v>
      </c>
      <c r="AN67" s="79">
        <v>40636</v>
      </c>
      <c r="AO67" s="79">
        <v>40716</v>
      </c>
      <c r="AP67" s="203"/>
      <c r="AQ67" s="79">
        <v>40723</v>
      </c>
      <c r="AR67" s="80">
        <v>237</v>
      </c>
      <c r="AS67" s="148"/>
      <c r="AT67" s="159">
        <v>0</v>
      </c>
      <c r="AU67" s="184">
        <v>0</v>
      </c>
      <c r="AV67" s="81"/>
      <c r="AW67" s="185" t="s">
        <v>141</v>
      </c>
      <c r="AX67" s="82" t="s">
        <v>300</v>
      </c>
      <c r="AY67" s="83">
        <v>3000</v>
      </c>
      <c r="AZ67" s="84"/>
      <c r="BA67" s="185" t="s">
        <v>265</v>
      </c>
      <c r="BB67" s="85" t="s">
        <v>299</v>
      </c>
      <c r="BC67" s="86">
        <v>500</v>
      </c>
      <c r="BD67" s="87"/>
    </row>
    <row r="68" spans="1:56" ht="12.75" x14ac:dyDescent="0.25">
      <c r="A68" s="152">
        <v>2</v>
      </c>
      <c r="B68" s="142" t="s">
        <v>29</v>
      </c>
      <c r="C68" s="143" t="s">
        <v>284</v>
      </c>
      <c r="D68" s="144"/>
      <c r="E68" s="145">
        <v>20</v>
      </c>
      <c r="F68" s="146">
        <v>5</v>
      </c>
      <c r="G68" s="147"/>
      <c r="H68" s="148">
        <v>40664</v>
      </c>
      <c r="I68" s="153">
        <v>40325</v>
      </c>
      <c r="J68" s="208">
        <v>107058</v>
      </c>
      <c r="K68" s="153" t="s">
        <v>289</v>
      </c>
      <c r="L68" s="153" t="s">
        <v>285</v>
      </c>
      <c r="M68" s="153" t="s">
        <v>286</v>
      </c>
      <c r="N68" s="255">
        <v>60</v>
      </c>
      <c r="O68" s="255">
        <v>1944</v>
      </c>
      <c r="P68" s="253">
        <v>37.75</v>
      </c>
      <c r="Q68" s="149">
        <v>124</v>
      </c>
      <c r="R68" s="142">
        <v>60</v>
      </c>
      <c r="S68" s="154">
        <v>18.875000000000004</v>
      </c>
      <c r="T68" s="155">
        <v>1944</v>
      </c>
      <c r="U68" s="142">
        <v>50</v>
      </c>
      <c r="V68" s="142">
        <v>50</v>
      </c>
      <c r="W68" s="142">
        <v>5</v>
      </c>
      <c r="X68" s="142">
        <v>1</v>
      </c>
      <c r="Y68" s="267">
        <v>3775.0000000000005</v>
      </c>
      <c r="Z68" s="267">
        <v>754.99999999999989</v>
      </c>
      <c r="AA68" s="268">
        <v>4341.25</v>
      </c>
      <c r="AB68" s="267">
        <v>868.24999999999977</v>
      </c>
      <c r="AC68" s="158" t="s">
        <v>320</v>
      </c>
      <c r="AD68" s="150">
        <v>40476</v>
      </c>
      <c r="AE68" s="79">
        <v>40483</v>
      </c>
      <c r="AF68" s="79"/>
      <c r="AG68" s="79"/>
      <c r="AH68" s="79">
        <v>40497</v>
      </c>
      <c r="AI68" s="273"/>
      <c r="AJ68" s="79">
        <v>40511</v>
      </c>
      <c r="AK68" s="273"/>
      <c r="AL68" s="79">
        <v>40556</v>
      </c>
      <c r="AM68" s="79">
        <v>40636</v>
      </c>
      <c r="AN68" s="79">
        <v>40626</v>
      </c>
      <c r="AO68" s="79">
        <v>40706</v>
      </c>
      <c r="AP68" s="203"/>
      <c r="AQ68" s="79">
        <v>40713</v>
      </c>
      <c r="AR68" s="80">
        <v>237</v>
      </c>
      <c r="AS68" s="148"/>
      <c r="AT68" s="159">
        <v>-6920</v>
      </c>
      <c r="AU68" s="184">
        <v>-6940</v>
      </c>
      <c r="AV68" s="81"/>
      <c r="AW68" s="185" t="s">
        <v>285</v>
      </c>
      <c r="AX68" s="82" t="s">
        <v>294</v>
      </c>
      <c r="AY68" s="83">
        <v>6500</v>
      </c>
      <c r="AZ68" s="84"/>
      <c r="BA68" s="185" t="s">
        <v>286</v>
      </c>
      <c r="BB68" s="85" t="s">
        <v>295</v>
      </c>
      <c r="BC68" s="86">
        <v>1900</v>
      </c>
      <c r="BD68" s="87"/>
    </row>
    <row r="69" spans="1:56" ht="12.75" x14ac:dyDescent="0.25">
      <c r="A69" s="220">
        <v>2</v>
      </c>
      <c r="B69" s="142" t="s">
        <v>11</v>
      </c>
      <c r="C69" s="143"/>
      <c r="D69" s="144"/>
      <c r="E69" s="145"/>
      <c r="F69" s="146"/>
      <c r="G69" s="147"/>
      <c r="H69" s="148"/>
      <c r="I69" s="221"/>
      <c r="J69" s="208"/>
      <c r="K69" s="222"/>
      <c r="L69" s="153"/>
      <c r="M69" s="153"/>
      <c r="N69" s="255">
        <v>60</v>
      </c>
      <c r="O69" s="255">
        <v>1944</v>
      </c>
      <c r="P69" s="253">
        <v>37.75</v>
      </c>
      <c r="Q69" s="149">
        <v>125</v>
      </c>
      <c r="R69" s="142">
        <v>26</v>
      </c>
      <c r="S69" s="154">
        <v>0</v>
      </c>
      <c r="T69" s="155">
        <v>842.4</v>
      </c>
      <c r="U69" s="142">
        <v>50</v>
      </c>
      <c r="V69" s="142">
        <v>50</v>
      </c>
      <c r="W69" s="218">
        <v>4</v>
      </c>
      <c r="X69" s="142">
        <v>1</v>
      </c>
      <c r="Y69" s="267">
        <v>1570.4</v>
      </c>
      <c r="Z69" s="267">
        <v>392.6</v>
      </c>
      <c r="AA69" s="268">
        <v>1805.96</v>
      </c>
      <c r="AB69" s="267">
        <v>451.49</v>
      </c>
      <c r="AC69" s="158" t="s">
        <v>320</v>
      </c>
      <c r="AD69" s="150">
        <v>40525</v>
      </c>
      <c r="AE69" s="79">
        <v>40546</v>
      </c>
      <c r="AF69" s="79"/>
      <c r="AG69" s="79"/>
      <c r="AH69" s="79">
        <v>40553</v>
      </c>
      <c r="AI69" s="273"/>
      <c r="AJ69" s="79">
        <v>40574</v>
      </c>
      <c r="AK69" s="273"/>
      <c r="AL69" s="79">
        <v>40581</v>
      </c>
      <c r="AM69" s="79">
        <v>40671</v>
      </c>
      <c r="AN69" s="79">
        <v>40641</v>
      </c>
      <c r="AO69" s="79">
        <v>40735</v>
      </c>
      <c r="AP69" s="79">
        <v>40648</v>
      </c>
      <c r="AQ69" s="79">
        <v>40742</v>
      </c>
      <c r="AR69" s="80">
        <v>217</v>
      </c>
      <c r="AS69" s="159"/>
      <c r="AT69" s="159">
        <v>0</v>
      </c>
      <c r="AU69" s="81"/>
      <c r="AV69" s="81"/>
      <c r="AW69" s="185">
        <v>0</v>
      </c>
      <c r="AX69" s="83"/>
      <c r="AY69" s="84"/>
      <c r="AZ69" s="84"/>
      <c r="BA69" s="185">
        <v>0</v>
      </c>
      <c r="BB69" s="86"/>
      <c r="BC69" s="87"/>
      <c r="BD69" s="223"/>
    </row>
    <row r="70" spans="1:56" s="103" customFormat="1" ht="12.75" x14ac:dyDescent="0.25">
      <c r="A70" s="152">
        <v>2</v>
      </c>
      <c r="B70" s="142" t="s">
        <v>11</v>
      </c>
      <c r="C70" s="143" t="s">
        <v>268</v>
      </c>
      <c r="D70" s="144"/>
      <c r="E70" s="215">
        <v>2</v>
      </c>
      <c r="F70" s="146">
        <v>8</v>
      </c>
      <c r="G70" s="147"/>
      <c r="H70" s="148">
        <v>40664</v>
      </c>
      <c r="I70" s="153">
        <v>40325</v>
      </c>
      <c r="J70" s="208">
        <v>107117</v>
      </c>
      <c r="K70" s="153"/>
      <c r="L70" s="153" t="s">
        <v>273</v>
      </c>
      <c r="M70" s="153" t="s">
        <v>274</v>
      </c>
      <c r="N70" s="255">
        <v>60</v>
      </c>
      <c r="O70" s="255">
        <v>1944</v>
      </c>
      <c r="P70" s="253">
        <v>37.75</v>
      </c>
      <c r="Q70" s="149">
        <v>125</v>
      </c>
      <c r="R70" s="142">
        <v>4</v>
      </c>
      <c r="S70" s="154">
        <v>1.9328000000000001</v>
      </c>
      <c r="T70" s="155">
        <v>129.6</v>
      </c>
      <c r="U70" s="142">
        <v>50</v>
      </c>
      <c r="V70" s="142">
        <v>50</v>
      </c>
      <c r="W70" s="218">
        <v>4</v>
      </c>
      <c r="X70" s="142">
        <v>1</v>
      </c>
      <c r="Y70" s="267">
        <v>241.60000000000002</v>
      </c>
      <c r="Z70" s="267">
        <v>60.400000000000006</v>
      </c>
      <c r="AA70" s="268">
        <v>277.84000000000003</v>
      </c>
      <c r="AB70" s="267">
        <v>69.460000000000008</v>
      </c>
      <c r="AC70" s="158" t="s">
        <v>320</v>
      </c>
      <c r="AD70" s="150">
        <v>40500</v>
      </c>
      <c r="AE70" s="79">
        <v>40521</v>
      </c>
      <c r="AF70" s="79"/>
      <c r="AG70" s="79"/>
      <c r="AH70" s="79">
        <v>40528</v>
      </c>
      <c r="AI70" s="273"/>
      <c r="AJ70" s="79">
        <v>40549</v>
      </c>
      <c r="AK70" s="273"/>
      <c r="AL70" s="79">
        <v>40556</v>
      </c>
      <c r="AM70" s="79">
        <v>40646</v>
      </c>
      <c r="AN70" s="79">
        <v>40616</v>
      </c>
      <c r="AO70" s="79">
        <v>40710</v>
      </c>
      <c r="AP70" s="203"/>
      <c r="AQ70" s="79">
        <v>40717</v>
      </c>
      <c r="AR70" s="80">
        <v>217</v>
      </c>
      <c r="AS70" s="148"/>
      <c r="AT70" s="159">
        <v>-692</v>
      </c>
      <c r="AU70" s="184">
        <v>-694</v>
      </c>
      <c r="AV70" s="81"/>
      <c r="AW70" s="185" t="s">
        <v>273</v>
      </c>
      <c r="AX70" s="82"/>
      <c r="AY70" s="83"/>
      <c r="AZ70" s="84"/>
      <c r="BA70" s="185" t="s">
        <v>274</v>
      </c>
      <c r="BB70" s="85"/>
      <c r="BC70" s="86"/>
      <c r="BD70" s="87"/>
    </row>
    <row r="71" spans="1:56" ht="12.75" x14ac:dyDescent="0.25">
      <c r="A71" s="152">
        <v>2</v>
      </c>
      <c r="B71" s="142" t="s">
        <v>11</v>
      </c>
      <c r="C71" s="143" t="s">
        <v>279</v>
      </c>
      <c r="D71" s="144"/>
      <c r="E71" s="145">
        <v>12</v>
      </c>
      <c r="F71" s="146">
        <v>8</v>
      </c>
      <c r="G71" s="147"/>
      <c r="H71" s="148">
        <v>40299</v>
      </c>
      <c r="I71" s="153">
        <v>40325</v>
      </c>
      <c r="J71" s="208">
        <v>107120</v>
      </c>
      <c r="K71" s="153"/>
      <c r="L71" s="153" t="s">
        <v>273</v>
      </c>
      <c r="M71" s="153" t="s">
        <v>248</v>
      </c>
      <c r="N71" s="255">
        <v>60</v>
      </c>
      <c r="O71" s="255">
        <v>1944</v>
      </c>
      <c r="P71" s="253">
        <v>37.75</v>
      </c>
      <c r="Q71" s="149">
        <v>125</v>
      </c>
      <c r="R71" s="142">
        <v>30</v>
      </c>
      <c r="S71" s="154">
        <v>14.496000000000002</v>
      </c>
      <c r="T71" s="155">
        <v>972</v>
      </c>
      <c r="U71" s="142">
        <v>50</v>
      </c>
      <c r="V71" s="142">
        <v>50</v>
      </c>
      <c r="W71" s="218">
        <v>4</v>
      </c>
      <c r="X71" s="142">
        <v>1</v>
      </c>
      <c r="Y71" s="267">
        <v>1812.0000000000002</v>
      </c>
      <c r="Z71" s="267">
        <v>453.00000000000006</v>
      </c>
      <c r="AA71" s="268">
        <v>2083.8000000000002</v>
      </c>
      <c r="AB71" s="267">
        <v>520.95000000000005</v>
      </c>
      <c r="AC71" s="158" t="s">
        <v>320</v>
      </c>
      <c r="AD71" s="150">
        <v>40500</v>
      </c>
      <c r="AE71" s="79">
        <v>40521</v>
      </c>
      <c r="AF71" s="79"/>
      <c r="AG71" s="79"/>
      <c r="AH71" s="79">
        <v>40528</v>
      </c>
      <c r="AI71" s="273"/>
      <c r="AJ71" s="79">
        <v>40549</v>
      </c>
      <c r="AK71" s="273"/>
      <c r="AL71" s="79">
        <v>40556</v>
      </c>
      <c r="AM71" s="79">
        <v>40646</v>
      </c>
      <c r="AN71" s="79">
        <v>40616</v>
      </c>
      <c r="AO71" s="79">
        <v>40710</v>
      </c>
      <c r="AP71" s="203"/>
      <c r="AQ71" s="79">
        <v>40717</v>
      </c>
      <c r="AR71" s="80">
        <v>217</v>
      </c>
      <c r="AS71" s="148"/>
      <c r="AT71" s="159">
        <v>-4152</v>
      </c>
      <c r="AU71" s="184">
        <v>-4164</v>
      </c>
      <c r="AV71" s="81"/>
      <c r="AW71" s="185" t="s">
        <v>273</v>
      </c>
      <c r="AX71" s="82"/>
      <c r="AY71" s="83"/>
      <c r="AZ71" s="84"/>
      <c r="BA71" s="185" t="s">
        <v>248</v>
      </c>
      <c r="BB71" s="85"/>
      <c r="BC71" s="86"/>
      <c r="BD71" s="87"/>
    </row>
    <row r="72" spans="1:56" ht="12.75" x14ac:dyDescent="0.25">
      <c r="A72" s="152">
        <v>2</v>
      </c>
      <c r="B72" s="142" t="s">
        <v>11</v>
      </c>
      <c r="C72" s="143" t="s">
        <v>277</v>
      </c>
      <c r="D72" s="144"/>
      <c r="E72" s="219">
        <v>0</v>
      </c>
      <c r="F72" s="146">
        <v>7</v>
      </c>
      <c r="G72" s="147"/>
      <c r="H72" s="148">
        <v>40664</v>
      </c>
      <c r="I72" s="153">
        <v>40325</v>
      </c>
      <c r="J72" s="208">
        <v>107128</v>
      </c>
      <c r="K72" s="153"/>
      <c r="L72" s="153" t="s">
        <v>276</v>
      </c>
      <c r="M72" s="153" t="s">
        <v>278</v>
      </c>
      <c r="N72" s="255">
        <v>40</v>
      </c>
      <c r="O72" s="255">
        <v>1296</v>
      </c>
      <c r="P72" s="253">
        <v>37.75</v>
      </c>
      <c r="Q72" s="149">
        <v>126</v>
      </c>
      <c r="R72" s="218">
        <v>0</v>
      </c>
      <c r="S72" s="154">
        <v>0</v>
      </c>
      <c r="T72" s="155">
        <v>0</v>
      </c>
      <c r="U72" s="142">
        <v>50</v>
      </c>
      <c r="V72" s="142">
        <v>50</v>
      </c>
      <c r="W72" s="218">
        <v>4</v>
      </c>
      <c r="X72" s="142">
        <v>1</v>
      </c>
      <c r="Y72" s="267">
        <v>0</v>
      </c>
      <c r="Z72" s="267">
        <v>0</v>
      </c>
      <c r="AA72" s="268">
        <v>0</v>
      </c>
      <c r="AB72" s="267">
        <v>0</v>
      </c>
      <c r="AC72" s="158" t="s">
        <v>320</v>
      </c>
      <c r="AD72" s="150">
        <v>40498</v>
      </c>
      <c r="AE72" s="79">
        <v>40512</v>
      </c>
      <c r="AF72" s="79"/>
      <c r="AG72" s="79"/>
      <c r="AH72" s="79">
        <v>40526</v>
      </c>
      <c r="AI72" s="273"/>
      <c r="AJ72" s="79">
        <v>40540</v>
      </c>
      <c r="AK72" s="273"/>
      <c r="AL72" s="79">
        <v>40554</v>
      </c>
      <c r="AM72" s="79">
        <v>40644</v>
      </c>
      <c r="AN72" s="79">
        <v>40614</v>
      </c>
      <c r="AO72" s="79">
        <v>40708</v>
      </c>
      <c r="AP72" s="203"/>
      <c r="AQ72" s="79">
        <v>40715</v>
      </c>
      <c r="AR72" s="80">
        <v>217</v>
      </c>
      <c r="AS72" s="148"/>
      <c r="AT72" s="159">
        <v>0</v>
      </c>
      <c r="AU72" s="184">
        <v>0</v>
      </c>
      <c r="AV72" s="81"/>
      <c r="AW72" s="185" t="s">
        <v>276</v>
      </c>
      <c r="AX72" s="82"/>
      <c r="AY72" s="83"/>
      <c r="AZ72" s="84"/>
      <c r="BA72" s="185" t="s">
        <v>278</v>
      </c>
      <c r="BB72" s="85"/>
      <c r="BC72" s="86"/>
      <c r="BD72" s="87"/>
    </row>
    <row r="73" spans="1:56" ht="25.5" x14ac:dyDescent="0.25">
      <c r="A73" s="228">
        <v>2</v>
      </c>
      <c r="B73" s="229" t="s">
        <v>29</v>
      </c>
      <c r="C73" s="143" t="s">
        <v>42</v>
      </c>
      <c r="D73" s="144">
        <v>2</v>
      </c>
      <c r="E73" s="145">
        <v>23</v>
      </c>
      <c r="F73" s="230">
        <v>7</v>
      </c>
      <c r="G73" s="231">
        <v>0.5</v>
      </c>
      <c r="H73" s="232">
        <v>40664</v>
      </c>
      <c r="I73" s="233">
        <v>40317</v>
      </c>
      <c r="J73" s="208">
        <v>107062</v>
      </c>
      <c r="K73" s="222" t="s">
        <v>289</v>
      </c>
      <c r="L73" s="153" t="s">
        <v>141</v>
      </c>
      <c r="M73" s="153" t="s">
        <v>148</v>
      </c>
      <c r="N73" s="255">
        <v>40</v>
      </c>
      <c r="O73" s="255">
        <v>1296</v>
      </c>
      <c r="P73" s="254">
        <v>37.75</v>
      </c>
      <c r="Q73" s="234">
        <v>126</v>
      </c>
      <c r="R73" s="235">
        <v>40</v>
      </c>
      <c r="S73" s="236">
        <v>17.616666666666667</v>
      </c>
      <c r="T73" s="237">
        <v>1296</v>
      </c>
      <c r="U73" s="229">
        <v>50</v>
      </c>
      <c r="V73" s="229">
        <v>50</v>
      </c>
      <c r="W73" s="229">
        <v>5</v>
      </c>
      <c r="X73" s="229">
        <v>1</v>
      </c>
      <c r="Y73" s="267">
        <v>2516.666666666667</v>
      </c>
      <c r="Z73" s="267">
        <v>503.33333333333326</v>
      </c>
      <c r="AA73" s="268">
        <v>2894.166666666667</v>
      </c>
      <c r="AB73" s="267">
        <v>578.83333333333326</v>
      </c>
      <c r="AC73" s="158" t="s">
        <v>320</v>
      </c>
      <c r="AD73" s="243">
        <v>40391</v>
      </c>
      <c r="AE73" s="79">
        <v>40398</v>
      </c>
      <c r="AF73" s="79"/>
      <c r="AG73" s="79"/>
      <c r="AH73" s="79">
        <v>40412</v>
      </c>
      <c r="AI73" s="273"/>
      <c r="AJ73" s="79">
        <v>40426</v>
      </c>
      <c r="AK73" s="273"/>
      <c r="AL73" s="79">
        <v>40471</v>
      </c>
      <c r="AM73" s="79">
        <v>40591</v>
      </c>
      <c r="AN73" s="79">
        <v>40541</v>
      </c>
      <c r="AO73" s="79">
        <v>40661</v>
      </c>
      <c r="AP73" s="203"/>
      <c r="AQ73" s="79">
        <v>40668</v>
      </c>
      <c r="AR73" s="80">
        <v>277</v>
      </c>
      <c r="AS73" s="232"/>
      <c r="AT73" s="238">
        <v>-6394</v>
      </c>
      <c r="AU73" s="239">
        <v>-6417</v>
      </c>
      <c r="AV73" s="81" t="s">
        <v>282</v>
      </c>
      <c r="AW73" s="185" t="s">
        <v>141</v>
      </c>
      <c r="AX73" s="146" t="s">
        <v>290</v>
      </c>
      <c r="AY73" s="240">
        <v>12000</v>
      </c>
      <c r="AZ73" s="241"/>
      <c r="BA73" s="185" t="s">
        <v>148</v>
      </c>
      <c r="BB73" s="146" t="s">
        <v>291</v>
      </c>
      <c r="BC73" s="240">
        <v>1500</v>
      </c>
      <c r="BD73" s="242"/>
    </row>
    <row r="74" spans="1:56" s="103" customFormat="1" ht="12.75" x14ac:dyDescent="0.25">
      <c r="A74" s="152">
        <v>2</v>
      </c>
      <c r="B74" s="142"/>
      <c r="C74" s="143"/>
      <c r="D74" s="144"/>
      <c r="E74" s="145"/>
      <c r="F74" s="146"/>
      <c r="G74" s="147"/>
      <c r="H74" s="148"/>
      <c r="I74" s="153"/>
      <c r="J74" s="198"/>
      <c r="K74" s="153"/>
      <c r="L74" s="153"/>
      <c r="M74" s="153"/>
      <c r="N74" s="255">
        <v>40</v>
      </c>
      <c r="O74" s="255">
        <v>1296</v>
      </c>
      <c r="P74" s="253">
        <v>37.75</v>
      </c>
      <c r="Q74" s="149">
        <v>131</v>
      </c>
      <c r="R74" s="142"/>
      <c r="S74" s="154">
        <v>0</v>
      </c>
      <c r="T74" s="155">
        <v>0</v>
      </c>
      <c r="U74" s="142">
        <v>50</v>
      </c>
      <c r="V74" s="142">
        <v>50</v>
      </c>
      <c r="W74" s="142">
        <v>5</v>
      </c>
      <c r="X74" s="142">
        <v>1</v>
      </c>
      <c r="Y74" s="267">
        <v>0</v>
      </c>
      <c r="Z74" s="267">
        <v>0</v>
      </c>
      <c r="AA74" s="268">
        <v>0</v>
      </c>
      <c r="AB74" s="267">
        <v>0</v>
      </c>
      <c r="AC74" s="158" t="s">
        <v>320</v>
      </c>
      <c r="AD74" s="150">
        <v>40547</v>
      </c>
      <c r="AE74" s="79">
        <v>40554</v>
      </c>
      <c r="AF74" s="79"/>
      <c r="AG74" s="79"/>
      <c r="AH74" s="79">
        <v>40568</v>
      </c>
      <c r="AI74" s="273"/>
      <c r="AJ74" s="79">
        <v>40582</v>
      </c>
      <c r="AK74" s="273"/>
      <c r="AL74" s="79">
        <v>40627</v>
      </c>
      <c r="AM74" s="79">
        <v>40747</v>
      </c>
      <c r="AN74" s="79">
        <v>40697</v>
      </c>
      <c r="AO74" s="79">
        <v>40817</v>
      </c>
      <c r="AP74" s="203"/>
      <c r="AQ74" s="79">
        <v>40824</v>
      </c>
      <c r="AR74" s="80">
        <v>277</v>
      </c>
      <c r="AS74" s="148"/>
      <c r="AT74" s="159">
        <v>-1610</v>
      </c>
      <c r="AU74" s="184">
        <v>-1610</v>
      </c>
      <c r="AV74" s="81"/>
      <c r="AW74" s="185">
        <v>0</v>
      </c>
      <c r="AX74" s="82"/>
      <c r="AY74" s="83"/>
      <c r="AZ74" s="84"/>
      <c r="BA74" s="185">
        <v>0</v>
      </c>
      <c r="BB74" s="85"/>
      <c r="BC74" s="86"/>
      <c r="BD74" s="87"/>
    </row>
    <row r="75" spans="1:56" ht="12.75" x14ac:dyDescent="0.25">
      <c r="A75" s="152">
        <v>2</v>
      </c>
      <c r="B75" s="142" t="s">
        <v>11</v>
      </c>
      <c r="C75" s="143" t="s">
        <v>59</v>
      </c>
      <c r="D75" s="144">
        <v>2</v>
      </c>
      <c r="E75" s="145">
        <v>14</v>
      </c>
      <c r="F75" s="146">
        <v>4</v>
      </c>
      <c r="G75" s="147"/>
      <c r="H75" s="148">
        <v>40664</v>
      </c>
      <c r="I75" s="153">
        <v>40325</v>
      </c>
      <c r="J75" s="208">
        <v>107130</v>
      </c>
      <c r="K75" s="153"/>
      <c r="L75" s="153" t="s">
        <v>140</v>
      </c>
      <c r="M75" s="153" t="s">
        <v>143</v>
      </c>
      <c r="N75" s="255">
        <v>60</v>
      </c>
      <c r="O75" s="255">
        <v>1944</v>
      </c>
      <c r="P75" s="253">
        <v>37.75</v>
      </c>
      <c r="Q75" s="149">
        <v>132</v>
      </c>
      <c r="R75" s="142">
        <v>60</v>
      </c>
      <c r="S75" s="154">
        <v>15.100000000000001</v>
      </c>
      <c r="T75" s="155">
        <v>1944</v>
      </c>
      <c r="U75" s="142">
        <v>50</v>
      </c>
      <c r="V75" s="142">
        <v>50</v>
      </c>
      <c r="W75" s="142">
        <v>5</v>
      </c>
      <c r="X75" s="142">
        <v>1</v>
      </c>
      <c r="Y75" s="267">
        <v>3775.0000000000005</v>
      </c>
      <c r="Z75" s="267">
        <v>754.99999999999989</v>
      </c>
      <c r="AA75" s="268">
        <v>4341.25</v>
      </c>
      <c r="AB75" s="267">
        <v>868.24999999999977</v>
      </c>
      <c r="AC75" s="158" t="s">
        <v>320</v>
      </c>
      <c r="AD75" s="150">
        <v>40544</v>
      </c>
      <c r="AE75" s="79">
        <v>40565</v>
      </c>
      <c r="AF75" s="79"/>
      <c r="AG75" s="79"/>
      <c r="AH75" s="79">
        <v>40572</v>
      </c>
      <c r="AI75" s="273"/>
      <c r="AJ75" s="79">
        <v>40593</v>
      </c>
      <c r="AK75" s="273"/>
      <c r="AL75" s="79">
        <v>40600</v>
      </c>
      <c r="AM75" s="79">
        <v>40690</v>
      </c>
      <c r="AN75" s="79">
        <v>40660</v>
      </c>
      <c r="AO75" s="79">
        <v>40754</v>
      </c>
      <c r="AP75" s="203"/>
      <c r="AQ75" s="79">
        <v>40761</v>
      </c>
      <c r="AR75" s="80">
        <v>217</v>
      </c>
      <c r="AS75" s="148"/>
      <c r="AT75" s="159">
        <v>-4844</v>
      </c>
      <c r="AU75" s="184">
        <v>-4858</v>
      </c>
      <c r="AV75" s="81"/>
      <c r="AW75" s="185" t="s">
        <v>140</v>
      </c>
      <c r="AX75" s="82"/>
      <c r="AY75" s="83"/>
      <c r="AZ75" s="84"/>
      <c r="BA75" s="185" t="s">
        <v>143</v>
      </c>
      <c r="BB75" s="85"/>
      <c r="BC75" s="86"/>
      <c r="BD75" s="87"/>
    </row>
    <row r="76" spans="1:56" ht="12.75" x14ac:dyDescent="0.25">
      <c r="A76" s="152">
        <v>2</v>
      </c>
      <c r="B76" s="142"/>
      <c r="C76" s="143"/>
      <c r="D76" s="144"/>
      <c r="E76" s="145"/>
      <c r="F76" s="146"/>
      <c r="G76" s="147"/>
      <c r="H76" s="148"/>
      <c r="I76" s="153"/>
      <c r="J76" s="208"/>
      <c r="K76" s="153"/>
      <c r="L76" s="153"/>
      <c r="M76" s="153"/>
      <c r="N76" s="255">
        <v>60</v>
      </c>
      <c r="O76" s="255">
        <v>1944</v>
      </c>
      <c r="P76" s="253">
        <v>37.75</v>
      </c>
      <c r="Q76" s="149">
        <v>133</v>
      </c>
      <c r="R76" s="142">
        <v>60</v>
      </c>
      <c r="S76" s="154" t="e">
        <v>#DIV/0!</v>
      </c>
      <c r="T76" s="155">
        <v>1944</v>
      </c>
      <c r="U76" s="142"/>
      <c r="V76" s="142"/>
      <c r="W76" s="142"/>
      <c r="X76" s="142"/>
      <c r="Y76" s="267" t="e">
        <v>#DIV/0!</v>
      </c>
      <c r="Z76" s="267" t="e">
        <v>#DIV/0!</v>
      </c>
      <c r="AA76" s="268" t="e">
        <v>#DIV/0!</v>
      </c>
      <c r="AB76" s="267" t="e">
        <v>#DIV/0!</v>
      </c>
      <c r="AC76" s="158" t="s">
        <v>320</v>
      </c>
      <c r="AD76" s="150">
        <v>40544</v>
      </c>
      <c r="AE76" s="79"/>
      <c r="AF76" s="79"/>
      <c r="AG76" s="79"/>
      <c r="AH76" s="79"/>
      <c r="AI76" s="273"/>
      <c r="AJ76" s="79"/>
      <c r="AK76" s="273"/>
      <c r="AL76" s="79"/>
      <c r="AM76" s="79"/>
      <c r="AN76" s="79"/>
      <c r="AO76" s="79"/>
      <c r="AP76" s="203"/>
      <c r="AQ76" s="79"/>
      <c r="AR76" s="80"/>
      <c r="AS76" s="148"/>
      <c r="AT76" s="159">
        <v>0</v>
      </c>
      <c r="AU76" s="187">
        <v>0</v>
      </c>
      <c r="AV76" s="81"/>
      <c r="AW76" s="185">
        <v>0</v>
      </c>
      <c r="AX76" s="82"/>
      <c r="AY76" s="83"/>
      <c r="AZ76" s="84"/>
      <c r="BA76" s="185">
        <v>0</v>
      </c>
      <c r="BB76" s="85"/>
      <c r="BC76" s="86"/>
      <c r="BD76" s="87"/>
    </row>
    <row r="77" spans="1:56" ht="12.75" x14ac:dyDescent="0.25">
      <c r="A77" s="152">
        <v>2</v>
      </c>
      <c r="B77" s="142"/>
      <c r="C77" s="143"/>
      <c r="D77" s="144"/>
      <c r="E77" s="145"/>
      <c r="F77" s="146"/>
      <c r="G77" s="147"/>
      <c r="H77" s="148"/>
      <c r="I77" s="153"/>
      <c r="J77" s="208"/>
      <c r="K77" s="153"/>
      <c r="L77" s="153"/>
      <c r="M77" s="153"/>
      <c r="N77" s="255">
        <v>60</v>
      </c>
      <c r="O77" s="255">
        <v>1944</v>
      </c>
      <c r="P77" s="253">
        <v>37.75</v>
      </c>
      <c r="Q77" s="149">
        <v>134</v>
      </c>
      <c r="R77" s="142">
        <v>60</v>
      </c>
      <c r="S77" s="154" t="e">
        <v>#DIV/0!</v>
      </c>
      <c r="T77" s="155">
        <v>1944</v>
      </c>
      <c r="U77" s="142"/>
      <c r="V77" s="142"/>
      <c r="W77" s="142"/>
      <c r="X77" s="142"/>
      <c r="Y77" s="267" t="e">
        <v>#DIV/0!</v>
      </c>
      <c r="Z77" s="267" t="e">
        <v>#DIV/0!</v>
      </c>
      <c r="AA77" s="268" t="e">
        <v>#DIV/0!</v>
      </c>
      <c r="AB77" s="267" t="e">
        <v>#DIV/0!</v>
      </c>
      <c r="AC77" s="158" t="s">
        <v>320</v>
      </c>
      <c r="AD77" s="150">
        <v>40512</v>
      </c>
      <c r="AE77" s="79"/>
      <c r="AF77" s="79"/>
      <c r="AG77" s="79"/>
      <c r="AH77" s="79"/>
      <c r="AI77" s="273"/>
      <c r="AJ77" s="79"/>
      <c r="AK77" s="273"/>
      <c r="AL77" s="79"/>
      <c r="AM77" s="79"/>
      <c r="AN77" s="79"/>
      <c r="AO77" s="79"/>
      <c r="AP77" s="203"/>
      <c r="AQ77" s="79"/>
      <c r="AR77" s="80"/>
      <c r="AS77" s="148"/>
      <c r="AT77" s="159">
        <v>0</v>
      </c>
      <c r="AU77" s="187">
        <v>0</v>
      </c>
      <c r="AV77" s="81"/>
      <c r="AW77" s="185">
        <v>0</v>
      </c>
      <c r="AX77" s="82"/>
      <c r="AY77" s="83"/>
      <c r="AZ77" s="84"/>
      <c r="BA77" s="185">
        <v>0</v>
      </c>
      <c r="BB77" s="85"/>
      <c r="BC77" s="86"/>
      <c r="BD77" s="87"/>
    </row>
    <row r="78" spans="1:56" ht="12.75" x14ac:dyDescent="0.25">
      <c r="A78" s="152">
        <v>2</v>
      </c>
      <c r="B78" s="142"/>
      <c r="C78" s="143"/>
      <c r="D78" s="144"/>
      <c r="E78" s="145"/>
      <c r="F78" s="146"/>
      <c r="G78" s="147"/>
      <c r="H78" s="148"/>
      <c r="I78" s="153"/>
      <c r="J78" s="208"/>
      <c r="K78" s="153"/>
      <c r="L78" s="153"/>
      <c r="M78" s="153"/>
      <c r="N78" s="255">
        <v>60</v>
      </c>
      <c r="O78" s="255">
        <v>1944</v>
      </c>
      <c r="P78" s="253">
        <v>37.75</v>
      </c>
      <c r="Q78" s="149">
        <v>135</v>
      </c>
      <c r="R78" s="142">
        <v>60</v>
      </c>
      <c r="S78" s="154" t="e">
        <v>#DIV/0!</v>
      </c>
      <c r="T78" s="155">
        <v>1944</v>
      </c>
      <c r="U78" s="142"/>
      <c r="V78" s="142"/>
      <c r="W78" s="142"/>
      <c r="X78" s="142"/>
      <c r="Y78" s="267" t="e">
        <v>#DIV/0!</v>
      </c>
      <c r="Z78" s="267" t="e">
        <v>#DIV/0!</v>
      </c>
      <c r="AA78" s="268" t="e">
        <v>#DIV/0!</v>
      </c>
      <c r="AB78" s="267" t="e">
        <v>#DIV/0!</v>
      </c>
      <c r="AC78" s="158" t="s">
        <v>320</v>
      </c>
      <c r="AD78" s="150">
        <v>40560</v>
      </c>
      <c r="AE78" s="79"/>
      <c r="AF78" s="79"/>
      <c r="AG78" s="79"/>
      <c r="AH78" s="79"/>
      <c r="AI78" s="273"/>
      <c r="AJ78" s="79"/>
      <c r="AK78" s="273"/>
      <c r="AL78" s="79"/>
      <c r="AM78" s="79"/>
      <c r="AN78" s="79"/>
      <c r="AO78" s="79"/>
      <c r="AP78" s="203"/>
      <c r="AQ78" s="79"/>
      <c r="AR78" s="80"/>
      <c r="AS78" s="148"/>
      <c r="AT78" s="159">
        <v>0</v>
      </c>
      <c r="AU78" s="187">
        <v>0</v>
      </c>
      <c r="AV78" s="81"/>
      <c r="AW78" s="185">
        <v>0</v>
      </c>
      <c r="AX78" s="82"/>
      <c r="AY78" s="83"/>
      <c r="AZ78" s="84"/>
      <c r="BA78" s="185">
        <v>0</v>
      </c>
      <c r="BB78" s="85"/>
      <c r="BC78" s="86"/>
      <c r="BD78" s="87"/>
    </row>
    <row r="79" spans="1:56" ht="12.75" x14ac:dyDescent="0.25">
      <c r="A79" s="152">
        <v>2</v>
      </c>
      <c r="B79" s="142"/>
      <c r="C79" s="143"/>
      <c r="D79" s="144"/>
      <c r="E79" s="145"/>
      <c r="F79" s="146"/>
      <c r="G79" s="147"/>
      <c r="H79" s="148"/>
      <c r="I79" s="153"/>
      <c r="J79" s="208"/>
      <c r="K79" s="153"/>
      <c r="L79" s="153"/>
      <c r="M79" s="153"/>
      <c r="N79" s="255">
        <v>40</v>
      </c>
      <c r="O79" s="255">
        <v>1296</v>
      </c>
      <c r="P79" s="253">
        <v>37.75</v>
      </c>
      <c r="Q79" s="149">
        <v>136</v>
      </c>
      <c r="R79" s="142">
        <v>40</v>
      </c>
      <c r="S79" s="154" t="e">
        <v>#DIV/0!</v>
      </c>
      <c r="T79" s="155">
        <v>1296</v>
      </c>
      <c r="U79" s="142"/>
      <c r="V79" s="142"/>
      <c r="W79" s="142"/>
      <c r="X79" s="142"/>
      <c r="Y79" s="267" t="e">
        <v>#DIV/0!</v>
      </c>
      <c r="Z79" s="267" t="e">
        <v>#DIV/0!</v>
      </c>
      <c r="AA79" s="268" t="e">
        <v>#DIV/0!</v>
      </c>
      <c r="AB79" s="267" t="e">
        <v>#DIV/0!</v>
      </c>
      <c r="AC79" s="158" t="s">
        <v>320</v>
      </c>
      <c r="AD79" s="150">
        <v>40519</v>
      </c>
      <c r="AE79" s="79"/>
      <c r="AF79" s="79"/>
      <c r="AG79" s="79"/>
      <c r="AH79" s="79"/>
      <c r="AI79" s="273"/>
      <c r="AJ79" s="79"/>
      <c r="AK79" s="273"/>
      <c r="AL79" s="79"/>
      <c r="AM79" s="79"/>
      <c r="AN79" s="79"/>
      <c r="AO79" s="79"/>
      <c r="AP79" s="203"/>
      <c r="AQ79" s="79"/>
      <c r="AR79" s="80"/>
      <c r="AS79" s="148"/>
      <c r="AT79" s="159">
        <v>0</v>
      </c>
      <c r="AU79" s="187">
        <v>0</v>
      </c>
      <c r="AV79" s="81"/>
      <c r="AW79" s="185">
        <v>0</v>
      </c>
      <c r="AX79" s="82"/>
      <c r="AY79" s="83"/>
      <c r="AZ79" s="84"/>
      <c r="BA79" s="185">
        <v>0</v>
      </c>
      <c r="BB79" s="85"/>
      <c r="BC79" s="86"/>
      <c r="BD79" s="87"/>
    </row>
    <row r="82" spans="10:10" x14ac:dyDescent="0.25">
      <c r="J82" s="216"/>
    </row>
  </sheetData>
  <sheetProtection formatCells="0" formatColumns="0" formatRows="0" sort="0" autoFilter="0"/>
  <conditionalFormatting sqref="AC5:AC41 AC43:AC79 AA5:AA79">
    <cfRule type="cellIs" dxfId="93" priority="104" stopIfTrue="1" operator="equal">
      <formula>"Check"</formula>
    </cfRule>
    <cfRule type="cellIs" dxfId="92" priority="105" stopIfTrue="1" operator="equal">
      <formula>"Check!"</formula>
    </cfRule>
  </conditionalFormatting>
  <conditionalFormatting sqref="T1:T1048576">
    <cfRule type="expression" dxfId="91" priority="98">
      <formula>$T1="too many rows!"</formula>
    </cfRule>
  </conditionalFormatting>
  <conditionalFormatting sqref="T43">
    <cfRule type="expression" dxfId="90" priority="80">
      <formula>$T43="too many rows!"</formula>
    </cfRule>
  </conditionalFormatting>
  <conditionalFormatting sqref="T44">
    <cfRule type="expression" dxfId="89" priority="75">
      <formula>$T44="too many rows!"</formula>
    </cfRule>
  </conditionalFormatting>
  <conditionalFormatting sqref="T45:T49">
    <cfRule type="expression" dxfId="88" priority="72">
      <formula>$T45="too many rows!"</formula>
    </cfRule>
  </conditionalFormatting>
  <conditionalFormatting sqref="T50:T51">
    <cfRule type="expression" dxfId="87" priority="69">
      <formula>$T50="too many rows!"</formula>
    </cfRule>
  </conditionalFormatting>
  <conditionalFormatting sqref="T52">
    <cfRule type="expression" dxfId="86" priority="66">
      <formula>$T52="too many rows!"</formula>
    </cfRule>
  </conditionalFormatting>
  <conditionalFormatting sqref="T53">
    <cfRule type="expression" dxfId="85" priority="63">
      <formula>$T53="too many rows!"</formula>
    </cfRule>
  </conditionalFormatting>
  <conditionalFormatting sqref="T54">
    <cfRule type="expression" dxfId="84" priority="60">
      <formula>$T54="too many rows!"</formula>
    </cfRule>
  </conditionalFormatting>
  <conditionalFormatting sqref="T55">
    <cfRule type="expression" dxfId="83" priority="57">
      <formula>$T55="too many rows!"</formula>
    </cfRule>
  </conditionalFormatting>
  <conditionalFormatting sqref="T62">
    <cfRule type="expression" dxfId="82" priority="54">
      <formula>$T62="too many rows!"</formula>
    </cfRule>
  </conditionalFormatting>
  <conditionalFormatting sqref="T63">
    <cfRule type="expression" dxfId="81" priority="51">
      <formula>$T63="too many rows!"</formula>
    </cfRule>
  </conditionalFormatting>
  <conditionalFormatting sqref="T64">
    <cfRule type="expression" dxfId="80" priority="48">
      <formula>$T64="too many rows!"</formula>
    </cfRule>
  </conditionalFormatting>
  <conditionalFormatting sqref="E58:E59 E56">
    <cfRule type="expression" dxfId="79" priority="38" stopIfTrue="1">
      <formula>#REF!="original"</formula>
    </cfRule>
  </conditionalFormatting>
  <conditionalFormatting sqref="T72:T73">
    <cfRule type="expression" dxfId="78" priority="32">
      <formula>$T72="too many rows!"</formula>
    </cfRule>
  </conditionalFormatting>
  <conditionalFormatting sqref="T71">
    <cfRule type="expression" dxfId="77" priority="26">
      <formula>$T71="too many rows!"</formula>
    </cfRule>
  </conditionalFormatting>
  <conditionalFormatting sqref="T70">
    <cfRule type="expression" dxfId="76" priority="23">
      <formula>$T70="too many rows!"</formula>
    </cfRule>
  </conditionalFormatting>
  <conditionalFormatting sqref="T61">
    <cfRule type="expression" dxfId="75" priority="20">
      <formula>$T61="too many rows!"</formula>
    </cfRule>
  </conditionalFormatting>
  <conditionalFormatting sqref="E70">
    <cfRule type="expression" dxfId="74" priority="1" stopIfTrue="1">
      <formula>#REF!="original"</formula>
    </cfRule>
  </conditionalFormatting>
  <pageMargins left="0.19685039370078741" right="0.19685039370078741" top="0.74803149606299213" bottom="0.74803149606299213" header="0.31496062992125984" footer="0.31496062992125984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67" r:id="rId4" name="Button 143">
              <controlPr defaultSize="0" print="0" autoFill="0" autoPict="0">
                <anchor>
                  <from>
                    <xdr:col>6</xdr:col>
                    <xdr:colOff>114300</xdr:colOff>
                    <xdr:row>0</xdr:row>
                    <xdr:rowOff>47625</xdr:rowOff>
                  </from>
                  <to>
                    <xdr:col>8</xdr:col>
                    <xdr:colOff>171450</xdr:colOff>
                    <xdr:row>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5" name="Button 145">
              <controlPr defaultSize="0" print="0" autoFill="0" autoPict="0">
                <anchor>
                  <from>
                    <xdr:col>0</xdr:col>
                    <xdr:colOff>0</xdr:colOff>
                    <xdr:row>0</xdr:row>
                    <xdr:rowOff>47625</xdr:rowOff>
                  </from>
                  <to>
                    <xdr:col>5</xdr:col>
                    <xdr:colOff>314325</xdr:colOff>
                    <xdr:row>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6" name="Button 146">
              <controlPr defaultSize="0" print="0" autoFill="0" autoPict="0">
                <anchor>
                  <from>
                    <xdr:col>8</xdr:col>
                    <xdr:colOff>361950</xdr:colOff>
                    <xdr:row>0</xdr:row>
                    <xdr:rowOff>47625</xdr:rowOff>
                  </from>
                  <to>
                    <xdr:col>10</xdr:col>
                    <xdr:colOff>285750</xdr:colOff>
                    <xdr:row>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Button 147">
              <controlPr defaultSize="0" print="0" autoFill="0" autoPict="0">
                <anchor>
                  <from>
                    <xdr:col>39</xdr:col>
                    <xdr:colOff>57150</xdr:colOff>
                    <xdr:row>0</xdr:row>
                    <xdr:rowOff>38100</xdr:rowOff>
                  </from>
                  <to>
                    <xdr:col>42</xdr:col>
                    <xdr:colOff>476250</xdr:colOff>
                    <xdr:row>1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BE20"/>
  <sheetViews>
    <sheetView workbookViewId="0">
      <selection activeCell="A19" sqref="A19:XFD19"/>
    </sheetView>
  </sheetViews>
  <sheetFormatPr baseColWidth="10" defaultColWidth="9.140625" defaultRowHeight="15" x14ac:dyDescent="0.25"/>
  <cols>
    <col min="1" max="1" width="4.85546875" customWidth="1"/>
    <col min="10" max="10" width="9.140625" style="201"/>
    <col min="14" max="16" width="0" hidden="1" customWidth="1"/>
    <col min="40" max="40" width="8.28515625" style="204" customWidth="1"/>
  </cols>
  <sheetData>
    <row r="1" spans="1:54" s="103" customFormat="1" ht="30.75" customHeight="1" x14ac:dyDescent="0.25">
      <c r="A1" s="88" t="s">
        <v>10</v>
      </c>
      <c r="B1" s="88"/>
      <c r="C1" s="88"/>
      <c r="D1" s="89"/>
      <c r="E1" s="90"/>
      <c r="F1" s="91"/>
      <c r="G1" s="92"/>
      <c r="H1" s="90"/>
      <c r="I1" s="93"/>
      <c r="J1" s="200"/>
      <c r="K1" s="94"/>
      <c r="L1" s="94"/>
      <c r="M1" s="94"/>
      <c r="N1" s="95"/>
      <c r="O1" s="95"/>
      <c r="P1" s="95"/>
      <c r="Q1" s="140"/>
      <c r="R1" s="90"/>
      <c r="S1" s="96"/>
      <c r="T1" s="97"/>
      <c r="U1" s="90"/>
      <c r="V1" s="90"/>
      <c r="W1" s="90"/>
      <c r="X1" s="90"/>
      <c r="Y1" s="91"/>
      <c r="Z1" s="91"/>
      <c r="AA1" s="91"/>
      <c r="AB1" s="91"/>
      <c r="AC1" s="90"/>
      <c r="AD1" s="90"/>
      <c r="AE1" s="90"/>
      <c r="AF1" s="90"/>
      <c r="AG1" s="91"/>
      <c r="AH1" s="90"/>
      <c r="AI1" s="91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8"/>
    </row>
    <row r="2" spans="1:54" s="103" customFormat="1" ht="14.25" customHeight="1" x14ac:dyDescent="0.25">
      <c r="A2" s="50"/>
      <c r="C2" s="33"/>
      <c r="D2" s="51"/>
      <c r="E2" s="52"/>
      <c r="F2" s="53"/>
      <c r="G2" s="53"/>
      <c r="H2" s="53"/>
      <c r="I2" s="54"/>
      <c r="J2" s="197"/>
      <c r="K2" s="54"/>
      <c r="L2" s="54"/>
      <c r="M2" s="54"/>
      <c r="N2" s="53"/>
      <c r="O2" s="53"/>
      <c r="P2" s="53"/>
      <c r="Q2" s="136"/>
      <c r="R2" s="53"/>
      <c r="S2" s="55"/>
      <c r="T2" s="56"/>
      <c r="U2" s="57"/>
      <c r="V2" s="58"/>
      <c r="W2" s="57"/>
      <c r="X2" s="58"/>
      <c r="Y2" s="59"/>
      <c r="Z2" s="60"/>
      <c r="AA2" s="61"/>
      <c r="AB2" s="55"/>
      <c r="AC2" s="62"/>
      <c r="AD2" s="63" t="s">
        <v>37</v>
      </c>
      <c r="AE2" s="63"/>
      <c r="AF2" s="33"/>
      <c r="AG2" s="64"/>
      <c r="AH2" s="33"/>
      <c r="AI2" s="64"/>
      <c r="AJ2" s="33"/>
      <c r="AK2" s="33"/>
      <c r="AL2" s="33"/>
      <c r="AM2" s="33"/>
      <c r="AN2" s="33"/>
      <c r="AO2" s="33"/>
      <c r="AP2" s="65"/>
      <c r="AQ2" s="33"/>
      <c r="AR2" s="52"/>
      <c r="AS2" s="52"/>
      <c r="AT2" s="52"/>
      <c r="AU2" s="34"/>
      <c r="AV2" s="33"/>
      <c r="AW2" s="33"/>
      <c r="AX2" s="67"/>
      <c r="AY2" s="34"/>
      <c r="AZ2" s="33"/>
      <c r="BA2" s="33"/>
      <c r="BB2" s="33"/>
    </row>
    <row r="3" spans="1:54" s="103" customFormat="1" ht="14.25" customHeight="1" x14ac:dyDescent="0.25">
      <c r="A3" s="33"/>
      <c r="B3" s="53"/>
      <c r="C3" s="33"/>
      <c r="D3" s="51"/>
      <c r="E3" s="52"/>
      <c r="F3" s="53"/>
      <c r="G3" s="53"/>
      <c r="H3" s="53"/>
      <c r="I3" s="68"/>
      <c r="J3" s="197"/>
      <c r="K3" s="54"/>
      <c r="L3" s="54"/>
      <c r="M3" s="54"/>
      <c r="N3" s="53"/>
      <c r="O3" s="53"/>
      <c r="P3" s="53"/>
      <c r="Q3" s="137"/>
      <c r="R3" s="69"/>
      <c r="S3" s="70"/>
      <c r="T3" s="71"/>
      <c r="U3" s="72" t="s">
        <v>33</v>
      </c>
      <c r="V3" s="73"/>
      <c r="W3" s="72" t="s">
        <v>107</v>
      </c>
      <c r="X3" s="73"/>
      <c r="Y3" s="74" t="s">
        <v>106</v>
      </c>
      <c r="Z3" s="75"/>
      <c r="AA3" s="76"/>
      <c r="AB3" s="70"/>
      <c r="AC3" s="62"/>
      <c r="AD3" s="33" t="s">
        <v>38</v>
      </c>
      <c r="AE3" s="33"/>
      <c r="AF3" s="33"/>
      <c r="AG3" s="64"/>
      <c r="AH3" s="33"/>
      <c r="AI3" s="64"/>
      <c r="AJ3" s="134" t="s">
        <v>117</v>
      </c>
      <c r="AK3" s="135"/>
      <c r="AL3" s="134" t="s">
        <v>121</v>
      </c>
      <c r="AM3" s="202"/>
      <c r="AN3" s="135"/>
      <c r="AO3" s="33"/>
      <c r="AP3" s="65"/>
      <c r="AQ3" s="33"/>
      <c r="AR3" s="52"/>
      <c r="AS3" s="52"/>
      <c r="AT3" s="52"/>
      <c r="AU3" s="34"/>
      <c r="AV3" s="33"/>
      <c r="AW3" s="33"/>
      <c r="AX3" s="67"/>
      <c r="AY3" s="34"/>
      <c r="AZ3" s="33"/>
      <c r="BA3" s="33"/>
      <c r="BB3" s="33"/>
    </row>
    <row r="4" spans="1:54" s="103" customFormat="1" ht="51" x14ac:dyDescent="0.25">
      <c r="A4" s="166" t="s">
        <v>95</v>
      </c>
      <c r="B4" s="166" t="s">
        <v>100</v>
      </c>
      <c r="C4" s="167" t="s">
        <v>0</v>
      </c>
      <c r="D4" s="168" t="s">
        <v>91</v>
      </c>
      <c r="E4" s="169" t="s">
        <v>101</v>
      </c>
      <c r="F4" s="170" t="s">
        <v>36</v>
      </c>
      <c r="G4" s="170" t="s">
        <v>74</v>
      </c>
      <c r="H4" s="171" t="s">
        <v>6</v>
      </c>
      <c r="I4" s="172" t="s">
        <v>1</v>
      </c>
      <c r="J4" s="199" t="s">
        <v>214</v>
      </c>
      <c r="K4" s="173" t="s">
        <v>102</v>
      </c>
      <c r="L4" s="173" t="s">
        <v>104</v>
      </c>
      <c r="M4" s="173" t="s">
        <v>105</v>
      </c>
      <c r="N4" s="117" t="s">
        <v>118</v>
      </c>
      <c r="O4" s="117" t="s">
        <v>119</v>
      </c>
      <c r="P4" s="117" t="s">
        <v>120</v>
      </c>
      <c r="Q4" s="138" t="s">
        <v>3</v>
      </c>
      <c r="R4" s="118" t="s">
        <v>103</v>
      </c>
      <c r="S4" s="119" t="s">
        <v>34</v>
      </c>
      <c r="T4" s="120" t="s">
        <v>30</v>
      </c>
      <c r="U4" s="138" t="s">
        <v>138</v>
      </c>
      <c r="V4" s="138" t="s">
        <v>139</v>
      </c>
      <c r="W4" s="151" t="s">
        <v>133</v>
      </c>
      <c r="X4" s="151" t="s">
        <v>134</v>
      </c>
      <c r="Y4" s="151" t="s">
        <v>135</v>
      </c>
      <c r="Z4" s="151" t="s">
        <v>136</v>
      </c>
      <c r="AA4" s="121" t="s">
        <v>92</v>
      </c>
      <c r="AB4" s="121" t="s">
        <v>93</v>
      </c>
      <c r="AC4" s="162" t="s">
        <v>7</v>
      </c>
      <c r="AD4" s="163" t="s">
        <v>108</v>
      </c>
      <c r="AE4" s="164" t="s">
        <v>109</v>
      </c>
      <c r="AF4" s="164" t="s">
        <v>112</v>
      </c>
      <c r="AG4" s="165" t="s">
        <v>110</v>
      </c>
      <c r="AH4" s="164" t="s">
        <v>113</v>
      </c>
      <c r="AI4" s="165" t="s">
        <v>111</v>
      </c>
      <c r="AJ4" s="125" t="s">
        <v>122</v>
      </c>
      <c r="AK4" s="125" t="s">
        <v>125</v>
      </c>
      <c r="AL4" s="125" t="s">
        <v>124</v>
      </c>
      <c r="AM4" s="125" t="s">
        <v>123</v>
      </c>
      <c r="AN4" s="125" t="s">
        <v>216</v>
      </c>
      <c r="AO4" s="174" t="s">
        <v>4</v>
      </c>
      <c r="AP4" s="175" t="s">
        <v>5</v>
      </c>
      <c r="AQ4" s="176" t="s">
        <v>8</v>
      </c>
      <c r="AR4" s="177" t="s">
        <v>114</v>
      </c>
      <c r="AS4" s="177" t="s">
        <v>137</v>
      </c>
      <c r="AT4" s="161" t="s">
        <v>66</v>
      </c>
      <c r="AU4" s="178" t="s">
        <v>97</v>
      </c>
      <c r="AV4" s="179" t="s">
        <v>126</v>
      </c>
      <c r="AW4" s="179" t="s">
        <v>128</v>
      </c>
      <c r="AX4" s="180" t="s">
        <v>129</v>
      </c>
      <c r="AY4" s="181" t="s">
        <v>98</v>
      </c>
      <c r="AZ4" s="182" t="s">
        <v>127</v>
      </c>
      <c r="BA4" s="182" t="s">
        <v>130</v>
      </c>
      <c r="BB4" s="183" t="s">
        <v>131</v>
      </c>
    </row>
    <row r="5" spans="1:54" s="103" customFormat="1" ht="12.75" x14ac:dyDescent="0.25">
      <c r="A5" s="152"/>
      <c r="B5" s="142" t="s">
        <v>11</v>
      </c>
      <c r="C5" s="143" t="s">
        <v>13</v>
      </c>
      <c r="D5" s="144"/>
      <c r="E5" s="145" t="s">
        <v>12</v>
      </c>
      <c r="F5" s="146"/>
      <c r="G5" s="147"/>
      <c r="H5" s="148"/>
      <c r="I5" s="153"/>
      <c r="J5" s="198"/>
      <c r="K5" s="153"/>
      <c r="L5" s="153"/>
      <c r="M5" s="153"/>
      <c r="N5" s="77" t="e">
        <f>VLOOKUP(Q5,Compartments[#All],2,FALSE)</f>
        <v>#N/A</v>
      </c>
      <c r="O5" s="77" t="e">
        <f>VLOOKUP(Q5,Compartments[#All],3,FALSE)</f>
        <v>#N/A</v>
      </c>
      <c r="P5" s="78" t="e">
        <f>VLOOKUP(Q5,Compartments[#All],6,FALSE)</f>
        <v>#N/A</v>
      </c>
      <c r="Q5" s="149"/>
      <c r="R5" s="142"/>
      <c r="S5" s="154" t="e">
        <f>F5*Y5/1000</f>
        <v>#N/A</v>
      </c>
      <c r="T5" s="155" t="e">
        <f>IF((R5*O5/N5)&gt;O5,"too many rows!",R5*O5/N5)</f>
        <v>#N/A</v>
      </c>
      <c r="U5" s="142">
        <v>50</v>
      </c>
      <c r="V5" s="142">
        <v>50</v>
      </c>
      <c r="W5" s="142">
        <v>5</v>
      </c>
      <c r="X5" s="142">
        <v>1</v>
      </c>
      <c r="Y5" s="156" t="e">
        <f t="shared" ref="Y5:Y20" si="0">(P5*100/U5)*(W5/(W5+X5))*R5</f>
        <v>#N/A</v>
      </c>
      <c r="Z5" s="156" t="e">
        <f t="shared" ref="Z5:Z19" si="1">(P5*100/U5)*(X5/(W5+X5))*R5</f>
        <v>#N/A</v>
      </c>
      <c r="AA5" s="157" t="e">
        <f t="shared" ref="AA5:AA20" si="2">IF(G5=0,Y5*1.15,IF(OR(G5=50%,G5=100%),Y5*1.15/G5,"check MS"))</f>
        <v>#N/A</v>
      </c>
      <c r="AB5" s="156" t="e">
        <f t="shared" ref="AB5:AB19" si="3">Z5*1.15</f>
        <v>#N/A</v>
      </c>
      <c r="AC5" s="158" t="str">
        <f>IF((AM5+7)&gt;H5,"Check!","ok")</f>
        <v>Check!</v>
      </c>
      <c r="AD5" s="150"/>
      <c r="AE5" s="79">
        <f>AD5+14</f>
        <v>14</v>
      </c>
      <c r="AF5" s="79">
        <f t="shared" ref="AF5:AF9" si="4">AD5+28</f>
        <v>28</v>
      </c>
      <c r="AG5" s="82"/>
      <c r="AH5" s="79">
        <f>AE5+28</f>
        <v>42</v>
      </c>
      <c r="AI5" s="82"/>
      <c r="AJ5" s="79">
        <f>AF5+28</f>
        <v>56</v>
      </c>
      <c r="AK5" s="79">
        <f>AJ5+90</f>
        <v>146</v>
      </c>
      <c r="AL5" s="79">
        <f>AJ5+60</f>
        <v>116</v>
      </c>
      <c r="AM5" s="79">
        <f>AK5+64</f>
        <v>210</v>
      </c>
      <c r="AN5" s="203"/>
      <c r="AO5" s="79">
        <f>AM5+7</f>
        <v>217</v>
      </c>
      <c r="AP5" s="80">
        <f t="shared" ref="AP5:AP20" si="5">AO5-AD5</f>
        <v>217</v>
      </c>
      <c r="AQ5" s="148"/>
      <c r="AR5" s="159"/>
      <c r="AS5" s="184">
        <f>IF(ISBLANK(Planning[[#This Row],[New estimation]]),"-",Planning[[#This Row],[New estimation]]-Planning[[#This Row],[Order]])</f>
        <v>-2394</v>
      </c>
      <c r="AT5" s="81"/>
      <c r="AU5" s="185" t="str">
        <f>Planning[[#This Row],[Female]]</f>
        <v>TO5623</v>
      </c>
      <c r="AV5" s="82"/>
      <c r="AW5" s="83"/>
      <c r="AX5" s="84"/>
      <c r="AY5" s="185" t="str">
        <f>Planning[[#This Row],[Male]]</f>
        <v>TX5848</v>
      </c>
      <c r="AZ5" s="85"/>
      <c r="BA5" s="86"/>
      <c r="BB5" s="87"/>
    </row>
    <row r="6" spans="1:54" s="103" customFormat="1" ht="12.75" x14ac:dyDescent="0.25">
      <c r="A6" s="152"/>
      <c r="B6" s="142" t="s">
        <v>11</v>
      </c>
      <c r="C6" s="143" t="s">
        <v>13</v>
      </c>
      <c r="D6" s="144"/>
      <c r="E6" s="145" t="s">
        <v>14</v>
      </c>
      <c r="F6" s="146"/>
      <c r="G6" s="147"/>
      <c r="H6" s="148"/>
      <c r="I6" s="153"/>
      <c r="J6" s="198"/>
      <c r="K6" s="153"/>
      <c r="L6" s="153"/>
      <c r="M6" s="153"/>
      <c r="N6" s="77" t="e">
        <f>VLOOKUP(Q6,Compartments[#All],2,FALSE)</f>
        <v>#N/A</v>
      </c>
      <c r="O6" s="77" t="e">
        <f>VLOOKUP(Q6,Compartments[#All],3,FALSE)</f>
        <v>#N/A</v>
      </c>
      <c r="P6" s="78" t="e">
        <f>VLOOKUP(Q6,Compartments[#All],6,FALSE)</f>
        <v>#N/A</v>
      </c>
      <c r="Q6" s="149"/>
      <c r="R6" s="142"/>
      <c r="S6" s="154" t="e">
        <f t="shared" ref="S6:S19" si="6">F6*Y6/1000</f>
        <v>#N/A</v>
      </c>
      <c r="T6" s="155" t="e">
        <f t="shared" ref="T6:T20" si="7">IF((R6*O6/N6)&gt;O6,"too many rows!",R6*O6/N6)</f>
        <v>#N/A</v>
      </c>
      <c r="U6" s="142">
        <v>50</v>
      </c>
      <c r="V6" s="142">
        <v>50</v>
      </c>
      <c r="W6" s="142">
        <v>5</v>
      </c>
      <c r="X6" s="142">
        <v>1</v>
      </c>
      <c r="Y6" s="156" t="e">
        <f t="shared" si="0"/>
        <v>#N/A</v>
      </c>
      <c r="Z6" s="156" t="e">
        <f t="shared" si="1"/>
        <v>#N/A</v>
      </c>
      <c r="AA6" s="157" t="e">
        <f t="shared" si="2"/>
        <v>#N/A</v>
      </c>
      <c r="AB6" s="156" t="e">
        <f t="shared" si="3"/>
        <v>#N/A</v>
      </c>
      <c r="AC6" s="158" t="str">
        <f t="shared" ref="AC6:AC20" si="8">IF((AM6+7)&gt;H6,"Check!","ok")</f>
        <v>Check!</v>
      </c>
      <c r="AD6" s="150"/>
      <c r="AE6" s="79">
        <f t="shared" ref="AE6:AE9" si="9">AD6+14</f>
        <v>14</v>
      </c>
      <c r="AF6" s="79">
        <f t="shared" si="4"/>
        <v>28</v>
      </c>
      <c r="AG6" s="82"/>
      <c r="AH6" s="79">
        <f>AE6+28</f>
        <v>42</v>
      </c>
      <c r="AI6" s="82"/>
      <c r="AJ6" s="79">
        <f>AF6+28</f>
        <v>56</v>
      </c>
      <c r="AK6" s="79">
        <f>AJ6+90</f>
        <v>146</v>
      </c>
      <c r="AL6" s="79">
        <f>AJ6+60</f>
        <v>116</v>
      </c>
      <c r="AM6" s="79">
        <f>AK6+64</f>
        <v>210</v>
      </c>
      <c r="AN6" s="203"/>
      <c r="AO6" s="79">
        <f>AM6+7</f>
        <v>217</v>
      </c>
      <c r="AP6" s="80">
        <f t="shared" si="5"/>
        <v>217</v>
      </c>
      <c r="AQ6" s="148"/>
      <c r="AR6" s="159"/>
      <c r="AS6" s="184">
        <f>IF(ISBLANK(Planning[[#This Row],[New estimation]]),"-",Planning[[#This Row],[New estimation]]-Planning[[#This Row],[Order]])</f>
        <v>-9918</v>
      </c>
      <c r="AT6" s="81"/>
      <c r="AU6" s="185" t="str">
        <f>Planning[[#This Row],[Female]]</f>
        <v>TR5515</v>
      </c>
      <c r="AV6" s="82"/>
      <c r="AW6" s="83"/>
      <c r="AX6" s="84"/>
      <c r="AY6" s="185" t="str">
        <f>Planning[[#This Row],[Male]]</f>
        <v>TB5202</v>
      </c>
      <c r="AZ6" s="85"/>
      <c r="BA6" s="86"/>
      <c r="BB6" s="87"/>
    </row>
    <row r="7" spans="1:54" s="103" customFormat="1" ht="12.75" x14ac:dyDescent="0.25">
      <c r="A7" s="152"/>
      <c r="B7" s="142" t="s">
        <v>11</v>
      </c>
      <c r="C7" s="143" t="s">
        <v>13</v>
      </c>
      <c r="D7" s="144"/>
      <c r="E7" s="145" t="s">
        <v>15</v>
      </c>
      <c r="F7" s="146"/>
      <c r="G7" s="147"/>
      <c r="H7" s="148"/>
      <c r="I7" s="153"/>
      <c r="J7" s="198"/>
      <c r="K7" s="153"/>
      <c r="L7" s="153"/>
      <c r="M7" s="153"/>
      <c r="N7" s="77" t="e">
        <f>VLOOKUP(Q7,Compartments[#All],2,FALSE)</f>
        <v>#N/A</v>
      </c>
      <c r="O7" s="77" t="e">
        <f>VLOOKUP(Q7,Compartments[#All],3,FALSE)</f>
        <v>#N/A</v>
      </c>
      <c r="P7" s="78" t="e">
        <f>VLOOKUP(Q7,Compartments[#All],6,FALSE)</f>
        <v>#N/A</v>
      </c>
      <c r="Q7" s="149"/>
      <c r="R7" s="142"/>
      <c r="S7" s="154" t="e">
        <f t="shared" si="6"/>
        <v>#N/A</v>
      </c>
      <c r="T7" s="155" t="e">
        <f t="shared" si="7"/>
        <v>#N/A</v>
      </c>
      <c r="U7" s="142">
        <v>50</v>
      </c>
      <c r="V7" s="142">
        <v>50</v>
      </c>
      <c r="W7" s="142">
        <v>5</v>
      </c>
      <c r="X7" s="142">
        <v>1</v>
      </c>
      <c r="Y7" s="156" t="e">
        <f t="shared" si="0"/>
        <v>#N/A</v>
      </c>
      <c r="Z7" s="156" t="e">
        <f t="shared" si="1"/>
        <v>#N/A</v>
      </c>
      <c r="AA7" s="157" t="e">
        <f t="shared" si="2"/>
        <v>#N/A</v>
      </c>
      <c r="AB7" s="156" t="e">
        <f t="shared" si="3"/>
        <v>#N/A</v>
      </c>
      <c r="AC7" s="158" t="str">
        <f t="shared" si="8"/>
        <v>Check!</v>
      </c>
      <c r="AD7" s="150"/>
      <c r="AE7" s="79">
        <f t="shared" si="9"/>
        <v>14</v>
      </c>
      <c r="AF7" s="79">
        <f t="shared" si="4"/>
        <v>28</v>
      </c>
      <c r="AG7" s="82"/>
      <c r="AH7" s="79">
        <f>AE7+28</f>
        <v>42</v>
      </c>
      <c r="AI7" s="82"/>
      <c r="AJ7" s="79">
        <f>AF7+28</f>
        <v>56</v>
      </c>
      <c r="AK7" s="79">
        <f>AJ7+90</f>
        <v>146</v>
      </c>
      <c r="AL7" s="79">
        <f>AJ7+60</f>
        <v>116</v>
      </c>
      <c r="AM7" s="79">
        <f>AK7+64</f>
        <v>210</v>
      </c>
      <c r="AN7" s="203"/>
      <c r="AO7" s="79">
        <f>AM7+7</f>
        <v>217</v>
      </c>
      <c r="AP7" s="80">
        <f t="shared" si="5"/>
        <v>217</v>
      </c>
      <c r="AQ7" s="148"/>
      <c r="AR7" s="159"/>
      <c r="AS7" s="184">
        <f>IF(ISBLANK(Planning[[#This Row],[New estimation]]),"-",Planning[[#This Row],[New estimation]]-Planning[[#This Row],[Order]])</f>
        <v>-4446</v>
      </c>
      <c r="AT7" s="81"/>
      <c r="AU7" s="185" t="str">
        <f>Planning[[#This Row],[Female]]</f>
        <v>TO5623</v>
      </c>
      <c r="AV7" s="82"/>
      <c r="AW7" s="83"/>
      <c r="AX7" s="84"/>
      <c r="AY7" s="185" t="str">
        <f>Planning[[#This Row],[Male]]</f>
        <v>TO5616</v>
      </c>
      <c r="AZ7" s="85"/>
      <c r="BA7" s="86"/>
      <c r="BB7" s="87"/>
    </row>
    <row r="8" spans="1:54" s="103" customFormat="1" ht="12.75" x14ac:dyDescent="0.25">
      <c r="A8" s="152"/>
      <c r="B8" s="142" t="s">
        <v>11</v>
      </c>
      <c r="C8" s="143" t="s">
        <v>13</v>
      </c>
      <c r="D8" s="144"/>
      <c r="E8" s="145" t="s">
        <v>16</v>
      </c>
      <c r="F8" s="146"/>
      <c r="G8" s="147"/>
      <c r="H8" s="148"/>
      <c r="I8" s="153"/>
      <c r="J8" s="198"/>
      <c r="K8" s="153"/>
      <c r="L8" s="153"/>
      <c r="M8" s="153"/>
      <c r="N8" s="77" t="e">
        <f>VLOOKUP(Q8,Compartments[#All],2,FALSE)</f>
        <v>#N/A</v>
      </c>
      <c r="O8" s="77" t="e">
        <f>VLOOKUP(Q8,Compartments[#All],3,FALSE)</f>
        <v>#N/A</v>
      </c>
      <c r="P8" s="78" t="e">
        <f>VLOOKUP(Q8,Compartments[#All],6,FALSE)</f>
        <v>#N/A</v>
      </c>
      <c r="Q8" s="149"/>
      <c r="R8" s="142"/>
      <c r="S8" s="154" t="e">
        <f t="shared" si="6"/>
        <v>#N/A</v>
      </c>
      <c r="T8" s="155" t="e">
        <f t="shared" si="7"/>
        <v>#N/A</v>
      </c>
      <c r="U8" s="142">
        <v>50</v>
      </c>
      <c r="V8" s="142">
        <v>50</v>
      </c>
      <c r="W8" s="142">
        <v>5</v>
      </c>
      <c r="X8" s="142">
        <v>1</v>
      </c>
      <c r="Y8" s="156" t="e">
        <f t="shared" si="0"/>
        <v>#N/A</v>
      </c>
      <c r="Z8" s="156" t="e">
        <f t="shared" si="1"/>
        <v>#N/A</v>
      </c>
      <c r="AA8" s="157" t="e">
        <f t="shared" si="2"/>
        <v>#N/A</v>
      </c>
      <c r="AB8" s="156" t="e">
        <f t="shared" si="3"/>
        <v>#N/A</v>
      </c>
      <c r="AC8" s="158" t="str">
        <f t="shared" si="8"/>
        <v>Check!</v>
      </c>
      <c r="AD8" s="150"/>
      <c r="AE8" s="79">
        <f>AD8+21</f>
        <v>21</v>
      </c>
      <c r="AF8" s="79">
        <f t="shared" si="4"/>
        <v>28</v>
      </c>
      <c r="AG8" s="82"/>
      <c r="AH8" s="79">
        <f>AE8+28</f>
        <v>49</v>
      </c>
      <c r="AI8" s="82"/>
      <c r="AJ8" s="79">
        <f>AF8+28</f>
        <v>56</v>
      </c>
      <c r="AK8" s="79">
        <f>AJ8+90</f>
        <v>146</v>
      </c>
      <c r="AL8" s="79">
        <f>AJ8+60</f>
        <v>116</v>
      </c>
      <c r="AM8" s="79">
        <f>AK8+64</f>
        <v>210</v>
      </c>
      <c r="AN8" s="203"/>
      <c r="AO8" s="79">
        <f>AM8+7</f>
        <v>217</v>
      </c>
      <c r="AP8" s="80">
        <f t="shared" si="5"/>
        <v>217</v>
      </c>
      <c r="AQ8" s="148"/>
      <c r="AR8" s="159"/>
      <c r="AS8" s="184">
        <f>IF(ISBLANK(Planning[[#This Row],[New estimation]]),"-",Planning[[#This Row],[New estimation]]-Planning[[#This Row],[Order]])</f>
        <v>-2394</v>
      </c>
      <c r="AT8" s="81"/>
      <c r="AU8" s="185" t="str">
        <f>Planning[[#This Row],[Female]]</f>
        <v>TR5861</v>
      </c>
      <c r="AV8" s="82"/>
      <c r="AW8" s="83"/>
      <c r="AX8" s="84"/>
      <c r="AY8" s="185" t="str">
        <f>Planning[[#This Row],[Male]]</f>
        <v>TS5607</v>
      </c>
      <c r="AZ8" s="85"/>
      <c r="BA8" s="86"/>
      <c r="BB8" s="87"/>
    </row>
    <row r="9" spans="1:54" s="103" customFormat="1" ht="12.75" x14ac:dyDescent="0.25">
      <c r="A9" s="152"/>
      <c r="B9" s="142" t="s">
        <v>11</v>
      </c>
      <c r="C9" s="143" t="s">
        <v>13</v>
      </c>
      <c r="D9" s="144"/>
      <c r="E9" s="145" t="s">
        <v>17</v>
      </c>
      <c r="F9" s="146"/>
      <c r="G9" s="147"/>
      <c r="H9" s="148"/>
      <c r="I9" s="153"/>
      <c r="J9" s="198"/>
      <c r="K9" s="153"/>
      <c r="L9" s="153"/>
      <c r="M9" s="153"/>
      <c r="N9" s="77" t="e">
        <f>VLOOKUP(Q9,Compartments[#All],2,FALSE)</f>
        <v>#N/A</v>
      </c>
      <c r="O9" s="77" t="e">
        <f>VLOOKUP(Q9,Compartments[#All],3,FALSE)</f>
        <v>#N/A</v>
      </c>
      <c r="P9" s="78" t="e">
        <f>VLOOKUP(Q9,Compartments[#All],6,FALSE)</f>
        <v>#N/A</v>
      </c>
      <c r="Q9" s="149"/>
      <c r="R9" s="142"/>
      <c r="S9" s="154" t="e">
        <f t="shared" si="6"/>
        <v>#N/A</v>
      </c>
      <c r="T9" s="155" t="e">
        <f t="shared" si="7"/>
        <v>#N/A</v>
      </c>
      <c r="U9" s="142">
        <v>50</v>
      </c>
      <c r="V9" s="142">
        <v>50</v>
      </c>
      <c r="W9" s="142">
        <v>5</v>
      </c>
      <c r="X9" s="142">
        <v>1</v>
      </c>
      <c r="Y9" s="156" t="e">
        <f t="shared" si="0"/>
        <v>#N/A</v>
      </c>
      <c r="Z9" s="156" t="e">
        <f t="shared" si="1"/>
        <v>#N/A</v>
      </c>
      <c r="AA9" s="157" t="e">
        <f t="shared" si="2"/>
        <v>#N/A</v>
      </c>
      <c r="AB9" s="156" t="e">
        <f t="shared" si="3"/>
        <v>#N/A</v>
      </c>
      <c r="AC9" s="158" t="str">
        <f t="shared" si="8"/>
        <v>Check!</v>
      </c>
      <c r="AD9" s="150"/>
      <c r="AE9" s="79">
        <f t="shared" si="9"/>
        <v>14</v>
      </c>
      <c r="AF9" s="79">
        <f t="shared" si="4"/>
        <v>28</v>
      </c>
      <c r="AG9" s="82"/>
      <c r="AH9" s="79">
        <f>AE9+28</f>
        <v>42</v>
      </c>
      <c r="AI9" s="82"/>
      <c r="AJ9" s="79">
        <f>AF9+28</f>
        <v>56</v>
      </c>
      <c r="AK9" s="79">
        <f>AJ9+90</f>
        <v>146</v>
      </c>
      <c r="AL9" s="79">
        <f>AJ9+60</f>
        <v>116</v>
      </c>
      <c r="AM9" s="79">
        <f>AK9+64</f>
        <v>210</v>
      </c>
      <c r="AN9" s="203"/>
      <c r="AO9" s="79">
        <f>AM9+7</f>
        <v>217</v>
      </c>
      <c r="AP9" s="80">
        <f t="shared" si="5"/>
        <v>217</v>
      </c>
      <c r="AQ9" s="148"/>
      <c r="AR9" s="159"/>
      <c r="AS9" s="184">
        <f>IF(ISBLANK(Planning[[#This Row],[New estimation]]),"-",Planning[[#This Row],[New estimation]]-Planning[[#This Row],[Order]])</f>
        <v>-4788</v>
      </c>
      <c r="AT9" s="81"/>
      <c r="AU9" s="185" t="str">
        <f>Planning[[#This Row],[Female]]</f>
        <v>TO5623</v>
      </c>
      <c r="AV9" s="82"/>
      <c r="AW9" s="83"/>
      <c r="AX9" s="84"/>
      <c r="AY9" s="185" t="str">
        <f>Planning[[#This Row],[Male]]</f>
        <v>TX5681</v>
      </c>
      <c r="AZ9" s="85"/>
      <c r="BA9" s="86"/>
      <c r="BB9" s="87"/>
    </row>
    <row r="10" spans="1:54" s="103" customFormat="1" ht="12.75" x14ac:dyDescent="0.25">
      <c r="A10" s="152"/>
      <c r="B10" s="142" t="s">
        <v>11</v>
      </c>
      <c r="C10" s="143" t="s">
        <v>18</v>
      </c>
      <c r="D10" s="144"/>
      <c r="E10" s="145"/>
      <c r="F10" s="146"/>
      <c r="G10" s="147"/>
      <c r="H10" s="148"/>
      <c r="I10" s="153"/>
      <c r="J10" s="198"/>
      <c r="K10" s="153"/>
      <c r="L10" s="153"/>
      <c r="M10" s="153"/>
      <c r="N10" s="77" t="e">
        <f>VLOOKUP(Q10,Compartments[#All],2,FALSE)</f>
        <v>#N/A</v>
      </c>
      <c r="O10" s="77" t="e">
        <f>VLOOKUP(Q10,Compartments[#All],3,FALSE)</f>
        <v>#N/A</v>
      </c>
      <c r="P10" s="78" t="e">
        <f>VLOOKUP(Q10,Compartments[#All],6,FALSE)</f>
        <v>#N/A</v>
      </c>
      <c r="Q10" s="149"/>
      <c r="R10" s="142"/>
      <c r="S10" s="154"/>
      <c r="T10" s="155" t="e">
        <f t="shared" si="7"/>
        <v>#N/A</v>
      </c>
      <c r="U10" s="142">
        <v>50</v>
      </c>
      <c r="V10" s="142"/>
      <c r="W10" s="142">
        <v>1</v>
      </c>
      <c r="X10" s="142"/>
      <c r="Y10" s="156" t="e">
        <f t="shared" si="0"/>
        <v>#N/A</v>
      </c>
      <c r="Z10" s="156"/>
      <c r="AA10" s="157" t="e">
        <f t="shared" si="2"/>
        <v>#N/A</v>
      </c>
      <c r="AB10" s="156"/>
      <c r="AC10" s="158" t="str">
        <f t="shared" si="8"/>
        <v>Check!</v>
      </c>
      <c r="AD10" s="150"/>
      <c r="AE10" s="79"/>
      <c r="AF10" s="79"/>
      <c r="AG10" s="82"/>
      <c r="AH10" s="79">
        <f>AD10+21</f>
        <v>21</v>
      </c>
      <c r="AI10" s="82"/>
      <c r="AJ10" s="79">
        <f>AH10+35</f>
        <v>56</v>
      </c>
      <c r="AK10" s="79">
        <f>AJ10+35</f>
        <v>91</v>
      </c>
      <c r="AL10" s="79">
        <f>AK10+7</f>
        <v>98</v>
      </c>
      <c r="AM10" s="79">
        <f>AL10+14</f>
        <v>112</v>
      </c>
      <c r="AN10" s="203"/>
      <c r="AO10" s="79">
        <f>AL10+7</f>
        <v>105</v>
      </c>
      <c r="AP10" s="80">
        <f t="shared" si="5"/>
        <v>105</v>
      </c>
      <c r="AQ10" s="148"/>
      <c r="AR10" s="159"/>
      <c r="AS10" s="184">
        <f>IF(ISBLANK(Planning[[#This Row],[New estimation]]),"-",Planning[[#This Row],[New estimation]]-Planning[[#This Row],[Order]])</f>
        <v>-2394</v>
      </c>
      <c r="AT10" s="81"/>
      <c r="AU10" s="185" t="str">
        <f>Planning[[#This Row],[Female]]</f>
        <v>PA5198</v>
      </c>
      <c r="AV10" s="82"/>
      <c r="AW10" s="83"/>
      <c r="AX10" s="84"/>
      <c r="AY10" s="185" t="str">
        <f>Planning[[#This Row],[Male]]</f>
        <v>PA5185</v>
      </c>
      <c r="AZ10" s="85"/>
      <c r="BA10" s="86"/>
      <c r="BB10" s="87"/>
    </row>
    <row r="11" spans="1:54" s="103" customFormat="1" ht="12.75" x14ac:dyDescent="0.25">
      <c r="A11" s="152"/>
      <c r="B11" s="142" t="s">
        <v>19</v>
      </c>
      <c r="C11" s="143" t="s">
        <v>20</v>
      </c>
      <c r="D11" s="144"/>
      <c r="E11" s="145"/>
      <c r="F11" s="146"/>
      <c r="G11" s="147"/>
      <c r="H11" s="148"/>
      <c r="I11" s="153"/>
      <c r="J11" s="198"/>
      <c r="K11" s="153"/>
      <c r="L11" s="153"/>
      <c r="M11" s="153"/>
      <c r="N11" s="77" t="e">
        <f>VLOOKUP(Q11,Compartments[#All],2,FALSE)</f>
        <v>#N/A</v>
      </c>
      <c r="O11" s="77" t="e">
        <f>VLOOKUP(Q11,Compartments[#All],3,FALSE)</f>
        <v>#N/A</v>
      </c>
      <c r="P11" s="78" t="e">
        <f>VLOOKUP(Q11,Compartments[#All],6,FALSE)</f>
        <v>#N/A</v>
      </c>
      <c r="Q11" s="149"/>
      <c r="R11" s="142"/>
      <c r="S11" s="154" t="e">
        <f t="shared" si="6"/>
        <v>#N/A</v>
      </c>
      <c r="T11" s="155" t="e">
        <f t="shared" si="7"/>
        <v>#N/A</v>
      </c>
      <c r="U11" s="142">
        <v>50</v>
      </c>
      <c r="V11" s="142">
        <v>50</v>
      </c>
      <c r="W11" s="142">
        <v>6</v>
      </c>
      <c r="X11" s="142">
        <v>1</v>
      </c>
      <c r="Y11" s="156" t="e">
        <f t="shared" si="0"/>
        <v>#N/A</v>
      </c>
      <c r="Z11" s="156" t="e">
        <f t="shared" si="1"/>
        <v>#N/A</v>
      </c>
      <c r="AA11" s="157" t="e">
        <f t="shared" si="2"/>
        <v>#N/A</v>
      </c>
      <c r="AB11" s="156" t="e">
        <f t="shared" si="3"/>
        <v>#N/A</v>
      </c>
      <c r="AC11" s="158" t="str">
        <f t="shared" si="8"/>
        <v>Check!</v>
      </c>
      <c r="AD11" s="150"/>
      <c r="AE11" s="79">
        <f t="shared" ref="AE11:AE16" si="10">AD11+7</f>
        <v>7</v>
      </c>
      <c r="AF11" s="79">
        <f t="shared" ref="AF11:AF16" si="11">AD11+14</f>
        <v>14</v>
      </c>
      <c r="AG11" s="82"/>
      <c r="AH11" s="79">
        <f>AE11+14</f>
        <v>21</v>
      </c>
      <c r="AI11" s="82"/>
      <c r="AJ11" s="79">
        <f>AH11+28</f>
        <v>49</v>
      </c>
      <c r="AK11" s="79">
        <f>AJ11+14</f>
        <v>63</v>
      </c>
      <c r="AL11" s="79">
        <f>AJ11+45</f>
        <v>94</v>
      </c>
      <c r="AM11" s="79">
        <f>AK11+45</f>
        <v>108</v>
      </c>
      <c r="AN11" s="203"/>
      <c r="AO11" s="79">
        <f t="shared" ref="AO11:AO19" si="12">AM11+7</f>
        <v>115</v>
      </c>
      <c r="AP11" s="80">
        <f t="shared" si="5"/>
        <v>115</v>
      </c>
      <c r="AQ11" s="148"/>
      <c r="AR11" s="159"/>
      <c r="AS11" s="184">
        <f>IF(ISBLANK(Planning[[#This Row],[New estimation]]),"-",Planning[[#This Row],[New estimation]]-Planning[[#This Row],[Order]])</f>
        <v>-7182</v>
      </c>
      <c r="AT11" s="81"/>
      <c r="AU11" s="185" t="str">
        <f>Planning[[#This Row],[Female]]</f>
        <v>PA5062</v>
      </c>
      <c r="AV11" s="82"/>
      <c r="AW11" s="83"/>
      <c r="AX11" s="84"/>
      <c r="AY11" s="185" t="str">
        <f>Planning[[#This Row],[Male]]</f>
        <v>PA5075</v>
      </c>
      <c r="AZ11" s="85"/>
      <c r="BA11" s="86"/>
      <c r="BB11" s="87"/>
    </row>
    <row r="12" spans="1:54" s="103" customFormat="1" ht="12.75" x14ac:dyDescent="0.25">
      <c r="A12" s="152"/>
      <c r="B12" s="142" t="s">
        <v>19</v>
      </c>
      <c r="C12" s="143" t="s">
        <v>21</v>
      </c>
      <c r="D12" s="144"/>
      <c r="E12" s="145"/>
      <c r="F12" s="146"/>
      <c r="G12" s="147"/>
      <c r="H12" s="148"/>
      <c r="I12" s="153"/>
      <c r="J12" s="198"/>
      <c r="K12" s="153"/>
      <c r="L12" s="153"/>
      <c r="M12" s="153"/>
      <c r="N12" s="77" t="e">
        <f>VLOOKUP(Q12,Compartments[#All],2,FALSE)</f>
        <v>#N/A</v>
      </c>
      <c r="O12" s="77" t="e">
        <f>VLOOKUP(Q12,Compartments[#All],3,FALSE)</f>
        <v>#N/A</v>
      </c>
      <c r="P12" s="78" t="e">
        <f>VLOOKUP(Q12,Compartments[#All],6,FALSE)</f>
        <v>#N/A</v>
      </c>
      <c r="Q12" s="149"/>
      <c r="R12" s="142"/>
      <c r="S12" s="154"/>
      <c r="T12" s="155" t="e">
        <f t="shared" si="7"/>
        <v>#N/A</v>
      </c>
      <c r="U12" s="142">
        <v>50</v>
      </c>
      <c r="V12" s="142"/>
      <c r="W12" s="142">
        <v>1</v>
      </c>
      <c r="X12" s="142"/>
      <c r="Y12" s="156" t="e">
        <f t="shared" si="0"/>
        <v>#N/A</v>
      </c>
      <c r="Z12" s="156"/>
      <c r="AA12" s="157" t="e">
        <f t="shared" si="2"/>
        <v>#N/A</v>
      </c>
      <c r="AB12" s="156"/>
      <c r="AC12" s="158" t="str">
        <f t="shared" si="8"/>
        <v>Check!</v>
      </c>
      <c r="AD12" s="150"/>
      <c r="AE12" s="79">
        <f t="shared" si="10"/>
        <v>7</v>
      </c>
      <c r="AF12" s="79">
        <f t="shared" si="11"/>
        <v>14</v>
      </c>
      <c r="AG12" s="82"/>
      <c r="AH12" s="79">
        <f>AE12+30</f>
        <v>37</v>
      </c>
      <c r="AI12" s="82"/>
      <c r="AJ12" s="79">
        <f>AH12+28</f>
        <v>65</v>
      </c>
      <c r="AK12" s="79">
        <f>AJ12+21</f>
        <v>86</v>
      </c>
      <c r="AL12" s="79">
        <f>AJ12+55</f>
        <v>120</v>
      </c>
      <c r="AM12" s="79">
        <f>AK12+45</f>
        <v>131</v>
      </c>
      <c r="AN12" s="203"/>
      <c r="AO12" s="79">
        <f t="shared" si="12"/>
        <v>138</v>
      </c>
      <c r="AP12" s="80">
        <f t="shared" si="5"/>
        <v>138</v>
      </c>
      <c r="AQ12" s="148"/>
      <c r="AR12" s="159"/>
      <c r="AS12" s="184">
        <f>IF(ISBLANK(Planning[[#This Row],[New estimation]]),"-",Planning[[#This Row],[New estimation]]-Planning[[#This Row],[Order]])</f>
        <v>-2052</v>
      </c>
      <c r="AT12" s="81"/>
      <c r="AU12" s="185" t="str">
        <f>Planning[[#This Row],[Female]]</f>
        <v>AB5902</v>
      </c>
      <c r="AV12" s="82"/>
      <c r="AW12" s="83"/>
      <c r="AX12" s="84"/>
      <c r="AY12" s="185" t="str">
        <f>Planning[[#This Row],[Male]]</f>
        <v>AB5480</v>
      </c>
      <c r="AZ12" s="85"/>
      <c r="BA12" s="86"/>
      <c r="BB12" s="87"/>
    </row>
    <row r="13" spans="1:54" s="103" customFormat="1" ht="12.75" x14ac:dyDescent="0.25">
      <c r="A13" s="152"/>
      <c r="B13" s="142" t="s">
        <v>22</v>
      </c>
      <c r="C13" s="143" t="s">
        <v>13</v>
      </c>
      <c r="D13" s="144"/>
      <c r="E13" s="145"/>
      <c r="F13" s="146"/>
      <c r="G13" s="147"/>
      <c r="H13" s="148"/>
      <c r="I13" s="153"/>
      <c r="J13" s="198"/>
      <c r="K13" s="153"/>
      <c r="L13" s="153"/>
      <c r="M13" s="153"/>
      <c r="N13" s="77" t="e">
        <f>VLOOKUP(Q13,Compartments[#All],2,FALSE)</f>
        <v>#N/A</v>
      </c>
      <c r="O13" s="77" t="e">
        <f>VLOOKUP(Q13,Compartments[#All],3,FALSE)</f>
        <v>#N/A</v>
      </c>
      <c r="P13" s="78" t="e">
        <f>VLOOKUP(Q13,Compartments[#All],6,FALSE)</f>
        <v>#N/A</v>
      </c>
      <c r="Q13" s="149"/>
      <c r="R13" s="142"/>
      <c r="S13" s="154" t="e">
        <f t="shared" si="6"/>
        <v>#N/A</v>
      </c>
      <c r="T13" s="155" t="e">
        <f t="shared" si="7"/>
        <v>#N/A</v>
      </c>
      <c r="U13" s="142">
        <v>50</v>
      </c>
      <c r="V13" s="142">
        <v>50</v>
      </c>
      <c r="W13" s="142">
        <v>5</v>
      </c>
      <c r="X13" s="142">
        <v>1</v>
      </c>
      <c r="Y13" s="156" t="e">
        <f t="shared" si="0"/>
        <v>#N/A</v>
      </c>
      <c r="Z13" s="156" t="e">
        <f t="shared" si="1"/>
        <v>#N/A</v>
      </c>
      <c r="AA13" s="157" t="e">
        <f t="shared" si="2"/>
        <v>#N/A</v>
      </c>
      <c r="AB13" s="156" t="e">
        <f t="shared" si="3"/>
        <v>#N/A</v>
      </c>
      <c r="AC13" s="158" t="str">
        <f t="shared" si="8"/>
        <v>Check!</v>
      </c>
      <c r="AD13" s="150"/>
      <c r="AE13" s="79">
        <f t="shared" si="10"/>
        <v>7</v>
      </c>
      <c r="AF13" s="79">
        <f t="shared" si="11"/>
        <v>14</v>
      </c>
      <c r="AG13" s="82"/>
      <c r="AH13" s="79">
        <f>AE13+14</f>
        <v>21</v>
      </c>
      <c r="AI13" s="82"/>
      <c r="AJ13" s="79">
        <f>AH13+35</f>
        <v>56</v>
      </c>
      <c r="AK13" s="79">
        <f>AJ13+18</f>
        <v>74</v>
      </c>
      <c r="AL13" s="79">
        <f>AK13+65</f>
        <v>139</v>
      </c>
      <c r="AM13" s="79">
        <f>AL13+30</f>
        <v>169</v>
      </c>
      <c r="AN13" s="203"/>
      <c r="AO13" s="79">
        <f t="shared" si="12"/>
        <v>176</v>
      </c>
      <c r="AP13" s="80">
        <f t="shared" si="5"/>
        <v>176</v>
      </c>
      <c r="AQ13" s="148"/>
      <c r="AR13" s="159"/>
      <c r="AS13" s="184">
        <f>IF(ISBLANK(Planning[[#This Row],[New estimation]]),"-",Planning[[#This Row],[New estimation]]-Planning[[#This Row],[Order]])</f>
        <v>-10260</v>
      </c>
      <c r="AT13" s="81"/>
      <c r="AU13" s="185" t="str">
        <f>Planning[[#This Row],[Female]]</f>
        <v>AB5018</v>
      </c>
      <c r="AV13" s="82"/>
      <c r="AW13" s="83"/>
      <c r="AX13" s="84"/>
      <c r="AY13" s="185" t="str">
        <f>Planning[[#This Row],[Male]]</f>
        <v>AB5044</v>
      </c>
      <c r="AZ13" s="85"/>
      <c r="BA13" s="86"/>
      <c r="BB13" s="87"/>
    </row>
    <row r="14" spans="1:54" s="103" customFormat="1" ht="12.75" x14ac:dyDescent="0.25">
      <c r="A14" s="152"/>
      <c r="B14" s="142" t="s">
        <v>23</v>
      </c>
      <c r="C14" s="143" t="s">
        <v>13</v>
      </c>
      <c r="D14" s="144"/>
      <c r="E14" s="145" t="s">
        <v>24</v>
      </c>
      <c r="F14" s="146"/>
      <c r="G14" s="147"/>
      <c r="H14" s="148"/>
      <c r="I14" s="153"/>
      <c r="J14" s="198"/>
      <c r="K14" s="153"/>
      <c r="L14" s="153"/>
      <c r="M14" s="153"/>
      <c r="N14" s="77" t="e">
        <f>VLOOKUP(Q14,Compartments[#All],2,FALSE)</f>
        <v>#N/A</v>
      </c>
      <c r="O14" s="77" t="e">
        <f>VLOOKUP(Q14,Compartments[#All],3,FALSE)</f>
        <v>#N/A</v>
      </c>
      <c r="P14" s="78" t="e">
        <f>VLOOKUP(Q14,Compartments[#All],6,FALSE)</f>
        <v>#N/A</v>
      </c>
      <c r="Q14" s="149"/>
      <c r="R14" s="142"/>
      <c r="S14" s="154" t="e">
        <f t="shared" si="6"/>
        <v>#N/A</v>
      </c>
      <c r="T14" s="155" t="e">
        <f t="shared" si="7"/>
        <v>#N/A</v>
      </c>
      <c r="U14" s="142">
        <v>50</v>
      </c>
      <c r="V14" s="142">
        <v>50</v>
      </c>
      <c r="W14" s="142">
        <v>6</v>
      </c>
      <c r="X14" s="142">
        <v>1</v>
      </c>
      <c r="Y14" s="156" t="e">
        <f t="shared" si="0"/>
        <v>#N/A</v>
      </c>
      <c r="Z14" s="156" t="e">
        <f t="shared" si="1"/>
        <v>#N/A</v>
      </c>
      <c r="AA14" s="157" t="e">
        <f t="shared" si="2"/>
        <v>#N/A</v>
      </c>
      <c r="AB14" s="156" t="e">
        <f t="shared" si="3"/>
        <v>#N/A</v>
      </c>
      <c r="AC14" s="158" t="str">
        <f t="shared" si="8"/>
        <v>Check!</v>
      </c>
      <c r="AD14" s="150"/>
      <c r="AE14" s="79">
        <f t="shared" si="10"/>
        <v>7</v>
      </c>
      <c r="AF14" s="79">
        <f t="shared" si="11"/>
        <v>14</v>
      </c>
      <c r="AG14" s="82"/>
      <c r="AH14" s="79">
        <f>AE14+14</f>
        <v>21</v>
      </c>
      <c r="AI14" s="82"/>
      <c r="AJ14" s="79">
        <f>AH14+35</f>
        <v>56</v>
      </c>
      <c r="AK14" s="79">
        <f>AJ14+18</f>
        <v>74</v>
      </c>
      <c r="AL14" s="79">
        <f>AK14+65</f>
        <v>139</v>
      </c>
      <c r="AM14" s="79">
        <f>AL14+30</f>
        <v>169</v>
      </c>
      <c r="AN14" s="203"/>
      <c r="AO14" s="79">
        <f t="shared" si="12"/>
        <v>176</v>
      </c>
      <c r="AP14" s="80">
        <f t="shared" si="5"/>
        <v>176</v>
      </c>
      <c r="AQ14" s="148"/>
      <c r="AR14" s="159"/>
      <c r="AS14" s="184">
        <f>IF(ISBLANK(Planning[[#This Row],[New estimation]]),"-",Planning[[#This Row],[New estimation]]-Planning[[#This Row],[Order]])</f>
        <v>-1735</v>
      </c>
      <c r="AT14" s="81"/>
      <c r="AU14" s="185" t="str">
        <f>Planning[[#This Row],[Female]]</f>
        <v>AB5103</v>
      </c>
      <c r="AV14" s="82"/>
      <c r="AW14" s="83"/>
      <c r="AX14" s="84"/>
      <c r="AY14" s="185" t="str">
        <f>Planning[[#This Row],[Male]]</f>
        <v>AB5195</v>
      </c>
      <c r="AZ14" s="85"/>
      <c r="BA14" s="86"/>
      <c r="BB14" s="87"/>
    </row>
    <row r="15" spans="1:54" s="103" customFormat="1" ht="12.75" x14ac:dyDescent="0.25">
      <c r="A15" s="152"/>
      <c r="B15" s="142" t="s">
        <v>23</v>
      </c>
      <c r="C15" s="143" t="s">
        <v>13</v>
      </c>
      <c r="D15" s="144"/>
      <c r="E15" s="145" t="s">
        <v>25</v>
      </c>
      <c r="F15" s="146"/>
      <c r="G15" s="147"/>
      <c r="H15" s="148"/>
      <c r="I15" s="153"/>
      <c r="J15" s="198"/>
      <c r="K15" s="153"/>
      <c r="L15" s="153"/>
      <c r="M15" s="153"/>
      <c r="N15" s="77" t="e">
        <f>VLOOKUP(Q15,Compartments[#All],2,FALSE)</f>
        <v>#N/A</v>
      </c>
      <c r="O15" s="77" t="e">
        <f>VLOOKUP(Q15,Compartments[#All],3,FALSE)</f>
        <v>#N/A</v>
      </c>
      <c r="P15" s="78" t="e">
        <f>VLOOKUP(Q15,Compartments[#All],6,FALSE)</f>
        <v>#N/A</v>
      </c>
      <c r="Q15" s="149"/>
      <c r="R15" s="142"/>
      <c r="S15" s="154" t="e">
        <f t="shared" si="6"/>
        <v>#N/A</v>
      </c>
      <c r="T15" s="155" t="e">
        <f t="shared" si="7"/>
        <v>#N/A</v>
      </c>
      <c r="U15" s="142">
        <v>50</v>
      </c>
      <c r="V15" s="142">
        <v>50</v>
      </c>
      <c r="W15" s="142">
        <v>8</v>
      </c>
      <c r="X15" s="142">
        <v>1</v>
      </c>
      <c r="Y15" s="156" t="e">
        <f t="shared" si="0"/>
        <v>#N/A</v>
      </c>
      <c r="Z15" s="156" t="e">
        <f t="shared" si="1"/>
        <v>#N/A</v>
      </c>
      <c r="AA15" s="157" t="e">
        <f t="shared" si="2"/>
        <v>#N/A</v>
      </c>
      <c r="AB15" s="156" t="e">
        <f t="shared" si="3"/>
        <v>#N/A</v>
      </c>
      <c r="AC15" s="158" t="str">
        <f t="shared" si="8"/>
        <v>Check!</v>
      </c>
      <c r="AD15" s="150"/>
      <c r="AE15" s="79">
        <f t="shared" si="10"/>
        <v>7</v>
      </c>
      <c r="AF15" s="79">
        <f t="shared" si="11"/>
        <v>14</v>
      </c>
      <c r="AG15" s="82"/>
      <c r="AH15" s="79">
        <f>AE15+14</f>
        <v>21</v>
      </c>
      <c r="AI15" s="82"/>
      <c r="AJ15" s="79">
        <f>AH15+35</f>
        <v>56</v>
      </c>
      <c r="AK15" s="79">
        <f>AJ15+18</f>
        <v>74</v>
      </c>
      <c r="AL15" s="79">
        <f>AK15+65</f>
        <v>139</v>
      </c>
      <c r="AM15" s="79">
        <f>AL15+30</f>
        <v>169</v>
      </c>
      <c r="AN15" s="203"/>
      <c r="AO15" s="79">
        <f t="shared" si="12"/>
        <v>176</v>
      </c>
      <c r="AP15" s="80">
        <f t="shared" si="5"/>
        <v>176</v>
      </c>
      <c r="AQ15" s="148"/>
      <c r="AR15" s="159"/>
      <c r="AS15" s="184">
        <f>IF(ISBLANK(Planning[[#This Row],[New estimation]]),"-",Planning[[#This Row],[New estimation]]-Planning[[#This Row],[Order]])</f>
        <v>-10757</v>
      </c>
      <c r="AT15" s="81"/>
      <c r="AU15" s="185" t="str">
        <f>Planning[[#This Row],[Female]]</f>
        <v>MK5832</v>
      </c>
      <c r="AV15" s="82"/>
      <c r="AW15" s="83"/>
      <c r="AX15" s="84"/>
      <c r="AY15" s="185" t="str">
        <f>Planning[[#This Row],[Male]]</f>
        <v>MK5838</v>
      </c>
      <c r="AZ15" s="85"/>
      <c r="BA15" s="86"/>
      <c r="BB15" s="87"/>
    </row>
    <row r="16" spans="1:54" s="103" customFormat="1" ht="12.75" x14ac:dyDescent="0.25">
      <c r="A16" s="152"/>
      <c r="B16" s="142" t="s">
        <v>26</v>
      </c>
      <c r="C16" s="143" t="s">
        <v>13</v>
      </c>
      <c r="D16" s="144"/>
      <c r="E16" s="145"/>
      <c r="F16" s="146"/>
      <c r="G16" s="147"/>
      <c r="H16" s="148"/>
      <c r="I16" s="153"/>
      <c r="J16" s="198"/>
      <c r="K16" s="153"/>
      <c r="L16" s="153"/>
      <c r="M16" s="153"/>
      <c r="N16" s="77" t="e">
        <f>VLOOKUP(Q16,Compartments[#All],2,FALSE)</f>
        <v>#N/A</v>
      </c>
      <c r="O16" s="77" t="e">
        <f>VLOOKUP(Q16,Compartments[#All],3,FALSE)</f>
        <v>#N/A</v>
      </c>
      <c r="P16" s="78" t="e">
        <f>VLOOKUP(Q16,Compartments[#All],6,FALSE)</f>
        <v>#N/A</v>
      </c>
      <c r="Q16" s="149"/>
      <c r="R16" s="142"/>
      <c r="S16" s="154" t="e">
        <f t="shared" si="6"/>
        <v>#N/A</v>
      </c>
      <c r="T16" s="155" t="e">
        <f t="shared" si="7"/>
        <v>#N/A</v>
      </c>
      <c r="U16" s="142">
        <v>50</v>
      </c>
      <c r="V16" s="142">
        <v>50</v>
      </c>
      <c r="W16" s="142">
        <v>8</v>
      </c>
      <c r="X16" s="142">
        <v>1</v>
      </c>
      <c r="Y16" s="156" t="e">
        <f t="shared" si="0"/>
        <v>#N/A</v>
      </c>
      <c r="Z16" s="156" t="e">
        <f t="shared" si="1"/>
        <v>#N/A</v>
      </c>
      <c r="AA16" s="157" t="e">
        <f t="shared" si="2"/>
        <v>#N/A</v>
      </c>
      <c r="AB16" s="156" t="e">
        <f t="shared" si="3"/>
        <v>#N/A</v>
      </c>
      <c r="AC16" s="158" t="str">
        <f t="shared" si="8"/>
        <v>Check!</v>
      </c>
      <c r="AD16" s="150"/>
      <c r="AE16" s="79">
        <f t="shared" si="10"/>
        <v>7</v>
      </c>
      <c r="AF16" s="79">
        <f t="shared" si="11"/>
        <v>14</v>
      </c>
      <c r="AG16" s="82"/>
      <c r="AH16" s="79">
        <f>AE16+14</f>
        <v>21</v>
      </c>
      <c r="AI16" s="82"/>
      <c r="AJ16" s="79">
        <f>AH16+35</f>
        <v>56</v>
      </c>
      <c r="AK16" s="79">
        <f>AJ16+18</f>
        <v>74</v>
      </c>
      <c r="AL16" s="79">
        <f>AK16+65</f>
        <v>139</v>
      </c>
      <c r="AM16" s="79">
        <f>AL16+30</f>
        <v>169</v>
      </c>
      <c r="AN16" s="203"/>
      <c r="AO16" s="79">
        <f t="shared" si="12"/>
        <v>176</v>
      </c>
      <c r="AP16" s="80">
        <f t="shared" si="5"/>
        <v>176</v>
      </c>
      <c r="AQ16" s="148"/>
      <c r="AR16" s="159"/>
      <c r="AS16" s="184">
        <f>IF(ISBLANK(Planning[[#This Row],[New estimation]]),"-",Planning[[#This Row],[New estimation]]-Planning[[#This Row],[Order]])</f>
        <v>-4164</v>
      </c>
      <c r="AT16" s="81"/>
      <c r="AU16" s="185" t="str">
        <f>Planning[[#This Row],[Female]]</f>
        <v>TB5677</v>
      </c>
      <c r="AV16" s="82"/>
      <c r="AW16" s="83"/>
      <c r="AX16" s="84"/>
      <c r="AY16" s="185" t="str">
        <f>Planning[[#This Row],[Male]]</f>
        <v>TB5101</v>
      </c>
      <c r="AZ16" s="85"/>
      <c r="BA16" s="86"/>
      <c r="BB16" s="87"/>
    </row>
    <row r="17" spans="1:57" s="106" customFormat="1" ht="12.75" x14ac:dyDescent="0.25">
      <c r="A17" s="152"/>
      <c r="B17" s="142" t="s">
        <v>27</v>
      </c>
      <c r="C17" s="143" t="s">
        <v>18</v>
      </c>
      <c r="D17" s="144"/>
      <c r="E17" s="145"/>
      <c r="F17" s="146"/>
      <c r="G17" s="147"/>
      <c r="H17" s="148"/>
      <c r="I17" s="153"/>
      <c r="J17" s="198"/>
      <c r="K17" s="153"/>
      <c r="L17" s="153"/>
      <c r="M17" s="153"/>
      <c r="N17" s="77" t="e">
        <f>VLOOKUP(Q17,Compartments[#All],2,FALSE)</f>
        <v>#N/A</v>
      </c>
      <c r="O17" s="77" t="e">
        <f>VLOOKUP(Q17,Compartments[#All],3,FALSE)</f>
        <v>#N/A</v>
      </c>
      <c r="P17" s="78" t="e">
        <f>VLOOKUP(Q17,Compartments[#All],6,FALSE)</f>
        <v>#N/A</v>
      </c>
      <c r="Q17" s="149"/>
      <c r="R17" s="142"/>
      <c r="S17" s="154"/>
      <c r="T17" s="155" t="e">
        <f t="shared" si="7"/>
        <v>#N/A</v>
      </c>
      <c r="U17" s="142">
        <v>50</v>
      </c>
      <c r="V17" s="142"/>
      <c r="W17" s="142">
        <v>1</v>
      </c>
      <c r="X17" s="142"/>
      <c r="Y17" s="156" t="e">
        <f t="shared" si="0"/>
        <v>#N/A</v>
      </c>
      <c r="Z17" s="156"/>
      <c r="AA17" s="157" t="e">
        <f t="shared" si="2"/>
        <v>#N/A</v>
      </c>
      <c r="AB17" s="156"/>
      <c r="AC17" s="158" t="str">
        <f t="shared" si="8"/>
        <v>Check!</v>
      </c>
      <c r="AD17" s="150"/>
      <c r="AE17" s="79"/>
      <c r="AF17" s="79"/>
      <c r="AG17" s="82"/>
      <c r="AH17" s="79">
        <f>AD17+14</f>
        <v>14</v>
      </c>
      <c r="AI17" s="82"/>
      <c r="AJ17" s="79">
        <f>AH17+35</f>
        <v>49</v>
      </c>
      <c r="AK17" s="79">
        <f>AJ17+10</f>
        <v>59</v>
      </c>
      <c r="AL17" s="189">
        <f>AJ17+15</f>
        <v>64</v>
      </c>
      <c r="AM17" s="79">
        <f>AK17+15</f>
        <v>74</v>
      </c>
      <c r="AN17" s="203"/>
      <c r="AO17" s="79">
        <f t="shared" si="12"/>
        <v>81</v>
      </c>
      <c r="AP17" s="80">
        <f t="shared" si="5"/>
        <v>81</v>
      </c>
      <c r="AQ17" s="148"/>
      <c r="AR17" s="159"/>
      <c r="AS17" s="184">
        <f>IF(ISBLANK(Planning[[#This Row],[New estimation]]),"-",Planning[[#This Row],[New estimation]]-Planning[[#This Row],[Order]])</f>
        <v>-7287</v>
      </c>
      <c r="AT17" s="81"/>
      <c r="AU17" s="185" t="str">
        <f>Planning[[#This Row],[Female]]</f>
        <v>TB5669</v>
      </c>
      <c r="AV17" s="82"/>
      <c r="AW17" s="83"/>
      <c r="AX17" s="84"/>
      <c r="AY17" s="185" t="str">
        <f>Planning[[#This Row],[Male]]</f>
        <v>TB5329</v>
      </c>
      <c r="AZ17" s="85"/>
      <c r="BA17" s="86"/>
      <c r="BB17" s="87"/>
      <c r="BC17" s="100"/>
      <c r="BD17" s="100"/>
      <c r="BE17" s="100"/>
    </row>
    <row r="18" spans="1:57" s="106" customFormat="1" ht="12.75" x14ac:dyDescent="0.25">
      <c r="A18" s="152"/>
      <c r="B18" s="142" t="s">
        <v>28</v>
      </c>
      <c r="C18" s="143" t="s">
        <v>13</v>
      </c>
      <c r="D18" s="144"/>
      <c r="E18" s="145"/>
      <c r="F18" s="146"/>
      <c r="G18" s="147"/>
      <c r="H18" s="148"/>
      <c r="I18" s="153"/>
      <c r="J18" s="198"/>
      <c r="K18" s="153"/>
      <c r="L18" s="153"/>
      <c r="M18" s="153"/>
      <c r="N18" s="77" t="e">
        <f>VLOOKUP(Q18,Compartments[#All],2,FALSE)</f>
        <v>#N/A</v>
      </c>
      <c r="O18" s="77" t="e">
        <f>VLOOKUP(Q18,Compartments[#All],3,FALSE)</f>
        <v>#N/A</v>
      </c>
      <c r="P18" s="78" t="e">
        <f>VLOOKUP(Q18,Compartments[#All],6,FALSE)</f>
        <v>#N/A</v>
      </c>
      <c r="Q18" s="149"/>
      <c r="R18" s="142"/>
      <c r="S18" s="154" t="e">
        <f t="shared" si="6"/>
        <v>#N/A</v>
      </c>
      <c r="T18" s="155" t="e">
        <f t="shared" si="7"/>
        <v>#N/A</v>
      </c>
      <c r="U18" s="142">
        <v>50</v>
      </c>
      <c r="V18" s="142">
        <v>50</v>
      </c>
      <c r="W18" s="142">
        <v>8</v>
      </c>
      <c r="X18" s="142">
        <v>1</v>
      </c>
      <c r="Y18" s="156" t="e">
        <f t="shared" si="0"/>
        <v>#N/A</v>
      </c>
      <c r="Z18" s="156" t="e">
        <f t="shared" si="1"/>
        <v>#N/A</v>
      </c>
      <c r="AA18" s="157" t="e">
        <f t="shared" si="2"/>
        <v>#N/A</v>
      </c>
      <c r="AB18" s="156" t="e">
        <f t="shared" si="3"/>
        <v>#N/A</v>
      </c>
      <c r="AC18" s="158" t="str">
        <f t="shared" si="8"/>
        <v>Check!</v>
      </c>
      <c r="AD18" s="150"/>
      <c r="AE18" s="79">
        <f>AD18+7</f>
        <v>7</v>
      </c>
      <c r="AF18" s="79">
        <f>AD18+28</f>
        <v>28</v>
      </c>
      <c r="AG18" s="82"/>
      <c r="AH18" s="79">
        <f>AE18+28</f>
        <v>35</v>
      </c>
      <c r="AI18" s="82"/>
      <c r="AJ18" s="79">
        <f>AH18+45</f>
        <v>80</v>
      </c>
      <c r="AK18" s="79">
        <f>AJ18+35</f>
        <v>115</v>
      </c>
      <c r="AL18" s="79">
        <f>AJ18+95</f>
        <v>175</v>
      </c>
      <c r="AM18" s="79">
        <f>AK18+90</f>
        <v>205</v>
      </c>
      <c r="AN18" s="203"/>
      <c r="AO18" s="79">
        <f t="shared" si="12"/>
        <v>212</v>
      </c>
      <c r="AP18" s="80">
        <f t="shared" si="5"/>
        <v>212</v>
      </c>
      <c r="AQ18" s="148"/>
      <c r="AR18" s="159"/>
      <c r="AS18" s="184">
        <f>IF(ISBLANK(Planning[[#This Row],[New estimation]]),"-",Planning[[#This Row],[New estimation]]-Planning[[#This Row],[Order]])</f>
        <v>-1388</v>
      </c>
      <c r="AT18" s="81"/>
      <c r="AU18" s="185" t="str">
        <f>Planning[[#This Row],[Female]]</f>
        <v>TB5607</v>
      </c>
      <c r="AV18" s="82"/>
      <c r="AW18" s="83"/>
      <c r="AX18" s="84"/>
      <c r="AY18" s="185" t="str">
        <f>Planning[[#This Row],[Male]]</f>
        <v>TO5386</v>
      </c>
      <c r="AZ18" s="85"/>
      <c r="BA18" s="86"/>
      <c r="BB18" s="87"/>
      <c r="BC18" s="100"/>
      <c r="BD18" s="100"/>
      <c r="BE18" s="100"/>
    </row>
    <row r="19" spans="1:57" s="106" customFormat="1" ht="12.75" x14ac:dyDescent="0.25">
      <c r="A19" s="152"/>
      <c r="B19" s="142" t="s">
        <v>29</v>
      </c>
      <c r="C19" s="143" t="s">
        <v>13</v>
      </c>
      <c r="D19" s="144"/>
      <c r="E19" s="145"/>
      <c r="F19" s="146"/>
      <c r="G19" s="147"/>
      <c r="H19" s="148"/>
      <c r="I19" s="153"/>
      <c r="J19" s="198"/>
      <c r="K19" s="153"/>
      <c r="L19" s="153"/>
      <c r="M19" s="153"/>
      <c r="N19" s="77" t="e">
        <f>VLOOKUP(Q19,Compartments[#All],2,FALSE)</f>
        <v>#N/A</v>
      </c>
      <c r="O19" s="77" t="e">
        <f>VLOOKUP(Q19,Compartments[#All],3,FALSE)</f>
        <v>#N/A</v>
      </c>
      <c r="P19" s="78" t="e">
        <f>VLOOKUP(Q19,Compartments[#All],6,FALSE)</f>
        <v>#N/A</v>
      </c>
      <c r="Q19" s="149"/>
      <c r="R19" s="142"/>
      <c r="S19" s="154" t="e">
        <f t="shared" si="6"/>
        <v>#N/A</v>
      </c>
      <c r="T19" s="155" t="e">
        <f t="shared" si="7"/>
        <v>#N/A</v>
      </c>
      <c r="U19" s="142">
        <v>50</v>
      </c>
      <c r="V19" s="142">
        <v>50</v>
      </c>
      <c r="W19" s="142">
        <v>5</v>
      </c>
      <c r="X19" s="142">
        <v>1</v>
      </c>
      <c r="Y19" s="156" t="e">
        <f t="shared" si="0"/>
        <v>#N/A</v>
      </c>
      <c r="Z19" s="156" t="e">
        <f t="shared" si="1"/>
        <v>#N/A</v>
      </c>
      <c r="AA19" s="157" t="e">
        <f t="shared" si="2"/>
        <v>#N/A</v>
      </c>
      <c r="AB19" s="156" t="e">
        <f t="shared" si="3"/>
        <v>#N/A</v>
      </c>
      <c r="AC19" s="158" t="str">
        <f t="shared" si="8"/>
        <v>Check!</v>
      </c>
      <c r="AD19" s="150"/>
      <c r="AE19" s="79">
        <f>AD19+7</f>
        <v>7</v>
      </c>
      <c r="AF19" s="79">
        <f>AD19+21</f>
        <v>21</v>
      </c>
      <c r="AG19" s="82"/>
      <c r="AH19" s="79">
        <f>AE19+28</f>
        <v>35</v>
      </c>
      <c r="AI19" s="82"/>
      <c r="AJ19" s="79">
        <f>AH19+45</f>
        <v>80</v>
      </c>
      <c r="AK19" s="79">
        <f>AJ19+80</f>
        <v>160</v>
      </c>
      <c r="AL19" s="79">
        <f>AJ19+70</f>
        <v>150</v>
      </c>
      <c r="AM19" s="79">
        <f>AK19+70</f>
        <v>230</v>
      </c>
      <c r="AN19" s="203"/>
      <c r="AO19" s="79">
        <f t="shared" si="12"/>
        <v>237</v>
      </c>
      <c r="AP19" s="80">
        <f t="shared" si="5"/>
        <v>237</v>
      </c>
      <c r="AQ19" s="148"/>
      <c r="AR19" s="159"/>
      <c r="AS19" s="184">
        <f>IF(ISBLANK(Planning[[#This Row],[New estimation]]),"-",Planning[[#This Row],[New estimation]]-Planning[[#This Row],[Order]])</f>
        <v>-1388</v>
      </c>
      <c r="AT19" s="81"/>
      <c r="AU19" s="185" t="str">
        <f>Planning[[#This Row],[Female]]</f>
        <v>TB5234</v>
      </c>
      <c r="AV19" s="82"/>
      <c r="AW19" s="83"/>
      <c r="AX19" s="84"/>
      <c r="AY19" s="185" t="str">
        <f>Planning[[#This Row],[Male]]</f>
        <v>TB5235</v>
      </c>
      <c r="AZ19" s="85"/>
      <c r="BA19" s="86"/>
      <c r="BB19" s="87"/>
      <c r="BC19" s="100"/>
      <c r="BD19" s="100"/>
      <c r="BE19" s="100"/>
    </row>
    <row r="20" spans="1:57" s="106" customFormat="1" ht="12.75" x14ac:dyDescent="0.25">
      <c r="A20" s="152"/>
      <c r="B20" s="142" t="s">
        <v>29</v>
      </c>
      <c r="C20" s="143" t="s">
        <v>18</v>
      </c>
      <c r="D20" s="144"/>
      <c r="E20" s="145"/>
      <c r="F20" s="146"/>
      <c r="G20" s="147"/>
      <c r="H20" s="148"/>
      <c r="I20" s="153"/>
      <c r="J20" s="198"/>
      <c r="K20" s="153"/>
      <c r="L20" s="153"/>
      <c r="M20" s="153"/>
      <c r="N20" s="77" t="e">
        <f>VLOOKUP(Q20,Compartments[#All],2,FALSE)</f>
        <v>#N/A</v>
      </c>
      <c r="O20" s="77" t="e">
        <f>VLOOKUP(Q20,Compartments[#All],3,FALSE)</f>
        <v>#N/A</v>
      </c>
      <c r="P20" s="78" t="e">
        <f>VLOOKUP(Q20,Compartments[#All],6,FALSE)</f>
        <v>#N/A</v>
      </c>
      <c r="Q20" s="149"/>
      <c r="R20" s="142"/>
      <c r="S20" s="154"/>
      <c r="T20" s="155" t="e">
        <f t="shared" si="7"/>
        <v>#N/A</v>
      </c>
      <c r="U20" s="142">
        <v>50</v>
      </c>
      <c r="V20" s="142"/>
      <c r="W20" s="142">
        <v>1</v>
      </c>
      <c r="X20" s="142"/>
      <c r="Y20" s="156" t="e">
        <f t="shared" si="0"/>
        <v>#N/A</v>
      </c>
      <c r="Z20" s="156"/>
      <c r="AA20" s="157" t="e">
        <f t="shared" si="2"/>
        <v>#N/A</v>
      </c>
      <c r="AB20" s="156"/>
      <c r="AC20" s="158" t="str">
        <f t="shared" si="8"/>
        <v>Check!</v>
      </c>
      <c r="AD20" s="150"/>
      <c r="AE20" s="79"/>
      <c r="AF20" s="79"/>
      <c r="AG20" s="82"/>
      <c r="AH20" s="79">
        <f>AE20+28</f>
        <v>28</v>
      </c>
      <c r="AI20" s="82"/>
      <c r="AJ20" s="79">
        <f>AH20+45</f>
        <v>73</v>
      </c>
      <c r="AK20" s="79">
        <f>AJ20+15</f>
        <v>88</v>
      </c>
      <c r="AL20" s="79">
        <f>AJ20+70</f>
        <v>143</v>
      </c>
      <c r="AM20" s="79">
        <f>AL20+14</f>
        <v>157</v>
      </c>
      <c r="AN20" s="203"/>
      <c r="AO20" s="79">
        <f>AL20+7</f>
        <v>150</v>
      </c>
      <c r="AP20" s="80">
        <f t="shared" si="5"/>
        <v>150</v>
      </c>
      <c r="AQ20" s="148"/>
      <c r="AR20" s="159"/>
      <c r="AS20" s="184">
        <f>IF(ISBLANK(Planning[[#This Row],[New estimation]]),"-",Planning[[#This Row],[New estimation]]-Planning[[#This Row],[Order]])</f>
        <v>-1735</v>
      </c>
      <c r="AT20" s="81"/>
      <c r="AU20" s="185" t="str">
        <f>Planning[[#This Row],[Female]]</f>
        <v>TB5766</v>
      </c>
      <c r="AV20" s="82"/>
      <c r="AW20" s="83"/>
      <c r="AX20" s="84"/>
      <c r="AY20" s="185" t="str">
        <f>Planning[[#This Row],[Male]]</f>
        <v>TO5120</v>
      </c>
      <c r="AZ20" s="85"/>
      <c r="BA20" s="86"/>
      <c r="BB20" s="87"/>
      <c r="BC20" s="100"/>
      <c r="BD20" s="100"/>
      <c r="BE20" s="100"/>
    </row>
  </sheetData>
  <sheetProtection sheet="1" objects="1" scenarios="1"/>
  <conditionalFormatting sqref="AA5:AA20 AC1:AC20">
    <cfRule type="cellIs" dxfId="16" priority="4" stopIfTrue="1" operator="equal">
      <formula>"Check"</formula>
    </cfRule>
    <cfRule type="cellIs" dxfId="15" priority="5" stopIfTrue="1" operator="equal">
      <formula>"Check!"</formula>
    </cfRule>
  </conditionalFormatting>
  <conditionalFormatting sqref="T1:T20">
    <cfRule type="expression" dxfId="14" priority="3">
      <formula>$T1="too many rows!"</formula>
    </cfRule>
  </conditionalFormatting>
  <conditionalFormatting sqref="T4">
    <cfRule type="expression" dxfId="13" priority="2">
      <formula>$T4="too many rows!"</formula>
    </cfRule>
  </conditionalFormatting>
  <conditionalFormatting sqref="T2:T3">
    <cfRule type="expression" dxfId="12" priority="1">
      <formula>$T2="too many rows!"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H8"/>
  <sheetViews>
    <sheetView workbookViewId="0">
      <selection activeCell="G7" sqref="G7:G8"/>
    </sheetView>
  </sheetViews>
  <sheetFormatPr baseColWidth="10" defaultColWidth="9.140625" defaultRowHeight="15" x14ac:dyDescent="0.25"/>
  <sheetData>
    <row r="1" spans="1:8" x14ac:dyDescent="0.25">
      <c r="A1" s="2" t="s">
        <v>68</v>
      </c>
    </row>
    <row r="3" spans="1:8" x14ac:dyDescent="0.25">
      <c r="B3" t="s">
        <v>69</v>
      </c>
    </row>
    <row r="4" spans="1:8" x14ac:dyDescent="0.25">
      <c r="B4" t="s">
        <v>71</v>
      </c>
      <c r="C4" t="s">
        <v>30</v>
      </c>
      <c r="D4" t="s">
        <v>73</v>
      </c>
      <c r="E4" t="s">
        <v>2</v>
      </c>
      <c r="F4" t="s">
        <v>75</v>
      </c>
      <c r="G4" t="s">
        <v>77</v>
      </c>
      <c r="H4" t="s">
        <v>76</v>
      </c>
    </row>
    <row r="5" spans="1:8" x14ac:dyDescent="0.25">
      <c r="A5" t="s">
        <v>70</v>
      </c>
      <c r="C5">
        <v>160</v>
      </c>
      <c r="F5">
        <v>500</v>
      </c>
      <c r="H5">
        <v>200</v>
      </c>
    </row>
    <row r="6" spans="1:8" x14ac:dyDescent="0.25">
      <c r="A6" t="s">
        <v>70</v>
      </c>
      <c r="C6">
        <v>160</v>
      </c>
      <c r="F6">
        <v>500</v>
      </c>
      <c r="H6">
        <v>200</v>
      </c>
    </row>
    <row r="7" spans="1:8" x14ac:dyDescent="0.25">
      <c r="A7" t="s">
        <v>72</v>
      </c>
      <c r="C7">
        <v>400</v>
      </c>
      <c r="D7">
        <v>6</v>
      </c>
      <c r="F7">
        <v>25</v>
      </c>
      <c r="G7">
        <f>$C$7*24</f>
        <v>9600</v>
      </c>
    </row>
    <row r="8" spans="1:8" x14ac:dyDescent="0.25">
      <c r="A8" t="s">
        <v>72</v>
      </c>
      <c r="C8">
        <v>400</v>
      </c>
      <c r="D8">
        <v>6</v>
      </c>
      <c r="F8">
        <v>25</v>
      </c>
      <c r="G8">
        <f>$C$7*24</f>
        <v>9600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H21"/>
  <sheetViews>
    <sheetView workbookViewId="0">
      <selection activeCell="H19" sqref="H19"/>
    </sheetView>
  </sheetViews>
  <sheetFormatPr baseColWidth="10" defaultColWidth="9.140625" defaultRowHeight="12.75" x14ac:dyDescent="0.2"/>
  <cols>
    <col min="1" max="1" width="10.85546875" style="14" customWidth="1"/>
    <col min="2" max="2" width="12.42578125" style="14" customWidth="1"/>
    <col min="3" max="3" width="10.85546875" style="14" customWidth="1"/>
    <col min="4" max="4" width="12.5703125" style="14" customWidth="1"/>
    <col min="5" max="5" width="13.140625" style="14" customWidth="1"/>
    <col min="6" max="6" width="11" style="14" customWidth="1"/>
    <col min="7" max="7" width="9.140625" style="14"/>
    <col min="8" max="8" width="14.140625" style="14" customWidth="1"/>
    <col min="9" max="16384" width="9.140625" style="14"/>
  </cols>
  <sheetData>
    <row r="1" spans="1:8" ht="14.25" thickTop="1" thickBot="1" x14ac:dyDescent="0.25">
      <c r="A1" s="3" t="s">
        <v>30</v>
      </c>
      <c r="B1" s="11"/>
      <c r="C1" s="12">
        <f>SUM(C4:C21)</f>
        <v>31104</v>
      </c>
      <c r="D1" s="12">
        <f>SUM(D4:D21)</f>
        <v>28992</v>
      </c>
      <c r="E1" s="11"/>
      <c r="F1" s="11"/>
      <c r="G1" s="11"/>
      <c r="H1" s="13"/>
    </row>
    <row r="2" spans="1:8" s="19" customFormat="1" ht="14.25" thickTop="1" thickBot="1" x14ac:dyDescent="0.25">
      <c r="A2" s="16"/>
      <c r="B2" s="17"/>
      <c r="C2" s="18"/>
      <c r="D2" s="18"/>
      <c r="E2" s="15"/>
      <c r="F2" s="15"/>
      <c r="G2" s="15"/>
      <c r="H2" s="17"/>
    </row>
    <row r="3" spans="1:8" ht="33" customHeight="1" thickTop="1" thickBot="1" x14ac:dyDescent="0.25">
      <c r="A3" s="4" t="s">
        <v>3</v>
      </c>
      <c r="B3" s="5" t="s">
        <v>84</v>
      </c>
      <c r="C3" s="6" t="s">
        <v>85</v>
      </c>
      <c r="D3" s="6" t="s">
        <v>86</v>
      </c>
      <c r="E3" s="6" t="s">
        <v>83</v>
      </c>
      <c r="F3" s="6" t="s">
        <v>35</v>
      </c>
      <c r="G3" s="6" t="s">
        <v>31</v>
      </c>
      <c r="H3" s="6" t="s">
        <v>9</v>
      </c>
    </row>
    <row r="4" spans="1:8" ht="13.5" thickTop="1" x14ac:dyDescent="0.2">
      <c r="A4" s="7">
        <v>111</v>
      </c>
      <c r="B4" s="26">
        <f>G4/0.8</f>
        <v>40</v>
      </c>
      <c r="C4" s="27">
        <f>E4*G4</f>
        <v>1296</v>
      </c>
      <c r="D4" s="27">
        <f>F4*G4</f>
        <v>1208</v>
      </c>
      <c r="E4" s="20">
        <v>40.5</v>
      </c>
      <c r="F4" s="20">
        <v>37.75</v>
      </c>
      <c r="G4" s="20">
        <v>32</v>
      </c>
      <c r="H4" s="21"/>
    </row>
    <row r="5" spans="1:8" x14ac:dyDescent="0.2">
      <c r="A5" s="8">
        <v>112</v>
      </c>
      <c r="B5" s="28">
        <f t="shared" ref="B5:B21" si="0">G5/0.8</f>
        <v>60</v>
      </c>
      <c r="C5" s="29">
        <f t="shared" ref="C5:C21" si="1">E5*G5</f>
        <v>1944</v>
      </c>
      <c r="D5" s="29">
        <f t="shared" ref="D5:D21" si="2">F5*G5</f>
        <v>1812</v>
      </c>
      <c r="E5" s="22">
        <v>40.5</v>
      </c>
      <c r="F5" s="22">
        <v>37.75</v>
      </c>
      <c r="G5" s="22">
        <v>48</v>
      </c>
      <c r="H5" s="23"/>
    </row>
    <row r="6" spans="1:8" x14ac:dyDescent="0.2">
      <c r="A6" s="8">
        <v>113</v>
      </c>
      <c r="B6" s="28">
        <f t="shared" si="0"/>
        <v>60</v>
      </c>
      <c r="C6" s="29">
        <f t="shared" si="1"/>
        <v>1944</v>
      </c>
      <c r="D6" s="29">
        <f t="shared" si="2"/>
        <v>1812</v>
      </c>
      <c r="E6" s="22">
        <v>40.5</v>
      </c>
      <c r="F6" s="22">
        <v>37.75</v>
      </c>
      <c r="G6" s="22">
        <v>48</v>
      </c>
      <c r="H6" s="23"/>
    </row>
    <row r="7" spans="1:8" x14ac:dyDescent="0.2">
      <c r="A7" s="8">
        <v>114</v>
      </c>
      <c r="B7" s="28">
        <f t="shared" si="0"/>
        <v>60</v>
      </c>
      <c r="C7" s="29">
        <f t="shared" si="1"/>
        <v>1944</v>
      </c>
      <c r="D7" s="29">
        <f t="shared" si="2"/>
        <v>1812</v>
      </c>
      <c r="E7" s="22">
        <v>40.5</v>
      </c>
      <c r="F7" s="22">
        <v>37.75</v>
      </c>
      <c r="G7" s="22">
        <v>48</v>
      </c>
      <c r="H7" s="23"/>
    </row>
    <row r="8" spans="1:8" x14ac:dyDescent="0.2">
      <c r="A8" s="8">
        <v>115</v>
      </c>
      <c r="B8" s="28">
        <f t="shared" si="0"/>
        <v>60</v>
      </c>
      <c r="C8" s="29">
        <f t="shared" si="1"/>
        <v>1944</v>
      </c>
      <c r="D8" s="29">
        <f t="shared" si="2"/>
        <v>1812</v>
      </c>
      <c r="E8" s="22">
        <v>40.5</v>
      </c>
      <c r="F8" s="22">
        <v>37.75</v>
      </c>
      <c r="G8" s="22">
        <v>48</v>
      </c>
      <c r="H8" s="23"/>
    </row>
    <row r="9" spans="1:8" x14ac:dyDescent="0.2">
      <c r="A9" s="8">
        <v>116</v>
      </c>
      <c r="B9" s="28">
        <f t="shared" si="0"/>
        <v>40</v>
      </c>
      <c r="C9" s="29">
        <f t="shared" si="1"/>
        <v>1296</v>
      </c>
      <c r="D9" s="29">
        <f t="shared" si="2"/>
        <v>1208</v>
      </c>
      <c r="E9" s="22">
        <v>40.5</v>
      </c>
      <c r="F9" s="22">
        <v>37.75</v>
      </c>
      <c r="G9" s="22">
        <v>32</v>
      </c>
      <c r="H9" s="23"/>
    </row>
    <row r="10" spans="1:8" x14ac:dyDescent="0.2">
      <c r="A10" s="8">
        <v>121</v>
      </c>
      <c r="B10" s="28">
        <f t="shared" si="0"/>
        <v>40</v>
      </c>
      <c r="C10" s="29">
        <f t="shared" si="1"/>
        <v>1296</v>
      </c>
      <c r="D10" s="29">
        <f t="shared" si="2"/>
        <v>1208</v>
      </c>
      <c r="E10" s="22">
        <v>40.5</v>
      </c>
      <c r="F10" s="22">
        <v>37.75</v>
      </c>
      <c r="G10" s="22">
        <v>32</v>
      </c>
      <c r="H10" s="23"/>
    </row>
    <row r="11" spans="1:8" x14ac:dyDescent="0.2">
      <c r="A11" s="8">
        <v>122</v>
      </c>
      <c r="B11" s="28">
        <f t="shared" si="0"/>
        <v>60</v>
      </c>
      <c r="C11" s="29">
        <f t="shared" si="1"/>
        <v>1944</v>
      </c>
      <c r="D11" s="29">
        <f t="shared" si="2"/>
        <v>1812</v>
      </c>
      <c r="E11" s="22">
        <v>40.5</v>
      </c>
      <c r="F11" s="22">
        <v>37.75</v>
      </c>
      <c r="G11" s="22">
        <v>48</v>
      </c>
      <c r="H11" s="23"/>
    </row>
    <row r="12" spans="1:8" x14ac:dyDescent="0.2">
      <c r="A12" s="8">
        <v>123</v>
      </c>
      <c r="B12" s="28">
        <f t="shared" si="0"/>
        <v>60</v>
      </c>
      <c r="C12" s="29">
        <f t="shared" si="1"/>
        <v>1944</v>
      </c>
      <c r="D12" s="29">
        <f t="shared" si="2"/>
        <v>1812</v>
      </c>
      <c r="E12" s="22">
        <v>40.5</v>
      </c>
      <c r="F12" s="22">
        <v>37.75</v>
      </c>
      <c r="G12" s="22">
        <v>48</v>
      </c>
      <c r="H12" s="23"/>
    </row>
    <row r="13" spans="1:8" x14ac:dyDescent="0.2">
      <c r="A13" s="8">
        <v>124</v>
      </c>
      <c r="B13" s="28">
        <f t="shared" si="0"/>
        <v>60</v>
      </c>
      <c r="C13" s="29">
        <f t="shared" si="1"/>
        <v>1944</v>
      </c>
      <c r="D13" s="29">
        <f t="shared" si="2"/>
        <v>1812</v>
      </c>
      <c r="E13" s="22">
        <v>40.5</v>
      </c>
      <c r="F13" s="22">
        <v>37.75</v>
      </c>
      <c r="G13" s="22">
        <v>48</v>
      </c>
      <c r="H13" s="23"/>
    </row>
    <row r="14" spans="1:8" x14ac:dyDescent="0.2">
      <c r="A14" s="8">
        <v>125</v>
      </c>
      <c r="B14" s="28">
        <f t="shared" si="0"/>
        <v>60</v>
      </c>
      <c r="C14" s="29">
        <f t="shared" si="1"/>
        <v>1944</v>
      </c>
      <c r="D14" s="29">
        <f t="shared" si="2"/>
        <v>1812</v>
      </c>
      <c r="E14" s="22">
        <v>40.5</v>
      </c>
      <c r="F14" s="22">
        <v>37.75</v>
      </c>
      <c r="G14" s="22">
        <v>48</v>
      </c>
      <c r="H14" s="23"/>
    </row>
    <row r="15" spans="1:8" x14ac:dyDescent="0.2">
      <c r="A15" s="8">
        <v>126</v>
      </c>
      <c r="B15" s="28">
        <f t="shared" si="0"/>
        <v>40</v>
      </c>
      <c r="C15" s="29">
        <f t="shared" si="1"/>
        <v>1296</v>
      </c>
      <c r="D15" s="29">
        <f t="shared" si="2"/>
        <v>1208</v>
      </c>
      <c r="E15" s="22">
        <v>40.5</v>
      </c>
      <c r="F15" s="22">
        <v>37.75</v>
      </c>
      <c r="G15" s="22">
        <v>32</v>
      </c>
      <c r="H15" s="23"/>
    </row>
    <row r="16" spans="1:8" x14ac:dyDescent="0.2">
      <c r="A16" s="9">
        <v>131</v>
      </c>
      <c r="B16" s="28">
        <f t="shared" si="0"/>
        <v>40</v>
      </c>
      <c r="C16" s="29">
        <f t="shared" si="1"/>
        <v>1296</v>
      </c>
      <c r="D16" s="29">
        <f t="shared" si="2"/>
        <v>1208</v>
      </c>
      <c r="E16" s="22">
        <v>40.5</v>
      </c>
      <c r="F16" s="22">
        <v>37.75</v>
      </c>
      <c r="G16" s="22">
        <v>32</v>
      </c>
      <c r="H16" s="23"/>
    </row>
    <row r="17" spans="1:8" x14ac:dyDescent="0.2">
      <c r="A17" s="9">
        <v>132</v>
      </c>
      <c r="B17" s="28">
        <f t="shared" si="0"/>
        <v>60</v>
      </c>
      <c r="C17" s="29">
        <f t="shared" si="1"/>
        <v>1944</v>
      </c>
      <c r="D17" s="29">
        <f t="shared" si="2"/>
        <v>1812</v>
      </c>
      <c r="E17" s="22">
        <v>40.5</v>
      </c>
      <c r="F17" s="22">
        <v>37.75</v>
      </c>
      <c r="G17" s="22">
        <v>48</v>
      </c>
      <c r="H17" s="23"/>
    </row>
    <row r="18" spans="1:8" x14ac:dyDescent="0.2">
      <c r="A18" s="9">
        <v>133</v>
      </c>
      <c r="B18" s="28">
        <f t="shared" si="0"/>
        <v>60</v>
      </c>
      <c r="C18" s="29">
        <f t="shared" si="1"/>
        <v>1944</v>
      </c>
      <c r="D18" s="29">
        <f t="shared" si="2"/>
        <v>1812</v>
      </c>
      <c r="E18" s="22">
        <v>40.5</v>
      </c>
      <c r="F18" s="22">
        <v>37.75</v>
      </c>
      <c r="G18" s="22">
        <v>48</v>
      </c>
      <c r="H18" s="23"/>
    </row>
    <row r="19" spans="1:8" x14ac:dyDescent="0.2">
      <c r="A19" s="9">
        <v>134</v>
      </c>
      <c r="B19" s="28">
        <f t="shared" si="0"/>
        <v>60</v>
      </c>
      <c r="C19" s="29">
        <f t="shared" si="1"/>
        <v>1944</v>
      </c>
      <c r="D19" s="29">
        <f t="shared" si="2"/>
        <v>1812</v>
      </c>
      <c r="E19" s="22">
        <v>40.5</v>
      </c>
      <c r="F19" s="22">
        <v>37.75</v>
      </c>
      <c r="G19" s="22">
        <v>48</v>
      </c>
      <c r="H19" s="23" t="s">
        <v>32</v>
      </c>
    </row>
    <row r="20" spans="1:8" x14ac:dyDescent="0.2">
      <c r="A20" s="9">
        <v>135</v>
      </c>
      <c r="B20" s="28">
        <f t="shared" si="0"/>
        <v>60</v>
      </c>
      <c r="C20" s="29">
        <f t="shared" si="1"/>
        <v>1944</v>
      </c>
      <c r="D20" s="29">
        <f t="shared" si="2"/>
        <v>1812</v>
      </c>
      <c r="E20" s="22">
        <v>40.5</v>
      </c>
      <c r="F20" s="22">
        <v>37.75</v>
      </c>
      <c r="G20" s="22">
        <v>48</v>
      </c>
      <c r="H20" s="23" t="s">
        <v>32</v>
      </c>
    </row>
    <row r="21" spans="1:8" x14ac:dyDescent="0.2">
      <c r="A21" s="10">
        <v>136</v>
      </c>
      <c r="B21" s="30">
        <f t="shared" si="0"/>
        <v>40</v>
      </c>
      <c r="C21" s="31">
        <f t="shared" si="1"/>
        <v>1296</v>
      </c>
      <c r="D21" s="31">
        <f t="shared" si="2"/>
        <v>1208</v>
      </c>
      <c r="E21" s="24">
        <v>40.5</v>
      </c>
      <c r="F21" s="24">
        <v>37.75</v>
      </c>
      <c r="G21" s="24">
        <v>32</v>
      </c>
      <c r="H21" s="25" t="s">
        <v>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2:C8"/>
  <sheetViews>
    <sheetView workbookViewId="0">
      <selection activeCell="A15" sqref="A15"/>
    </sheetView>
  </sheetViews>
  <sheetFormatPr baseColWidth="10" defaultColWidth="9.140625" defaultRowHeight="15" x14ac:dyDescent="0.25"/>
  <cols>
    <col min="1" max="1" width="27.140625" bestFit="1" customWidth="1"/>
    <col min="2" max="2" width="3.5703125" customWidth="1"/>
    <col min="3" max="3" width="50.140625" bestFit="1" customWidth="1"/>
  </cols>
  <sheetData>
    <row r="2" spans="1:3" x14ac:dyDescent="0.25">
      <c r="A2" t="s">
        <v>88</v>
      </c>
      <c r="C2" s="32" t="s">
        <v>87</v>
      </c>
    </row>
    <row r="3" spans="1:3" x14ac:dyDescent="0.25">
      <c r="A3" t="s">
        <v>89</v>
      </c>
      <c r="C3" s="32" t="s">
        <v>90</v>
      </c>
    </row>
    <row r="4" spans="1:3" x14ac:dyDescent="0.25">
      <c r="C4" s="32"/>
    </row>
    <row r="5" spans="1:3" x14ac:dyDescent="0.25">
      <c r="A5" t="s">
        <v>92</v>
      </c>
      <c r="C5" t="s">
        <v>96</v>
      </c>
    </row>
    <row r="6" spans="1:3" x14ac:dyDescent="0.25">
      <c r="A6" t="s">
        <v>93</v>
      </c>
      <c r="C6" t="s">
        <v>94</v>
      </c>
    </row>
    <row r="8" spans="1:3" x14ac:dyDescent="0.25">
      <c r="A8" t="s">
        <v>7</v>
      </c>
      <c r="C8" s="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Planning GH</vt:lpstr>
      <vt:lpstr>Default crop schedules</vt:lpstr>
      <vt:lpstr>Planning nursery</vt:lpstr>
      <vt:lpstr>Compartments</vt:lpstr>
      <vt:lpstr>Formules</vt:lpstr>
      <vt:lpstr>'Planning GH'!Área_de_impresión</vt:lpstr>
      <vt:lpstr>'Planning GH'!Títulos_a_imprimir</vt:lpstr>
    </vt:vector>
  </TitlesOfParts>
  <Company>Rijk Zwaan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fvds</dc:creator>
  <cp:lastModifiedBy>Mati</cp:lastModifiedBy>
  <cp:lastPrinted>2010-07-15T09:27:29Z</cp:lastPrinted>
  <dcterms:created xsi:type="dcterms:W3CDTF">2009-08-28T23:48:43Z</dcterms:created>
  <dcterms:modified xsi:type="dcterms:W3CDTF">2018-02-01T03:41:04Z</dcterms:modified>
</cp:coreProperties>
</file>