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davidklein/Documents/"/>
    </mc:Choice>
  </mc:AlternateContent>
  <xr:revisionPtr revIDLastSave="0" documentId="8_{463EE9E8-1042-2542-AC21-5E0B9CCAC113}" xr6:coauthVersionLast="47" xr6:coauthVersionMax="47" xr10:uidLastSave="{00000000-0000-0000-0000-000000000000}"/>
  <bookViews>
    <workbookView xWindow="0" yWindow="740" windowWidth="29400" windowHeight="18380" xr2:uid="{36F495BE-100C-4C23-B769-2E8998AD6DE9}"/>
  </bookViews>
  <sheets>
    <sheet name="Export" sheetId="4" r:id="rId1"/>
    <sheet name="Prices" sheetId="3" r:id="rId2"/>
    <sheet name="Referen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B28" i="2"/>
  <c r="B27" i="2"/>
  <c r="B26" i="2"/>
  <c r="B25" i="2"/>
  <c r="C78" i="3"/>
  <c r="D111" i="3" s="1"/>
  <c r="C77" i="3"/>
  <c r="G84" i="3" s="1"/>
  <c r="N69" i="3"/>
  <c r="G69" i="3"/>
  <c r="D69" i="3"/>
  <c r="N68" i="3"/>
  <c r="C64" i="3"/>
  <c r="G72" i="3" s="1"/>
  <c r="C63" i="3"/>
  <c r="G63" i="3" s="1"/>
  <c r="J60" i="3"/>
  <c r="K60" i="3" s="1"/>
  <c r="D60" i="3"/>
  <c r="E60" i="3" s="1"/>
  <c r="J59" i="3"/>
  <c r="K59" i="3" s="1"/>
  <c r="D59" i="3"/>
  <c r="E59" i="3" s="1"/>
  <c r="J58" i="3"/>
  <c r="K58" i="3" s="1"/>
  <c r="D58" i="3"/>
  <c r="J57" i="3"/>
  <c r="D57" i="3"/>
  <c r="J54" i="3"/>
  <c r="K54" i="3" s="1"/>
  <c r="D54" i="3"/>
  <c r="E54" i="3" s="1"/>
  <c r="J53" i="3"/>
  <c r="K53" i="3" s="1"/>
  <c r="D53" i="3"/>
  <c r="E53" i="3" s="1"/>
  <c r="J52" i="3"/>
  <c r="K52" i="3" s="1"/>
  <c r="D52" i="3"/>
  <c r="E52" i="3" s="1"/>
  <c r="J51" i="3"/>
  <c r="K51" i="3" s="1"/>
  <c r="D51" i="3"/>
  <c r="E51" i="3" s="1"/>
  <c r="J45" i="3"/>
  <c r="K45" i="3" s="1"/>
  <c r="J43" i="3"/>
  <c r="K43" i="3" s="1"/>
  <c r="J39" i="3"/>
  <c r="K39" i="3" s="1"/>
  <c r="J37" i="3"/>
  <c r="K37" i="3" s="1"/>
  <c r="J35" i="3"/>
  <c r="K35" i="3" s="1"/>
  <c r="J33" i="3"/>
  <c r="J29" i="3"/>
  <c r="K29" i="3" s="1"/>
  <c r="J27" i="3"/>
  <c r="K27" i="3" s="1"/>
  <c r="J25" i="3"/>
  <c r="K25" i="3" s="1"/>
  <c r="J23" i="3"/>
  <c r="K23" i="3" s="1"/>
  <c r="J21" i="3"/>
  <c r="J19" i="3"/>
  <c r="J17" i="3"/>
  <c r="K17" i="3" s="1"/>
  <c r="J15" i="3"/>
  <c r="J13" i="3"/>
  <c r="L11" i="3"/>
  <c r="J10" i="3" s="1"/>
  <c r="L10" i="3"/>
  <c r="D10" i="3"/>
  <c r="J9" i="3"/>
  <c r="D9" i="3"/>
  <c r="M8" i="3"/>
  <c r="L8" i="3"/>
  <c r="J8" i="3" s="1"/>
  <c r="J5" i="3"/>
  <c r="J4" i="3"/>
  <c r="X183" i="4" l="1"/>
  <c r="X184" i="4"/>
  <c r="X182" i="4"/>
  <c r="X178" i="4"/>
  <c r="X174" i="4"/>
  <c r="X170" i="4"/>
  <c r="X180" i="4"/>
  <c r="X172" i="4"/>
  <c r="X171" i="4"/>
  <c r="X181" i="4"/>
  <c r="X177" i="4"/>
  <c r="X173" i="4"/>
  <c r="X169" i="4"/>
  <c r="X176" i="4"/>
  <c r="X179" i="4"/>
  <c r="X175" i="4"/>
  <c r="X293" i="4"/>
  <c r="X289" i="4"/>
  <c r="X285" i="4"/>
  <c r="X292" i="4"/>
  <c r="X288" i="4"/>
  <c r="X284" i="4"/>
  <c r="X295" i="4"/>
  <c r="X291" i="4"/>
  <c r="X287" i="4"/>
  <c r="X283" i="4"/>
  <c r="X286" i="4"/>
  <c r="X294" i="4"/>
  <c r="X290" i="4"/>
  <c r="X35" i="4"/>
  <c r="X31" i="4"/>
  <c r="X27" i="4"/>
  <c r="X34" i="4"/>
  <c r="X30" i="4"/>
  <c r="X14" i="4"/>
  <c r="X10" i="4"/>
  <c r="X33" i="4"/>
  <c r="X13" i="4"/>
  <c r="X29" i="4"/>
  <c r="X9" i="4"/>
  <c r="X28" i="4"/>
  <c r="X11" i="4"/>
  <c r="X16" i="4"/>
  <c r="X36" i="4"/>
  <c r="X15" i="4"/>
  <c r="X32" i="4"/>
  <c r="X12" i="4"/>
  <c r="X332" i="4"/>
  <c r="X328" i="4"/>
  <c r="X324" i="4"/>
  <c r="X320" i="4"/>
  <c r="X316" i="4"/>
  <c r="X312" i="4"/>
  <c r="X308" i="4"/>
  <c r="X304" i="4"/>
  <c r="X300" i="4"/>
  <c r="X296" i="4"/>
  <c r="X368" i="4"/>
  <c r="X364" i="4"/>
  <c r="X360" i="4"/>
  <c r="X356" i="4"/>
  <c r="X352" i="4"/>
  <c r="X348" i="4"/>
  <c r="X344" i="4"/>
  <c r="X340" i="4"/>
  <c r="X336" i="4"/>
  <c r="X381" i="4"/>
  <c r="X377" i="4"/>
  <c r="X373" i="4"/>
  <c r="X331" i="4"/>
  <c r="X327" i="4"/>
  <c r="X323" i="4"/>
  <c r="X319" i="4"/>
  <c r="X315" i="4"/>
  <c r="X311" i="4"/>
  <c r="X307" i="4"/>
  <c r="X303" i="4"/>
  <c r="X299" i="4"/>
  <c r="X371" i="4"/>
  <c r="X367" i="4"/>
  <c r="X363" i="4"/>
  <c r="X359" i="4"/>
  <c r="X355" i="4"/>
  <c r="X351" i="4"/>
  <c r="X347" i="4"/>
  <c r="X343" i="4"/>
  <c r="X339" i="4"/>
  <c r="X335" i="4"/>
  <c r="X380" i="4"/>
  <c r="X376" i="4"/>
  <c r="X372" i="4"/>
  <c r="X330" i="4"/>
  <c r="X326" i="4"/>
  <c r="X322" i="4"/>
  <c r="X318" i="4"/>
  <c r="X314" i="4"/>
  <c r="X310" i="4"/>
  <c r="X306" i="4"/>
  <c r="X302" i="4"/>
  <c r="X298" i="4"/>
  <c r="X370" i="4"/>
  <c r="X366" i="4"/>
  <c r="X362" i="4"/>
  <c r="X358" i="4"/>
  <c r="X354" i="4"/>
  <c r="X350" i="4"/>
  <c r="X346" i="4"/>
  <c r="X342" i="4"/>
  <c r="X338" i="4"/>
  <c r="X334" i="4"/>
  <c r="X379" i="4"/>
  <c r="X375" i="4"/>
  <c r="X321" i="4"/>
  <c r="X305" i="4"/>
  <c r="X365" i="4"/>
  <c r="X349" i="4"/>
  <c r="X382" i="4"/>
  <c r="X329" i="4"/>
  <c r="X297" i="4"/>
  <c r="X341" i="4"/>
  <c r="X325" i="4"/>
  <c r="X369" i="4"/>
  <c r="X337" i="4"/>
  <c r="X333" i="4"/>
  <c r="X317" i="4"/>
  <c r="X301" i="4"/>
  <c r="X361" i="4"/>
  <c r="X345" i="4"/>
  <c r="X378" i="4"/>
  <c r="X313" i="4"/>
  <c r="X357" i="4"/>
  <c r="X374" i="4"/>
  <c r="X309" i="4"/>
  <c r="X353" i="4"/>
  <c r="X383" i="4"/>
  <c r="X390" i="4"/>
  <c r="X393" i="4"/>
  <c r="X399" i="4"/>
  <c r="X401" i="4"/>
  <c r="X403" i="4"/>
  <c r="X410" i="4"/>
  <c r="X411" i="4"/>
  <c r="X417" i="4"/>
  <c r="X420" i="4"/>
  <c r="X424" i="4"/>
  <c r="X428" i="4"/>
  <c r="X435" i="4"/>
  <c r="X437" i="4"/>
  <c r="X441" i="4"/>
  <c r="X388" i="4"/>
  <c r="X389" i="4"/>
  <c r="X394" i="4"/>
  <c r="X398" i="4"/>
  <c r="X400" i="4"/>
  <c r="X408" i="4"/>
  <c r="X409" i="4"/>
  <c r="X414" i="4"/>
  <c r="X418" i="4"/>
  <c r="X423" i="4"/>
  <c r="X427" i="4"/>
  <c r="X432" i="4"/>
  <c r="X434" i="4"/>
  <c r="X436" i="4"/>
  <c r="X442" i="4"/>
  <c r="X385" i="4"/>
  <c r="X387" i="4"/>
  <c r="X392" i="4"/>
  <c r="X396" i="4"/>
  <c r="X397" i="4"/>
  <c r="X405" i="4"/>
  <c r="X407" i="4"/>
  <c r="X413" i="4"/>
  <c r="X415" i="4"/>
  <c r="X419" i="4"/>
  <c r="X422" i="4"/>
  <c r="X426" i="4"/>
  <c r="X431" i="4"/>
  <c r="X433" i="4"/>
  <c r="X440" i="4"/>
  <c r="X386" i="4"/>
  <c r="X404" i="4"/>
  <c r="X421" i="4"/>
  <c r="X438" i="4"/>
  <c r="X395" i="4"/>
  <c r="X429" i="4"/>
  <c r="X402" i="4"/>
  <c r="X430" i="4"/>
  <c r="X391" i="4"/>
  <c r="X406" i="4"/>
  <c r="X425" i="4"/>
  <c r="X439" i="4"/>
  <c r="X412" i="4"/>
  <c r="X384" i="4"/>
  <c r="X416" i="4"/>
  <c r="X26" i="4"/>
  <c r="X22" i="4"/>
  <c r="X18" i="4"/>
  <c r="X25" i="4"/>
  <c r="X21" i="4"/>
  <c r="X17" i="4"/>
  <c r="X19" i="4"/>
  <c r="X20" i="4"/>
  <c r="X24" i="4"/>
  <c r="X23" i="4"/>
  <c r="X478" i="4"/>
  <c r="X473" i="4"/>
  <c r="X468" i="4"/>
  <c r="X464" i="4"/>
  <c r="X460" i="4"/>
  <c r="X456" i="4"/>
  <c r="X452" i="4"/>
  <c r="X476" i="4"/>
  <c r="X472" i="4"/>
  <c r="X467" i="4"/>
  <c r="X463" i="4"/>
  <c r="X459" i="4"/>
  <c r="X455" i="4"/>
  <c r="X451" i="4"/>
  <c r="X471" i="4"/>
  <c r="X475" i="4"/>
  <c r="X470" i="4"/>
  <c r="X466" i="4"/>
  <c r="X462" i="4"/>
  <c r="X458" i="4"/>
  <c r="X454" i="4"/>
  <c r="X450" i="4"/>
  <c r="X469" i="4"/>
  <c r="X453" i="4"/>
  <c r="X461" i="4"/>
  <c r="X457" i="4"/>
  <c r="X465" i="4"/>
  <c r="X477" i="4"/>
  <c r="X474" i="4"/>
  <c r="X448" i="4"/>
  <c r="X444" i="4"/>
  <c r="X447" i="4"/>
  <c r="X443" i="4"/>
  <c r="X446" i="4"/>
  <c r="X449" i="4"/>
  <c r="X445" i="4"/>
  <c r="K15" i="3"/>
  <c r="D106" i="3"/>
  <c r="G78" i="3"/>
  <c r="D87" i="3"/>
  <c r="G93" i="3"/>
  <c r="D103" i="3"/>
  <c r="G109" i="3"/>
  <c r="K13" i="3"/>
  <c r="K19" i="3"/>
  <c r="K33" i="3"/>
  <c r="E57" i="3"/>
  <c r="D81" i="3"/>
  <c r="D88" i="3"/>
  <c r="G97" i="3"/>
  <c r="D104" i="3"/>
  <c r="D110" i="3"/>
  <c r="G112" i="3"/>
  <c r="D85" i="3"/>
  <c r="G92" i="3"/>
  <c r="G101" i="3"/>
  <c r="G111" i="3"/>
  <c r="D112" i="3"/>
  <c r="K21" i="3"/>
  <c r="K57" i="3"/>
  <c r="D83" i="3"/>
  <c r="D91" i="3"/>
  <c r="G99" i="3"/>
  <c r="D105" i="3"/>
  <c r="G110" i="3"/>
  <c r="E58" i="3"/>
  <c r="D71" i="3"/>
  <c r="G64" i="3"/>
  <c r="G71" i="3"/>
  <c r="G77" i="3"/>
  <c r="G81" i="3"/>
  <c r="G83" i="3"/>
  <c r="G85" i="3"/>
  <c r="D70" i="3"/>
  <c r="D72" i="3"/>
  <c r="D82" i="3"/>
  <c r="D84" i="3"/>
  <c r="D86" i="3"/>
  <c r="G91" i="3"/>
  <c r="G98" i="3"/>
  <c r="G103" i="3"/>
  <c r="D109" i="3"/>
  <c r="G70" i="3"/>
  <c r="G82" i="3"/>
  <c r="X256" i="4" l="1"/>
  <c r="X252" i="4"/>
  <c r="X248" i="4"/>
  <c r="X244" i="4"/>
  <c r="X240" i="4"/>
  <c r="X236" i="4"/>
  <c r="X232" i="4"/>
  <c r="X228" i="4"/>
  <c r="X224" i="4"/>
  <c r="X220" i="4"/>
  <c r="X216" i="4"/>
  <c r="X212" i="4"/>
  <c r="X208" i="4"/>
  <c r="X204" i="4"/>
  <c r="X200" i="4"/>
  <c r="X196" i="4"/>
  <c r="X192" i="4"/>
  <c r="X188" i="4"/>
  <c r="X219" i="4"/>
  <c r="X207" i="4"/>
  <c r="X199" i="4"/>
  <c r="X191" i="4"/>
  <c r="X250" i="4"/>
  <c r="X238" i="4"/>
  <c r="X230" i="4"/>
  <c r="X222" i="4"/>
  <c r="X214" i="4"/>
  <c r="X206" i="4"/>
  <c r="X198" i="4"/>
  <c r="X190" i="4"/>
  <c r="X186" i="4"/>
  <c r="X253" i="4"/>
  <c r="X245" i="4"/>
  <c r="X237" i="4"/>
  <c r="X229" i="4"/>
  <c r="X221" i="4"/>
  <c r="X213" i="4"/>
  <c r="X205" i="4"/>
  <c r="X197" i="4"/>
  <c r="X189" i="4"/>
  <c r="X255" i="4"/>
  <c r="X251" i="4"/>
  <c r="X247" i="4"/>
  <c r="X243" i="4"/>
  <c r="X239" i="4"/>
  <c r="X235" i="4"/>
  <c r="X231" i="4"/>
  <c r="X227" i="4"/>
  <c r="X223" i="4"/>
  <c r="X215" i="4"/>
  <c r="X211" i="4"/>
  <c r="X203" i="4"/>
  <c r="X195" i="4"/>
  <c r="X187" i="4"/>
  <c r="X254" i="4"/>
  <c r="X246" i="4"/>
  <c r="X242" i="4"/>
  <c r="X234" i="4"/>
  <c r="X226" i="4"/>
  <c r="X218" i="4"/>
  <c r="X210" i="4"/>
  <c r="X202" i="4"/>
  <c r="X194" i="4"/>
  <c r="X249" i="4"/>
  <c r="X241" i="4"/>
  <c r="X233" i="4"/>
  <c r="X225" i="4"/>
  <c r="X217" i="4"/>
  <c r="X209" i="4"/>
  <c r="X201" i="4"/>
  <c r="X193" i="4"/>
  <c r="X185" i="4"/>
  <c r="X72" i="4"/>
  <c r="X73" i="4" s="1"/>
  <c r="X66" i="4"/>
  <c r="X67" i="4" s="1"/>
  <c r="X62" i="4"/>
  <c r="X58" i="4"/>
  <c r="X65" i="4"/>
  <c r="X57" i="4"/>
  <c r="X76" i="4"/>
  <c r="X77" i="4" s="1"/>
  <c r="X60" i="4"/>
  <c r="X68" i="4"/>
  <c r="X69" i="4" s="1"/>
  <c r="X63" i="4"/>
  <c r="X78" i="4"/>
  <c r="X79" i="4" s="1"/>
  <c r="X61" i="4"/>
  <c r="X70" i="4"/>
  <c r="X71" i="4" s="1"/>
  <c r="X64" i="4"/>
  <c r="X74" i="4"/>
  <c r="X75" i="4" s="1"/>
  <c r="X59" i="4"/>
  <c r="X37" i="4"/>
  <c r="X38" i="4"/>
  <c r="X39" i="4"/>
  <c r="X54" i="4"/>
  <c r="X50" i="4"/>
  <c r="X46" i="4"/>
  <c r="X42" i="4"/>
  <c r="X52" i="4"/>
  <c r="X44" i="4"/>
  <c r="X55" i="4"/>
  <c r="X51" i="4"/>
  <c r="X47" i="4"/>
  <c r="X43" i="4"/>
  <c r="X53" i="4"/>
  <c r="X49" i="4"/>
  <c r="X45" i="4"/>
  <c r="X41" i="4"/>
  <c r="X56" i="4"/>
  <c r="X48" i="4"/>
  <c r="X40" i="4"/>
  <c r="X83" i="4"/>
  <c r="X82" i="4"/>
  <c r="X85" i="4"/>
  <c r="X80" i="4"/>
  <c r="X86" i="4"/>
  <c r="X81" i="4"/>
  <c r="X84" i="4"/>
  <c r="X282" i="4"/>
  <c r="X278" i="4"/>
  <c r="X274" i="4"/>
  <c r="X270" i="4"/>
  <c r="X266" i="4"/>
  <c r="X262" i="4"/>
  <c r="X258" i="4"/>
  <c r="X281" i="4"/>
  <c r="X273" i="4"/>
  <c r="X265" i="4"/>
  <c r="X257" i="4"/>
  <c r="X276" i="4"/>
  <c r="X268" i="4"/>
  <c r="X260" i="4"/>
  <c r="X279" i="4"/>
  <c r="X271" i="4"/>
  <c r="X263" i="4"/>
  <c r="X277" i="4"/>
  <c r="X269" i="4"/>
  <c r="X261" i="4"/>
  <c r="X280" i="4"/>
  <c r="X272" i="4"/>
  <c r="X264" i="4"/>
  <c r="X275" i="4"/>
  <c r="X267" i="4"/>
  <c r="X259" i="4"/>
  <c r="X165" i="4"/>
  <c r="X161" i="4"/>
  <c r="X157" i="4"/>
  <c r="X153" i="4"/>
  <c r="X149" i="4"/>
  <c r="X145" i="4"/>
  <c r="X141" i="4"/>
  <c r="X137" i="4"/>
  <c r="X133" i="4"/>
  <c r="X129" i="4"/>
  <c r="X125" i="4"/>
  <c r="X121" i="4"/>
  <c r="X117" i="4"/>
  <c r="X113" i="4"/>
  <c r="X109" i="4"/>
  <c r="X105" i="4"/>
  <c r="X101" i="4"/>
  <c r="X97" i="4"/>
  <c r="X93" i="4"/>
  <c r="X89" i="4"/>
  <c r="X168" i="4"/>
  <c r="X164" i="4"/>
  <c r="X160" i="4"/>
  <c r="X156" i="4"/>
  <c r="X152" i="4"/>
  <c r="X148" i="4"/>
  <c r="X144" i="4"/>
  <c r="X140" i="4"/>
  <c r="X136" i="4"/>
  <c r="X132" i="4"/>
  <c r="X128" i="4"/>
  <c r="X124" i="4"/>
  <c r="X120" i="4"/>
  <c r="X116" i="4"/>
  <c r="X112" i="4"/>
  <c r="X108" i="4"/>
  <c r="X104" i="4"/>
  <c r="X100" i="4"/>
  <c r="X96" i="4"/>
  <c r="X92" i="4"/>
  <c r="X88" i="4"/>
  <c r="X115" i="4"/>
  <c r="X107" i="4"/>
  <c r="X99" i="4"/>
  <c r="X91" i="4"/>
  <c r="X167" i="4"/>
  <c r="X163" i="4"/>
  <c r="X159" i="4"/>
  <c r="X155" i="4"/>
  <c r="X151" i="4"/>
  <c r="X147" i="4"/>
  <c r="X143" i="4"/>
  <c r="X139" i="4"/>
  <c r="X135" i="4"/>
  <c r="X131" i="4"/>
  <c r="X127" i="4"/>
  <c r="X123" i="4"/>
  <c r="X119" i="4"/>
  <c r="X111" i="4"/>
  <c r="X103" i="4"/>
  <c r="X95" i="4"/>
  <c r="X87" i="4"/>
  <c r="X158" i="4"/>
  <c r="X142" i="4"/>
  <c r="X126" i="4"/>
  <c r="X110" i="4"/>
  <c r="X94" i="4"/>
  <c r="X166" i="4"/>
  <c r="X150" i="4"/>
  <c r="X134" i="4"/>
  <c r="X118" i="4"/>
  <c r="X102" i="4"/>
  <c r="X114" i="4"/>
  <c r="X154" i="4"/>
  <c r="X138" i="4"/>
  <c r="X122" i="4"/>
  <c r="X106" i="4"/>
  <c r="X90" i="4"/>
  <c r="X162" i="4"/>
  <c r="X146" i="4"/>
  <c r="X130" i="4"/>
  <c r="X98" i="4"/>
  <c r="X8" i="4"/>
  <c r="X4" i="4"/>
  <c r="X7" i="4"/>
  <c r="X3" i="4"/>
  <c r="X2" i="4"/>
  <c r="X5" i="4"/>
  <c r="X6" i="4"/>
</calcChain>
</file>

<file path=xl/sharedStrings.xml><?xml version="1.0" encoding="utf-8"?>
<sst xmlns="http://schemas.openxmlformats.org/spreadsheetml/2006/main" count="3682" uniqueCount="437">
  <si>
    <t>Handle</t>
  </si>
  <si>
    <t>Title</t>
  </si>
  <si>
    <t>Body (HTML)</t>
  </si>
  <si>
    <t>Vendor</t>
  </si>
  <si>
    <t>Product Category</t>
  </si>
  <si>
    <t>Type</t>
  </si>
  <si>
    <t>Tags</t>
  </si>
  <si>
    <t>Published</t>
  </si>
  <si>
    <t>Option1 Name</t>
  </si>
  <si>
    <t>Option1 Value</t>
  </si>
  <si>
    <t>Option1 Linked To</t>
  </si>
  <si>
    <t>Option2 Name</t>
  </si>
  <si>
    <t>Option2 Value</t>
  </si>
  <si>
    <t>Option2 Linked To</t>
  </si>
  <si>
    <t>Option3 Name</t>
  </si>
  <si>
    <t>Option3 Value</t>
  </si>
  <si>
    <t>Option3 Linked To</t>
  </si>
  <si>
    <t>Variant SKU</t>
  </si>
  <si>
    <t>Variant Grams</t>
  </si>
  <si>
    <t>Variant Inventory Tracker</t>
  </si>
  <si>
    <t>Variant Inventory Qty</t>
  </si>
  <si>
    <t>Variant Inventory Policy</t>
  </si>
  <si>
    <t>Variant Fulfillment Service</t>
  </si>
  <si>
    <t>Variant Price</t>
  </si>
  <si>
    <t>Variant Compare At Price</t>
  </si>
  <si>
    <t>Variant Requires Shipping</t>
  </si>
  <si>
    <t>Variant Taxable</t>
  </si>
  <si>
    <t>Variant Barcode</t>
  </si>
  <si>
    <t>Image Src</t>
  </si>
  <si>
    <t>Image Position</t>
  </si>
  <si>
    <t>Image Alt Text</t>
  </si>
  <si>
    <t>Gift Card</t>
  </si>
  <si>
    <t>SEO Title</t>
  </si>
  <si>
    <t>SEO Description</t>
  </si>
  <si>
    <t>Google Shopping / Google Product Category</t>
  </si>
  <si>
    <t>Google Shopping / Gender</t>
  </si>
  <si>
    <t>Google Shopping / Age Group</t>
  </si>
  <si>
    <t>Google Shopping / MPN</t>
  </si>
  <si>
    <t>Google Shopping / Condition</t>
  </si>
  <si>
    <t>Google Shopping / Custom Product</t>
  </si>
  <si>
    <t>Google Shopping / Custom Label 0</t>
  </si>
  <si>
    <t>Google Shopping / Custom Label 1</t>
  </si>
  <si>
    <t>Google Shopping / Custom Label 2</t>
  </si>
  <si>
    <t>Google Shopping / Custom Label 3</t>
  </si>
  <si>
    <t>Google Shopping / Custom Label 4</t>
  </si>
  <si>
    <t>Related products dropdown (product.metafields.custom.related_products_dropdown)</t>
  </si>
  <si>
    <t>Bought together products (product.metafields.globo--filter--product_recommendation.bought_together_products)</t>
  </si>
  <si>
    <t>Complementary products (product.metafields.globo--filter--product_recommendation.complementary_products)</t>
  </si>
  <si>
    <t>Related products (product.metafields.globo--filter--product_recommendation.related_products)</t>
  </si>
  <si>
    <t>Google: Custom Product (product.metafields.mm-google-shopping.custom_product)</t>
  </si>
  <si>
    <t>Abrasive material (product.metafields.shopify.abrasive-material)</t>
  </si>
  <si>
    <t>Age group (product.metafields.shopify.age-group)</t>
  </si>
  <si>
    <t>Art/Crafting tool material (product.metafields.shopify.art-crafting-tool-material)</t>
  </si>
  <si>
    <t>Color (product.metafields.shopify.color-pattern)</t>
  </si>
  <si>
    <t>Craft cutter/embosser type (product.metafields.shopify.craft-cutter-embosser-type)</t>
  </si>
  <si>
    <t>Drum hardware material (product.metafields.shopify.drum-hardware-material)</t>
  </si>
  <si>
    <t>Fastener material (product.metafields.shopify.fastener-material)</t>
  </si>
  <si>
    <t>Grit type (product.metafields.shopify.grit-type)</t>
  </si>
  <si>
    <t>Hammer head material (product.metafields.shopify.hammer-head-material)</t>
  </si>
  <si>
    <t>Hardware material (product.metafields.shopify.hardware-material)</t>
  </si>
  <si>
    <t>Jewelry material (product.metafields.shopify.jewelry-material)</t>
  </si>
  <si>
    <t>Jewelry type (product.metafields.shopify.jewelry-type)</t>
  </si>
  <si>
    <t>Material (product.metafields.shopify.material)</t>
  </si>
  <si>
    <t>Necklace design (product.metafields.shopify.necklace-design)</t>
  </si>
  <si>
    <t>Power source (product.metafields.shopify.power-source)</t>
  </si>
  <si>
    <t>Ring design (product.metafields.shopify.ring-design)</t>
  </si>
  <si>
    <t>Sanding application (product.metafields.shopify.sanding-application)</t>
  </si>
  <si>
    <t>Solder/Flux application (product.metafields.shopify.solder-flux-application)</t>
  </si>
  <si>
    <t>Suitable for material type (product.metafields.shopify.suitable-for-material-type)</t>
  </si>
  <si>
    <t>Target gender (product.metafields.shopify.target-gender)</t>
  </si>
  <si>
    <t>Complementary products (product.metafields.shopify--discovery--product_recommendation.complementary_products)</t>
  </si>
  <si>
    <t>Related products (product.metafields.shopify--discovery--product_recommendation.related_products)</t>
  </si>
  <si>
    <t>Related products settings (product.metafields.shopify--discovery--product_recommendation.related_products_display)</t>
  </si>
  <si>
    <t>Search product boosts (product.metafields.shopify--discovery--product_search_boost.queries)</t>
  </si>
  <si>
    <t>Variant Image</t>
  </si>
  <si>
    <t>Variant Weight Unit</t>
  </si>
  <si>
    <t>Variant Tax Code</t>
  </si>
  <si>
    <t>Cost per item</t>
  </si>
  <si>
    <t>Status</t>
  </si>
  <si>
    <t>Myron Toback Inc.</t>
  </si>
  <si>
    <t>Arts &amp; Entertainment &gt; Hobbies &amp; Creative Arts &gt; Arts &amp; Crafts &gt; Art &amp; Crafting Materials &gt; Crafting Wire &gt; Jewelry &amp; Beading Wire</t>
  </si>
  <si>
    <t>Wire</t>
  </si>
  <si>
    <t>Size</t>
  </si>
  <si>
    <t>.010"/30 Gauge</t>
  </si>
  <si>
    <t>Material</t>
  </si>
  <si>
    <t>Soft</t>
  </si>
  <si>
    <t>deny</t>
  </si>
  <si>
    <t>manual</t>
  </si>
  <si>
    <t>lb</t>
  </si>
  <si>
    <t>active</t>
  </si>
  <si>
    <t>.012"/28 Gauge</t>
  </si>
  <si>
    <t>.015"/26 Gauge</t>
  </si>
  <si>
    <t>.018"/25 Gauge</t>
  </si>
  <si>
    <t>.020"/24 Gauge</t>
  </si>
  <si>
    <t>.025"/22 Gauge</t>
  </si>
  <si>
    <t>Hard</t>
  </si>
  <si>
    <t>.030"/20 Gauge</t>
  </si>
  <si>
    <t>.040"/18 Gauge</t>
  </si>
  <si>
    <t>.050"/16 Gauge</t>
  </si>
  <si>
    <t>Pintong</t>
  </si>
  <si>
    <t>sterling-silver-flat-wire</t>
  </si>
  <si>
    <t>Sterling Silver Flat Wire</t>
  </si>
  <si>
    <t>&lt;p&gt;Priced per inch&lt;/p&gt;</t>
  </si>
  <si>
    <t>Flat, Metals, Silver, Wire, wire&amp;sheet</t>
  </si>
  <si>
    <t>Width</t>
  </si>
  <si>
    <t>1/8"</t>
  </si>
  <si>
    <t>Thickness</t>
  </si>
  <si>
    <t>3/16"</t>
  </si>
  <si>
    <t>1/4"</t>
  </si>
  <si>
    <t>3/8"</t>
  </si>
  <si>
    <t>14k-white-square-wire</t>
  </si>
  <si>
    <t>14K White Square Round Wire</t>
  </si>
  <si>
    <t>&lt;p&gt;Priced by the inch.&lt;/p&gt;
&lt;table height="222" style="width: 100%;"&gt;
&lt;tbody&gt;
&lt;tr style="height: 34px;" data-mce-style="height: 34px;"&gt;
&lt;td style="width: 27.8409%; height: 34px; text-align: center;" data-mce-style="width: 27.8409%; height: 34px;"&gt;&lt;strong&gt; Inches&lt;/strong&gt;&lt;/td&gt;
&lt;td style="width: 26.1364%; height: 34px; text-align: center;" data-mce-style="width: 26.1364%; height: 34px;"&gt;&lt;strong&gt;Gauge&lt;/strong&gt;&lt;/td&gt;
&lt;td style="width: 43.75%; height: 34px; text-align: center;" data-mce-style="width: 43.75%; height: 34px;"&gt;&lt;strong&gt;Millimeters &lt;/strong&gt;&lt;/td&gt;
&lt;/tr&gt;
&lt;tr style="height: 19.5938px;"&gt;
&lt;td style="width: 27.8409%; height: 19.5938px; text-align: center;"&gt;.030&lt;/td&gt;
&lt;td style="width: 26.1364%; height: 19.5938px; text-align: center;"&gt;20&lt;/td&gt;
&lt;td style="width: 43.75%; height: 19.5938px; text-align: center;"&gt;0.8&lt;/td&gt;
&lt;/tr&gt;
&lt;tr style="height: 19.5938px;"&gt;
&lt;td style="width: 27.8409%; height: 19.5938px; text-align: center;"&gt;.035&lt;/td&gt;
&lt;td style="width: 26.1364%; height: 19.5938px; text-align: center;"&gt;19&lt;/td&gt;
&lt;td style="width: 43.75%; height: 19.5938px; text-align: center;"&gt;0.9&lt;/td&gt;
&lt;/tr&gt;
&lt;tr style="height: 19.5938px;"&gt;
&lt;td style="width: 27.8409%; height: 19.5938px; text-align: center;"&gt;.040&lt;/td&gt;
&lt;td style="width: 26.1364%; height: 19.5938px; text-align: center;"&gt;18&lt;/td&gt;
&lt;td style="width: 43.75%; height: 19.5938px; text-align: center;"&gt;1.0&lt;/td&gt;
&lt;/tr&gt;
&lt;tr style="height: 19.5938px;"&gt;
&lt;td style="width: 27.8409%; height: 19.5938px; text-align: center;"&gt;.050&lt;/td&gt;
&lt;td style="width: 26.1364%; height: 19.5938px; text-align: center;"&gt;16&lt;/td&gt;
&lt;td style="width: 43.75%; height: 19.5938px; text-align: center;"&gt;1.3&lt;/td&gt;
&lt;/tr&gt;
&lt;tr style="height: 19.5938px;"&gt;
&lt;td style="width: 27.8409%; height: 19.5938px; text-align: center;"&gt;.060&lt;/td&gt;
&lt;td style="width: 26.1364%; height: 19.5938px; text-align: center;"&gt;15&lt;/td&gt;
&lt;td style="width: 43.75%; height: 19.5938px; text-align: center;"&gt;1.45&lt;/td&gt;
&lt;/tr&gt;
&lt;tr style="height: 19.5938px;"&gt;
&lt;td style="width: 27.8409%; height: 19.5938px; text-align: center;"&gt;.075&lt;/td&gt;
&lt;td style="width: 26.1364%; height: 19.5938px; text-align: center;"&gt;13&lt;/td&gt;
&lt;td style="width: 43.75%; height: 19.5938px; text-align: center;"&gt;1.8&lt;/td&gt;
&lt;/tr&gt;
&lt;tr style="height: 19.5938px;"&gt;
&lt;td style="width: 27.8409%; height: 19.5938px; text-align: center;"&gt;.090&lt;/td&gt;
&lt;td style="width: 26.1364%; height: 19.5938px; text-align: center;"&gt;11&lt;/td&gt;
&lt;td style="width: 43.75%; height: 19.5938px; text-align: center;"&gt;2.3&lt;/td&gt;
&lt;/tr&gt;
&lt;tr style="height: 19.5938px;"&gt;
&lt;td style="width: 27.8409%; height: 19.5938px; text-align: center;"&gt;.100&lt;/td&gt;
&lt;td style="width: 26.1364%; height: 19.5938px; text-align: center;"&gt;10&lt;/td&gt;
&lt;td style="width: 43.75%; height: 19.5938px; text-align: center;"&gt;2.6&lt;/td&gt;
&lt;/tr&gt;
&lt;tr style="height: 19.5938px;"&gt;
&lt;td style="width: 27.8409%; height: 19.5938px; text-align: center;"&gt;.160&lt;/td&gt;
&lt;td style="width: 26.1364%; height: 19.5938px; text-align: center;"&gt;6&lt;/td&gt;
&lt;td style="width: 43.75%; height: 19.5938px; text-align: center;"&gt;4.1&lt;/td&gt;
&lt;/tr&gt;
&lt;/tbody&gt;
&lt;/table&gt;</t>
  </si>
  <si>
    <t>Uncategorized</t>
  </si>
  <si>
    <t>14K, Gold, Metals, Square, White, Wire, wire&amp;sheet</t>
  </si>
  <si>
    <t>Myron Toback Inc. Sterling Silver Square Wire</t>
  </si>
  <si>
    <t>sterling-silver-square-wire-copy</t>
  </si>
  <si>
    <t>14K Yellow Square Wire</t>
  </si>
  <si>
    <t>14K, Gold, Metals, Square, Wire, wire&amp;sheet, Yellow</t>
  </si>
  <si>
    <t>14k-green-half-round-wire</t>
  </si>
  <si>
    <t>14K Green Half-Round Wire</t>
  </si>
  <si>
    <t>&lt;p&gt;Our half-round wire is perfectly half (e.g. 2MM is 2x1MM)&lt;/p&gt;
&lt;p&gt;Price per inch.&lt;/p&gt;</t>
  </si>
  <si>
    <t>Apparel &amp; Accessories &gt; Jewelry</t>
  </si>
  <si>
    <t>14K, Gold, Half-Round, Metals, White, Wire</t>
  </si>
  <si>
    <t>1.5MM</t>
  </si>
  <si>
    <t>2MM</t>
  </si>
  <si>
    <t>2.5MM</t>
  </si>
  <si>
    <t>3MM</t>
  </si>
  <si>
    <t>4MM</t>
  </si>
  <si>
    <t>14k-pink-half-round-wire</t>
  </si>
  <si>
    <t>14K Pink Half-Round Wire</t>
  </si>
  <si>
    <t>14k-white-half-round-wire</t>
  </si>
  <si>
    <t>14K White Half-Round Wire</t>
  </si>
  <si>
    <t>Myron Toback Inc. Sterling Silver Half-Round Wire</t>
  </si>
  <si>
    <t>14k-yellow-half-round-wire</t>
  </si>
  <si>
    <t>14K Yellow Half-Round Wire</t>
  </si>
  <si>
    <t>14K, Gold, Half-Round, Metals, Wire, Yellow</t>
  </si>
  <si>
    <t>&lt;p&gt;Our half-round wire is perfectly half (e.g. 2MM is 2x1MM)&lt;/p&gt;</t>
  </si>
  <si>
    <t>fine-silver-bezel-wire</t>
  </si>
  <si>
    <t>Fine Silver Bezel Wire</t>
  </si>
  <si>
    <t>&lt;p&gt;Priced per inch.Â &lt;/p&gt;
&lt;p&gt;.010"/30 gauge thick.Â &lt;/p&gt;</t>
  </si>
  <si>
    <t>Bezel, Bezel Wire, Fine, Metals, Silver, Wire, wire&amp;sheet</t>
  </si>
  <si>
    <t>1/2"</t>
  </si>
  <si>
    <t>sterling-silver-square-wire</t>
  </si>
  <si>
    <t>Sterling Silver Square Wire</t>
  </si>
  <si>
    <t>Metals, Silver, Square, Wire, wire&amp;sheet</t>
  </si>
  <si>
    <t>sterling-silver-half-round-wire</t>
  </si>
  <si>
    <t>Sterling Silver Half-Round Wire</t>
  </si>
  <si>
    <t>Half-Round, Metals, Silver, Wire, wire&amp;sheet</t>
  </si>
  <si>
    <t>Select length option</t>
  </si>
  <si>
    <t>By Inch</t>
  </si>
  <si>
    <t>By Foot</t>
  </si>
  <si>
    <t>sterling-silver-beaded-wire-1</t>
  </si>
  <si>
    <t>Sterling Silver Beaded Wire</t>
  </si>
  <si>
    <t>&lt;p&gt;Sold by the ounce&lt;/p&gt;</t>
  </si>
  <si>
    <t>Beaded, Metals, Silver, Wire</t>
  </si>
  <si>
    <t>1MM</t>
  </si>
  <si>
    <t>Sterling Silver Beaded Wire  Myron Toback Inc. Sterling Silver Beaded Wire</t>
  </si>
  <si>
    <t>3.5MM</t>
  </si>
  <si>
    <t>gold-filled-pink-wire</t>
  </si>
  <si>
    <t>Gold Filled Pink Round Wire</t>
  </si>
  <si>
    <t>&lt;p&gt;Click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&lt;p&gt;Quantity is in Inches&lt;/p&gt;</t>
  </si>
  <si>
    <t>Gold Filled, Metals, Round, Wire, wire&amp;sheet, Yellow</t>
  </si>
  <si>
    <t>By</t>
  </si>
  <si>
    <t>Foot</t>
  </si>
  <si>
    <t>Myron Toback Inc. Gold Filled Pink Wire</t>
  </si>
  <si>
    <t>Quarter Ounce</t>
  </si>
  <si>
    <t>.080"/12 Gauge</t>
  </si>
  <si>
    <t>gold-filled-yellow-wire-1</t>
  </si>
  <si>
    <t>Gold-Filled Yellow Round Wire</t>
  </si>
  <si>
    <t>&lt;p data-mce-fragment="1"&gt;Click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</t>
  </si>
  <si>
    <t>.160"/6 Gauge</t>
  </si>
  <si>
    <t>Myron Toback Inc. Gold Filled Yellow Wire</t>
  </si>
  <si>
    <t>.125"/8 Gauge</t>
  </si>
  <si>
    <t>.100"/10 Gauge</t>
  </si>
  <si>
    <t>.090"/11 Gauge</t>
  </si>
  <si>
    <t>.045"/17 Gauge</t>
  </si>
  <si>
    <t>.035"/19 Gauge</t>
  </si>
  <si>
    <t>.014"/27 Gauge</t>
  </si>
  <si>
    <t>platinum-wire-1</t>
  </si>
  <si>
    <t>Platinum Round Wire</t>
  </si>
  <si>
    <t>&lt;p data-mce-fragment="1"&gt;Click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
&lt;p&gt;&lt;br&gt;&lt;/p&gt;</t>
  </si>
  <si>
    <t>Metals, Platinum, Round, Wire, wire&amp;sheet</t>
  </si>
  <si>
    <t>.006"/34 Gauge</t>
  </si>
  <si>
    <t>Myron Toback Inc. Platinum Wire</t>
  </si>
  <si>
    <t>.008"/32 Gauge</t>
  </si>
  <si>
    <t>.060"/14 Gauge</t>
  </si>
  <si>
    <t>palladium-wire-1</t>
  </si>
  <si>
    <t>Palladium Round Wire</t>
  </si>
  <si>
    <t>&lt;p data-mce-fragment="1"&gt;Click here for conversion:Â &lt;a data-mce-fragment="1" href="https://cdn.shopify.com/s/files/1/0471/8677/2118/files/2009_Myron_Toback_Catalog_Page_51.pdf?v=1632232494" data-mce-href="https://cdn.shopify.com/s/files/1/0471/8677/2118/files/2009_Myron_Toback_Catalog_Page_51.pdf?v=1632232494"&gt;Gauge Guide&lt;/a&gt;&lt;/p&gt;
&lt;p data-mce-fragment="1"&gt;Quantity is in Inches&lt;/p&gt;
&lt;p&gt;&lt;br&gt;&lt;/p&gt;</t>
  </si>
  <si>
    <t>Metals, Palladium, Round, Wire, wire&amp;sheet</t>
  </si>
  <si>
    <t>Myron Toback Inc. Palladium Wire</t>
  </si>
  <si>
    <t>sterling-silver-wire-1</t>
  </si>
  <si>
    <t>Sterling Silver Round Wire</t>
  </si>
  <si>
    <t>&lt;p&gt;Click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&lt;p&gt;&lt;br&gt;&lt;/p&gt;</t>
  </si>
  <si>
    <t>Metals, Round, Silver, Wire, wire&amp;sheet</t>
  </si>
  <si>
    <t>Myron Toback Inc. Sterling Silver Wire</t>
  </si>
  <si>
    <t>Ounce</t>
  </si>
  <si>
    <t>.070"/13 Gauge</t>
  </si>
  <si>
    <t>fine-silver-wire-1</t>
  </si>
  <si>
    <t>Fine Silver Round Wire</t>
  </si>
  <si>
    <t>Style</t>
  </si>
  <si>
    <t>Myron Toback Inc. Fine Silver Wire</t>
  </si>
  <si>
    <t>By Ounce</t>
  </si>
  <si>
    <t>22k-yellow-gold-wire-1</t>
  </si>
  <si>
    <t>22K Yellow Gold Round Wire</t>
  </si>
  <si>
    <t>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</t>
  </si>
  <si>
    <t>22K, Gold, Metals, Round, Wire, wire&amp;sheet, Yellow</t>
  </si>
  <si>
    <t>Myron Toback Inc. 22K Yellow Gold Wire</t>
  </si>
  <si>
    <t>18k-yellow-gold-wire-1</t>
  </si>
  <si>
    <t>18K Yellow Gold Round Wire</t>
  </si>
  <si>
    <t>18K, Gold, Metals, Round, Wire, wire&amp;sheet, Yellow</t>
  </si>
  <si>
    <t>Myron Toback Inc. 18K Yellow Gold Wire</t>
  </si>
  <si>
    <t>18k-white-gold-wire-1</t>
  </si>
  <si>
    <t>18K White Gold Round Wire</t>
  </si>
  <si>
    <t>&lt;p data-mce-fragment="1"&gt;Click here for conversion:Â 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data-mce-fragment="1"&gt;Quantity is in Inches&lt;/p&gt;
&lt;p&gt;&lt;br&gt;&lt;/p&gt;</t>
  </si>
  <si>
    <t>18K, Gold, Metals, Round, White, Wire, wire&amp;sheet</t>
  </si>
  <si>
    <t>Myron Toback Inc. 18K White Gold Wire</t>
  </si>
  <si>
    <t>18k-pink-gold-wire-1</t>
  </si>
  <si>
    <t>18K Pink Gold Round Wire</t>
  </si>
  <si>
    <t>18K, Gold, Metals, Pink, Round, Wire, wire&amp;sheet</t>
  </si>
  <si>
    <t>Myron Toback Inc. 18K Pink Gold Wire</t>
  </si>
  <si>
    <t>14k-yellow-gold-wire-1</t>
  </si>
  <si>
    <t>14K Yellow Gold Wire</t>
  </si>
  <si>
    <t>&lt;p data-mce-fragment="1"&gt;Click here for conversion:Â¬â€ &lt;a href="https://cdn.shopify.com/s/files/1/0471/8677/2118/files/2009_Myron_Toback_Catalog_Page_51.pdf?v=1632232494" data-mce-href="https://cdn.shopify.com/s/files/1/0471/8677/2118/files/2009_Myron_Toback_Catalog_Page_51.pdf?v=1632232494" data-mce-fragment="1"&gt;Gauge Guide&lt;/a&gt;&lt;/p&gt;
&lt;p data-mce-fragment="1"&gt;Quantity is in Inches&lt;/p&gt;</t>
  </si>
  <si>
    <t>14K, Gold, Metals, Round, Wire, wire&amp;sheet, Yellow</t>
  </si>
  <si>
    <t>Myron Toback Inc. 14K Yellow Gold Wire</t>
  </si>
  <si>
    <t>14k-white-gold-wire-1</t>
  </si>
  <si>
    <t>14K White Gold Round Wire</t>
  </si>
  <si>
    <t>&lt;p&gt;Click here for conversion:Â &lt;a data-mce-fragment="1" href="https://cdn.shopify.com/s/files/1/0471/8677/2118/files/2009_Myron_Toback_Catalog_Page_51.pdf?v=1632232494" data-mce-href="https://cdn.shopify.com/s/files/1/0471/8677/2118/files/2009_Myron_Toback_Catalog_Page_51.pdf?v=1632232494"&gt;Gauge Guide&lt;/a&gt;&lt;/p&gt;
&lt;p&gt;Quantity is in Inches&lt;/p&gt;</t>
  </si>
  <si>
    <t>14K, Gold, Metals, Round, White, Wire, wire&amp;sheet</t>
  </si>
  <si>
    <t>Myron Toback Inc. 14K White Gold Wire</t>
  </si>
  <si>
    <t>10k-yellow-gold-wire</t>
  </si>
  <si>
    <t>10K Yellow Gold Round Wire</t>
  </si>
  <si>
    <t>&lt;p data-mce-fragment="1"&gt;Click here for conversion: &lt;a href="https://cdn.shopify.com/s/files/1/0471/8677/2118/files/2009_Myron_Toback_Catalog_Page_51.pdf?v=1632232494" data-mce-fragment="1" data-mce-href="https://cdn.shopify.com/s/files/1/0471/8677/2118/files/2009_Myron_Toback_Catalog_Page_51.pdf?v=1632232494"&gt;Gauge Guide&lt;/a&gt;&lt;/p&gt;
&lt;p data-mce-fragment="1"&gt;&lt;br&gt;&lt;/p&gt;</t>
  </si>
  <si>
    <t>10K, Gold, Metals, Round, Wire, wire&amp;sheet, Yellow</t>
  </si>
  <si>
    <t>continue</t>
  </si>
  <si>
    <t>Myron Toback Inc. 10K Yellow Gold Wire</t>
  </si>
  <si>
    <t>14k-green-gold-wire</t>
  </si>
  <si>
    <t>14K Green Gold Round Wire</t>
  </si>
  <si>
    <t>14K, Gold, Green, Metals, Round, Wire, wire&amp;sheet</t>
  </si>
  <si>
    <t>Myron Toback Inc. 14K Green Gold Wire</t>
  </si>
  <si>
    <t>14k-pink-gold-wire</t>
  </si>
  <si>
    <t>14K Pink Gold Round Wire</t>
  </si>
  <si>
    <t>14K, Gold, Metals, Pink, Round, Wire, wire&amp;sheet</t>
  </si>
  <si>
    <t>Myron Toback Inc. 14K Pink Gold Wire</t>
  </si>
  <si>
    <t>Value</t>
  </si>
  <si>
    <t xml:space="preserve">         </t>
  </si>
  <si>
    <t>MYRON TOBACK INC.</t>
  </si>
  <si>
    <t>GOLD MARKET</t>
  </si>
  <si>
    <t>GOLD SCRAP</t>
  </si>
  <si>
    <t>per dwt</t>
  </si>
  <si>
    <t>SILVER MARKET</t>
  </si>
  <si>
    <t xml:space="preserve">  </t>
  </si>
  <si>
    <t>SILVER SCRAP</t>
  </si>
  <si>
    <t>per oz</t>
  </si>
  <si>
    <t>PLATINUM MARKET</t>
  </si>
  <si>
    <t>PALLADIUM MARKET</t>
  </si>
  <si>
    <t>PLAT</t>
  </si>
  <si>
    <t xml:space="preserve">FINE </t>
  </si>
  <si>
    <t>PLATINUM WIRE &amp; SHEET</t>
  </si>
  <si>
    <t>FINE GOLD PER OZ</t>
  </si>
  <si>
    <t>5 dwt's or more of Platinum</t>
  </si>
  <si>
    <t xml:space="preserve">&lt; THAN 1 OZ </t>
  </si>
  <si>
    <t>PALLADIUM WIRE &amp; SHEET</t>
  </si>
  <si>
    <t>&lt;= PALLADIUM</t>
  </si>
  <si>
    <t>.</t>
  </si>
  <si>
    <t xml:space="preserve"> </t>
  </si>
  <si>
    <t>DWT</t>
  </si>
  <si>
    <t>GRAM</t>
  </si>
  <si>
    <t>14K Rd Wire &amp; Sheet</t>
  </si>
  <si>
    <t>14K Sq, 1/2Rd, Tri, Disc</t>
  </si>
  <si>
    <t>14K Pin Tong, Spring Sheet, Reg Bezel</t>
  </si>
  <si>
    <t>14K Pink &amp; Green Round Wire</t>
  </si>
  <si>
    <t>14K Pink &amp; Green 1/2 Rd</t>
  </si>
  <si>
    <t>14K Channel Wire</t>
  </si>
  <si>
    <t>14K Tubing, Seated Bezel Wire</t>
  </si>
  <si>
    <t>14K Coiled Tubing</t>
  </si>
  <si>
    <t>14K Twisted Coil Tubing</t>
  </si>
  <si>
    <t>18K Rd Wire &amp; Sheet</t>
  </si>
  <si>
    <t>18K 1/2 Rd, Sq Wire &amp; Spring Sheet</t>
  </si>
  <si>
    <t>18K Channel Wire</t>
  </si>
  <si>
    <t>18K Tubing</t>
  </si>
  <si>
    <t>22K Rd Wire</t>
  </si>
  <si>
    <t>24K Cloisonne Wire</t>
  </si>
  <si>
    <t>14K DISCOUNT PRICE</t>
  </si>
  <si>
    <t>18K DISCOUNT PRICE</t>
  </si>
  <si>
    <t>1-5 DWT</t>
  </si>
  <si>
    <t>6-10 DWT</t>
  </si>
  <si>
    <t>11-25 DWT</t>
  </si>
  <si>
    <t xml:space="preserve">25 + DWT </t>
  </si>
  <si>
    <t>cash only</t>
  </si>
  <si>
    <t>10K DISCOUNT PRICE</t>
  </si>
  <si>
    <t>22K DISCOUNT PRICE</t>
  </si>
  <si>
    <t>25 + DWT</t>
  </si>
  <si>
    <t>CASH ONLY</t>
  </si>
  <si>
    <t>GOLD FILLED SCRAP</t>
  </si>
  <si>
    <t>S/S SHEET &amp; WIRE</t>
  </si>
  <si>
    <t>FINE SILVER SHEET &amp; WIRE</t>
  </si>
  <si>
    <t xml:space="preserve">G/F SHEET &amp; WIRE </t>
  </si>
  <si>
    <t>1-9 OZ</t>
  </si>
  <si>
    <t>1----9 OZ</t>
  </si>
  <si>
    <t xml:space="preserve">        OVER 5OZS</t>
  </si>
  <si>
    <t>10-49 OZ</t>
  </si>
  <si>
    <t>10---49 OZ</t>
  </si>
  <si>
    <t>50-99 OZ</t>
  </si>
  <si>
    <t>50--99 OZ</t>
  </si>
  <si>
    <t>100 &amp; UP</t>
  </si>
  <si>
    <t>ARGENTIUM SILVER</t>
  </si>
  <si>
    <t>ADD $2.00 MORE PER OUNCE</t>
  </si>
  <si>
    <t>S/S FANCY STOCK</t>
  </si>
  <si>
    <t xml:space="preserve">S/S SEATED BEZEL </t>
  </si>
  <si>
    <t>S/S BEADED WIRE</t>
  </si>
  <si>
    <t>TUBING</t>
  </si>
  <si>
    <t>S/S TUBING</t>
  </si>
  <si>
    <t>SQUARE</t>
  </si>
  <si>
    <t>S/S TUBING COILED</t>
  </si>
  <si>
    <t>1/2 ROUND</t>
  </si>
  <si>
    <t>S/S CHANNEL WIRE</t>
  </si>
  <si>
    <t xml:space="preserve">S/S TWISTED SOLID </t>
  </si>
  <si>
    <t>S/S TWISTED TUBING</t>
  </si>
  <si>
    <t>S/S CASTING GRAIN</t>
  </si>
  <si>
    <t>S/S DISCS &amp; WASHERS</t>
  </si>
  <si>
    <t>1-15 OZ</t>
  </si>
  <si>
    <t xml:space="preserve">           LABOR 1-5PC</t>
  </si>
  <si>
    <t>16-50 OZ</t>
  </si>
  <si>
    <t xml:space="preserve">           LABOR 6-100</t>
  </si>
  <si>
    <t>50 &amp; UP</t>
  </si>
  <si>
    <t>SILVER SOLDER</t>
  </si>
  <si>
    <t>F/S CASTING GRAIN</t>
  </si>
  <si>
    <t>SHEET &amp; WIRE</t>
  </si>
  <si>
    <t>CHOPPED SOLDER</t>
  </si>
  <si>
    <t>16--50 OZ</t>
  </si>
  <si>
    <t>POWDER SOLDER</t>
  </si>
  <si>
    <t>1 KILO 8% OVER</t>
  </si>
  <si>
    <t>1 PC SHEET</t>
  </si>
  <si>
    <t>F/S CLOISONNE</t>
  </si>
  <si>
    <t>S/S SQUARE, TRI, 1/2RD &amp; FLAT</t>
  </si>
  <si>
    <t xml:space="preserve">F/S BEZEL WIRE </t>
  </si>
  <si>
    <t>COPPER</t>
  </si>
  <si>
    <t>100&amp; UP</t>
  </si>
  <si>
    <t>BRASS</t>
  </si>
  <si>
    <t>.075"</t>
  </si>
  <si>
    <t>5MM</t>
  </si>
  <si>
    <t>6MM</t>
  </si>
  <si>
    <t>sterling-silver-round-tubing</t>
  </si>
  <si>
    <t>Sterling Silver Round Tubing</t>
  </si>
  <si>
    <t>&lt;p&gt;&lt;strong&gt;Priced per Foot.&lt;/strong&gt;&lt;/p&gt;
&lt;!-- Thin Wall Section --&gt;
&lt;h3&gt;Thin Wall&lt;/h3&gt;
&lt;table style="width: 100%; border-collapse: collapse;"&gt;
&lt;thead&gt;
&lt;tr&gt;
&lt;th style="padding: 10px; text-align: center; border: 1px solid #dddddd; background-color: #f4f4f4;"&gt;Outer Diameter&lt;/th&gt;
&lt;th style="padding: 10px; text-align: center; border: 1px solid #dddddd; background-color: #f4f4f4;"&gt;1.5MM&lt;/th&gt;
&lt;th style="padding: 10px; text-align: center; border: 1px solid #dddddd; background-color: #f4f4f4;"&gt;2MM&lt;/th&gt;
&lt;th style="padding: 10px; text-align: center; border: 1px solid #dddddd; background-color: #f4f4f4;"&gt;2.5MM&lt;/th&gt;
&lt;th style="padding: 10px; text-align: center; border: 1px solid #dddddd; background-color: #f4f4f4;"&gt;3MM&lt;/th&gt;
&lt;th style="padding: 10px; text-align: center; border: 1px solid #dddddd; background-color: #f4f4f4;"&gt;4MM&lt;/th&gt;
&lt;th style="padding: 10px; text-align: center; border: 1px solid #dddddd; background-color: #f4f4f4;"&gt;4.5MM&lt;/th&gt;
&lt;th style="padding: 10px; text-align: center; border: 1px solid #dddddd; background-color: #f4f4f4;"&gt;5MM&lt;/th&gt;
&lt;th style="padding: 10px; text-align: center; border: 1px solid #dddddd; background-color: #f4f4f4;"&gt;6MM&lt;/th&gt;
&lt;th style="padding: 10px; text-align: center; border: 1px solid #dddddd; background-color: #f4f4f4;"&gt;8MM&lt;/th&gt;
&lt;th style="padding: 10px; text-align: center; border: 1px solid #dddddd; background-color: #f4f4f4;"&gt;10MM&lt;/th&gt;
&lt;th style="padding: 10px; text-align: center; border: 1px solid #dddddd; background-color: #f4f4f4;"&gt;13MM&lt;/th&gt;
&lt;/tr&gt;
&lt;/thead&gt;
&lt;tbody&gt;
&lt;tr&gt;
&lt;td style="padding: 10px; text-align: center; border: 1px solid #dddddd;"&gt;Wall Size&lt;/td&gt;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#dddddd;"&gt;.010"&lt;/td&gt;
&lt;td style="padding: 10px; text-align: center; border: 1px solid #dddddd;"&gt;.020"&lt;/td&gt;
&lt;td style="padding: 10px; text-align: center; border: 1px solid #dddddd;"&gt;.020"&lt;/td&gt;
&lt;/tr&gt;
&lt;tr&gt;
&lt;td style="padding: 10px; text-align: center; border: 1px solid #dddddd;"&gt;Oz per Ft&lt;/td&gt;
&lt;td style="padding: 10px; text-align: center; border: 1px solid #dddddd;"&gt;.100&lt;/td&gt;
&lt;td style="padding: 10px; text-align: center; border: 1px solid #dddddd;"&gt;.1425&lt;/td&gt;
&lt;td style="padding: 10px; text-align: center; border: 1px solid #dddddd;"&gt;.178&lt;/td&gt;
&lt;td style="padding: 10px; text-align: center; border: 1px solid #dddddd;"&gt;.231&lt;/td&gt;
&lt;td style="padding: 10px; text-align: center; border: 1px solid #dddddd;"&gt;.324&lt;/td&gt;
&lt;td style="padding: 10px; text-align: center; border: 1px solid #dddddd;"&gt;.392&lt;/td&gt;
&lt;td style="padding: 10px; text-align: center; border: 1px solid #dddddd;"&gt;.400&lt;/td&gt;
&lt;td style="padding: 10px; text-align: center; border: 1px solid #dddddd;"&gt;.486&lt;/td&gt;
&lt;td style="padding: 10px; text-align: center; border: 1px solid #dddddd;"&gt;.635&lt;/td&gt;
&lt;td style="padding: 10px; text-align: center; border: 1px solid #dddddd;"&gt;1.575&lt;/td&gt;
&lt;td style="padding: 10px; text-align: center; border: 1px solid #dddddd;"&gt;1.975&lt;/td&gt;
&lt;/tr&gt;
&lt;/tbody&gt;
&lt;/table&gt;
&lt;!-- Thick Wall Section --&gt;
&lt;h3&gt;Thick Wall&lt;/h3&gt;
&lt;table style="width: 100%; border-collapse: collapse;"&gt;
&lt;thead&gt;
&lt;tr&gt;
&lt;th style="padding: 10px; text-align: center; border: 1px solid #dddddd; background-color: #f4f4f4;"&gt;Outer Diameter&lt;/th&gt;
&lt;th style="padding: 10px; text-align: center; border: 1px solid #dddddd; background-color: #f4f4f4;"&gt;2MM&lt;/th&gt;
&lt;th style="padding: 10px; text-align: center; border: 1px solid #dddddd; background-color: #f4f4f4;"&gt;3MM&lt;/th&gt;
&lt;th style="padding: 10px; text-align: center; border: 1px solid #dddddd; background-color: #f4f4f4;"&gt;4MM&lt;/th&gt;
&lt;th style="padding: 10px; text-align: center; border: 1px solid #dddddd; background-color: #f4f4f4;"&gt;5MM&lt;/th&gt;
&lt;th style="padding: 10px; text-align: center; border: 1px solid #dddddd; background-color: #f4f4f4;"&gt;6MM&lt;/th&gt;
&lt;th style="padding: 10px; text-align: center; border: 1px solid #dddddd; background-color: #f4f4f4;"&gt;8MM&lt;/th&gt;
&lt;/tr&gt;
&lt;/thead&gt;
&lt;tbody&gt;
&lt;tr&gt;
&lt;td style="padding: 10px; text-align: center; border: 1px solid #dddddd;"&gt;Wall Size&lt;/td&gt;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&lt;td style="padding: 10px; text-align: center; border: 1px solid #dddddd;"&gt;.020"&lt;/td&gt;
&lt;/tr&gt;
&lt;tr&gt;
&lt;td style="padding: 10px; text-align: center; border: 1px solid #dddddd;"&gt;Oz per Ft&lt;/td&gt;
&lt;td style="padding: 10px; text-align: center; border: 1px solid #dddddd;"&gt;.250&lt;/td&gt;
&lt;td style="padding: 10px; text-align: center; border: 1px solid #dddddd;"&gt;.375&lt;/td&gt;
&lt;td style="padding: 10px; text-align: center; border: 1px solid #dddddd;"&gt;.500&lt;/td&gt;
&lt;td style="padding: 10px; text-align: center; border: 1px solid #dddddd;"&gt;.625&lt;/td&gt;
&lt;td style="padding: 10px; text-align: center; border: 1px solid #dddddd;"&gt;.750&lt;/td&gt;
&lt;td style="padding: 10px; text-align: center; border: 1px solid #dddddd;"&gt;1.000&lt;/td&gt;
&lt;/tr&gt;
&lt;/tbody&gt;
&lt;/table&gt;</t>
  </si>
  <si>
    <t>Arts &amp; Entertainment &gt; Hobbies &amp; Creative Arts &gt; Arts &amp; Crafts &gt; Art &amp; Crafting Materials &gt; Craft Fasteners &amp; Closures &gt; Buttons &amp; Snaps</t>
  </si>
  <si>
    <t>Metals, Silver, Tubing</t>
  </si>
  <si>
    <t>Thin Wall</t>
  </si>
  <si>
    <t>Myron Toback Inc. Sterling Silver Round Tubing Sterling Silver Round Tubing</t>
  </si>
  <si>
    <t>g</t>
  </si>
  <si>
    <t>Thick Wall</t>
  </si>
  <si>
    <t>4.5MM</t>
  </si>
  <si>
    <t>8MM</t>
  </si>
  <si>
    <t>10MM</t>
  </si>
  <si>
    <t>13MM</t>
  </si>
  <si>
    <t>https://cdn.shopify.com/s/files/1/0471/8677/2118/products/myron-toback-inc-14k-pink-gold-wire-19709828432022.jpg?v=1754676057</t>
  </si>
  <si>
    <t>https://cdn.shopify.com/s/files/1/0471/8677/2118/products/myron-toback-inc-14k-green-gold-wire-19712534806678.jpg?v=1754676056</t>
  </si>
  <si>
    <t>https://cdn.shopify.com/s/files/1/0471/8677/2118/products/myron-toback-inc-10k-yellow-gold-wire-19709700735126.jpg?v=1754676055</t>
  </si>
  <si>
    <t>https://cdn.shopify.com/s/files/1/0471/8677/2118/products/myron-toback-inc-14k-white-gold-wire-28517224939702.jpg?v=1754676054</t>
  </si>
  <si>
    <t>https://cdn.shopify.com/s/files/1/0471/8677/2118/products/myron-toback-inc-14k-yellow-gold-wire-28517270290614.jpg?v=1754676053</t>
  </si>
  <si>
    <t>https://cdn.shopify.com/s/files/1/0471/8677/2118/products/myron-toback-inc-18k-pink-gold-wire-28517413879990.jpg?v=1754676051</t>
  </si>
  <si>
    <t>https://cdn.shopify.com/s/files/1/0471/8677/2118/products/myron-toback-inc-18k-white-gold-wire-28517602230454.jpg?v=1754676050</t>
  </si>
  <si>
    <t>https://cdn.shopify.com/s/files/1/0471/8677/2118/products/myron-toback-inc-18k-yellow-gold-wire-28517605572790.jpg?v=1754676048</t>
  </si>
  <si>
    <t>https://cdn.shopify.com/s/files/1/0471/8677/2118/products/myron-toback-inc-22k-yellow-gold-wire-28517634474166.jpg?v=1754676046</t>
  </si>
  <si>
    <t>https://cdn.shopify.com/s/files/1/0471/8677/2118/products/myron-toback-inc-fine-silver-wire-28799794577590.jpg?v=1754676043</t>
  </si>
  <si>
    <t>https://cdn.shopify.com/s/files/1/0471/8677/2118/products/myron-toback-inc-sterling-silver-wire-28799795069110.jpg?v=1754676040</t>
  </si>
  <si>
    <t>https://cdn.shopify.com/s/files/1/0471/8677/2118/products/myron-toback-inc-palladium-wire-28799794446518.jpg?v=1754676038</t>
  </si>
  <si>
    <t>https://cdn.shopify.com/s/files/1/0471/8677/2118/products/myron-toback-inc-platinum-wire-28799795232950.jpg?v=1754676037</t>
  </si>
  <si>
    <t>https://cdn.shopify.com/s/files/1/0471/8677/2118/products/myron-toback-inc-gold-filled-yellow-wire-36307630424281.jpg?v=1754676035</t>
  </si>
  <si>
    <t>https://cdn.shopify.com/s/files/1/0471/8677/2118/products/myron-toback-inc-gold-filled-pink-wire-36353086685401.jpg?v=1754676034</t>
  </si>
  <si>
    <t>https://cdn.shopify.com/s/files/1/0471/8677/2118/products/myron-toback-inc-sterling-silver-beaded-wire-38710634119385.jpg?v=1754676033</t>
  </si>
  <si>
    <t>https://cdn.shopify.com/s/files/1/0471/8677/2118/files/myron-toback-inc-sterling-silver-half-round-wire-43171729342681.jpg?v=1754676032</t>
  </si>
  <si>
    <t>https://cdn.shopify.com/s/files/1/0471/8677/2118/files/myron-toback-inc-sterling-silver-square-wire-42217889628377.jpg?v=1754676031</t>
  </si>
  <si>
    <t>https://cdn.shopify.com/s/files/1/0471/8677/2118/files/myron-toback-inc-sterling-silver-round-tubing-sterling-silver-round-tubing-43875851895001.jpg?v=1754676059</t>
  </si>
  <si>
    <t>Ring size (product.metafields.shopify.ring-size)</t>
  </si>
  <si>
    <t>show separately  (product.metafields.custom.show_separately)</t>
  </si>
  <si>
    <t>SHWS</t>
  </si>
  <si>
    <t>s-s-extra-easy-wire-solder</t>
  </si>
  <si>
    <t>SMWS</t>
  </si>
  <si>
    <t>Medium</t>
  </si>
  <si>
    <t>SEWS</t>
  </si>
  <si>
    <t>Easy</t>
  </si>
  <si>
    <t>S/S Extra Easy Wire Solder  Myron Toback Inc. S/S Extra Easy Wire Solder</t>
  </si>
  <si>
    <t>https://cdn.shopify.com/s/files/1/0471/8677/2118/products/myron-toback-inc-s-s-extra-easy-wire-solder-19698983796886.jpg?v=1744814075</t>
  </si>
  <si>
    <t>I-1Y38M5</t>
  </si>
  <si>
    <t>SS045SW</t>
  </si>
  <si>
    <t>Extra Easy</t>
  </si>
  <si>
    <t>Solder Flow</t>
  </si>
  <si>
    <t>Metals, Silver, Soldering, Soldering Wire</t>
  </si>
  <si>
    <t>&lt;p&gt;Priced per Foot&lt;/p&gt;
&lt;p&gt;Extra Easy:&lt;/p&gt;
&lt;p&gt;Flow Point: 1325Â°F (718) Â°C&lt;/p&gt;
&lt;p&gt;Melt Point:Â &lt;span&gt;1240Â°F (671) Â°C&lt;/span&gt;&lt;/p&gt;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Â°C&lt;/span&gt;&lt;span&gt;&lt;/span&gt;&lt;/p&gt;</t>
  </si>
  <si>
    <t>Sterling Silver Wire Solder</t>
  </si>
  <si>
    <t>https://cdn.shopify.com/s/files/1/0471/8677/2118/products/myron-toback-inc-s-s-extra-hard-solder-sheet-19698894995606.jpg?v=1744814067</t>
  </si>
  <si>
    <t>SITSS</t>
  </si>
  <si>
    <t>IT</t>
  </si>
  <si>
    <t>s-s-medium-solder-sheet</t>
  </si>
  <si>
    <t>https://cdn.shopify.com/s/files/1/0471/8677/2118/products/myron-toback-inc-s-s-hard-solder-sheet-19698897813654.jpg?v=1744814069</t>
  </si>
  <si>
    <t>S/S Hard Solder Sheet  Myron Toback Inc. S/S Hard Solder Sheet</t>
  </si>
  <si>
    <t>SHSS</t>
  </si>
  <si>
    <t>https://cdn.shopify.com/s/files/1/0471/8677/2118/products/myron-toback-inc-s-s-medium-solder-sheet-19698889261206.jpg?v=1744814066</t>
  </si>
  <si>
    <t>S/S Extra Hard Solder Sheet  Myron Toback Inc. S/S Extra Hard Solder Sheet</t>
  </si>
  <si>
    <t>SMSS</t>
  </si>
  <si>
    <t>S/S Extra Easy Solder Sheet  Myron Toback Inc. S/S Extra Easy Solder Sheet</t>
  </si>
  <si>
    <t>https://cdn.shopify.com/s/files/1/0471/8677/2118/products/myron-toback-inc-s-s-extra-easy-solder-sheet-19698896765078.jpg?v=1744814068</t>
  </si>
  <si>
    <t>SESS</t>
  </si>
  <si>
    <t>S/S Medium Solder Sheet  Myron Toback Inc. S/S Medium Solder Sheet</t>
  </si>
  <si>
    <t>SXESS</t>
  </si>
  <si>
    <t>Metals, Silver, Soldering, Soldering Sheet</t>
  </si>
  <si>
    <t>&lt;p&gt;Roughly .25 oz piece, 1" x 5"Â &lt;/p&gt;
&lt;p&gt;Extra Easy:&lt;/p&gt;
&lt;p&gt;Flow Point: 1145Â°F (618) Â°C&lt;/p&gt;
&lt;p&gt;Melt Point:Â &lt;span&gt;1125Â°F (607) Â°C&lt;/span&gt;&lt;/p&gt;
&lt;p&gt;Easy:&lt;/p&gt;
&lt;p&gt;Flow Point: 1325Â°F (718) Â°C&lt;/p&gt;
&lt;p&gt;Melt Point:Â &lt;span&gt;1240Â°F (671) Â°C&lt;/span&gt;&lt;/p&gt;
&lt;p&gt;Medium:&lt;/p&gt;
&lt;p&gt;Flow Point: 1360Â°F (738) Â°C&lt;/p&gt;
&lt;p&gt;Melt Point:Â &lt;span&gt;1275Â°F (690) Â°C&lt;/span&gt;&lt;/p&gt;
&lt;p&gt;Hard:&lt;/p&gt;
&lt;p&gt;Flow Point: 1450Â°F (788) Â°C&lt;/p&gt;
&lt;p&gt;Melt Point:Â &lt;span&gt;1365Â°F (740) Â°C&lt;/span&gt;&lt;/p&gt;
&lt;p&gt;IT:&lt;/p&gt;
&lt;p&gt;Flow Point: 1490Â°F (810) Â°C&lt;/p&gt;
&lt;p&gt;Melt Point:Â &lt;span&gt;1345Â°F (729) Â°C&lt;/span&gt;&lt;/p&gt;</t>
  </si>
  <si>
    <t>Sterling Silver Solder Sheet</t>
  </si>
  <si>
    <t>https://cdn.shopify.com/s/files/1/0471/8677/2118/products/myron-toback-inc-s-s-extra-hard-solder-paste-19761099440278.jpg?v=1744814052</t>
  </si>
  <si>
    <t>S/S Extra Hard Solder Paste  Myron Toback Inc. S/S Extra Hard Solder Paste</t>
  </si>
  <si>
    <t>SSITPS</t>
  </si>
  <si>
    <t>s-s-easy-solder-paste</t>
  </si>
  <si>
    <t>https://cdn.shopify.com/s/files/1/0471/8677/2118/products/myron-toback-inc-s-s-extra-hard-solder-paste-19761124409494.jpg?v=1744814051</t>
  </si>
  <si>
    <t>SS75PS</t>
  </si>
  <si>
    <t>https://cdn.shopify.com/s/files/1/0471/8677/2118/products/myron-toback-inc-s-s-medium-solder-paste-19761192534166.jpg?v=1744814050</t>
  </si>
  <si>
    <t>S/S Medium Solder Paste  Myron Toback Inc. S/S Medium Solder Paste</t>
  </si>
  <si>
    <t>SS70PS</t>
  </si>
  <si>
    <t>https://cdn.shopify.com/s/files/1/0471/8677/2118/products/myron-toback-inc-s-s-easy-solder-paste-19761231528086.jpg?v=1744814049</t>
  </si>
  <si>
    <t>S/S Easy Solder Paste  Myron Toback Inc. S/S Easy Solder Paste</t>
  </si>
  <si>
    <t>'49273</t>
  </si>
  <si>
    <t>SS65PS</t>
  </si>
  <si>
    <t>Metals, Silver, Soldering, Soldering Paste</t>
  </si>
  <si>
    <t>&lt;p&gt;Price per 1/2 oz t&lt;/p&gt;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Â°C&lt;/span&gt;&lt;/p&gt;
&lt;p&gt;&lt;span&gt;IT:&lt;/span&gt;&lt;/p&gt;
&lt;p&gt;Flow Point: 1490Â°F (810) Â°C&lt;br&gt;&lt;/p&gt;
&lt;p&gt;Melt Point:Â &lt;span&gt;1345Â°F (729) Â°C&lt;/span&gt;&lt;/p&gt;</t>
  </si>
  <si>
    <t>Sterling Silver Solder Paste</t>
  </si>
  <si>
    <t>sterling-silver-chopped-solder</t>
  </si>
  <si>
    <t>SHCS</t>
  </si>
  <si>
    <t>SMCS</t>
  </si>
  <si>
    <t>6Y Repair Gold Chopped Solder  Myron Toback Inc. 6Y Repair Gold Chopped Solder</t>
  </si>
  <si>
    <t>https://cdn.shopify.com/s/files/1/0471/8677/2118/products/myron-toback-inc-6y-repair-gold-chopped-solder-19611073413270.jpg?v=1750433388</t>
  </si>
  <si>
    <t>SECS</t>
  </si>
  <si>
    <t>Metals, Silver, Soldering, Soldering Chopped</t>
  </si>
  <si>
    <t>&lt;p&gt;Priced by the quarter ounce.Â &lt;/p&gt;
&lt;p&gt;Easy:&lt;/p&gt;
&lt;p&gt;Flow Point: 1325Â°F (718) Â°C&lt;br&gt;&lt;/p&gt;
&lt;p&gt;Melt Point: 1240&lt;span&gt;Â°F (671) Â°C&lt;/span&gt;&lt;/p&gt;
&lt;p&gt;&lt;span&gt;Medium:&lt;/span&gt;&lt;/p&gt;
&lt;p&gt;Flow Point: 1360Â°F (738) Â°C&lt;br&gt;&lt;/p&gt;
&lt;p&gt;Melt Point: 1275&lt;span&gt;Â°F (690) Â°C&lt;/span&gt;&lt;/p&gt;
&lt;p&gt;&lt;span&gt;Hard:&lt;/span&gt;&lt;/p&gt;
&lt;p&gt;Flow Point: 1450Â°F (788) Â°C&lt;br&gt;&lt;/p&gt;
&lt;p&gt;Melt Point:Â &lt;span&gt;1365Â°F (740) Â°C&lt;/span&gt;&lt;/p&gt;
&lt;p&gt;&lt;span&gt;IT:&lt;/span&gt;&lt;/p&gt;
&lt;p&gt;Flow Point: 1490Â°F (810) Â°C&lt;br&gt;&lt;/p&gt;
&lt;p&gt;Melt Point:Â &lt;span&gt;1345Â°F (729) Â°C&lt;/span&gt;&lt;/p&gt;</t>
  </si>
  <si>
    <t>Sterling Silver Chopped Solder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</si>
</sst>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&quot;$&quot;#,##0.00"/>
    <numFmt numFmtId="168" formatCode="0.0000"/>
  </numFmts>
  <fonts count="3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LongIsland"/>
    </font>
    <font>
      <sz val="10"/>
      <name val="LongIsland"/>
    </font>
    <font>
      <b/>
      <sz val="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6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18" fillId="0" borderId="0" xfId="44"/>
    <xf numFmtId="14" fontId="20" fillId="0" borderId="0" xfId="45" applyNumberFormat="1" applyFont="1"/>
    <xf numFmtId="0" fontId="18" fillId="0" borderId="0" xfId="45" applyNumberFormat="1"/>
    <xf numFmtId="164" fontId="18" fillId="0" borderId="0" xfId="45" applyNumberFormat="1"/>
    <xf numFmtId="0" fontId="21" fillId="0" borderId="10" xfId="45" applyNumberFormat="1" applyFont="1" applyBorder="1"/>
    <xf numFmtId="164" fontId="21" fillId="0" borderId="10" xfId="45" applyNumberFormat="1" applyFont="1" applyBorder="1"/>
    <xf numFmtId="0" fontId="22" fillId="0" borderId="0" xfId="45" applyNumberFormat="1" applyFont="1"/>
    <xf numFmtId="164" fontId="22" fillId="0" borderId="0" xfId="45" applyNumberFormat="1" applyFont="1"/>
    <xf numFmtId="0" fontId="21" fillId="0" borderId="10" xfId="45" applyNumberFormat="1" applyFont="1" applyBorder="1" applyAlignment="1">
      <alignment horizontal="center"/>
    </xf>
    <xf numFmtId="0" fontId="21" fillId="0" borderId="11" xfId="45" applyNumberFormat="1" applyFont="1" applyBorder="1"/>
    <xf numFmtId="164" fontId="21" fillId="0" borderId="11" xfId="45" applyNumberFormat="1" applyFont="1" applyBorder="1"/>
    <xf numFmtId="164" fontId="22" fillId="0" borderId="0" xfId="45" applyNumberFormat="1" applyFont="1" applyAlignment="1">
      <alignment horizontal="center"/>
    </xf>
    <xf numFmtId="0" fontId="21" fillId="0" borderId="11" xfId="45" applyNumberFormat="1" applyFont="1" applyBorder="1" applyAlignment="1">
      <alignment horizontal="center"/>
    </xf>
    <xf numFmtId="164" fontId="21" fillId="0" borderId="0" xfId="45" applyNumberFormat="1" applyFont="1"/>
    <xf numFmtId="0" fontId="21" fillId="0" borderId="0" xfId="45" applyNumberFormat="1" applyFont="1"/>
    <xf numFmtId="0" fontId="21" fillId="0" borderId="12" xfId="45" applyNumberFormat="1" applyFont="1" applyBorder="1"/>
    <xf numFmtId="0" fontId="18" fillId="0" borderId="10" xfId="45" applyNumberFormat="1" applyBorder="1"/>
    <xf numFmtId="167" fontId="21" fillId="0" borderId="0" xfId="45" applyNumberFormat="1" applyFont="1" applyAlignment="1">
      <alignment horizontal="right"/>
    </xf>
    <xf numFmtId="0" fontId="21" fillId="0" borderId="0" xfId="45" applyNumberFormat="1" applyFont="1" applyAlignment="1">
      <alignment horizontal="center"/>
    </xf>
    <xf numFmtId="167" fontId="21" fillId="0" borderId="10" xfId="45" applyNumberFormat="1" applyFont="1" applyBorder="1" applyAlignment="1">
      <alignment horizontal="right"/>
    </xf>
    <xf numFmtId="0" fontId="18" fillId="0" borderId="11" xfId="45" applyNumberFormat="1" applyBorder="1"/>
    <xf numFmtId="0" fontId="18" fillId="0" borderId="0" xfId="45" applyNumberFormat="1" applyBorder="1"/>
    <xf numFmtId="0" fontId="18" fillId="0" borderId="13" xfId="45" applyNumberFormat="1" applyBorder="1"/>
    <xf numFmtId="0" fontId="20" fillId="0" borderId="0" xfId="45" applyNumberFormat="1" applyFont="1"/>
    <xf numFmtId="164" fontId="20" fillId="0" borderId="0" xfId="45" applyNumberFormat="1" applyFont="1"/>
    <xf numFmtId="0" fontId="23" fillId="0" borderId="0" xfId="45" applyNumberFormat="1" applyFont="1" applyAlignment="1">
      <alignment horizontal="right"/>
    </xf>
    <xf numFmtId="0" fontId="24" fillId="0" borderId="0" xfId="45" applyNumberFormat="1" applyFont="1" applyFill="1" applyBorder="1" applyAlignment="1">
      <alignment horizontal="center"/>
    </xf>
    <xf numFmtId="0" fontId="25" fillId="0" borderId="14" xfId="45" applyNumberFormat="1" applyFont="1" applyBorder="1"/>
    <xf numFmtId="164" fontId="25" fillId="0" borderId="14" xfId="45" applyNumberFormat="1" applyFont="1" applyBorder="1"/>
    <xf numFmtId="164" fontId="24" fillId="0" borderId="0" xfId="44" applyNumberFormat="1" applyFont="1"/>
    <xf numFmtId="0" fontId="25" fillId="0" borderId="0" xfId="45" applyNumberFormat="1" applyFont="1"/>
    <xf numFmtId="164" fontId="25" fillId="0" borderId="0" xfId="45" applyNumberFormat="1" applyFont="1"/>
    <xf numFmtId="0" fontId="24" fillId="0" borderId="0" xfId="44" applyFont="1"/>
    <xf numFmtId="0" fontId="20" fillId="0" borderId="14" xfId="45" applyNumberFormat="1" applyFont="1" applyBorder="1"/>
    <xf numFmtId="164" fontId="20" fillId="0" borderId="14" xfId="45" applyNumberFormat="1" applyFont="1" applyBorder="1"/>
    <xf numFmtId="0" fontId="18" fillId="0" borderId="15" xfId="45" applyNumberFormat="1" applyBorder="1"/>
    <xf numFmtId="0" fontId="26" fillId="0" borderId="15" xfId="45" applyNumberFormat="1" applyFont="1" applyBorder="1"/>
    <xf numFmtId="0" fontId="21" fillId="0" borderId="15" xfId="45" applyNumberFormat="1" applyFont="1" applyBorder="1"/>
    <xf numFmtId="0" fontId="27" fillId="0" borderId="15" xfId="45" applyNumberFormat="1" applyFont="1" applyBorder="1"/>
    <xf numFmtId="164" fontId="21" fillId="0" borderId="15" xfId="45" applyNumberFormat="1" applyFont="1" applyBorder="1"/>
    <xf numFmtId="0" fontId="23" fillId="0" borderId="0" xfId="45" applyNumberFormat="1" applyFont="1" applyAlignment="1">
      <alignment horizontal="left"/>
    </xf>
    <xf numFmtId="0" fontId="24" fillId="0" borderId="0" xfId="45" applyNumberFormat="1" applyFont="1" applyAlignment="1">
      <alignment horizontal="right"/>
    </xf>
    <xf numFmtId="0" fontId="23" fillId="0" borderId="0" xfId="45" applyNumberFormat="1" applyFont="1"/>
    <xf numFmtId="164" fontId="23" fillId="0" borderId="0" xfId="45" applyNumberFormat="1" applyFont="1"/>
    <xf numFmtId="0" fontId="24" fillId="0" borderId="0" xfId="44" applyFont="1" applyAlignment="1">
      <alignment horizontal="right"/>
    </xf>
    <xf numFmtId="164" fontId="24" fillId="0" borderId="0" xfId="45" applyNumberFormat="1" applyFont="1"/>
    <xf numFmtId="0" fontId="25" fillId="0" borderId="16" xfId="45" applyNumberFormat="1" applyFont="1" applyBorder="1"/>
    <xf numFmtId="164" fontId="25" fillId="0" borderId="16" xfId="45" applyNumberFormat="1" applyFont="1" applyBorder="1"/>
    <xf numFmtId="0" fontId="23" fillId="0" borderId="15" xfId="45" applyNumberFormat="1" applyFont="1" applyBorder="1"/>
    <xf numFmtId="0" fontId="25" fillId="0" borderId="15" xfId="45" applyNumberFormat="1" applyFont="1" applyBorder="1"/>
    <xf numFmtId="164" fontId="23" fillId="0" borderId="15" xfId="45" applyNumberFormat="1" applyFont="1" applyBorder="1"/>
    <xf numFmtId="165" fontId="24" fillId="0" borderId="15" xfId="45" applyNumberFormat="1" applyFont="1" applyBorder="1"/>
    <xf numFmtId="164" fontId="25" fillId="0" borderId="15" xfId="45" applyNumberFormat="1" applyFont="1" applyBorder="1"/>
    <xf numFmtId="0" fontId="18" fillId="0" borderId="17" xfId="45" applyNumberFormat="1" applyBorder="1"/>
    <xf numFmtId="0" fontId="24" fillId="0" borderId="17" xfId="45" applyNumberFormat="1" applyFont="1" applyBorder="1"/>
    <xf numFmtId="164" fontId="18" fillId="0" borderId="17" xfId="45" applyNumberFormat="1" applyBorder="1"/>
    <xf numFmtId="0" fontId="24" fillId="0" borderId="0" xfId="45" applyNumberFormat="1" applyFont="1"/>
    <xf numFmtId="164" fontId="24" fillId="0" borderId="15" xfId="45" applyNumberFormat="1" applyFont="1" applyBorder="1"/>
    <xf numFmtId="164" fontId="20" fillId="0" borderId="15" xfId="45" applyNumberFormat="1" applyFont="1" applyBorder="1"/>
    <xf numFmtId="0" fontId="20" fillId="0" borderId="15" xfId="45" applyNumberFormat="1" applyFont="1" applyBorder="1"/>
    <xf numFmtId="0" fontId="25" fillId="0" borderId="18" xfId="45" applyNumberFormat="1" applyFont="1" applyBorder="1"/>
    <xf numFmtId="164" fontId="25" fillId="0" borderId="18" xfId="45" applyNumberFormat="1" applyFont="1" applyBorder="1"/>
    <xf numFmtId="167" fontId="25" fillId="0" borderId="0" xfId="45" applyNumberFormat="1" applyFont="1" applyAlignment="1"/>
    <xf numFmtId="167" fontId="24" fillId="0" borderId="0" xfId="45" applyNumberFormat="1" applyFont="1"/>
    <xf numFmtId="167" fontId="25" fillId="0" borderId="0" xfId="45" applyNumberFormat="1" applyFont="1" applyAlignment="1">
      <alignment horizontal="center" vertical="center"/>
    </xf>
    <xf numFmtId="167" fontId="24" fillId="0" borderId="0" xfId="44" applyNumberFormat="1" applyFont="1"/>
    <xf numFmtId="43" fontId="21" fillId="0" borderId="0" xfId="45" applyFont="1" applyBorder="1"/>
    <xf numFmtId="167" fontId="21" fillId="0" borderId="0" xfId="45" applyNumberFormat="1" applyFont="1" applyBorder="1"/>
    <xf numFmtId="168" fontId="18" fillId="0" borderId="0" xfId="44" applyNumberFormat="1"/>
    <xf numFmtId="43" fontId="21" fillId="0" borderId="0" xfId="45" applyFont="1" applyBorder="1" applyAlignment="1">
      <alignment horizontal="center"/>
    </xf>
    <xf numFmtId="4" fontId="21" fillId="0" borderId="0" xfId="45" applyNumberFormat="1" applyFont="1" applyBorder="1"/>
    <xf numFmtId="168" fontId="28" fillId="0" borderId="0" xfId="44" applyNumberFormat="1" applyFont="1"/>
    <xf numFmtId="167" fontId="28" fillId="0" borderId="0" xfId="44" applyNumberFormat="1" applyFont="1"/>
    <xf numFmtId="4" fontId="18" fillId="0" borderId="0" xfId="44" applyNumberFormat="1"/>
    <xf numFmtId="0" fontId="29" fillId="0" borderId="0" xfId="44" applyFont="1"/>
    <xf numFmtId="167" fontId="29" fillId="0" borderId="0" xfId="44" applyNumberFormat="1" applyFont="1"/>
    <xf numFmtId="4" fontId="29" fillId="0" borderId="0" xfId="44" applyNumberFormat="1" applyFont="1"/>
    <xf numFmtId="168" fontId="30" fillId="0" borderId="0" xfId="44" applyNumberFormat="1" applyFont="1"/>
    <xf numFmtId="167" fontId="18" fillId="0" borderId="0" xfId="44" applyNumberFormat="1"/>
    <xf numFmtId="167" fontId="0" fillId="0" borderId="0" xfId="0" applyNumberFormat="1"/>
    <xf numFmtId="4" fontId="0" fillId="0" borderId="0" xfId="0" applyNumberFormat="1"/>
    <xf numFmtId="168" fontId="0" fillId="0" borderId="0" xfId="0" applyNumberFormat="1"/>
    <xf numFmtId="43" fontId="21" fillId="0" borderId="0" xfId="1" applyFont="1"/>
    <xf numFmtId="167" fontId="21" fillId="0" borderId="0" xfId="1" applyNumberFormat="1" applyFont="1"/>
    <xf numFmtId="43" fontId="21" fillId="0" borderId="0" xfId="1" applyFont="1" applyAlignment="1">
      <alignment horizontal="center"/>
    </xf>
    <xf numFmtId="167" fontId="31" fillId="0" borderId="0" xfId="1" quotePrefix="1" applyNumberFormat="1" applyFont="1"/>
    <xf numFmtId="4" fontId="21" fillId="0" borderId="0" xfId="1" applyNumberFormat="1" applyFont="1"/>
    <xf numFmtId="168" fontId="28" fillId="0" borderId="0" xfId="0" applyNumberFormat="1" applyFont="1"/>
    <xf numFmtId="167" fontId="28" fillId="0" borderId="0" xfId="0" applyNumberFormat="1" applyFont="1"/>
    <xf numFmtId="0" fontId="29" fillId="0" borderId="0" xfId="0" applyFont="1"/>
    <xf numFmtId="167" fontId="29" fillId="0" borderId="0" xfId="0" applyNumberFormat="1" applyFont="1"/>
    <xf numFmtId="4" fontId="29" fillId="0" borderId="0" xfId="0" applyNumberFormat="1" applyFont="1"/>
    <xf numFmtId="168" fontId="30" fillId="0" borderId="0" xfId="0" applyNumberFormat="1" applyFont="1"/>
    <xf numFmtId="165" fontId="0" fillId="0" borderId="0" xfId="0" applyNumberFormat="1"/>
    <xf numFmtId="164" fontId="0" fillId="0" borderId="0" xfId="0" applyNumberFormat="1"/>
    <xf numFmtId="166" fontId="0" fillId="0" borderId="0" xfId="2" applyFont="1"/>
    <xf numFmtId="0" fontId="19" fillId="0" borderId="0" xfId="45" applyNumberFormat="1" applyFont="1" applyAlignment="1">
      <alignment horizontal="center"/>
    </xf>
  </cellXfs>
  <cellStyles count="4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 2" xfId="45" xr:uid="{B77F8EB2-B587-4CDA-9CA4-C867A82F208B}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 2" xfId="44" xr:uid="{39128507-9460-4E43-82BA-6FEBE756832D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DC5AD-1FC8-40D7-9D18-235C930D636A}">
  <sheetPr codeName="Sheet1"/>
  <dimension ref="A1:CE495"/>
  <sheetViews>
    <sheetView tabSelected="1" zoomScale="82" workbookViewId="0">
      <selection activeCell="A495" sqref="A495"/>
    </sheetView>
  </sheetViews>
  <sheetFormatPr baseColWidth="10" defaultColWidth="8.83203125" defaultRowHeight="15"/>
  <sheetData>
    <row r="1" spans="1:81" ht="1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378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377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</row>
    <row r="2" spans="1:81" ht="15" customHeight="1">
      <c r="A2" t="s">
        <v>100</v>
      </c>
      <c r="B2" t="s">
        <v>101</v>
      </c>
      <c r="C2" t="s">
        <v>102</v>
      </c>
      <c r="D2" t="s">
        <v>79</v>
      </c>
      <c r="E2" t="s">
        <v>80</v>
      </c>
      <c r="G2" t="s">
        <v>103</v>
      </c>
      <c r="H2" t="b">
        <v>1</v>
      </c>
      <c r="I2" t="s">
        <v>104</v>
      </c>
      <c r="J2" t="s">
        <v>105</v>
      </c>
      <c r="L2" t="s">
        <v>106</v>
      </c>
      <c r="M2" t="s">
        <v>97</v>
      </c>
      <c r="S2">
        <v>0</v>
      </c>
      <c r="U2">
        <v>-15</v>
      </c>
      <c r="V2" t="s">
        <v>86</v>
      </c>
      <c r="W2" t="s">
        <v>87</v>
      </c>
      <c r="X2" s="97">
        <f>VLOOKUP(J2,References!$A$25:$B$29,2,0)*VLOOKUP(M2,References!$A$1:$B$23,2,0)*Prices!$D$103*5.45</f>
        <v>1.8620833333333338</v>
      </c>
      <c r="Z2" t="b">
        <v>1</v>
      </c>
      <c r="AA2" t="b">
        <v>1</v>
      </c>
      <c r="AF2" t="b">
        <v>0</v>
      </c>
      <c r="AI2">
        <v>6102</v>
      </c>
      <c r="BZ2" t="s">
        <v>88</v>
      </c>
      <c r="CC2" t="s">
        <v>89</v>
      </c>
    </row>
    <row r="3" spans="1:81" ht="15" customHeight="1">
      <c r="A3" t="s">
        <v>100</v>
      </c>
      <c r="J3" t="s">
        <v>107</v>
      </c>
      <c r="M3" t="s">
        <v>97</v>
      </c>
      <c r="S3">
        <v>0</v>
      </c>
      <c r="U3">
        <v>-22</v>
      </c>
      <c r="V3" t="s">
        <v>86</v>
      </c>
      <c r="W3" t="s">
        <v>87</v>
      </c>
      <c r="X3" s="97">
        <f>VLOOKUP(J3,References!$A$25:$B$29,2,0)*VLOOKUP(M3,References!$A$1:$B$23,2,0)*Prices!$D$103*5.45</f>
        <v>2.7931250000000003</v>
      </c>
      <c r="Z3" t="b">
        <v>1</v>
      </c>
      <c r="AA3" t="b">
        <v>1</v>
      </c>
      <c r="BZ3" t="s">
        <v>88</v>
      </c>
    </row>
    <row r="4" spans="1:81" ht="15" customHeight="1">
      <c r="A4" t="s">
        <v>100</v>
      </c>
      <c r="J4" t="s">
        <v>108</v>
      </c>
      <c r="M4" t="s">
        <v>97</v>
      </c>
      <c r="S4">
        <v>0</v>
      </c>
      <c r="U4">
        <v>-7</v>
      </c>
      <c r="V4" t="s">
        <v>86</v>
      </c>
      <c r="W4" t="s">
        <v>87</v>
      </c>
      <c r="X4" s="97">
        <f>VLOOKUP(J4,References!$A$25:$B$29,2,0)*VLOOKUP(M4,References!$A$1:$B$23,2,0)*Prices!$D$103*5.45</f>
        <v>3.7241666666666675</v>
      </c>
      <c r="Z4" t="b">
        <v>1</v>
      </c>
      <c r="AA4" t="b">
        <v>1</v>
      </c>
      <c r="BZ4" t="s">
        <v>88</v>
      </c>
    </row>
    <row r="5" spans="1:81" ht="15" customHeight="1">
      <c r="A5" t="s">
        <v>100</v>
      </c>
      <c r="J5" t="s">
        <v>108</v>
      </c>
      <c r="M5" t="s">
        <v>186</v>
      </c>
      <c r="S5">
        <v>0</v>
      </c>
      <c r="U5">
        <v>0</v>
      </c>
      <c r="V5" t="s">
        <v>86</v>
      </c>
      <c r="W5" t="s">
        <v>87</v>
      </c>
      <c r="X5" s="97">
        <f>VLOOKUP(J5,References!$A$25:$B$29,2,0)*VLOOKUP(M5,References!$A$1:$B$23,2,0)*Prices!$D$103*5.45</f>
        <v>5.5862500000000006</v>
      </c>
      <c r="Z5" t="b">
        <v>1</v>
      </c>
      <c r="AA5" t="b">
        <v>1</v>
      </c>
      <c r="BZ5" t="s">
        <v>88</v>
      </c>
    </row>
    <row r="6" spans="1:81" ht="15" customHeight="1">
      <c r="A6" t="s">
        <v>100</v>
      </c>
      <c r="J6" t="s">
        <v>108</v>
      </c>
      <c r="M6" t="s">
        <v>173</v>
      </c>
      <c r="S6">
        <v>0</v>
      </c>
      <c r="U6">
        <v>0</v>
      </c>
      <c r="V6" t="s">
        <v>86</v>
      </c>
      <c r="W6" t="s">
        <v>87</v>
      </c>
      <c r="X6" s="97">
        <f>VLOOKUP(J6,References!$A$25:$B$29,2,0)*VLOOKUP(M6,References!$A$1:$B$23,2,0)*Prices!$D$103*5.45</f>
        <v>11.638020833333336</v>
      </c>
      <c r="Z6" t="b">
        <v>1</v>
      </c>
      <c r="AA6" t="b">
        <v>1</v>
      </c>
      <c r="BZ6" t="s">
        <v>88</v>
      </c>
    </row>
    <row r="7" spans="1:81" ht="15" customHeight="1">
      <c r="A7" t="s">
        <v>100</v>
      </c>
      <c r="J7" t="s">
        <v>109</v>
      </c>
      <c r="M7" t="s">
        <v>97</v>
      </c>
      <c r="S7">
        <v>0</v>
      </c>
      <c r="U7">
        <v>0</v>
      </c>
      <c r="V7" t="s">
        <v>86</v>
      </c>
      <c r="W7" t="s">
        <v>87</v>
      </c>
      <c r="X7" s="97">
        <f>VLOOKUP(J7,References!$A$25:$B$29,2,0)*VLOOKUP(M7,References!$A$1:$B$23,2,0)*Prices!$D$103*5.45</f>
        <v>5.5862500000000006</v>
      </c>
      <c r="Z7" t="b">
        <v>1</v>
      </c>
      <c r="AA7" t="b">
        <v>1</v>
      </c>
      <c r="BZ7" t="s">
        <v>88</v>
      </c>
    </row>
    <row r="8" spans="1:81" ht="15" customHeight="1">
      <c r="A8" t="s">
        <v>100</v>
      </c>
      <c r="J8" t="s">
        <v>142</v>
      </c>
      <c r="M8" t="s">
        <v>97</v>
      </c>
      <c r="S8">
        <v>0</v>
      </c>
      <c r="U8">
        <v>-5</v>
      </c>
      <c r="V8" t="s">
        <v>86</v>
      </c>
      <c r="W8" t="s">
        <v>87</v>
      </c>
      <c r="X8" s="97">
        <f>VLOOKUP(J8,References!$A$25:$B$29,2,0)*VLOOKUP(M8,References!$A$1:$B$23,2,0)*Prices!$D$103*5.45</f>
        <v>7.448333333333335</v>
      </c>
      <c r="Z8" t="b">
        <v>1</v>
      </c>
      <c r="AA8" t="b">
        <v>1</v>
      </c>
      <c r="BZ8" t="s">
        <v>88</v>
      </c>
    </row>
    <row r="9" spans="1:81" ht="15" customHeight="1">
      <c r="A9" t="s">
        <v>110</v>
      </c>
      <c r="B9" t="s">
        <v>111</v>
      </c>
      <c r="C9" s="1" t="s">
        <v>112</v>
      </c>
      <c r="D9" t="s">
        <v>79</v>
      </c>
      <c r="E9" t="s">
        <v>113</v>
      </c>
      <c r="G9" t="s">
        <v>114</v>
      </c>
      <c r="H9" t="b">
        <v>1</v>
      </c>
      <c r="I9" t="s">
        <v>82</v>
      </c>
      <c r="J9" t="s">
        <v>97</v>
      </c>
      <c r="S9">
        <v>0</v>
      </c>
      <c r="U9">
        <v>0</v>
      </c>
      <c r="V9" t="s">
        <v>86</v>
      </c>
      <c r="W9" t="s">
        <v>87</v>
      </c>
      <c r="X9" s="96">
        <f>(VLOOKUP(J9,References!$A$2:$B$23,2,0)^2)*Prices!$J$15*138</f>
        <v>31.670303030303035</v>
      </c>
      <c r="Z9" t="b">
        <v>1</v>
      </c>
      <c r="AA9" t="b">
        <v>1</v>
      </c>
      <c r="AC9" t="s">
        <v>375</v>
      </c>
      <c r="AD9">
        <v>1</v>
      </c>
      <c r="AE9" t="s">
        <v>115</v>
      </c>
      <c r="AF9" t="b">
        <v>0</v>
      </c>
      <c r="BZ9" t="s">
        <v>88</v>
      </c>
      <c r="CC9" t="s">
        <v>89</v>
      </c>
    </row>
    <row r="10" spans="1:81" ht="15" customHeight="1">
      <c r="A10" t="s">
        <v>110</v>
      </c>
      <c r="J10" t="s">
        <v>98</v>
      </c>
      <c r="S10">
        <v>0</v>
      </c>
      <c r="U10">
        <v>0</v>
      </c>
      <c r="V10" t="s">
        <v>86</v>
      </c>
      <c r="W10" t="s">
        <v>87</v>
      </c>
      <c r="X10" s="96">
        <f>(VLOOKUP(J10,References!$A$2:$B$23,2,0)^2)*Prices!$J$15*138</f>
        <v>49.484848484848499</v>
      </c>
      <c r="Z10" t="b">
        <v>1</v>
      </c>
      <c r="AA10" t="b">
        <v>1</v>
      </c>
      <c r="BZ10" t="s">
        <v>88</v>
      </c>
    </row>
    <row r="11" spans="1:81" ht="15" customHeight="1">
      <c r="A11" t="s">
        <v>110</v>
      </c>
      <c r="J11" t="s">
        <v>186</v>
      </c>
      <c r="S11">
        <v>0</v>
      </c>
      <c r="U11">
        <v>0</v>
      </c>
      <c r="V11" t="s">
        <v>86</v>
      </c>
      <c r="W11" t="s">
        <v>87</v>
      </c>
      <c r="X11" s="96">
        <f>(VLOOKUP(J11,References!$A$2:$B$23,2,0)^2)*Prices!$J$15*138</f>
        <v>71.258181818181811</v>
      </c>
      <c r="Z11" t="b">
        <v>1</v>
      </c>
      <c r="AA11" t="b">
        <v>1</v>
      </c>
      <c r="BZ11" t="s">
        <v>88</v>
      </c>
    </row>
    <row r="12" spans="1:81" ht="15" customHeight="1">
      <c r="A12" t="s">
        <v>110</v>
      </c>
      <c r="J12" t="s">
        <v>342</v>
      </c>
      <c r="S12">
        <v>0</v>
      </c>
      <c r="U12">
        <v>0</v>
      </c>
      <c r="V12" t="s">
        <v>86</v>
      </c>
      <c r="W12" t="s">
        <v>87</v>
      </c>
      <c r="X12" s="96">
        <f>(VLOOKUP(J12,References!$A$2:$B$23,2,0)^2)*Prices!$J$15*138</f>
        <v>111.34090909090909</v>
      </c>
      <c r="Z12" t="b">
        <v>1</v>
      </c>
      <c r="AA12" t="b">
        <v>1</v>
      </c>
      <c r="BZ12" t="s">
        <v>88</v>
      </c>
    </row>
    <row r="13" spans="1:81" ht="15" customHeight="1">
      <c r="A13" t="s">
        <v>116</v>
      </c>
      <c r="B13" t="s">
        <v>117</v>
      </c>
      <c r="C13" s="1" t="s">
        <v>112</v>
      </c>
      <c r="D13" t="s">
        <v>79</v>
      </c>
      <c r="E13" t="s">
        <v>113</v>
      </c>
      <c r="G13" t="s">
        <v>118</v>
      </c>
      <c r="H13" t="b">
        <v>1</v>
      </c>
      <c r="I13" t="s">
        <v>82</v>
      </c>
      <c r="J13" t="s">
        <v>97</v>
      </c>
      <c r="S13">
        <v>0</v>
      </c>
      <c r="U13">
        <v>0</v>
      </c>
      <c r="V13" t="s">
        <v>86</v>
      </c>
      <c r="W13" t="s">
        <v>87</v>
      </c>
      <c r="X13" s="96">
        <f>(VLOOKUP(J13,References!$A$2:$B$23,2,0)^2)*Prices!$J$15*138</f>
        <v>31.670303030303035</v>
      </c>
      <c r="Z13" t="b">
        <v>1</v>
      </c>
      <c r="AA13" t="b">
        <v>1</v>
      </c>
      <c r="AC13" t="s">
        <v>375</v>
      </c>
      <c r="AD13">
        <v>1</v>
      </c>
      <c r="AE13" t="s">
        <v>115</v>
      </c>
      <c r="AF13" t="b">
        <v>0</v>
      </c>
      <c r="BZ13" t="s">
        <v>88</v>
      </c>
      <c r="CC13" t="s">
        <v>89</v>
      </c>
    </row>
    <row r="14" spans="1:81" ht="15" customHeight="1">
      <c r="A14" t="s">
        <v>116</v>
      </c>
      <c r="J14" t="s">
        <v>98</v>
      </c>
      <c r="S14">
        <v>0</v>
      </c>
      <c r="U14">
        <v>0</v>
      </c>
      <c r="V14" t="s">
        <v>86</v>
      </c>
      <c r="W14" t="s">
        <v>87</v>
      </c>
      <c r="X14" s="96">
        <f>(VLOOKUP(J14,References!$A$2:$B$23,2,0)^2)*Prices!$J$15*138</f>
        <v>49.484848484848499</v>
      </c>
      <c r="Z14" t="b">
        <v>1</v>
      </c>
      <c r="AA14" t="b">
        <v>1</v>
      </c>
      <c r="BZ14" t="s">
        <v>88</v>
      </c>
    </row>
    <row r="15" spans="1:81" ht="15" customHeight="1">
      <c r="A15" t="s">
        <v>116</v>
      </c>
      <c r="J15" t="s">
        <v>186</v>
      </c>
      <c r="S15">
        <v>0</v>
      </c>
      <c r="U15">
        <v>0</v>
      </c>
      <c r="V15" t="s">
        <v>86</v>
      </c>
      <c r="W15" t="s">
        <v>87</v>
      </c>
      <c r="X15" s="96">
        <f>(VLOOKUP(J15,References!$A$2:$B$23,2,0)^2)*Prices!$J$15*138</f>
        <v>71.258181818181811</v>
      </c>
      <c r="Z15" t="b">
        <v>1</v>
      </c>
      <c r="AA15" t="b">
        <v>1</v>
      </c>
      <c r="BZ15" t="s">
        <v>88</v>
      </c>
    </row>
    <row r="16" spans="1:81" ht="15" customHeight="1">
      <c r="A16" t="s">
        <v>116</v>
      </c>
      <c r="J16" t="s">
        <v>342</v>
      </c>
      <c r="S16">
        <v>0</v>
      </c>
      <c r="U16">
        <v>0</v>
      </c>
      <c r="V16" t="s">
        <v>86</v>
      </c>
      <c r="W16" t="s">
        <v>87</v>
      </c>
      <c r="X16" s="96">
        <f>(VLOOKUP(J16,References!$A$2:$B$23,2,0)^2)*Prices!$J$15*138</f>
        <v>111.34090909090909</v>
      </c>
      <c r="Z16" t="b">
        <v>1</v>
      </c>
      <c r="AA16" t="b">
        <v>1</v>
      </c>
      <c r="BZ16" t="s">
        <v>88</v>
      </c>
    </row>
    <row r="17" spans="1:81" ht="15" customHeight="1">
      <c r="A17" t="s">
        <v>119</v>
      </c>
      <c r="B17" t="s">
        <v>120</v>
      </c>
      <c r="C17" s="1" t="s">
        <v>121</v>
      </c>
      <c r="D17" t="s">
        <v>79</v>
      </c>
      <c r="E17" t="s">
        <v>122</v>
      </c>
      <c r="G17" t="s">
        <v>123</v>
      </c>
      <c r="H17" t="b">
        <v>1</v>
      </c>
      <c r="I17" t="s">
        <v>82</v>
      </c>
      <c r="J17" t="s">
        <v>124</v>
      </c>
      <c r="S17">
        <v>0</v>
      </c>
      <c r="U17">
        <v>0</v>
      </c>
      <c r="V17" t="s">
        <v>86</v>
      </c>
      <c r="W17" t="s">
        <v>87</v>
      </c>
      <c r="X17" s="96">
        <f>((VLOOKUP(J17,References!$A$31:$B$35,2,0)/2)^2)*PI()*138*Prices!$J$21*0.5</f>
        <v>28.85749201863074</v>
      </c>
      <c r="Z17" t="b">
        <v>1</v>
      </c>
      <c r="AA17" t="b">
        <v>1</v>
      </c>
      <c r="AF17" t="b">
        <v>0</v>
      </c>
      <c r="AI17">
        <v>188</v>
      </c>
      <c r="BZ17" t="s">
        <v>88</v>
      </c>
      <c r="CC17" t="s">
        <v>89</v>
      </c>
    </row>
    <row r="18" spans="1:81" ht="15" customHeight="1">
      <c r="A18" t="s">
        <v>119</v>
      </c>
      <c r="J18" t="s">
        <v>125</v>
      </c>
      <c r="S18">
        <v>0</v>
      </c>
      <c r="U18">
        <v>0</v>
      </c>
      <c r="V18" t="s">
        <v>86</v>
      </c>
      <c r="W18" t="s">
        <v>87</v>
      </c>
      <c r="X18" s="96">
        <f>((VLOOKUP(J18,References!$A$31:$B$35,2,0)/2)^2)*PI()*138*Prices!$J$21*0.5</f>
        <v>51.302208033121317</v>
      </c>
      <c r="Z18" t="b">
        <v>1</v>
      </c>
      <c r="AA18" t="b">
        <v>1</v>
      </c>
      <c r="BZ18" t="s">
        <v>88</v>
      </c>
    </row>
    <row r="19" spans="1:81" ht="15" customHeight="1">
      <c r="A19" t="s">
        <v>119</v>
      </c>
      <c r="J19" t="s">
        <v>126</v>
      </c>
      <c r="S19">
        <v>0</v>
      </c>
      <c r="U19">
        <v>0</v>
      </c>
      <c r="V19" t="s">
        <v>86</v>
      </c>
      <c r="W19" t="s">
        <v>87</v>
      </c>
      <c r="X19" s="96">
        <f>((VLOOKUP(J19,References!$A$31:$B$35,2,0)/2)^2)*PI()*138*Prices!$J$21*0.5</f>
        <v>80.159700051752068</v>
      </c>
      <c r="Z19" t="b">
        <v>1</v>
      </c>
      <c r="AA19" t="b">
        <v>1</v>
      </c>
      <c r="BZ19" t="s">
        <v>88</v>
      </c>
    </row>
    <row r="20" spans="1:81" ht="15" customHeight="1">
      <c r="A20" t="s">
        <v>119</v>
      </c>
      <c r="J20" t="s">
        <v>127</v>
      </c>
      <c r="S20">
        <v>0</v>
      </c>
      <c r="U20">
        <v>0</v>
      </c>
      <c r="V20" t="s">
        <v>86</v>
      </c>
      <c r="W20" t="s">
        <v>87</v>
      </c>
      <c r="X20" s="96">
        <f>((VLOOKUP(J20,References!$A$31:$B$35,2,0)/2)^2)*PI()*138*Prices!$J$21*0.5</f>
        <v>115.42996807452296</v>
      </c>
      <c r="Z20" t="b">
        <v>1</v>
      </c>
      <c r="AA20" t="b">
        <v>1</v>
      </c>
      <c r="BZ20" t="s">
        <v>88</v>
      </c>
    </row>
    <row r="21" spans="1:81" ht="15" customHeight="1">
      <c r="A21" t="s">
        <v>119</v>
      </c>
      <c r="J21" t="s">
        <v>128</v>
      </c>
      <c r="S21">
        <v>0</v>
      </c>
      <c r="U21">
        <v>0</v>
      </c>
      <c r="V21" t="s">
        <v>86</v>
      </c>
      <c r="W21" t="s">
        <v>87</v>
      </c>
      <c r="X21" s="96">
        <f>((VLOOKUP(J21,References!$A$31:$B$35,2,0)/2)^2)*PI()*138*Prices!$J$21*0.5</f>
        <v>205.20883213248527</v>
      </c>
      <c r="Z21" t="b">
        <v>1</v>
      </c>
      <c r="AA21" t="b">
        <v>1</v>
      </c>
      <c r="BZ21" t="s">
        <v>88</v>
      </c>
    </row>
    <row r="22" spans="1:81" ht="15" customHeight="1">
      <c r="A22" t="s">
        <v>129</v>
      </c>
      <c r="B22" t="s">
        <v>130</v>
      </c>
      <c r="C22" s="1" t="s">
        <v>121</v>
      </c>
      <c r="D22" t="s">
        <v>79</v>
      </c>
      <c r="E22" t="s">
        <v>122</v>
      </c>
      <c r="G22" t="s">
        <v>123</v>
      </c>
      <c r="H22" t="b">
        <v>1</v>
      </c>
      <c r="I22" t="s">
        <v>82</v>
      </c>
      <c r="J22" t="s">
        <v>124</v>
      </c>
      <c r="S22">
        <v>0</v>
      </c>
      <c r="U22">
        <v>0</v>
      </c>
      <c r="V22" t="s">
        <v>86</v>
      </c>
      <c r="W22" t="s">
        <v>87</v>
      </c>
      <c r="X22" s="96">
        <f>((VLOOKUP(J22,References!$A$31:$B$35,2,0)/2)^2)*PI()*138*Prices!$J$21*0.5</f>
        <v>28.85749201863074</v>
      </c>
      <c r="Z22" t="b">
        <v>1</v>
      </c>
      <c r="AA22" t="b">
        <v>1</v>
      </c>
      <c r="AF22" t="b">
        <v>0</v>
      </c>
      <c r="AI22">
        <v>188</v>
      </c>
      <c r="BZ22" t="s">
        <v>88</v>
      </c>
      <c r="CC22" t="s">
        <v>89</v>
      </c>
    </row>
    <row r="23" spans="1:81" ht="15" customHeight="1">
      <c r="A23" t="s">
        <v>129</v>
      </c>
      <c r="J23" t="s">
        <v>125</v>
      </c>
      <c r="S23">
        <v>0</v>
      </c>
      <c r="U23">
        <v>0</v>
      </c>
      <c r="V23" t="s">
        <v>86</v>
      </c>
      <c r="W23" t="s">
        <v>87</v>
      </c>
      <c r="X23" s="96">
        <f>((VLOOKUP(J23,References!$A$31:$B$35,2,0)/2)^2)*PI()*138*Prices!$J$21*0.5</f>
        <v>51.302208033121317</v>
      </c>
      <c r="Z23" t="b">
        <v>1</v>
      </c>
      <c r="AA23" t="b">
        <v>1</v>
      </c>
      <c r="BZ23" t="s">
        <v>88</v>
      </c>
    </row>
    <row r="24" spans="1:81" ht="15" customHeight="1">
      <c r="A24" t="s">
        <v>129</v>
      </c>
      <c r="J24" t="s">
        <v>126</v>
      </c>
      <c r="S24">
        <v>0</v>
      </c>
      <c r="U24">
        <v>0</v>
      </c>
      <c r="V24" t="s">
        <v>86</v>
      </c>
      <c r="W24" t="s">
        <v>87</v>
      </c>
      <c r="X24" s="96">
        <f>((VLOOKUP(J24,References!$A$31:$B$35,2,0)/2)^2)*PI()*138*Prices!$J$21*0.5</f>
        <v>80.159700051752068</v>
      </c>
      <c r="Z24" t="b">
        <v>1</v>
      </c>
      <c r="AA24" t="b">
        <v>1</v>
      </c>
      <c r="BZ24" t="s">
        <v>88</v>
      </c>
    </row>
    <row r="25" spans="1:81" ht="15" customHeight="1">
      <c r="A25" t="s">
        <v>129</v>
      </c>
      <c r="J25" t="s">
        <v>127</v>
      </c>
      <c r="S25">
        <v>0</v>
      </c>
      <c r="U25">
        <v>0</v>
      </c>
      <c r="V25" t="s">
        <v>86</v>
      </c>
      <c r="W25" t="s">
        <v>87</v>
      </c>
      <c r="X25" s="96">
        <f>((VLOOKUP(J25,References!$A$31:$B$35,2,0)/2)^2)*PI()*138*Prices!$J$21*0.5</f>
        <v>115.42996807452296</v>
      </c>
      <c r="Z25" t="b">
        <v>1</v>
      </c>
      <c r="AA25" t="b">
        <v>1</v>
      </c>
      <c r="BZ25" t="s">
        <v>88</v>
      </c>
    </row>
    <row r="26" spans="1:81" ht="15" customHeight="1">
      <c r="A26" t="s">
        <v>129</v>
      </c>
      <c r="J26" t="s">
        <v>128</v>
      </c>
      <c r="S26">
        <v>0</v>
      </c>
      <c r="U26">
        <v>0</v>
      </c>
      <c r="V26" t="s">
        <v>86</v>
      </c>
      <c r="W26" t="s">
        <v>87</v>
      </c>
      <c r="X26" s="96">
        <f>((VLOOKUP(J26,References!$A$31:$B$35,2,0)/2)^2)*PI()*138*Prices!$J$21*0.5</f>
        <v>205.20883213248527</v>
      </c>
      <c r="Z26" t="b">
        <v>1</v>
      </c>
      <c r="AA26" t="b">
        <v>1</v>
      </c>
      <c r="BZ26" t="s">
        <v>88</v>
      </c>
    </row>
    <row r="27" spans="1:81" ht="15" customHeight="1">
      <c r="A27" t="s">
        <v>131</v>
      </c>
      <c r="B27" t="s">
        <v>132</v>
      </c>
      <c r="C27" s="1" t="s">
        <v>121</v>
      </c>
      <c r="D27" t="s">
        <v>79</v>
      </c>
      <c r="E27" t="s">
        <v>122</v>
      </c>
      <c r="G27" t="s">
        <v>123</v>
      </c>
      <c r="H27" t="b">
        <v>1</v>
      </c>
      <c r="I27" t="s">
        <v>82</v>
      </c>
      <c r="J27" t="s">
        <v>124</v>
      </c>
      <c r="S27">
        <v>0</v>
      </c>
      <c r="U27">
        <v>0</v>
      </c>
      <c r="V27" t="s">
        <v>86</v>
      </c>
      <c r="W27" t="s">
        <v>87</v>
      </c>
      <c r="X27" s="96">
        <f>((VLOOKUP(J27,References!$A$31:$B$35,2,0)/2)^2)*PI()*138*Prices!$J$15*0.5</f>
        <v>27.983022563520723</v>
      </c>
      <c r="Z27" t="b">
        <v>1</v>
      </c>
      <c r="AA27" t="b">
        <v>1</v>
      </c>
      <c r="AC27" t="s">
        <v>374</v>
      </c>
      <c r="AD27">
        <v>1</v>
      </c>
      <c r="AE27" t="s">
        <v>133</v>
      </c>
      <c r="AF27" t="b">
        <v>0</v>
      </c>
      <c r="AI27">
        <v>188</v>
      </c>
      <c r="BZ27" t="s">
        <v>88</v>
      </c>
      <c r="CC27" t="s">
        <v>89</v>
      </c>
    </row>
    <row r="28" spans="1:81" ht="15" customHeight="1">
      <c r="A28" t="s">
        <v>131</v>
      </c>
      <c r="J28" t="s">
        <v>125</v>
      </c>
      <c r="S28">
        <v>0</v>
      </c>
      <c r="U28">
        <v>0</v>
      </c>
      <c r="V28" t="s">
        <v>86</v>
      </c>
      <c r="W28" t="s">
        <v>87</v>
      </c>
      <c r="X28" s="96">
        <f>((VLOOKUP(J28,References!$A$31:$B$35,2,0)/2)^2)*PI()*138*Prices!$J$15*0.5</f>
        <v>49.747595668481281</v>
      </c>
      <c r="Z28" t="b">
        <v>1</v>
      </c>
      <c r="AA28" t="b">
        <v>1</v>
      </c>
      <c r="BZ28" t="s">
        <v>88</v>
      </c>
    </row>
    <row r="29" spans="1:81" ht="15" customHeight="1">
      <c r="A29" t="s">
        <v>131</v>
      </c>
      <c r="J29" t="s">
        <v>126</v>
      </c>
      <c r="S29">
        <v>0</v>
      </c>
      <c r="U29">
        <v>0</v>
      </c>
      <c r="V29" t="s">
        <v>86</v>
      </c>
      <c r="W29" t="s">
        <v>87</v>
      </c>
      <c r="X29" s="96">
        <f>((VLOOKUP(J29,References!$A$31:$B$35,2,0)/2)^2)*PI()*138*Prices!$J$15*0.5</f>
        <v>77.730618232002016</v>
      </c>
      <c r="Z29" t="b">
        <v>1</v>
      </c>
      <c r="AA29" t="b">
        <v>1</v>
      </c>
      <c r="BZ29" t="s">
        <v>88</v>
      </c>
    </row>
    <row r="30" spans="1:81" ht="15" customHeight="1">
      <c r="A30" t="s">
        <v>131</v>
      </c>
      <c r="J30" t="s">
        <v>127</v>
      </c>
      <c r="S30">
        <v>0</v>
      </c>
      <c r="U30">
        <v>0</v>
      </c>
      <c r="V30" t="s">
        <v>86</v>
      </c>
      <c r="W30" t="s">
        <v>87</v>
      </c>
      <c r="X30" s="96">
        <f>((VLOOKUP(J30,References!$A$31:$B$35,2,0)/2)^2)*PI()*138*Prices!$J$15*0.5</f>
        <v>111.93209025408289</v>
      </c>
      <c r="Z30" t="b">
        <v>1</v>
      </c>
      <c r="AA30" t="b">
        <v>1</v>
      </c>
      <c r="BZ30" t="s">
        <v>88</v>
      </c>
    </row>
    <row r="31" spans="1:81" ht="15" customHeight="1">
      <c r="A31" t="s">
        <v>131</v>
      </c>
      <c r="J31" t="s">
        <v>128</v>
      </c>
      <c r="S31">
        <v>0</v>
      </c>
      <c r="U31">
        <v>0</v>
      </c>
      <c r="V31" t="s">
        <v>86</v>
      </c>
      <c r="W31" t="s">
        <v>87</v>
      </c>
      <c r="X31" s="96">
        <f>((VLOOKUP(J31,References!$A$31:$B$35,2,0)/2)^2)*PI()*138*Prices!$J$15*0.5</f>
        <v>198.99038267392513</v>
      </c>
      <c r="Z31" t="b">
        <v>1</v>
      </c>
      <c r="AA31" t="b">
        <v>1</v>
      </c>
      <c r="BZ31" t="s">
        <v>88</v>
      </c>
    </row>
    <row r="32" spans="1:81" ht="15" customHeight="1">
      <c r="A32" t="s">
        <v>134</v>
      </c>
      <c r="B32" t="s">
        <v>135</v>
      </c>
      <c r="C32" s="1" t="s">
        <v>121</v>
      </c>
      <c r="D32" t="s">
        <v>79</v>
      </c>
      <c r="E32" t="s">
        <v>122</v>
      </c>
      <c r="G32" t="s">
        <v>136</v>
      </c>
      <c r="H32" t="b">
        <v>1</v>
      </c>
      <c r="I32" t="s">
        <v>82</v>
      </c>
      <c r="J32" t="s">
        <v>124</v>
      </c>
      <c r="S32">
        <v>0</v>
      </c>
      <c r="U32">
        <v>0</v>
      </c>
      <c r="V32" t="s">
        <v>86</v>
      </c>
      <c r="W32" t="s">
        <v>87</v>
      </c>
      <c r="X32" s="96">
        <f>((VLOOKUP(J32,References!$A$31:$B$35,2,0)/2)^2)*PI()*138*Prices!$J$15*0.5</f>
        <v>27.983022563520723</v>
      </c>
      <c r="Z32" t="b">
        <v>1</v>
      </c>
      <c r="AA32" t="b">
        <v>1</v>
      </c>
      <c r="AF32" t="b">
        <v>0</v>
      </c>
      <c r="AI32">
        <v>188</v>
      </c>
      <c r="BZ32" t="s">
        <v>88</v>
      </c>
      <c r="CC32" t="s">
        <v>89</v>
      </c>
    </row>
    <row r="33" spans="1:81" ht="15" customHeight="1">
      <c r="A33" t="s">
        <v>134</v>
      </c>
      <c r="J33" t="s">
        <v>125</v>
      </c>
      <c r="S33">
        <v>0</v>
      </c>
      <c r="U33">
        <v>0</v>
      </c>
      <c r="V33" t="s">
        <v>86</v>
      </c>
      <c r="W33" t="s">
        <v>87</v>
      </c>
      <c r="X33" s="96">
        <f>((VLOOKUP(J33,References!$A$31:$B$35,2,0)/2)^2)*PI()*138*Prices!$J$15*0.5</f>
        <v>49.747595668481281</v>
      </c>
      <c r="Z33" t="b">
        <v>1</v>
      </c>
      <c r="AA33" t="b">
        <v>1</v>
      </c>
      <c r="BZ33" t="s">
        <v>88</v>
      </c>
    </row>
    <row r="34" spans="1:81" ht="15" customHeight="1">
      <c r="A34" t="s">
        <v>134</v>
      </c>
      <c r="J34" t="s">
        <v>126</v>
      </c>
      <c r="S34">
        <v>0</v>
      </c>
      <c r="U34">
        <v>0</v>
      </c>
      <c r="V34" t="s">
        <v>86</v>
      </c>
      <c r="W34" t="s">
        <v>87</v>
      </c>
      <c r="X34" s="96">
        <f>((VLOOKUP(J34,References!$A$31:$B$35,2,0)/2)^2)*PI()*138*Prices!$J$15*0.5</f>
        <v>77.730618232002016</v>
      </c>
      <c r="Z34" t="b">
        <v>1</v>
      </c>
      <c r="AA34" t="b">
        <v>1</v>
      </c>
      <c r="BZ34" t="s">
        <v>88</v>
      </c>
    </row>
    <row r="35" spans="1:81" ht="15" customHeight="1">
      <c r="A35" t="s">
        <v>134</v>
      </c>
      <c r="J35" t="s">
        <v>127</v>
      </c>
      <c r="S35">
        <v>0</v>
      </c>
      <c r="U35">
        <v>0</v>
      </c>
      <c r="V35" t="s">
        <v>86</v>
      </c>
      <c r="W35" t="s">
        <v>87</v>
      </c>
      <c r="X35" s="96">
        <f>((VLOOKUP(J35,References!$A$31:$B$35,2,0)/2)^2)*PI()*138*Prices!$J$15*0.5</f>
        <v>111.93209025408289</v>
      </c>
      <c r="Z35" t="b">
        <v>1</v>
      </c>
      <c r="AA35" t="b">
        <v>1</v>
      </c>
      <c r="BZ35" t="s">
        <v>88</v>
      </c>
    </row>
    <row r="36" spans="1:81" ht="15" customHeight="1">
      <c r="A36" t="s">
        <v>134</v>
      </c>
      <c r="J36" t="s">
        <v>128</v>
      </c>
      <c r="S36">
        <v>0</v>
      </c>
      <c r="U36">
        <v>0</v>
      </c>
      <c r="V36" t="s">
        <v>86</v>
      </c>
      <c r="W36" t="s">
        <v>87</v>
      </c>
      <c r="X36" s="96">
        <f>((VLOOKUP(J36,References!$A$31:$B$35,2,0)/2)^2)*PI()*138*Prices!$J$15*0.5</f>
        <v>198.99038267392513</v>
      </c>
      <c r="Z36" t="b">
        <v>1</v>
      </c>
      <c r="AA36" t="b">
        <v>1</v>
      </c>
      <c r="BZ36" t="s">
        <v>88</v>
      </c>
    </row>
    <row r="37" spans="1:81" ht="15" customHeight="1">
      <c r="A37" t="s">
        <v>138</v>
      </c>
      <c r="B37" t="s">
        <v>139</v>
      </c>
      <c r="C37" s="1" t="s">
        <v>140</v>
      </c>
      <c r="D37" t="s">
        <v>79</v>
      </c>
      <c r="E37" t="s">
        <v>80</v>
      </c>
      <c r="G37" t="s">
        <v>141</v>
      </c>
      <c r="H37" t="b">
        <v>1</v>
      </c>
      <c r="I37" t="s">
        <v>82</v>
      </c>
      <c r="J37" t="s">
        <v>105</v>
      </c>
      <c r="S37">
        <v>0</v>
      </c>
      <c r="U37">
        <v>-91</v>
      </c>
      <c r="V37" t="s">
        <v>86</v>
      </c>
      <c r="W37" t="s">
        <v>87</v>
      </c>
      <c r="X37" s="97">
        <f>VLOOKUP(J37,References!$A$25:$B$27,2,0)*0.01*Prices!$G$103*5.5</f>
        <v>0.46979166666666677</v>
      </c>
      <c r="Z37" t="b">
        <v>1</v>
      </c>
      <c r="AA37" t="b">
        <v>1</v>
      </c>
      <c r="AF37" t="b">
        <v>0</v>
      </c>
      <c r="BZ37" t="s">
        <v>88</v>
      </c>
      <c r="CC37" t="s">
        <v>89</v>
      </c>
    </row>
    <row r="38" spans="1:81" ht="15" customHeight="1">
      <c r="A38" t="s">
        <v>138</v>
      </c>
      <c r="J38" t="s">
        <v>108</v>
      </c>
      <c r="S38">
        <v>0</v>
      </c>
      <c r="U38">
        <v>-96</v>
      </c>
      <c r="V38" t="s">
        <v>86</v>
      </c>
      <c r="W38" t="s">
        <v>87</v>
      </c>
      <c r="X38" s="97">
        <f>VLOOKUP(J38,References!$A$25:$B$27,2,0)*0.01*Prices!$G$103*5.5</f>
        <v>0.93958333333333355</v>
      </c>
      <c r="Z38" t="b">
        <v>1</v>
      </c>
      <c r="AA38" t="b">
        <v>1</v>
      </c>
      <c r="BZ38" t="s">
        <v>88</v>
      </c>
    </row>
    <row r="39" spans="1:81" ht="15" customHeight="1">
      <c r="A39" t="s">
        <v>138</v>
      </c>
      <c r="J39" t="s">
        <v>142</v>
      </c>
      <c r="S39">
        <v>0</v>
      </c>
      <c r="U39">
        <v>-57</v>
      </c>
      <c r="V39" t="s">
        <v>86</v>
      </c>
      <c r="W39" t="s">
        <v>87</v>
      </c>
      <c r="X39" s="97">
        <f>VLOOKUP(J39,References!$A$25:$B$27,2,0)*0.01*Prices!$G$103*5.5</f>
        <v>1.8791666666666671</v>
      </c>
      <c r="Z39" t="b">
        <v>1</v>
      </c>
      <c r="AA39" t="b">
        <v>1</v>
      </c>
      <c r="BZ39" t="s">
        <v>88</v>
      </c>
    </row>
    <row r="40" spans="1:81" ht="15" customHeight="1">
      <c r="A40" t="s">
        <v>345</v>
      </c>
      <c r="B40" t="s">
        <v>346</v>
      </c>
      <c r="C40" s="1" t="s">
        <v>347</v>
      </c>
      <c r="D40" t="s">
        <v>79</v>
      </c>
      <c r="E40" t="s">
        <v>348</v>
      </c>
      <c r="G40" t="s">
        <v>349</v>
      </c>
      <c r="H40" t="b">
        <v>1</v>
      </c>
      <c r="I40" t="s">
        <v>82</v>
      </c>
      <c r="J40" t="s">
        <v>124</v>
      </c>
      <c r="L40" t="s">
        <v>106</v>
      </c>
      <c r="M40" t="s">
        <v>350</v>
      </c>
      <c r="S40">
        <v>0.1</v>
      </c>
      <c r="U40">
        <v>0</v>
      </c>
      <c r="V40" t="s">
        <v>86</v>
      </c>
      <c r="W40" t="s">
        <v>87</v>
      </c>
      <c r="X40" s="97">
        <f>0.1*Prices!$D$84</f>
        <v>7.8846153846153841</v>
      </c>
      <c r="Z40" t="b">
        <v>1</v>
      </c>
      <c r="AA40" t="b">
        <v>1</v>
      </c>
      <c r="AC40" t="s">
        <v>376</v>
      </c>
      <c r="AD40">
        <v>1</v>
      </c>
      <c r="AE40" t="s">
        <v>351</v>
      </c>
      <c r="AF40" t="b">
        <v>0</v>
      </c>
      <c r="BZ40" t="s">
        <v>352</v>
      </c>
      <c r="CC40" t="s">
        <v>89</v>
      </c>
    </row>
    <row r="41" spans="1:81" ht="15" customHeight="1">
      <c r="A41" t="s">
        <v>345</v>
      </c>
      <c r="J41" t="s">
        <v>125</v>
      </c>
      <c r="M41" t="s">
        <v>350</v>
      </c>
      <c r="S41">
        <v>0.1</v>
      </c>
      <c r="U41">
        <v>-2</v>
      </c>
      <c r="V41" t="s">
        <v>86</v>
      </c>
      <c r="W41" t="s">
        <v>87</v>
      </c>
      <c r="X41" s="97">
        <f>0.1425*Prices!$D$84</f>
        <v>11.235576923076922</v>
      </c>
      <c r="Z41" t="b">
        <v>1</v>
      </c>
      <c r="AA41" t="b">
        <v>1</v>
      </c>
      <c r="BZ41" t="s">
        <v>352</v>
      </c>
    </row>
    <row r="42" spans="1:81" ht="15" customHeight="1">
      <c r="A42" t="s">
        <v>345</v>
      </c>
      <c r="J42" t="s">
        <v>125</v>
      </c>
      <c r="M42" t="s">
        <v>353</v>
      </c>
      <c r="S42">
        <v>0.1</v>
      </c>
      <c r="U42">
        <v>-1</v>
      </c>
      <c r="V42" t="s">
        <v>86</v>
      </c>
      <c r="W42" t="s">
        <v>87</v>
      </c>
      <c r="X42" s="97">
        <f>0.285*Prices!$D$84</f>
        <v>22.471153846153843</v>
      </c>
      <c r="Z42" t="b">
        <v>1</v>
      </c>
      <c r="AA42" t="b">
        <v>1</v>
      </c>
      <c r="BZ42" t="s">
        <v>352</v>
      </c>
    </row>
    <row r="43" spans="1:81" ht="15" customHeight="1">
      <c r="A43" t="s">
        <v>345</v>
      </c>
      <c r="J43" t="s">
        <v>126</v>
      </c>
      <c r="M43" t="s">
        <v>350</v>
      </c>
      <c r="S43">
        <v>0.1</v>
      </c>
      <c r="U43">
        <v>0</v>
      </c>
      <c r="V43" t="s">
        <v>86</v>
      </c>
      <c r="W43" t="s">
        <v>87</v>
      </c>
      <c r="X43" s="97">
        <f>0.178*Prices!$D$84</f>
        <v>14.034615384615384</v>
      </c>
      <c r="Z43" t="b">
        <v>1</v>
      </c>
      <c r="AA43" t="b">
        <v>1</v>
      </c>
      <c r="BZ43" t="s">
        <v>352</v>
      </c>
    </row>
    <row r="44" spans="1:81" ht="15" customHeight="1">
      <c r="A44" t="s">
        <v>345</v>
      </c>
      <c r="J44" t="s">
        <v>127</v>
      </c>
      <c r="M44" t="s">
        <v>350</v>
      </c>
      <c r="S44">
        <v>0.1</v>
      </c>
      <c r="U44">
        <v>-6</v>
      </c>
      <c r="V44" t="s">
        <v>86</v>
      </c>
      <c r="W44" t="s">
        <v>87</v>
      </c>
      <c r="X44" s="97">
        <f>0.231*Prices!$D$84</f>
        <v>18.213461538461537</v>
      </c>
      <c r="Z44" t="b">
        <v>1</v>
      </c>
      <c r="AA44" t="b">
        <v>1</v>
      </c>
      <c r="BZ44" t="s">
        <v>352</v>
      </c>
    </row>
    <row r="45" spans="1:81" ht="15" customHeight="1">
      <c r="A45" t="s">
        <v>345</v>
      </c>
      <c r="J45" t="s">
        <v>127</v>
      </c>
      <c r="M45" t="s">
        <v>353</v>
      </c>
      <c r="S45">
        <v>0.1</v>
      </c>
      <c r="U45">
        <v>0</v>
      </c>
      <c r="V45" t="s">
        <v>86</v>
      </c>
      <c r="W45" t="s">
        <v>87</v>
      </c>
      <c r="X45" s="97">
        <f>0.462*Prices!$D$84</f>
        <v>36.426923076923075</v>
      </c>
      <c r="Z45" t="b">
        <v>1</v>
      </c>
      <c r="AA45" t="b">
        <v>1</v>
      </c>
      <c r="BZ45" t="s">
        <v>352</v>
      </c>
    </row>
    <row r="46" spans="1:81" ht="15" customHeight="1">
      <c r="A46" t="s">
        <v>345</v>
      </c>
      <c r="J46" t="s">
        <v>128</v>
      </c>
      <c r="M46" t="s">
        <v>350</v>
      </c>
      <c r="S46">
        <v>0.1</v>
      </c>
      <c r="U46">
        <v>0</v>
      </c>
      <c r="V46" t="s">
        <v>86</v>
      </c>
      <c r="W46" t="s">
        <v>87</v>
      </c>
      <c r="X46" s="97">
        <f>0.324*Prices!$D$84</f>
        <v>25.546153846153846</v>
      </c>
      <c r="Z46" t="b">
        <v>1</v>
      </c>
      <c r="AA46" t="b">
        <v>1</v>
      </c>
      <c r="BZ46" t="s">
        <v>352</v>
      </c>
    </row>
    <row r="47" spans="1:81" ht="15" customHeight="1">
      <c r="A47" t="s">
        <v>345</v>
      </c>
      <c r="J47" t="s">
        <v>128</v>
      </c>
      <c r="M47" t="s">
        <v>353</v>
      </c>
      <c r="S47">
        <v>0.1</v>
      </c>
      <c r="U47">
        <v>0</v>
      </c>
      <c r="V47" t="s">
        <v>86</v>
      </c>
      <c r="W47" t="s">
        <v>87</v>
      </c>
      <c r="X47" s="97">
        <f>0.648*Prices!$D$84</f>
        <v>51.092307692307692</v>
      </c>
      <c r="Z47" t="b">
        <v>1</v>
      </c>
      <c r="AA47" t="b">
        <v>1</v>
      </c>
      <c r="BZ47" t="s">
        <v>352</v>
      </c>
    </row>
    <row r="48" spans="1:81" ht="15" customHeight="1">
      <c r="A48" t="s">
        <v>345</v>
      </c>
      <c r="J48" t="s">
        <v>354</v>
      </c>
      <c r="M48" t="s">
        <v>350</v>
      </c>
      <c r="S48">
        <v>0.1</v>
      </c>
      <c r="U48">
        <v>0</v>
      </c>
      <c r="V48" t="s">
        <v>86</v>
      </c>
      <c r="W48" t="s">
        <v>87</v>
      </c>
      <c r="X48" s="97">
        <f>0.392*Prices!$D$84</f>
        <v>30.907692307692308</v>
      </c>
      <c r="Z48" t="b">
        <v>1</v>
      </c>
      <c r="AA48" t="b">
        <v>1</v>
      </c>
      <c r="BZ48" t="s">
        <v>352</v>
      </c>
    </row>
    <row r="49" spans="1:81" ht="15" customHeight="1">
      <c r="A49" t="s">
        <v>345</v>
      </c>
      <c r="J49" t="s">
        <v>343</v>
      </c>
      <c r="M49" t="s">
        <v>350</v>
      </c>
      <c r="S49">
        <v>0.1</v>
      </c>
      <c r="U49">
        <v>-3</v>
      </c>
      <c r="V49" t="s">
        <v>86</v>
      </c>
      <c r="W49" t="s">
        <v>87</v>
      </c>
      <c r="X49" s="97">
        <f>0.4*Prices!$D$84</f>
        <v>31.538461538461537</v>
      </c>
      <c r="Z49" t="b">
        <v>1</v>
      </c>
      <c r="AA49" t="b">
        <v>1</v>
      </c>
      <c r="BZ49" t="s">
        <v>352</v>
      </c>
    </row>
    <row r="50" spans="1:81" ht="15" customHeight="1">
      <c r="A50" t="s">
        <v>345</v>
      </c>
      <c r="J50" t="s">
        <v>343</v>
      </c>
      <c r="M50" t="s">
        <v>353</v>
      </c>
      <c r="S50">
        <v>0.1</v>
      </c>
      <c r="U50">
        <v>0</v>
      </c>
      <c r="V50" t="s">
        <v>86</v>
      </c>
      <c r="W50" t="s">
        <v>87</v>
      </c>
      <c r="X50" s="97">
        <f>0.8*Prices!$D$84</f>
        <v>63.076923076923073</v>
      </c>
      <c r="Z50" t="b">
        <v>1</v>
      </c>
      <c r="AA50" t="b">
        <v>1</v>
      </c>
      <c r="BZ50" t="s">
        <v>352</v>
      </c>
    </row>
    <row r="51" spans="1:81" ht="15" customHeight="1">
      <c r="A51" t="s">
        <v>345</v>
      </c>
      <c r="J51" t="s">
        <v>344</v>
      </c>
      <c r="M51" t="s">
        <v>350</v>
      </c>
      <c r="S51">
        <v>0.1</v>
      </c>
      <c r="U51">
        <v>-1</v>
      </c>
      <c r="V51" t="s">
        <v>86</v>
      </c>
      <c r="W51" t="s">
        <v>87</v>
      </c>
      <c r="X51" s="97">
        <f>0.486*Prices!$D$84</f>
        <v>38.319230769230764</v>
      </c>
      <c r="Z51" t="b">
        <v>1</v>
      </c>
      <c r="AA51" t="b">
        <v>1</v>
      </c>
      <c r="BZ51" t="s">
        <v>352</v>
      </c>
    </row>
    <row r="52" spans="1:81" ht="15" customHeight="1">
      <c r="A52" t="s">
        <v>345</v>
      </c>
      <c r="J52" t="s">
        <v>344</v>
      </c>
      <c r="M52" t="s">
        <v>353</v>
      </c>
      <c r="S52">
        <v>0.1</v>
      </c>
      <c r="U52">
        <v>0</v>
      </c>
      <c r="V52" t="s">
        <v>86</v>
      </c>
      <c r="W52" t="s">
        <v>87</v>
      </c>
      <c r="X52" s="97">
        <f>0.972*Prices!$D$84</f>
        <v>76.638461538461527</v>
      </c>
      <c r="Z52" t="b">
        <v>1</v>
      </c>
      <c r="AA52" t="b">
        <v>1</v>
      </c>
      <c r="BZ52" t="s">
        <v>352</v>
      </c>
    </row>
    <row r="53" spans="1:81" ht="15" customHeight="1">
      <c r="A53" t="s">
        <v>345</v>
      </c>
      <c r="J53" t="s">
        <v>355</v>
      </c>
      <c r="M53" t="s">
        <v>350</v>
      </c>
      <c r="S53">
        <v>0.1</v>
      </c>
      <c r="U53">
        <v>-2</v>
      </c>
      <c r="V53" t="s">
        <v>86</v>
      </c>
      <c r="W53" t="s">
        <v>87</v>
      </c>
      <c r="X53" s="97">
        <f>0.635*Prices!$D$84</f>
        <v>50.067307692307686</v>
      </c>
      <c r="Z53" t="b">
        <v>1</v>
      </c>
      <c r="AA53" t="b">
        <v>1</v>
      </c>
      <c r="BZ53" t="s">
        <v>352</v>
      </c>
    </row>
    <row r="54" spans="1:81" ht="15" customHeight="1">
      <c r="A54" t="s">
        <v>345</v>
      </c>
      <c r="J54" t="s">
        <v>355</v>
      </c>
      <c r="M54" t="s">
        <v>353</v>
      </c>
      <c r="S54">
        <v>0.1</v>
      </c>
      <c r="U54">
        <v>-2</v>
      </c>
      <c r="V54" t="s">
        <v>86</v>
      </c>
      <c r="W54" t="s">
        <v>87</v>
      </c>
      <c r="X54" s="97">
        <f>1.27*Prices!$D$84</f>
        <v>100.13461538461537</v>
      </c>
      <c r="Z54" t="b">
        <v>1</v>
      </c>
      <c r="AA54" t="b">
        <v>1</v>
      </c>
      <c r="BZ54" t="s">
        <v>352</v>
      </c>
    </row>
    <row r="55" spans="1:81" ht="15" customHeight="1">
      <c r="A55" t="s">
        <v>345</v>
      </c>
      <c r="J55" t="s">
        <v>356</v>
      </c>
      <c r="M55" t="s">
        <v>350</v>
      </c>
      <c r="S55">
        <v>0.1</v>
      </c>
      <c r="U55">
        <v>0</v>
      </c>
      <c r="V55" t="s">
        <v>86</v>
      </c>
      <c r="W55" t="s">
        <v>87</v>
      </c>
      <c r="X55" s="97">
        <f>1.575*Prices!$D$84</f>
        <v>124.18269230769229</v>
      </c>
      <c r="Z55" t="b">
        <v>1</v>
      </c>
      <c r="AA55" t="b">
        <v>1</v>
      </c>
      <c r="BZ55" t="s">
        <v>352</v>
      </c>
    </row>
    <row r="56" spans="1:81" ht="15" customHeight="1">
      <c r="A56" t="s">
        <v>345</v>
      </c>
      <c r="J56" t="s">
        <v>357</v>
      </c>
      <c r="M56" t="s">
        <v>350</v>
      </c>
      <c r="S56">
        <v>0.1</v>
      </c>
      <c r="U56">
        <v>-1</v>
      </c>
      <c r="V56" t="s">
        <v>86</v>
      </c>
      <c r="W56" t="s">
        <v>87</v>
      </c>
      <c r="X56" s="97">
        <f>2.03*Prices!$D$84</f>
        <v>160.05769230769229</v>
      </c>
      <c r="Z56" t="b">
        <v>1</v>
      </c>
      <c r="AA56" t="b">
        <v>1</v>
      </c>
      <c r="BZ56" t="s">
        <v>352</v>
      </c>
    </row>
    <row r="57" spans="1:81" ht="15" customHeight="1">
      <c r="A57" t="s">
        <v>143</v>
      </c>
      <c r="B57" t="s">
        <v>144</v>
      </c>
      <c r="C57" s="1" t="s">
        <v>112</v>
      </c>
      <c r="D57" t="s">
        <v>79</v>
      </c>
      <c r="G57" t="s">
        <v>145</v>
      </c>
      <c r="H57" t="b">
        <v>1</v>
      </c>
      <c r="I57" t="s">
        <v>82</v>
      </c>
      <c r="J57" t="s">
        <v>96</v>
      </c>
      <c r="S57">
        <v>0</v>
      </c>
      <c r="U57">
        <v>0</v>
      </c>
      <c r="V57" t="s">
        <v>86</v>
      </c>
      <c r="W57" t="s">
        <v>87</v>
      </c>
      <c r="X57" s="97">
        <f>(VLOOKUP(J57,References!$A$1:$B$23,2,0)^2)*5.45*Prices!$D$103</f>
        <v>0.335175</v>
      </c>
      <c r="Z57" t="b">
        <v>1</v>
      </c>
      <c r="AA57" t="b">
        <v>1</v>
      </c>
      <c r="AC57" t="s">
        <v>375</v>
      </c>
      <c r="AD57">
        <v>1</v>
      </c>
      <c r="AE57" t="s">
        <v>115</v>
      </c>
      <c r="AF57" t="b">
        <v>0</v>
      </c>
      <c r="BZ57" t="s">
        <v>88</v>
      </c>
      <c r="CC57" t="s">
        <v>89</v>
      </c>
    </row>
    <row r="58" spans="1:81" ht="15" customHeight="1">
      <c r="A58" t="s">
        <v>143</v>
      </c>
      <c r="J58" t="s">
        <v>177</v>
      </c>
      <c r="S58">
        <v>0</v>
      </c>
      <c r="U58">
        <v>0</v>
      </c>
      <c r="V58" t="s">
        <v>86</v>
      </c>
      <c r="W58" t="s">
        <v>87</v>
      </c>
      <c r="X58" s="97">
        <f>(VLOOKUP(J58,References!$A$1:$B$23,2,0)^2)*5.45*Prices!$D$103</f>
        <v>0.45621041666666678</v>
      </c>
      <c r="Z58" t="b">
        <v>1</v>
      </c>
      <c r="AA58" t="b">
        <v>1</v>
      </c>
      <c r="BZ58" t="s">
        <v>88</v>
      </c>
    </row>
    <row r="59" spans="1:81" ht="15" customHeight="1">
      <c r="A59" t="s">
        <v>143</v>
      </c>
      <c r="J59" t="s">
        <v>97</v>
      </c>
      <c r="S59">
        <v>0</v>
      </c>
      <c r="U59">
        <v>-108</v>
      </c>
      <c r="V59" t="s">
        <v>86</v>
      </c>
      <c r="W59" t="s">
        <v>87</v>
      </c>
      <c r="X59" s="97">
        <f>(VLOOKUP(J59,References!$A$1:$B$23,2,0)^2)*5.45*Prices!$D$103</f>
        <v>0.59586666666666677</v>
      </c>
      <c r="Z59" t="b">
        <v>1</v>
      </c>
      <c r="AA59" t="b">
        <v>1</v>
      </c>
      <c r="BZ59" t="s">
        <v>88</v>
      </c>
    </row>
    <row r="60" spans="1:81" ht="15" customHeight="1">
      <c r="A60" t="s">
        <v>143</v>
      </c>
      <c r="J60" t="s">
        <v>98</v>
      </c>
      <c r="S60">
        <v>0</v>
      </c>
      <c r="U60">
        <v>-84</v>
      </c>
      <c r="V60" t="s">
        <v>86</v>
      </c>
      <c r="W60" t="s">
        <v>87</v>
      </c>
      <c r="X60" s="97">
        <f>(VLOOKUP(J60,References!$A$1:$B$23,2,0)^2)*5.45*Prices!$D$103</f>
        <v>0.93104166666666699</v>
      </c>
      <c r="Z60" t="b">
        <v>1</v>
      </c>
      <c r="AA60" t="b">
        <v>1</v>
      </c>
      <c r="BZ60" t="s">
        <v>88</v>
      </c>
    </row>
    <row r="61" spans="1:81" ht="15" customHeight="1">
      <c r="A61" t="s">
        <v>143</v>
      </c>
      <c r="J61" t="s">
        <v>186</v>
      </c>
      <c r="S61">
        <v>0</v>
      </c>
      <c r="U61">
        <v>-60</v>
      </c>
      <c r="V61" t="s">
        <v>86</v>
      </c>
      <c r="W61" t="s">
        <v>87</v>
      </c>
      <c r="X61" s="97">
        <f>(VLOOKUP(J61,References!$A$1:$B$23,2,0)^2)*5.45*Prices!$D$103</f>
        <v>1.3407</v>
      </c>
      <c r="Z61" t="b">
        <v>1</v>
      </c>
      <c r="AA61" t="b">
        <v>1</v>
      </c>
      <c r="BZ61" t="s">
        <v>88</v>
      </c>
    </row>
    <row r="62" spans="1:81" ht="15" customHeight="1">
      <c r="A62" t="s">
        <v>143</v>
      </c>
      <c r="J62" t="s">
        <v>342</v>
      </c>
      <c r="S62">
        <v>0</v>
      </c>
      <c r="U62">
        <v>-12</v>
      </c>
      <c r="V62" t="s">
        <v>86</v>
      </c>
      <c r="W62" t="s">
        <v>87</v>
      </c>
      <c r="X62" s="97">
        <f>(VLOOKUP(J62,References!$A$1:$B$23,2,0)^2)*5.45*Prices!$D$103</f>
        <v>2.0948437500000003</v>
      </c>
      <c r="Z62" t="b">
        <v>1</v>
      </c>
      <c r="AA62" t="b">
        <v>1</v>
      </c>
      <c r="BZ62" t="s">
        <v>88</v>
      </c>
    </row>
    <row r="63" spans="1:81" ht="15" customHeight="1">
      <c r="A63" t="s">
        <v>143</v>
      </c>
      <c r="J63" t="s">
        <v>175</v>
      </c>
      <c r="S63">
        <v>0</v>
      </c>
      <c r="U63">
        <v>-30</v>
      </c>
      <c r="V63" t="s">
        <v>86</v>
      </c>
      <c r="W63" t="s">
        <v>87</v>
      </c>
      <c r="X63" s="97">
        <f>(VLOOKUP(J63,References!$A$1:$B$23,2,0)^2)*5.45*Prices!$D$103</f>
        <v>3.016575</v>
      </c>
      <c r="Z63" t="b">
        <v>1</v>
      </c>
      <c r="AA63" t="b">
        <v>1</v>
      </c>
      <c r="BZ63" t="s">
        <v>88</v>
      </c>
    </row>
    <row r="64" spans="1:81" ht="15" customHeight="1">
      <c r="A64" t="s">
        <v>143</v>
      </c>
      <c r="J64" t="s">
        <v>174</v>
      </c>
      <c r="S64">
        <v>0</v>
      </c>
      <c r="U64">
        <v>-12</v>
      </c>
      <c r="V64" t="s">
        <v>86</v>
      </c>
      <c r="W64" t="s">
        <v>87</v>
      </c>
      <c r="X64" s="97">
        <f>(VLOOKUP(J64,References!$A$1:$B$23,2,0)^2)*5.45*Prices!$D$103</f>
        <v>3.724166666666668</v>
      </c>
      <c r="Z64" t="b">
        <v>1</v>
      </c>
      <c r="AA64" t="b">
        <v>1</v>
      </c>
      <c r="BZ64" t="s">
        <v>88</v>
      </c>
    </row>
    <row r="65" spans="1:81" ht="15" customHeight="1">
      <c r="A65" t="s">
        <v>143</v>
      </c>
      <c r="J65" t="s">
        <v>171</v>
      </c>
      <c r="S65">
        <v>0</v>
      </c>
      <c r="U65">
        <v>0</v>
      </c>
      <c r="V65" t="s">
        <v>86</v>
      </c>
      <c r="W65" t="s">
        <v>87</v>
      </c>
      <c r="X65" s="97">
        <f>(VLOOKUP(J65,References!$A$1:$B$23,2,0)^2)*5.45*Prices!$D$103</f>
        <v>9.5338666666666683</v>
      </c>
      <c r="Z65" t="b">
        <v>1</v>
      </c>
      <c r="AA65" t="b">
        <v>1</v>
      </c>
      <c r="BZ65" t="s">
        <v>88</v>
      </c>
    </row>
    <row r="66" spans="1:81" ht="15" customHeight="1">
      <c r="A66" t="s">
        <v>146</v>
      </c>
      <c r="B66" t="s">
        <v>147</v>
      </c>
      <c r="C66" t="s">
        <v>137</v>
      </c>
      <c r="D66" t="s">
        <v>79</v>
      </c>
      <c r="E66" t="s">
        <v>113</v>
      </c>
      <c r="G66" t="s">
        <v>148</v>
      </c>
      <c r="H66" t="b">
        <v>1</v>
      </c>
      <c r="I66" t="s">
        <v>82</v>
      </c>
      <c r="J66" t="s">
        <v>124</v>
      </c>
      <c r="L66" t="s">
        <v>149</v>
      </c>
      <c r="M66" t="s">
        <v>150</v>
      </c>
      <c r="S66">
        <v>0</v>
      </c>
      <c r="U66">
        <v>-6</v>
      </c>
      <c r="V66" t="s">
        <v>86</v>
      </c>
      <c r="W66" t="s">
        <v>87</v>
      </c>
      <c r="X66" s="96">
        <f>((VLOOKUP(J66,References!$A$31:$B$35,2,0)/2)^2)*PI()*5.45*Prices!$D$103*0.5</f>
        <v>0.52649165883347948</v>
      </c>
      <c r="Z66" t="b">
        <v>1</v>
      </c>
      <c r="AA66" t="b">
        <v>1</v>
      </c>
      <c r="AC66" t="s">
        <v>374</v>
      </c>
      <c r="AD66">
        <v>1</v>
      </c>
      <c r="AE66" t="s">
        <v>133</v>
      </c>
      <c r="AF66" t="b">
        <v>0</v>
      </c>
      <c r="BZ66" t="s">
        <v>88</v>
      </c>
      <c r="CC66" t="s">
        <v>89</v>
      </c>
    </row>
    <row r="67" spans="1:81" ht="15" customHeight="1">
      <c r="A67" t="s">
        <v>146</v>
      </c>
      <c r="J67" t="s">
        <v>124</v>
      </c>
      <c r="M67" t="s">
        <v>151</v>
      </c>
      <c r="S67">
        <v>0</v>
      </c>
      <c r="U67">
        <v>0</v>
      </c>
      <c r="V67" t="s">
        <v>86</v>
      </c>
      <c r="W67" t="s">
        <v>87</v>
      </c>
      <c r="X67" s="96">
        <f>X66*12</f>
        <v>6.3178999060017542</v>
      </c>
      <c r="Z67" t="b">
        <v>1</v>
      </c>
      <c r="AA67" t="b">
        <v>1</v>
      </c>
      <c r="BZ67" t="s">
        <v>88</v>
      </c>
    </row>
    <row r="68" spans="1:81" ht="15" customHeight="1">
      <c r="A68" t="s">
        <v>146</v>
      </c>
      <c r="J68" t="s">
        <v>125</v>
      </c>
      <c r="M68" t="s">
        <v>150</v>
      </c>
      <c r="S68">
        <v>0</v>
      </c>
      <c r="U68">
        <v>-18</v>
      </c>
      <c r="V68" t="s">
        <v>86</v>
      </c>
      <c r="W68" t="s">
        <v>87</v>
      </c>
      <c r="X68" s="96">
        <f>((VLOOKUP(J68,References!$A$31:$B$35,2,0)/2)^2)*PI()*5.45*Prices!$D$103*0.5</f>
        <v>0.93598517125951919</v>
      </c>
      <c r="Z68" t="b">
        <v>1</v>
      </c>
      <c r="AA68" t="b">
        <v>1</v>
      </c>
      <c r="BZ68" t="s">
        <v>88</v>
      </c>
    </row>
    <row r="69" spans="1:81" ht="15" customHeight="1">
      <c r="A69" t="s">
        <v>146</v>
      </c>
      <c r="J69" t="s">
        <v>125</v>
      </c>
      <c r="M69" t="s">
        <v>151</v>
      </c>
      <c r="S69">
        <v>0</v>
      </c>
      <c r="U69">
        <v>-4</v>
      </c>
      <c r="V69" t="s">
        <v>86</v>
      </c>
      <c r="W69" t="s">
        <v>87</v>
      </c>
      <c r="X69" s="96">
        <f t="shared" ref="X69" si="0">X68*12</f>
        <v>11.231822055114231</v>
      </c>
      <c r="Z69" t="b">
        <v>1</v>
      </c>
      <c r="AA69" t="b">
        <v>1</v>
      </c>
      <c r="BZ69" t="s">
        <v>88</v>
      </c>
    </row>
    <row r="70" spans="1:81" ht="15" customHeight="1">
      <c r="A70" t="s">
        <v>146</v>
      </c>
      <c r="J70" t="s">
        <v>126</v>
      </c>
      <c r="M70" t="s">
        <v>150</v>
      </c>
      <c r="S70">
        <v>0</v>
      </c>
      <c r="U70">
        <v>-41</v>
      </c>
      <c r="V70" t="s">
        <v>86</v>
      </c>
      <c r="W70" t="s">
        <v>87</v>
      </c>
      <c r="X70" s="96">
        <f>((VLOOKUP(J70,References!$A$31:$B$35,2,0)/2)^2)*PI()*5.45*Prices!$D$103*0.5</f>
        <v>1.4624768300929987</v>
      </c>
      <c r="Z70" t="b">
        <v>1</v>
      </c>
      <c r="AA70" t="b">
        <v>1</v>
      </c>
      <c r="BZ70" t="s">
        <v>88</v>
      </c>
    </row>
    <row r="71" spans="1:81" ht="15" customHeight="1">
      <c r="A71" t="s">
        <v>146</v>
      </c>
      <c r="J71" t="s">
        <v>126</v>
      </c>
      <c r="M71" t="s">
        <v>151</v>
      </c>
      <c r="S71">
        <v>0</v>
      </c>
      <c r="U71">
        <v>-1</v>
      </c>
      <c r="V71" t="s">
        <v>86</v>
      </c>
      <c r="W71" t="s">
        <v>87</v>
      </c>
      <c r="X71" s="96">
        <f t="shared" ref="X71" si="1">X70*12</f>
        <v>17.549721961115985</v>
      </c>
      <c r="Z71" t="b">
        <v>1</v>
      </c>
      <c r="AA71" t="b">
        <v>1</v>
      </c>
      <c r="BZ71" t="s">
        <v>88</v>
      </c>
    </row>
    <row r="72" spans="1:81" ht="15" customHeight="1">
      <c r="A72" t="s">
        <v>146</v>
      </c>
      <c r="J72" t="s">
        <v>127</v>
      </c>
      <c r="M72" t="s">
        <v>150</v>
      </c>
      <c r="S72">
        <v>0</v>
      </c>
      <c r="U72">
        <v>-24</v>
      </c>
      <c r="V72" t="s">
        <v>86</v>
      </c>
      <c r="W72" t="s">
        <v>87</v>
      </c>
      <c r="X72" s="96">
        <f>((VLOOKUP(J72,References!$A$31:$B$35,2,0)/2)^2)*PI()*5.45*Prices!$D$103*0.5</f>
        <v>2.1059666353339179</v>
      </c>
      <c r="Z72" t="b">
        <v>1</v>
      </c>
      <c r="AA72" t="b">
        <v>1</v>
      </c>
      <c r="BZ72" t="s">
        <v>88</v>
      </c>
    </row>
    <row r="73" spans="1:81" ht="15" customHeight="1">
      <c r="A73" t="s">
        <v>146</v>
      </c>
      <c r="J73" t="s">
        <v>127</v>
      </c>
      <c r="M73" t="s">
        <v>151</v>
      </c>
      <c r="S73">
        <v>0</v>
      </c>
      <c r="U73">
        <v>-3</v>
      </c>
      <c r="V73" t="s">
        <v>86</v>
      </c>
      <c r="W73" t="s">
        <v>87</v>
      </c>
      <c r="X73" s="96">
        <f t="shared" ref="X73" si="2">X72*12</f>
        <v>25.271599624007017</v>
      </c>
      <c r="Z73" t="b">
        <v>1</v>
      </c>
      <c r="AA73" t="b">
        <v>1</v>
      </c>
      <c r="BZ73" t="s">
        <v>88</v>
      </c>
    </row>
    <row r="74" spans="1:81" ht="15" customHeight="1">
      <c r="A74" t="s">
        <v>146</v>
      </c>
      <c r="J74" t="s">
        <v>128</v>
      </c>
      <c r="M74" t="s">
        <v>150</v>
      </c>
      <c r="S74">
        <v>0</v>
      </c>
      <c r="U74">
        <v>0</v>
      </c>
      <c r="V74" t="s">
        <v>86</v>
      </c>
      <c r="W74" t="s">
        <v>87</v>
      </c>
      <c r="X74" s="96">
        <f>((VLOOKUP(J74,References!$A$31:$B$35,2,0)/2)^2)*PI()*5.45*Prices!$D$103*0.5</f>
        <v>3.7439406850380768</v>
      </c>
      <c r="Z74" t="b">
        <v>1</v>
      </c>
      <c r="AA74" t="b">
        <v>1</v>
      </c>
      <c r="BZ74" t="s">
        <v>88</v>
      </c>
    </row>
    <row r="75" spans="1:81" ht="15" customHeight="1">
      <c r="A75" t="s">
        <v>146</v>
      </c>
      <c r="J75" t="s">
        <v>128</v>
      </c>
      <c r="M75" t="s">
        <v>151</v>
      </c>
      <c r="S75">
        <v>0</v>
      </c>
      <c r="U75">
        <v>-1</v>
      </c>
      <c r="V75" t="s">
        <v>86</v>
      </c>
      <c r="W75" t="s">
        <v>87</v>
      </c>
      <c r="X75" s="96">
        <f t="shared" ref="X75" si="3">X74*12</f>
        <v>44.927288220456923</v>
      </c>
      <c r="Z75" t="b">
        <v>1</v>
      </c>
      <c r="AA75" t="b">
        <v>1</v>
      </c>
      <c r="BZ75" t="s">
        <v>88</v>
      </c>
    </row>
    <row r="76" spans="1:81" ht="15" customHeight="1">
      <c r="A76" t="s">
        <v>146</v>
      </c>
      <c r="J76" t="s">
        <v>343</v>
      </c>
      <c r="M76" t="s">
        <v>150</v>
      </c>
      <c r="S76">
        <v>0</v>
      </c>
      <c r="U76">
        <v>0</v>
      </c>
      <c r="V76" t="s">
        <v>86</v>
      </c>
      <c r="W76" t="s">
        <v>87</v>
      </c>
      <c r="X76" s="96">
        <f>((VLOOKUP(J76,References!$A$31:$B$37,2,0)/2)^2)*PI()*5.45*Prices!$D$103*0.5</f>
        <v>5.8499073203719947</v>
      </c>
      <c r="Z76" t="b">
        <v>1</v>
      </c>
      <c r="AA76" t="b">
        <v>1</v>
      </c>
      <c r="BZ76" t="s">
        <v>88</v>
      </c>
    </row>
    <row r="77" spans="1:81" ht="15" customHeight="1">
      <c r="A77" t="s">
        <v>146</v>
      </c>
      <c r="J77" t="s">
        <v>343</v>
      </c>
      <c r="M77" t="s">
        <v>151</v>
      </c>
      <c r="S77">
        <v>0</v>
      </c>
      <c r="U77">
        <v>0</v>
      </c>
      <c r="V77" t="s">
        <v>86</v>
      </c>
      <c r="W77" t="s">
        <v>87</v>
      </c>
      <c r="X77" s="96">
        <f t="shared" ref="X77" si="4">X76*12</f>
        <v>70.19888784446394</v>
      </c>
      <c r="Z77" t="b">
        <v>1</v>
      </c>
      <c r="AA77" t="b">
        <v>1</v>
      </c>
      <c r="BZ77" t="s">
        <v>88</v>
      </c>
    </row>
    <row r="78" spans="1:81" ht="15" customHeight="1">
      <c r="A78" t="s">
        <v>146</v>
      </c>
      <c r="J78" t="s">
        <v>344</v>
      </c>
      <c r="M78" t="s">
        <v>150</v>
      </c>
      <c r="S78">
        <v>0</v>
      </c>
      <c r="U78">
        <v>0</v>
      </c>
      <c r="V78" t="s">
        <v>86</v>
      </c>
      <c r="W78" t="s">
        <v>87</v>
      </c>
      <c r="X78" s="96">
        <f>((VLOOKUP(J78,References!$A$31:$B$37,2,0)/2)^2)*PI()*5.45*Prices!$D$103*0.5</f>
        <v>8.4238665413356717</v>
      </c>
      <c r="Z78" t="b">
        <v>1</v>
      </c>
      <c r="AA78" t="b">
        <v>1</v>
      </c>
      <c r="BZ78" t="s">
        <v>88</v>
      </c>
    </row>
    <row r="79" spans="1:81" ht="15" customHeight="1">
      <c r="A79" t="s">
        <v>146</v>
      </c>
      <c r="J79" t="s">
        <v>344</v>
      </c>
      <c r="M79" t="s">
        <v>151</v>
      </c>
      <c r="S79">
        <v>0</v>
      </c>
      <c r="U79">
        <v>-1</v>
      </c>
      <c r="V79" t="s">
        <v>86</v>
      </c>
      <c r="W79" t="s">
        <v>87</v>
      </c>
      <c r="X79" s="96">
        <f t="shared" ref="X79" si="5">X78*12</f>
        <v>101.08639849602807</v>
      </c>
      <c r="Z79" t="b">
        <v>1</v>
      </c>
      <c r="AA79" t="b">
        <v>1</v>
      </c>
      <c r="BZ79" t="s">
        <v>88</v>
      </c>
    </row>
    <row r="80" spans="1:81" ht="15" customHeight="1">
      <c r="A80" t="s">
        <v>152</v>
      </c>
      <c r="B80" t="s">
        <v>153</v>
      </c>
      <c r="C80" t="s">
        <v>154</v>
      </c>
      <c r="D80" t="s">
        <v>79</v>
      </c>
      <c r="E80" t="s">
        <v>113</v>
      </c>
      <c r="G80" t="s">
        <v>155</v>
      </c>
      <c r="H80" t="b">
        <v>1</v>
      </c>
      <c r="I80" t="s">
        <v>82</v>
      </c>
      <c r="J80" t="s">
        <v>156</v>
      </c>
      <c r="S80">
        <v>45.359237</v>
      </c>
      <c r="U80">
        <v>0</v>
      </c>
      <c r="V80" t="s">
        <v>86</v>
      </c>
      <c r="W80" t="s">
        <v>87</v>
      </c>
      <c r="X80" s="97">
        <f>Prices!$D$83</f>
        <v>77.35849056603773</v>
      </c>
      <c r="Z80" t="b">
        <v>1</v>
      </c>
      <c r="AA80" t="b">
        <v>1</v>
      </c>
      <c r="AC80" t="s">
        <v>373</v>
      </c>
      <c r="AD80">
        <v>1</v>
      </c>
      <c r="AE80" t="s">
        <v>157</v>
      </c>
      <c r="AF80" t="b">
        <v>0</v>
      </c>
      <c r="BZ80" t="s">
        <v>88</v>
      </c>
      <c r="CC80" t="s">
        <v>89</v>
      </c>
    </row>
    <row r="81" spans="1:81" ht="15" customHeight="1">
      <c r="A81" t="s">
        <v>152</v>
      </c>
      <c r="J81" t="s">
        <v>124</v>
      </c>
      <c r="S81">
        <v>45.359237</v>
      </c>
      <c r="U81">
        <v>0</v>
      </c>
      <c r="V81" t="s">
        <v>86</v>
      </c>
      <c r="W81" t="s">
        <v>87</v>
      </c>
      <c r="X81" s="97">
        <f>Prices!$D$83</f>
        <v>77.35849056603773</v>
      </c>
      <c r="Z81" t="b">
        <v>1</v>
      </c>
      <c r="AA81" t="b">
        <v>1</v>
      </c>
      <c r="BZ81" t="s">
        <v>88</v>
      </c>
    </row>
    <row r="82" spans="1:81" ht="15" customHeight="1">
      <c r="A82" t="s">
        <v>152</v>
      </c>
      <c r="J82" t="s">
        <v>125</v>
      </c>
      <c r="S82">
        <v>45.359237</v>
      </c>
      <c r="U82">
        <v>-3</v>
      </c>
      <c r="V82" t="s">
        <v>86</v>
      </c>
      <c r="W82" t="s">
        <v>87</v>
      </c>
      <c r="X82" s="97">
        <f>Prices!$D$83</f>
        <v>77.35849056603773</v>
      </c>
      <c r="Z82" t="b">
        <v>1</v>
      </c>
      <c r="AA82" t="b">
        <v>1</v>
      </c>
      <c r="BZ82" t="s">
        <v>88</v>
      </c>
    </row>
    <row r="83" spans="1:81" ht="15" customHeight="1">
      <c r="A83" t="s">
        <v>152</v>
      </c>
      <c r="J83" t="s">
        <v>126</v>
      </c>
      <c r="S83">
        <v>45.359237</v>
      </c>
      <c r="U83">
        <v>0</v>
      </c>
      <c r="V83" t="s">
        <v>86</v>
      </c>
      <c r="W83" t="s">
        <v>87</v>
      </c>
      <c r="X83" s="97">
        <f>Prices!$D$83</f>
        <v>77.35849056603773</v>
      </c>
      <c r="Z83" t="b">
        <v>1</v>
      </c>
      <c r="AA83" t="b">
        <v>1</v>
      </c>
      <c r="BZ83" t="s">
        <v>88</v>
      </c>
    </row>
    <row r="84" spans="1:81" ht="15" customHeight="1">
      <c r="A84" t="s">
        <v>152</v>
      </c>
      <c r="J84" t="s">
        <v>127</v>
      </c>
      <c r="S84">
        <v>45.359237</v>
      </c>
      <c r="U84">
        <v>-2</v>
      </c>
      <c r="V84" t="s">
        <v>86</v>
      </c>
      <c r="W84" t="s">
        <v>87</v>
      </c>
      <c r="X84" s="97">
        <f>Prices!$D$83</f>
        <v>77.35849056603773</v>
      </c>
      <c r="Z84" t="b">
        <v>1</v>
      </c>
      <c r="AA84" t="b">
        <v>1</v>
      </c>
      <c r="BZ84" t="s">
        <v>88</v>
      </c>
    </row>
    <row r="85" spans="1:81" ht="15" customHeight="1">
      <c r="A85" t="s">
        <v>152</v>
      </c>
      <c r="J85" t="s">
        <v>158</v>
      </c>
      <c r="S85">
        <v>45.359237</v>
      </c>
      <c r="U85">
        <v>0</v>
      </c>
      <c r="V85" t="s">
        <v>86</v>
      </c>
      <c r="W85" t="s">
        <v>87</v>
      </c>
      <c r="X85" s="97">
        <f>Prices!$D$83</f>
        <v>77.35849056603773</v>
      </c>
      <c r="Z85" t="b">
        <v>1</v>
      </c>
      <c r="AA85" t="b">
        <v>1</v>
      </c>
      <c r="BZ85" t="s">
        <v>88</v>
      </c>
    </row>
    <row r="86" spans="1:81" ht="15" customHeight="1">
      <c r="A86" t="s">
        <v>152</v>
      </c>
      <c r="J86" t="s">
        <v>128</v>
      </c>
      <c r="S86">
        <v>45.359237</v>
      </c>
      <c r="U86">
        <v>0</v>
      </c>
      <c r="V86" t="s">
        <v>86</v>
      </c>
      <c r="W86" t="s">
        <v>87</v>
      </c>
      <c r="X86" s="97">
        <f>Prices!$D$83</f>
        <v>77.35849056603773</v>
      </c>
      <c r="Z86" t="b">
        <v>1</v>
      </c>
      <c r="AA86" t="b">
        <v>1</v>
      </c>
      <c r="BZ86" t="s">
        <v>88</v>
      </c>
    </row>
    <row r="87" spans="1:81" ht="15" customHeight="1">
      <c r="A87" t="s">
        <v>159</v>
      </c>
      <c r="B87" t="s">
        <v>160</v>
      </c>
      <c r="C87" s="1" t="s">
        <v>161</v>
      </c>
      <c r="D87" t="s">
        <v>79</v>
      </c>
      <c r="E87" t="s">
        <v>113</v>
      </c>
      <c r="G87" t="s">
        <v>162</v>
      </c>
      <c r="H87" t="b">
        <v>1</v>
      </c>
      <c r="I87" t="s">
        <v>82</v>
      </c>
      <c r="J87" t="s">
        <v>91</v>
      </c>
      <c r="L87" t="s">
        <v>84</v>
      </c>
      <c r="M87" t="s">
        <v>85</v>
      </c>
      <c r="O87" t="s">
        <v>163</v>
      </c>
      <c r="P87" t="s">
        <v>164</v>
      </c>
      <c r="S87">
        <v>0</v>
      </c>
      <c r="U87">
        <v>-4</v>
      </c>
      <c r="V87" t="s">
        <v>86</v>
      </c>
      <c r="W87" t="s">
        <v>87</v>
      </c>
      <c r="X87" s="97">
        <f>((VLOOKUP(J87,References!$A$1:$B$23,2,0)/2)^2)*PI()*Prices!$G$81*5.45*12</f>
        <v>1.9352747928819225</v>
      </c>
      <c r="Z87" t="b">
        <v>1</v>
      </c>
      <c r="AA87" t="b">
        <v>1</v>
      </c>
      <c r="AC87" t="s">
        <v>372</v>
      </c>
      <c r="AD87">
        <v>1</v>
      </c>
      <c r="AE87" t="s">
        <v>165</v>
      </c>
      <c r="AF87" t="b">
        <v>0</v>
      </c>
      <c r="BZ87" t="s">
        <v>88</v>
      </c>
      <c r="CC87" t="s">
        <v>89</v>
      </c>
    </row>
    <row r="88" spans="1:81" ht="15" customHeight="1">
      <c r="A88" t="s">
        <v>159</v>
      </c>
      <c r="J88" t="s">
        <v>91</v>
      </c>
      <c r="M88" t="s">
        <v>85</v>
      </c>
      <c r="P88" t="s">
        <v>166</v>
      </c>
      <c r="S88">
        <v>0</v>
      </c>
      <c r="U88">
        <v>-3</v>
      </c>
      <c r="V88" t="s">
        <v>86</v>
      </c>
      <c r="W88" t="s">
        <v>87</v>
      </c>
      <c r="X88" s="97">
        <f>Prices!$G$81/4</f>
        <v>41.863207547169814</v>
      </c>
      <c r="Z88" t="b">
        <v>1</v>
      </c>
      <c r="AA88" t="b">
        <v>1</v>
      </c>
      <c r="BZ88" t="s">
        <v>88</v>
      </c>
    </row>
    <row r="89" spans="1:81" ht="15" customHeight="1">
      <c r="A89" t="s">
        <v>159</v>
      </c>
      <c r="J89" t="s">
        <v>94</v>
      </c>
      <c r="M89" t="s">
        <v>95</v>
      </c>
      <c r="P89" t="s">
        <v>164</v>
      </c>
      <c r="S89">
        <v>0</v>
      </c>
      <c r="U89">
        <v>-5</v>
      </c>
      <c r="V89" t="s">
        <v>86</v>
      </c>
      <c r="W89" t="s">
        <v>87</v>
      </c>
      <c r="X89" s="97">
        <f>((VLOOKUP(J89,References!$A$1:$B$23,2,0)/2)^2)*PI()*Prices!$G$81*5.45*12</f>
        <v>5.3757633135608964</v>
      </c>
      <c r="Z89" t="b">
        <v>1</v>
      </c>
      <c r="AA89" t="b">
        <v>1</v>
      </c>
      <c r="BZ89" t="s">
        <v>88</v>
      </c>
    </row>
    <row r="90" spans="1:81" ht="15" customHeight="1">
      <c r="A90" t="s">
        <v>159</v>
      </c>
      <c r="J90" t="s">
        <v>94</v>
      </c>
      <c r="M90" t="s">
        <v>95</v>
      </c>
      <c r="P90" t="s">
        <v>166</v>
      </c>
      <c r="S90">
        <v>0</v>
      </c>
      <c r="U90">
        <v>-4</v>
      </c>
      <c r="V90" t="s">
        <v>86</v>
      </c>
      <c r="W90" t="s">
        <v>87</v>
      </c>
      <c r="X90" s="97">
        <f>Prices!$G$81/4</f>
        <v>41.863207547169814</v>
      </c>
      <c r="Z90" t="b">
        <v>1</v>
      </c>
      <c r="AA90" t="b">
        <v>1</v>
      </c>
      <c r="BZ90" t="s">
        <v>88</v>
      </c>
    </row>
    <row r="91" spans="1:81" ht="15" customHeight="1">
      <c r="A91" t="s">
        <v>159</v>
      </c>
      <c r="J91" t="s">
        <v>96</v>
      </c>
      <c r="M91" t="s">
        <v>85</v>
      </c>
      <c r="P91" t="s">
        <v>164</v>
      </c>
      <c r="S91">
        <v>0</v>
      </c>
      <c r="U91">
        <v>-40</v>
      </c>
      <c r="V91" t="s">
        <v>86</v>
      </c>
      <c r="W91" t="s">
        <v>87</v>
      </c>
      <c r="X91" s="97">
        <f>((VLOOKUP(J91,References!$A$1:$B$23,2,0)/2)^2)*PI()*Prices!$G$81*5.45*12</f>
        <v>7.74109917152769</v>
      </c>
      <c r="Z91" t="b">
        <v>1</v>
      </c>
      <c r="AA91" t="b">
        <v>1</v>
      </c>
      <c r="BZ91" t="s">
        <v>88</v>
      </c>
    </row>
    <row r="92" spans="1:81" ht="15" customHeight="1">
      <c r="A92" t="s">
        <v>159</v>
      </c>
      <c r="J92" t="s">
        <v>96</v>
      </c>
      <c r="M92" t="s">
        <v>85</v>
      </c>
      <c r="P92" t="s">
        <v>166</v>
      </c>
      <c r="S92">
        <v>0</v>
      </c>
      <c r="U92">
        <v>0</v>
      </c>
      <c r="V92" t="s">
        <v>86</v>
      </c>
      <c r="W92" t="s">
        <v>87</v>
      </c>
      <c r="X92" s="97">
        <f>Prices!$G$81/4</f>
        <v>41.863207547169814</v>
      </c>
      <c r="Z92" t="b">
        <v>1</v>
      </c>
      <c r="AA92" t="b">
        <v>1</v>
      </c>
      <c r="BZ92" t="s">
        <v>88</v>
      </c>
    </row>
    <row r="93" spans="1:81" ht="15" customHeight="1">
      <c r="A93" t="s">
        <v>159</v>
      </c>
      <c r="J93" t="s">
        <v>97</v>
      </c>
      <c r="M93" t="s">
        <v>85</v>
      </c>
      <c r="P93" t="s">
        <v>164</v>
      </c>
      <c r="S93">
        <v>0</v>
      </c>
      <c r="U93">
        <v>-63</v>
      </c>
      <c r="V93" t="s">
        <v>86</v>
      </c>
      <c r="W93" t="s">
        <v>87</v>
      </c>
      <c r="X93" s="97">
        <f>((VLOOKUP(J93,References!$A$1:$B$23,2,0)/2)^2)*PI()*Prices!$G$81*5.45*12</f>
        <v>13.761954082715896</v>
      </c>
      <c r="Z93" t="b">
        <v>1</v>
      </c>
      <c r="AA93" t="b">
        <v>1</v>
      </c>
      <c r="BZ93" t="s">
        <v>88</v>
      </c>
    </row>
    <row r="94" spans="1:81" ht="15" customHeight="1">
      <c r="A94" t="s">
        <v>159</v>
      </c>
      <c r="J94" t="s">
        <v>97</v>
      </c>
      <c r="M94" t="s">
        <v>85</v>
      </c>
      <c r="P94" t="s">
        <v>166</v>
      </c>
      <c r="S94">
        <v>0</v>
      </c>
      <c r="U94">
        <v>0</v>
      </c>
      <c r="V94" t="s">
        <v>86</v>
      </c>
      <c r="W94" t="s">
        <v>87</v>
      </c>
      <c r="X94" s="97">
        <f>Prices!$G$81/4</f>
        <v>41.863207547169814</v>
      </c>
      <c r="Z94" t="b">
        <v>1</v>
      </c>
      <c r="AA94" t="b">
        <v>1</v>
      </c>
      <c r="BZ94" t="s">
        <v>88</v>
      </c>
    </row>
    <row r="95" spans="1:81" ht="15" customHeight="1">
      <c r="A95" t="s">
        <v>159</v>
      </c>
      <c r="J95" t="s">
        <v>98</v>
      </c>
      <c r="M95" t="s">
        <v>85</v>
      </c>
      <c r="P95" t="s">
        <v>164</v>
      </c>
      <c r="S95">
        <v>0</v>
      </c>
      <c r="U95">
        <v>-102</v>
      </c>
      <c r="V95" t="s">
        <v>86</v>
      </c>
      <c r="W95" t="s">
        <v>87</v>
      </c>
      <c r="X95" s="97">
        <f>((VLOOKUP(J95,References!$A$1:$B$23,2,0)/2)^2)*PI()*Prices!$G$81*5.45*12</f>
        <v>21.503053254243586</v>
      </c>
      <c r="Z95" t="b">
        <v>1</v>
      </c>
      <c r="AA95" t="b">
        <v>1</v>
      </c>
      <c r="BZ95" t="s">
        <v>88</v>
      </c>
    </row>
    <row r="96" spans="1:81" ht="15" customHeight="1">
      <c r="A96" t="s">
        <v>159</v>
      </c>
      <c r="J96" t="s">
        <v>98</v>
      </c>
      <c r="M96" t="s">
        <v>85</v>
      </c>
      <c r="P96" t="s">
        <v>166</v>
      </c>
      <c r="S96">
        <v>0</v>
      </c>
      <c r="U96">
        <v>0</v>
      </c>
      <c r="V96" t="s">
        <v>86</v>
      </c>
      <c r="W96" t="s">
        <v>87</v>
      </c>
      <c r="X96" s="97">
        <f>Prices!$G$81/4</f>
        <v>41.863207547169814</v>
      </c>
      <c r="Z96" t="b">
        <v>1</v>
      </c>
      <c r="AA96" t="b">
        <v>1</v>
      </c>
      <c r="BZ96" t="s">
        <v>88</v>
      </c>
    </row>
    <row r="97" spans="1:81" ht="15" customHeight="1">
      <c r="A97" t="s">
        <v>159</v>
      </c>
      <c r="J97" t="s">
        <v>186</v>
      </c>
      <c r="M97" t="s">
        <v>85</v>
      </c>
      <c r="P97" t="s">
        <v>164</v>
      </c>
      <c r="S97">
        <v>0</v>
      </c>
      <c r="U97">
        <v>-2</v>
      </c>
      <c r="V97" t="s">
        <v>86</v>
      </c>
      <c r="W97" t="s">
        <v>87</v>
      </c>
      <c r="X97" s="97">
        <f>((VLOOKUP(J97,References!$A$1:$B$23,2,0)/2)^2)*PI()*Prices!$G$81*5.45*12</f>
        <v>30.96439668611076</v>
      </c>
      <c r="Z97" t="b">
        <v>1</v>
      </c>
      <c r="AA97" t="b">
        <v>1</v>
      </c>
      <c r="BZ97" t="s">
        <v>88</v>
      </c>
    </row>
    <row r="98" spans="1:81" ht="15" customHeight="1">
      <c r="A98" t="s">
        <v>159</v>
      </c>
      <c r="J98" t="s">
        <v>186</v>
      </c>
      <c r="M98" t="s">
        <v>85</v>
      </c>
      <c r="P98" t="s">
        <v>166</v>
      </c>
      <c r="S98">
        <v>0</v>
      </c>
      <c r="U98">
        <v>0</v>
      </c>
      <c r="V98" t="s">
        <v>86</v>
      </c>
      <c r="W98" t="s">
        <v>87</v>
      </c>
      <c r="X98" s="97">
        <f>Prices!$G$81/4</f>
        <v>41.863207547169814</v>
      </c>
      <c r="Z98" t="b">
        <v>1</v>
      </c>
      <c r="AA98" t="b">
        <v>1</v>
      </c>
      <c r="BZ98" t="s">
        <v>88</v>
      </c>
    </row>
    <row r="99" spans="1:81" ht="15" customHeight="1">
      <c r="A99" t="s">
        <v>159</v>
      </c>
      <c r="J99" t="s">
        <v>167</v>
      </c>
      <c r="M99" t="s">
        <v>85</v>
      </c>
      <c r="P99" t="s">
        <v>164</v>
      </c>
      <c r="S99">
        <v>0</v>
      </c>
      <c r="U99">
        <v>-5</v>
      </c>
      <c r="V99" t="s">
        <v>86</v>
      </c>
      <c r="W99" t="s">
        <v>87</v>
      </c>
      <c r="X99" s="97">
        <f>((VLOOKUP(J99,References!$A$1:$B$23,2,0)/2)^2)*PI()*Prices!$G$81*5.45*12</f>
        <v>55.047816330863583</v>
      </c>
      <c r="Z99" t="b">
        <v>1</v>
      </c>
      <c r="AA99" t="b">
        <v>1</v>
      </c>
      <c r="BZ99" t="s">
        <v>88</v>
      </c>
    </row>
    <row r="100" spans="1:81" ht="15" customHeight="1">
      <c r="A100" t="s">
        <v>159</v>
      </c>
      <c r="J100" t="s">
        <v>167</v>
      </c>
      <c r="M100" t="s">
        <v>85</v>
      </c>
      <c r="P100" t="s">
        <v>166</v>
      </c>
      <c r="S100">
        <v>0</v>
      </c>
      <c r="U100">
        <v>0</v>
      </c>
      <c r="V100" t="s">
        <v>86</v>
      </c>
      <c r="W100" t="s">
        <v>87</v>
      </c>
      <c r="X100" s="97">
        <f>Prices!$G$81/4</f>
        <v>41.863207547169814</v>
      </c>
      <c r="Z100" t="b">
        <v>1</v>
      </c>
      <c r="AA100" t="b">
        <v>1</v>
      </c>
      <c r="BZ100" t="s">
        <v>88</v>
      </c>
    </row>
    <row r="101" spans="1:81" ht="15" customHeight="1">
      <c r="A101" t="s">
        <v>168</v>
      </c>
      <c r="B101" t="s">
        <v>169</v>
      </c>
      <c r="C101" s="1" t="s">
        <v>170</v>
      </c>
      <c r="D101" t="s">
        <v>79</v>
      </c>
      <c r="E101" t="s">
        <v>113</v>
      </c>
      <c r="G101" t="s">
        <v>162</v>
      </c>
      <c r="H101" t="b">
        <v>1</v>
      </c>
      <c r="I101" t="s">
        <v>82</v>
      </c>
      <c r="J101" t="s">
        <v>171</v>
      </c>
      <c r="L101" t="s">
        <v>84</v>
      </c>
      <c r="M101" t="s">
        <v>85</v>
      </c>
      <c r="O101" t="s">
        <v>163</v>
      </c>
      <c r="P101" t="s">
        <v>164</v>
      </c>
      <c r="S101">
        <v>0</v>
      </c>
      <c r="U101">
        <v>-1</v>
      </c>
      <c r="V101" t="s">
        <v>86</v>
      </c>
      <c r="W101" t="s">
        <v>87</v>
      </c>
      <c r="X101" s="97">
        <f>((VLOOKUP(J101,References!$A$1:$B$23,2,0)/2)^2)*PI()*Prices!$G$81*5.45*12</f>
        <v>220.19126532345433</v>
      </c>
      <c r="Z101" t="b">
        <v>1</v>
      </c>
      <c r="AA101" t="b">
        <v>1</v>
      </c>
      <c r="AC101" t="s">
        <v>371</v>
      </c>
      <c r="AD101">
        <v>1</v>
      </c>
      <c r="AE101" t="s">
        <v>172</v>
      </c>
      <c r="AF101" t="b">
        <v>0</v>
      </c>
      <c r="BZ101" t="s">
        <v>88</v>
      </c>
      <c r="CC101" t="s">
        <v>89</v>
      </c>
    </row>
    <row r="102" spans="1:81" ht="15" customHeight="1">
      <c r="A102" t="s">
        <v>168</v>
      </c>
      <c r="J102" t="s">
        <v>171</v>
      </c>
      <c r="M102" t="s">
        <v>85</v>
      </c>
      <c r="P102" t="s">
        <v>166</v>
      </c>
      <c r="S102">
        <v>0</v>
      </c>
      <c r="U102">
        <v>0</v>
      </c>
      <c r="V102" t="s">
        <v>86</v>
      </c>
      <c r="W102" t="s">
        <v>87</v>
      </c>
      <c r="X102" s="97">
        <f>Prices!$G$81/4</f>
        <v>41.863207547169814</v>
      </c>
      <c r="Z102" t="b">
        <v>1</v>
      </c>
      <c r="AA102" t="b">
        <v>1</v>
      </c>
      <c r="BZ102" t="s">
        <v>88</v>
      </c>
    </row>
    <row r="103" spans="1:81" ht="15" customHeight="1">
      <c r="A103" t="s">
        <v>168</v>
      </c>
      <c r="J103" t="s">
        <v>171</v>
      </c>
      <c r="M103" t="s">
        <v>95</v>
      </c>
      <c r="P103" t="s">
        <v>164</v>
      </c>
      <c r="S103">
        <v>0</v>
      </c>
      <c r="U103">
        <v>0</v>
      </c>
      <c r="V103" t="s">
        <v>86</v>
      </c>
      <c r="W103" t="s">
        <v>87</v>
      </c>
      <c r="X103" s="97">
        <f>((VLOOKUP(J103,References!$A$1:$B$23,2,0)/2)^2)*PI()*Prices!$G$81*5.45*12</f>
        <v>220.19126532345433</v>
      </c>
      <c r="Z103" t="b">
        <v>1</v>
      </c>
      <c r="AA103" t="b">
        <v>1</v>
      </c>
      <c r="BZ103" t="s">
        <v>88</v>
      </c>
    </row>
    <row r="104" spans="1:81" ht="15" customHeight="1">
      <c r="A104" t="s">
        <v>168</v>
      </c>
      <c r="J104" t="s">
        <v>171</v>
      </c>
      <c r="M104" t="s">
        <v>95</v>
      </c>
      <c r="P104" t="s">
        <v>166</v>
      </c>
      <c r="S104">
        <v>0</v>
      </c>
      <c r="U104">
        <v>0</v>
      </c>
      <c r="V104" t="s">
        <v>86</v>
      </c>
      <c r="W104" t="s">
        <v>87</v>
      </c>
      <c r="X104" s="97">
        <f>Prices!$G$81/4</f>
        <v>41.863207547169814</v>
      </c>
      <c r="Z104" t="b">
        <v>1</v>
      </c>
      <c r="AA104" t="b">
        <v>1</v>
      </c>
      <c r="BZ104" t="s">
        <v>88</v>
      </c>
    </row>
    <row r="105" spans="1:81" ht="15" customHeight="1">
      <c r="A105" t="s">
        <v>168</v>
      </c>
      <c r="J105" t="s">
        <v>173</v>
      </c>
      <c r="M105" t="s">
        <v>85</v>
      </c>
      <c r="P105" t="s">
        <v>164</v>
      </c>
      <c r="S105">
        <v>0</v>
      </c>
      <c r="U105">
        <v>0</v>
      </c>
      <c r="V105" t="s">
        <v>86</v>
      </c>
      <c r="W105" t="s">
        <v>87</v>
      </c>
      <c r="X105" s="97">
        <f>((VLOOKUP(J105,References!$A$1:$B$23,2,0)/2)^2)*PI()*Prices!$G$81*5.45*12</f>
        <v>134.39408283902239</v>
      </c>
      <c r="Z105" t="b">
        <v>1</v>
      </c>
      <c r="AA105" t="b">
        <v>1</v>
      </c>
      <c r="BZ105" t="s">
        <v>88</v>
      </c>
    </row>
    <row r="106" spans="1:81" ht="15" customHeight="1">
      <c r="A106" t="s">
        <v>168</v>
      </c>
      <c r="J106" t="s">
        <v>173</v>
      </c>
      <c r="M106" t="s">
        <v>85</v>
      </c>
      <c r="P106" t="s">
        <v>166</v>
      </c>
      <c r="S106">
        <v>0</v>
      </c>
      <c r="U106">
        <v>0</v>
      </c>
      <c r="V106" t="s">
        <v>86</v>
      </c>
      <c r="W106" t="s">
        <v>87</v>
      </c>
      <c r="X106" s="97">
        <f>Prices!$G$81/4</f>
        <v>41.863207547169814</v>
      </c>
      <c r="Z106" t="b">
        <v>1</v>
      </c>
      <c r="AA106" t="b">
        <v>1</v>
      </c>
      <c r="BZ106" t="s">
        <v>88</v>
      </c>
    </row>
    <row r="107" spans="1:81" ht="15" customHeight="1">
      <c r="A107" t="s">
        <v>168</v>
      </c>
      <c r="J107" t="s">
        <v>173</v>
      </c>
      <c r="M107" t="s">
        <v>95</v>
      </c>
      <c r="P107" t="s">
        <v>164</v>
      </c>
      <c r="S107">
        <v>0</v>
      </c>
      <c r="U107">
        <v>0</v>
      </c>
      <c r="V107" t="s">
        <v>86</v>
      </c>
      <c r="W107" t="s">
        <v>87</v>
      </c>
      <c r="X107" s="97">
        <f>((VLOOKUP(J107,References!$A$1:$B$23,2,0)/2)^2)*PI()*Prices!$G$81*5.45*12</f>
        <v>134.39408283902239</v>
      </c>
      <c r="Z107" t="b">
        <v>1</v>
      </c>
      <c r="AA107" t="b">
        <v>1</v>
      </c>
      <c r="BZ107" t="s">
        <v>88</v>
      </c>
    </row>
    <row r="108" spans="1:81" ht="15" customHeight="1">
      <c r="A108" t="s">
        <v>168</v>
      </c>
      <c r="J108" t="s">
        <v>173</v>
      </c>
      <c r="M108" t="s">
        <v>95</v>
      </c>
      <c r="P108" t="s">
        <v>166</v>
      </c>
      <c r="S108">
        <v>0</v>
      </c>
      <c r="U108">
        <v>0</v>
      </c>
      <c r="V108" t="s">
        <v>86</v>
      </c>
      <c r="W108" t="s">
        <v>87</v>
      </c>
      <c r="X108" s="97">
        <f>Prices!$G$81/4</f>
        <v>41.863207547169814</v>
      </c>
      <c r="Z108" t="b">
        <v>1</v>
      </c>
      <c r="AA108" t="b">
        <v>1</v>
      </c>
      <c r="BZ108" t="s">
        <v>88</v>
      </c>
    </row>
    <row r="109" spans="1:81" ht="15" customHeight="1">
      <c r="A109" t="s">
        <v>168</v>
      </c>
      <c r="J109" t="s">
        <v>174</v>
      </c>
      <c r="M109" t="s">
        <v>85</v>
      </c>
      <c r="P109" t="s">
        <v>164</v>
      </c>
      <c r="S109">
        <v>0</v>
      </c>
      <c r="U109">
        <v>-1</v>
      </c>
      <c r="V109" t="s">
        <v>86</v>
      </c>
      <c r="W109" t="s">
        <v>87</v>
      </c>
      <c r="X109" s="97">
        <f>((VLOOKUP(J109,References!$A$1:$B$23,2,0)/2)^2)*PI()*Prices!$G$81*5.45*12</f>
        <v>86.012213016974343</v>
      </c>
      <c r="Z109" t="b">
        <v>1</v>
      </c>
      <c r="AA109" t="b">
        <v>1</v>
      </c>
      <c r="BZ109" t="s">
        <v>88</v>
      </c>
    </row>
    <row r="110" spans="1:81" ht="15" customHeight="1">
      <c r="A110" t="s">
        <v>168</v>
      </c>
      <c r="J110" t="s">
        <v>174</v>
      </c>
      <c r="M110" t="s">
        <v>85</v>
      </c>
      <c r="P110" t="s">
        <v>166</v>
      </c>
      <c r="S110">
        <v>0</v>
      </c>
      <c r="U110">
        <v>0</v>
      </c>
      <c r="V110" t="s">
        <v>86</v>
      </c>
      <c r="W110" t="s">
        <v>87</v>
      </c>
      <c r="X110" s="97">
        <f>Prices!$G$81/4</f>
        <v>41.863207547169814</v>
      </c>
      <c r="Z110" t="b">
        <v>1</v>
      </c>
      <c r="AA110" t="b">
        <v>1</v>
      </c>
      <c r="BZ110" t="s">
        <v>88</v>
      </c>
    </row>
    <row r="111" spans="1:81" ht="15" customHeight="1">
      <c r="A111" t="s">
        <v>168</v>
      </c>
      <c r="J111" t="s">
        <v>174</v>
      </c>
      <c r="M111" t="s">
        <v>95</v>
      </c>
      <c r="P111" t="s">
        <v>164</v>
      </c>
      <c r="S111">
        <v>0</v>
      </c>
      <c r="U111">
        <v>0</v>
      </c>
      <c r="V111" t="s">
        <v>86</v>
      </c>
      <c r="W111" t="s">
        <v>87</v>
      </c>
      <c r="X111" s="97">
        <f>((VLOOKUP(J111,References!$A$1:$B$23,2,0)/2)^2)*PI()*Prices!$G$81*5.45*12</f>
        <v>86.012213016974343</v>
      </c>
      <c r="Z111" t="b">
        <v>1</v>
      </c>
      <c r="AA111" t="b">
        <v>1</v>
      </c>
      <c r="BZ111" t="s">
        <v>88</v>
      </c>
    </row>
    <row r="112" spans="1:81" ht="15" customHeight="1">
      <c r="A112" t="s">
        <v>168</v>
      </c>
      <c r="J112" t="s">
        <v>174</v>
      </c>
      <c r="M112" t="s">
        <v>95</v>
      </c>
      <c r="P112" t="s">
        <v>166</v>
      </c>
      <c r="S112">
        <v>0</v>
      </c>
      <c r="U112">
        <v>0</v>
      </c>
      <c r="V112" t="s">
        <v>86</v>
      </c>
      <c r="W112" t="s">
        <v>87</v>
      </c>
      <c r="X112" s="97">
        <f>Prices!$G$81/4</f>
        <v>41.863207547169814</v>
      </c>
      <c r="Z112" t="b">
        <v>1</v>
      </c>
      <c r="AA112" t="b">
        <v>1</v>
      </c>
      <c r="BZ112" t="s">
        <v>88</v>
      </c>
    </row>
    <row r="113" spans="1:78" ht="15" customHeight="1">
      <c r="A113" t="s">
        <v>168</v>
      </c>
      <c r="J113" t="s">
        <v>175</v>
      </c>
      <c r="M113" t="s">
        <v>85</v>
      </c>
      <c r="P113" t="s">
        <v>164</v>
      </c>
      <c r="S113">
        <v>0</v>
      </c>
      <c r="U113">
        <v>0</v>
      </c>
      <c r="V113" t="s">
        <v>86</v>
      </c>
      <c r="W113" t="s">
        <v>87</v>
      </c>
      <c r="X113" s="97">
        <f>((VLOOKUP(J113,References!$A$1:$B$23,2,0)/2)^2)*PI()*Prices!$G$81*5.45*12</f>
        <v>69.669892543749214</v>
      </c>
      <c r="Z113" t="b">
        <v>1</v>
      </c>
      <c r="AA113" t="b">
        <v>1</v>
      </c>
      <c r="BZ113" t="s">
        <v>88</v>
      </c>
    </row>
    <row r="114" spans="1:78" ht="15" customHeight="1">
      <c r="A114" t="s">
        <v>168</v>
      </c>
      <c r="J114" t="s">
        <v>175</v>
      </c>
      <c r="M114" t="s">
        <v>85</v>
      </c>
      <c r="P114" t="s">
        <v>166</v>
      </c>
      <c r="S114">
        <v>0</v>
      </c>
      <c r="U114">
        <v>0</v>
      </c>
      <c r="V114" t="s">
        <v>86</v>
      </c>
      <c r="W114" t="s">
        <v>87</v>
      </c>
      <c r="X114" s="97">
        <f>Prices!$G$81/4</f>
        <v>41.863207547169814</v>
      </c>
      <c r="Z114" t="b">
        <v>1</v>
      </c>
      <c r="AA114" t="b">
        <v>1</v>
      </c>
      <c r="BZ114" t="s">
        <v>88</v>
      </c>
    </row>
    <row r="115" spans="1:78" ht="15" customHeight="1">
      <c r="A115" t="s">
        <v>168</v>
      </c>
      <c r="J115" t="s">
        <v>175</v>
      </c>
      <c r="M115" t="s">
        <v>95</v>
      </c>
      <c r="P115" t="s">
        <v>164</v>
      </c>
      <c r="S115">
        <v>0</v>
      </c>
      <c r="U115">
        <v>0</v>
      </c>
      <c r="V115" t="s">
        <v>86</v>
      </c>
      <c r="W115" t="s">
        <v>87</v>
      </c>
      <c r="X115" s="97">
        <f>((VLOOKUP(J115,References!$A$1:$B$23,2,0)/2)^2)*PI()*Prices!$G$81*5.45*12</f>
        <v>69.669892543749214</v>
      </c>
      <c r="Z115" t="b">
        <v>1</v>
      </c>
      <c r="AA115" t="b">
        <v>1</v>
      </c>
      <c r="BZ115" t="s">
        <v>88</v>
      </c>
    </row>
    <row r="116" spans="1:78" ht="15" customHeight="1">
      <c r="A116" t="s">
        <v>168</v>
      </c>
      <c r="J116" t="s">
        <v>175</v>
      </c>
      <c r="M116" t="s">
        <v>95</v>
      </c>
      <c r="P116" t="s">
        <v>166</v>
      </c>
      <c r="S116">
        <v>0</v>
      </c>
      <c r="U116">
        <v>0</v>
      </c>
      <c r="V116" t="s">
        <v>86</v>
      </c>
      <c r="W116" t="s">
        <v>87</v>
      </c>
      <c r="X116" s="97">
        <f>Prices!$G$81/4</f>
        <v>41.863207547169814</v>
      </c>
      <c r="Z116" t="b">
        <v>1</v>
      </c>
      <c r="AA116" t="b">
        <v>1</v>
      </c>
      <c r="BZ116" t="s">
        <v>88</v>
      </c>
    </row>
    <row r="117" spans="1:78" ht="15" customHeight="1">
      <c r="A117" t="s">
        <v>168</v>
      </c>
      <c r="J117" t="s">
        <v>167</v>
      </c>
      <c r="M117" t="s">
        <v>85</v>
      </c>
      <c r="P117" t="s">
        <v>164</v>
      </c>
      <c r="S117">
        <v>0</v>
      </c>
      <c r="U117">
        <v>-12</v>
      </c>
      <c r="V117" t="s">
        <v>86</v>
      </c>
      <c r="W117" t="s">
        <v>87</v>
      </c>
      <c r="X117" s="97">
        <f>((VLOOKUP(J117,References!$A$1:$B$23,2,0)/2)^2)*PI()*Prices!$G$81*5.45*12</f>
        <v>55.047816330863583</v>
      </c>
      <c r="Z117" t="b">
        <v>1</v>
      </c>
      <c r="AA117" t="b">
        <v>1</v>
      </c>
      <c r="BZ117" t="s">
        <v>88</v>
      </c>
    </row>
    <row r="118" spans="1:78" ht="15" customHeight="1">
      <c r="A118" t="s">
        <v>168</v>
      </c>
      <c r="J118" t="s">
        <v>167</v>
      </c>
      <c r="M118" t="s">
        <v>85</v>
      </c>
      <c r="P118" t="s">
        <v>166</v>
      </c>
      <c r="S118">
        <v>0</v>
      </c>
      <c r="U118">
        <v>0</v>
      </c>
      <c r="V118" t="s">
        <v>86</v>
      </c>
      <c r="W118" t="s">
        <v>87</v>
      </c>
      <c r="X118" s="97">
        <f>Prices!$G$81/4</f>
        <v>41.863207547169814</v>
      </c>
      <c r="Z118" t="b">
        <v>1</v>
      </c>
      <c r="AA118" t="b">
        <v>1</v>
      </c>
      <c r="BZ118" t="s">
        <v>88</v>
      </c>
    </row>
    <row r="119" spans="1:78" ht="15" customHeight="1">
      <c r="A119" t="s">
        <v>168</v>
      </c>
      <c r="J119" t="s">
        <v>167</v>
      </c>
      <c r="M119" t="s">
        <v>95</v>
      </c>
      <c r="P119" t="s">
        <v>164</v>
      </c>
      <c r="S119">
        <v>0</v>
      </c>
      <c r="U119">
        <v>0</v>
      </c>
      <c r="V119" t="s">
        <v>86</v>
      </c>
      <c r="W119" t="s">
        <v>87</v>
      </c>
      <c r="X119" s="97">
        <f>((VLOOKUP(J119,References!$A$1:$B$23,2,0)/2)^2)*PI()*Prices!$G$81*5.45*12</f>
        <v>55.047816330863583</v>
      </c>
      <c r="Z119" t="b">
        <v>1</v>
      </c>
      <c r="AA119" t="b">
        <v>1</v>
      </c>
      <c r="BZ119" t="s">
        <v>88</v>
      </c>
    </row>
    <row r="120" spans="1:78" ht="15" customHeight="1">
      <c r="A120" t="s">
        <v>168</v>
      </c>
      <c r="J120" t="s">
        <v>167</v>
      </c>
      <c r="M120" t="s">
        <v>95</v>
      </c>
      <c r="P120" t="s">
        <v>166</v>
      </c>
      <c r="S120">
        <v>0</v>
      </c>
      <c r="U120">
        <v>0</v>
      </c>
      <c r="V120" t="s">
        <v>86</v>
      </c>
      <c r="W120" t="s">
        <v>87</v>
      </c>
      <c r="X120" s="97">
        <f>Prices!$G$81/4</f>
        <v>41.863207547169814</v>
      </c>
      <c r="Z120" t="b">
        <v>1</v>
      </c>
      <c r="AA120" t="b">
        <v>1</v>
      </c>
      <c r="BZ120" t="s">
        <v>88</v>
      </c>
    </row>
    <row r="121" spans="1:78" ht="15" customHeight="1">
      <c r="A121" t="s">
        <v>168</v>
      </c>
      <c r="J121" t="s">
        <v>186</v>
      </c>
      <c r="M121" t="s">
        <v>85</v>
      </c>
      <c r="P121" t="s">
        <v>164</v>
      </c>
      <c r="S121">
        <v>0</v>
      </c>
      <c r="U121">
        <v>-15</v>
      </c>
      <c r="V121" t="s">
        <v>86</v>
      </c>
      <c r="W121" t="s">
        <v>87</v>
      </c>
      <c r="X121" s="97">
        <f>((VLOOKUP(J121,References!$A$1:$B$23,2,0)/2)^2)*PI()*Prices!$G$81*5.45*12</f>
        <v>30.96439668611076</v>
      </c>
      <c r="Z121" t="b">
        <v>1</v>
      </c>
      <c r="AA121" t="b">
        <v>1</v>
      </c>
      <c r="BZ121" t="s">
        <v>88</v>
      </c>
    </row>
    <row r="122" spans="1:78" ht="15" customHeight="1">
      <c r="A122" t="s">
        <v>168</v>
      </c>
      <c r="J122" t="s">
        <v>186</v>
      </c>
      <c r="M122" t="s">
        <v>85</v>
      </c>
      <c r="P122" t="s">
        <v>166</v>
      </c>
      <c r="S122">
        <v>0</v>
      </c>
      <c r="U122">
        <v>0</v>
      </c>
      <c r="V122" t="s">
        <v>86</v>
      </c>
      <c r="W122" t="s">
        <v>87</v>
      </c>
      <c r="X122" s="97">
        <f>Prices!$G$81/4</f>
        <v>41.863207547169814</v>
      </c>
      <c r="Z122" t="b">
        <v>1</v>
      </c>
      <c r="AA122" t="b">
        <v>1</v>
      </c>
      <c r="BZ122" t="s">
        <v>88</v>
      </c>
    </row>
    <row r="123" spans="1:78" ht="15" customHeight="1">
      <c r="A123" t="s">
        <v>168</v>
      </c>
      <c r="J123" t="s">
        <v>186</v>
      </c>
      <c r="M123" t="s">
        <v>95</v>
      </c>
      <c r="P123" t="s">
        <v>164</v>
      </c>
      <c r="S123">
        <v>0</v>
      </c>
      <c r="U123">
        <v>-3</v>
      </c>
      <c r="V123" t="s">
        <v>86</v>
      </c>
      <c r="W123" t="s">
        <v>87</v>
      </c>
      <c r="X123" s="97">
        <f>((VLOOKUP(J123,References!$A$1:$B$23,2,0)/2)^2)*PI()*Prices!$G$81*5.45*12</f>
        <v>30.96439668611076</v>
      </c>
      <c r="Z123" t="b">
        <v>1</v>
      </c>
      <c r="AA123" t="b">
        <v>1</v>
      </c>
      <c r="BZ123" t="s">
        <v>88</v>
      </c>
    </row>
    <row r="124" spans="1:78" ht="15" customHeight="1">
      <c r="A124" t="s">
        <v>168</v>
      </c>
      <c r="J124" t="s">
        <v>186</v>
      </c>
      <c r="M124" t="s">
        <v>95</v>
      </c>
      <c r="P124" t="s">
        <v>166</v>
      </c>
      <c r="S124">
        <v>0</v>
      </c>
      <c r="U124">
        <v>0</v>
      </c>
      <c r="V124" t="s">
        <v>86</v>
      </c>
      <c r="W124" t="s">
        <v>87</v>
      </c>
      <c r="X124" s="97">
        <f>Prices!$G$81/4</f>
        <v>41.863207547169814</v>
      </c>
      <c r="Z124" t="b">
        <v>1</v>
      </c>
      <c r="AA124" t="b">
        <v>1</v>
      </c>
      <c r="BZ124" t="s">
        <v>88</v>
      </c>
    </row>
    <row r="125" spans="1:78" ht="15" customHeight="1">
      <c r="A125" t="s">
        <v>168</v>
      </c>
      <c r="J125" t="s">
        <v>98</v>
      </c>
      <c r="M125" t="s">
        <v>85</v>
      </c>
      <c r="P125" t="s">
        <v>164</v>
      </c>
      <c r="S125">
        <v>0</v>
      </c>
      <c r="U125">
        <v>-249</v>
      </c>
      <c r="V125" t="s">
        <v>86</v>
      </c>
      <c r="W125" t="s">
        <v>87</v>
      </c>
      <c r="X125" s="97">
        <f>((VLOOKUP(J125,References!$A$1:$B$23,2,0)/2)^2)*PI()*Prices!$G$81*5.45*12</f>
        <v>21.503053254243586</v>
      </c>
      <c r="Z125" t="b">
        <v>1</v>
      </c>
      <c r="AA125" t="b">
        <v>1</v>
      </c>
      <c r="BZ125" t="s">
        <v>88</v>
      </c>
    </row>
    <row r="126" spans="1:78" ht="15" customHeight="1">
      <c r="A126" t="s">
        <v>168</v>
      </c>
      <c r="J126" t="s">
        <v>98</v>
      </c>
      <c r="M126" t="s">
        <v>85</v>
      </c>
      <c r="P126" t="s">
        <v>166</v>
      </c>
      <c r="S126">
        <v>0</v>
      </c>
      <c r="U126">
        <v>0</v>
      </c>
      <c r="V126" t="s">
        <v>86</v>
      </c>
      <c r="W126" t="s">
        <v>87</v>
      </c>
      <c r="X126" s="97">
        <f>Prices!$G$81/4</f>
        <v>41.863207547169814</v>
      </c>
      <c r="Z126" t="b">
        <v>1</v>
      </c>
      <c r="AA126" t="b">
        <v>1</v>
      </c>
      <c r="BZ126" t="s">
        <v>88</v>
      </c>
    </row>
    <row r="127" spans="1:78" ht="15" customHeight="1">
      <c r="A127" t="s">
        <v>168</v>
      </c>
      <c r="J127" t="s">
        <v>98</v>
      </c>
      <c r="M127" t="s">
        <v>95</v>
      </c>
      <c r="P127" t="s">
        <v>164</v>
      </c>
      <c r="S127">
        <v>0</v>
      </c>
      <c r="U127">
        <v>-3</v>
      </c>
      <c r="V127" t="s">
        <v>86</v>
      </c>
      <c r="W127" t="s">
        <v>87</v>
      </c>
      <c r="X127" s="97">
        <f>((VLOOKUP(J127,References!$A$1:$B$23,2,0)/2)^2)*PI()*Prices!$G$81*5.45*12</f>
        <v>21.503053254243586</v>
      </c>
      <c r="Z127" t="b">
        <v>1</v>
      </c>
      <c r="AA127" t="b">
        <v>1</v>
      </c>
      <c r="BZ127" t="s">
        <v>88</v>
      </c>
    </row>
    <row r="128" spans="1:78" ht="15" customHeight="1">
      <c r="A128" t="s">
        <v>168</v>
      </c>
      <c r="J128" t="s">
        <v>98</v>
      </c>
      <c r="M128" t="s">
        <v>95</v>
      </c>
      <c r="P128" t="s">
        <v>166</v>
      </c>
      <c r="S128">
        <v>0</v>
      </c>
      <c r="U128">
        <v>0</v>
      </c>
      <c r="V128" t="s">
        <v>86</v>
      </c>
      <c r="W128" t="s">
        <v>87</v>
      </c>
      <c r="X128" s="97">
        <f>Prices!$G$81/4</f>
        <v>41.863207547169814</v>
      </c>
      <c r="Z128" t="b">
        <v>1</v>
      </c>
      <c r="AA128" t="b">
        <v>1</v>
      </c>
      <c r="BZ128" t="s">
        <v>88</v>
      </c>
    </row>
    <row r="129" spans="1:78" ht="15" customHeight="1">
      <c r="A129" t="s">
        <v>168</v>
      </c>
      <c r="J129" t="s">
        <v>176</v>
      </c>
      <c r="M129" t="s">
        <v>85</v>
      </c>
      <c r="P129" t="s">
        <v>164</v>
      </c>
      <c r="S129">
        <v>0</v>
      </c>
      <c r="U129">
        <v>0</v>
      </c>
      <c r="V129" t="s">
        <v>86</v>
      </c>
      <c r="W129" t="s">
        <v>87</v>
      </c>
      <c r="X129" s="97">
        <f>((VLOOKUP(J129,References!$A$1:$B$23,2,0)/2)^2)*PI()*Prices!$G$81*5.45*12</f>
        <v>17.417473135937303</v>
      </c>
      <c r="Z129" t="b">
        <v>1</v>
      </c>
      <c r="AA129" t="b">
        <v>1</v>
      </c>
      <c r="BZ129" t="s">
        <v>88</v>
      </c>
    </row>
    <row r="130" spans="1:78" ht="15" customHeight="1">
      <c r="A130" t="s">
        <v>168</v>
      </c>
      <c r="J130" t="s">
        <v>176</v>
      </c>
      <c r="M130" t="s">
        <v>85</v>
      </c>
      <c r="P130" t="s">
        <v>166</v>
      </c>
      <c r="S130">
        <v>0</v>
      </c>
      <c r="U130">
        <v>-1</v>
      </c>
      <c r="V130" t="s">
        <v>86</v>
      </c>
      <c r="W130" t="s">
        <v>87</v>
      </c>
      <c r="X130" s="97">
        <f>Prices!$G$81/4</f>
        <v>41.863207547169814</v>
      </c>
      <c r="Z130" t="b">
        <v>1</v>
      </c>
      <c r="AA130" t="b">
        <v>1</v>
      </c>
      <c r="BZ130" t="s">
        <v>88</v>
      </c>
    </row>
    <row r="131" spans="1:78" ht="15" customHeight="1">
      <c r="A131" t="s">
        <v>168</v>
      </c>
      <c r="J131" t="s">
        <v>176</v>
      </c>
      <c r="M131" t="s">
        <v>95</v>
      </c>
      <c r="P131" t="s">
        <v>164</v>
      </c>
      <c r="S131">
        <v>0</v>
      </c>
      <c r="U131">
        <v>0</v>
      </c>
      <c r="V131" t="s">
        <v>86</v>
      </c>
      <c r="W131" t="s">
        <v>87</v>
      </c>
      <c r="X131" s="97">
        <f>((VLOOKUP(J131,References!$A$1:$B$23,2,0)/2)^2)*PI()*Prices!$G$81*5.45*12</f>
        <v>17.417473135937303</v>
      </c>
      <c r="Z131" t="b">
        <v>1</v>
      </c>
      <c r="AA131" t="b">
        <v>1</v>
      </c>
      <c r="BZ131" t="s">
        <v>88</v>
      </c>
    </row>
    <row r="132" spans="1:78" ht="15" customHeight="1">
      <c r="A132" t="s">
        <v>168</v>
      </c>
      <c r="J132" t="s">
        <v>176</v>
      </c>
      <c r="M132" t="s">
        <v>95</v>
      </c>
      <c r="P132" t="s">
        <v>166</v>
      </c>
      <c r="S132">
        <v>0</v>
      </c>
      <c r="U132">
        <v>0</v>
      </c>
      <c r="V132" t="s">
        <v>86</v>
      </c>
      <c r="W132" t="s">
        <v>87</v>
      </c>
      <c r="X132" s="97">
        <f>Prices!$G$81/4</f>
        <v>41.863207547169814</v>
      </c>
      <c r="Z132" t="b">
        <v>1</v>
      </c>
      <c r="AA132" t="b">
        <v>1</v>
      </c>
      <c r="BZ132" t="s">
        <v>88</v>
      </c>
    </row>
    <row r="133" spans="1:78" ht="15" customHeight="1">
      <c r="A133" t="s">
        <v>168</v>
      </c>
      <c r="J133" t="s">
        <v>97</v>
      </c>
      <c r="M133" t="s">
        <v>85</v>
      </c>
      <c r="P133" t="s">
        <v>164</v>
      </c>
      <c r="S133">
        <v>0</v>
      </c>
      <c r="U133">
        <v>-156</v>
      </c>
      <c r="V133" t="s">
        <v>86</v>
      </c>
      <c r="W133" t="s">
        <v>87</v>
      </c>
      <c r="X133" s="97">
        <f>((VLOOKUP(J133,References!$A$1:$B$23,2,0)/2)^2)*PI()*Prices!$G$81*5.45*12</f>
        <v>13.761954082715896</v>
      </c>
      <c r="Z133" t="b">
        <v>1</v>
      </c>
      <c r="AA133" t="b">
        <v>1</v>
      </c>
      <c r="BZ133" t="s">
        <v>88</v>
      </c>
    </row>
    <row r="134" spans="1:78" ht="15" customHeight="1">
      <c r="A134" t="s">
        <v>168</v>
      </c>
      <c r="J134" t="s">
        <v>97</v>
      </c>
      <c r="M134" t="s">
        <v>85</v>
      </c>
      <c r="P134" t="s">
        <v>166</v>
      </c>
      <c r="S134">
        <v>0</v>
      </c>
      <c r="U134">
        <v>-2</v>
      </c>
      <c r="V134" t="s">
        <v>86</v>
      </c>
      <c r="W134" t="s">
        <v>87</v>
      </c>
      <c r="X134" s="97">
        <f>Prices!$G$81/4</f>
        <v>41.863207547169814</v>
      </c>
      <c r="Z134" t="b">
        <v>1</v>
      </c>
      <c r="AA134" t="b">
        <v>1</v>
      </c>
      <c r="BZ134" t="s">
        <v>88</v>
      </c>
    </row>
    <row r="135" spans="1:78" ht="15" customHeight="1">
      <c r="A135" t="s">
        <v>168</v>
      </c>
      <c r="J135" t="s">
        <v>97</v>
      </c>
      <c r="M135" t="s">
        <v>95</v>
      </c>
      <c r="P135" t="s">
        <v>164</v>
      </c>
      <c r="S135">
        <v>0</v>
      </c>
      <c r="U135">
        <v>-28</v>
      </c>
      <c r="V135" t="s">
        <v>86</v>
      </c>
      <c r="W135" t="s">
        <v>87</v>
      </c>
      <c r="X135" s="97">
        <f>((VLOOKUP(J135,References!$A$1:$B$23,2,0)/2)^2)*PI()*Prices!$G$81*5.45*12</f>
        <v>13.761954082715896</v>
      </c>
      <c r="Z135" t="b">
        <v>1</v>
      </c>
      <c r="AA135" t="b">
        <v>1</v>
      </c>
      <c r="BZ135" t="s">
        <v>88</v>
      </c>
    </row>
    <row r="136" spans="1:78" ht="15" customHeight="1">
      <c r="A136" t="s">
        <v>168</v>
      </c>
      <c r="J136" t="s">
        <v>97</v>
      </c>
      <c r="M136" t="s">
        <v>95</v>
      </c>
      <c r="P136" t="s">
        <v>166</v>
      </c>
      <c r="S136">
        <v>0</v>
      </c>
      <c r="U136">
        <v>-38</v>
      </c>
      <c r="V136" t="s">
        <v>86</v>
      </c>
      <c r="W136" t="s">
        <v>87</v>
      </c>
      <c r="X136" s="97">
        <f>Prices!$G$81/4</f>
        <v>41.863207547169814</v>
      </c>
      <c r="Z136" t="b">
        <v>1</v>
      </c>
      <c r="AA136" t="b">
        <v>1</v>
      </c>
      <c r="BZ136" t="s">
        <v>88</v>
      </c>
    </row>
    <row r="137" spans="1:78" ht="15" customHeight="1">
      <c r="A137" t="s">
        <v>168</v>
      </c>
      <c r="J137" t="s">
        <v>177</v>
      </c>
      <c r="M137" t="s">
        <v>85</v>
      </c>
      <c r="P137" t="s">
        <v>164</v>
      </c>
      <c r="S137">
        <v>0</v>
      </c>
      <c r="U137">
        <v>-2</v>
      </c>
      <c r="V137" t="s">
        <v>86</v>
      </c>
      <c r="W137" t="s">
        <v>87</v>
      </c>
      <c r="X137" s="97">
        <f>((VLOOKUP(J137,References!$A$1:$B$23,2,0)/2)^2)*PI()*Prices!$G$81*5.45*12</f>
        <v>10.536496094579357</v>
      </c>
      <c r="Z137" t="b">
        <v>1</v>
      </c>
      <c r="AA137" t="b">
        <v>1</v>
      </c>
      <c r="BZ137" t="s">
        <v>88</v>
      </c>
    </row>
    <row r="138" spans="1:78" ht="15" customHeight="1">
      <c r="A138" t="s">
        <v>168</v>
      </c>
      <c r="J138" t="s">
        <v>177</v>
      </c>
      <c r="M138" t="s">
        <v>85</v>
      </c>
      <c r="P138" t="s">
        <v>166</v>
      </c>
      <c r="S138">
        <v>0</v>
      </c>
      <c r="U138">
        <v>0</v>
      </c>
      <c r="V138" t="s">
        <v>86</v>
      </c>
      <c r="W138" t="s">
        <v>87</v>
      </c>
      <c r="X138" s="97">
        <f>Prices!$G$81/4</f>
        <v>41.863207547169814</v>
      </c>
      <c r="Z138" t="b">
        <v>1</v>
      </c>
      <c r="AA138" t="b">
        <v>1</v>
      </c>
      <c r="BZ138" t="s">
        <v>88</v>
      </c>
    </row>
    <row r="139" spans="1:78" ht="15" customHeight="1">
      <c r="A139" t="s">
        <v>168</v>
      </c>
      <c r="J139" t="s">
        <v>177</v>
      </c>
      <c r="M139" t="s">
        <v>95</v>
      </c>
      <c r="P139" t="s">
        <v>164</v>
      </c>
      <c r="S139">
        <v>0</v>
      </c>
      <c r="U139">
        <v>0</v>
      </c>
      <c r="V139" t="s">
        <v>86</v>
      </c>
      <c r="W139" t="s">
        <v>87</v>
      </c>
      <c r="X139" s="97">
        <f>((VLOOKUP(J139,References!$A$1:$B$23,2,0)/2)^2)*PI()*Prices!$G$81*5.45*12</f>
        <v>10.536496094579357</v>
      </c>
      <c r="Z139" t="b">
        <v>1</v>
      </c>
      <c r="AA139" t="b">
        <v>1</v>
      </c>
      <c r="BZ139" t="s">
        <v>88</v>
      </c>
    </row>
    <row r="140" spans="1:78" ht="15" customHeight="1">
      <c r="A140" t="s">
        <v>168</v>
      </c>
      <c r="J140" t="s">
        <v>177</v>
      </c>
      <c r="M140" t="s">
        <v>95</v>
      </c>
      <c r="P140" t="s">
        <v>166</v>
      </c>
      <c r="S140">
        <v>0</v>
      </c>
      <c r="U140">
        <v>0</v>
      </c>
      <c r="V140" t="s">
        <v>86</v>
      </c>
      <c r="W140" t="s">
        <v>87</v>
      </c>
      <c r="X140" s="97">
        <f>Prices!$G$81/4</f>
        <v>41.863207547169814</v>
      </c>
      <c r="Z140" t="b">
        <v>1</v>
      </c>
      <c r="AA140" t="b">
        <v>1</v>
      </c>
      <c r="BZ140" t="s">
        <v>88</v>
      </c>
    </row>
    <row r="141" spans="1:78" ht="15" customHeight="1">
      <c r="A141" t="s">
        <v>168</v>
      </c>
      <c r="J141" t="s">
        <v>96</v>
      </c>
      <c r="M141" t="s">
        <v>85</v>
      </c>
      <c r="P141" t="s">
        <v>164</v>
      </c>
      <c r="S141">
        <v>0</v>
      </c>
      <c r="U141">
        <v>-12</v>
      </c>
      <c r="V141" t="s">
        <v>86</v>
      </c>
      <c r="W141" t="s">
        <v>87</v>
      </c>
      <c r="X141" s="97">
        <f>((VLOOKUP(J141,References!$A$1:$B$23,2,0)/2)^2)*PI()*Prices!$G$81*5.45*12</f>
        <v>7.74109917152769</v>
      </c>
      <c r="Z141" t="b">
        <v>1</v>
      </c>
      <c r="AA141" t="b">
        <v>1</v>
      </c>
      <c r="BZ141" t="s">
        <v>88</v>
      </c>
    </row>
    <row r="142" spans="1:78" ht="15" customHeight="1">
      <c r="A142" t="s">
        <v>168</v>
      </c>
      <c r="J142" t="s">
        <v>96</v>
      </c>
      <c r="M142" t="s">
        <v>85</v>
      </c>
      <c r="P142" t="s">
        <v>166</v>
      </c>
      <c r="S142">
        <v>0</v>
      </c>
      <c r="U142">
        <v>-3</v>
      </c>
      <c r="V142" t="s">
        <v>86</v>
      </c>
      <c r="W142" t="s">
        <v>87</v>
      </c>
      <c r="X142" s="97">
        <f>Prices!$G$81/4</f>
        <v>41.863207547169814</v>
      </c>
      <c r="Z142" t="b">
        <v>1</v>
      </c>
      <c r="AA142" t="b">
        <v>1</v>
      </c>
      <c r="BZ142" t="s">
        <v>88</v>
      </c>
    </row>
    <row r="143" spans="1:78" ht="15" customHeight="1">
      <c r="A143" t="s">
        <v>168</v>
      </c>
      <c r="J143" t="s">
        <v>96</v>
      </c>
      <c r="M143" t="s">
        <v>95</v>
      </c>
      <c r="P143" t="s">
        <v>164</v>
      </c>
      <c r="S143">
        <v>0</v>
      </c>
      <c r="U143">
        <v>-244</v>
      </c>
      <c r="V143" t="s">
        <v>86</v>
      </c>
      <c r="W143" t="s">
        <v>87</v>
      </c>
      <c r="X143" s="97">
        <f>((VLOOKUP(J143,References!$A$1:$B$23,2,0)/2)^2)*PI()*Prices!$G$81*5.45*12</f>
        <v>7.74109917152769</v>
      </c>
      <c r="Z143" t="b">
        <v>1</v>
      </c>
      <c r="AA143" t="b">
        <v>1</v>
      </c>
      <c r="BZ143" t="s">
        <v>88</v>
      </c>
    </row>
    <row r="144" spans="1:78" ht="15" customHeight="1">
      <c r="A144" t="s">
        <v>168</v>
      </c>
      <c r="J144" t="s">
        <v>96</v>
      </c>
      <c r="M144" t="s">
        <v>95</v>
      </c>
      <c r="P144" t="s">
        <v>166</v>
      </c>
      <c r="S144">
        <v>0</v>
      </c>
      <c r="U144">
        <v>-2</v>
      </c>
      <c r="V144" t="s">
        <v>86</v>
      </c>
      <c r="W144" t="s">
        <v>87</v>
      </c>
      <c r="X144" s="97">
        <f>Prices!$G$81/4</f>
        <v>41.863207547169814</v>
      </c>
      <c r="Z144" t="b">
        <v>1</v>
      </c>
      <c r="AA144" t="b">
        <v>1</v>
      </c>
      <c r="BZ144" t="s">
        <v>88</v>
      </c>
    </row>
    <row r="145" spans="1:78" ht="15" customHeight="1">
      <c r="A145" t="s">
        <v>168</v>
      </c>
      <c r="J145" t="s">
        <v>94</v>
      </c>
      <c r="M145" t="s">
        <v>85</v>
      </c>
      <c r="P145" t="s">
        <v>164</v>
      </c>
      <c r="S145">
        <v>0</v>
      </c>
      <c r="U145">
        <v>-64</v>
      </c>
      <c r="V145" t="s">
        <v>86</v>
      </c>
      <c r="W145" t="s">
        <v>87</v>
      </c>
      <c r="X145" s="97">
        <f>((VLOOKUP(J145,References!$A$1:$B$23,2,0)/2)^2)*PI()*Prices!$G$81*5.45*12</f>
        <v>5.3757633135608964</v>
      </c>
      <c r="Z145" t="b">
        <v>1</v>
      </c>
      <c r="AA145" t="b">
        <v>1</v>
      </c>
      <c r="BZ145" t="s">
        <v>88</v>
      </c>
    </row>
    <row r="146" spans="1:78" ht="15" customHeight="1">
      <c r="A146" t="s">
        <v>168</v>
      </c>
      <c r="J146" t="s">
        <v>94</v>
      </c>
      <c r="M146" t="s">
        <v>85</v>
      </c>
      <c r="P146" t="s">
        <v>166</v>
      </c>
      <c r="S146">
        <v>0</v>
      </c>
      <c r="U146">
        <v>-4</v>
      </c>
      <c r="V146" t="s">
        <v>86</v>
      </c>
      <c r="W146" t="s">
        <v>87</v>
      </c>
      <c r="X146" s="97">
        <f>Prices!$G$81/4</f>
        <v>41.863207547169814</v>
      </c>
      <c r="Z146" t="b">
        <v>1</v>
      </c>
      <c r="AA146" t="b">
        <v>1</v>
      </c>
      <c r="BZ146" t="s">
        <v>88</v>
      </c>
    </row>
    <row r="147" spans="1:78" ht="15" customHeight="1">
      <c r="A147" t="s">
        <v>168</v>
      </c>
      <c r="J147" t="s">
        <v>94</v>
      </c>
      <c r="M147" t="s">
        <v>95</v>
      </c>
      <c r="P147" t="s">
        <v>164</v>
      </c>
      <c r="S147">
        <v>0</v>
      </c>
      <c r="U147">
        <v>-30</v>
      </c>
      <c r="V147" t="s">
        <v>86</v>
      </c>
      <c r="W147" t="s">
        <v>87</v>
      </c>
      <c r="X147" s="97">
        <f>((VLOOKUP(J147,References!$A$1:$B$23,2,0)/2)^2)*PI()*Prices!$G$81*5.45*12</f>
        <v>5.3757633135608964</v>
      </c>
      <c r="Z147" t="b">
        <v>1</v>
      </c>
      <c r="AA147" t="b">
        <v>1</v>
      </c>
      <c r="BZ147" t="s">
        <v>88</v>
      </c>
    </row>
    <row r="148" spans="1:78" ht="15" customHeight="1">
      <c r="A148" t="s">
        <v>168</v>
      </c>
      <c r="J148" t="s">
        <v>94</v>
      </c>
      <c r="M148" t="s">
        <v>95</v>
      </c>
      <c r="P148" t="s">
        <v>166</v>
      </c>
      <c r="S148">
        <v>0</v>
      </c>
      <c r="U148">
        <v>-2</v>
      </c>
      <c r="V148" t="s">
        <v>86</v>
      </c>
      <c r="W148" t="s">
        <v>87</v>
      </c>
      <c r="X148" s="97">
        <f>Prices!$G$81/4</f>
        <v>41.863207547169814</v>
      </c>
      <c r="Z148" t="b">
        <v>1</v>
      </c>
      <c r="AA148" t="b">
        <v>1</v>
      </c>
      <c r="BZ148" t="s">
        <v>88</v>
      </c>
    </row>
    <row r="149" spans="1:78" ht="15" customHeight="1">
      <c r="A149" t="s">
        <v>168</v>
      </c>
      <c r="J149" t="s">
        <v>93</v>
      </c>
      <c r="M149" t="s">
        <v>85</v>
      </c>
      <c r="P149" t="s">
        <v>164</v>
      </c>
      <c r="S149">
        <v>0</v>
      </c>
      <c r="U149">
        <v>-1997</v>
      </c>
      <c r="V149" t="s">
        <v>86</v>
      </c>
      <c r="W149" t="s">
        <v>87</v>
      </c>
      <c r="X149" s="97">
        <f>((VLOOKUP(J149,References!$A$1:$B$23,2,0)/2)^2)*PI()*Prices!$G$81*5.45*12</f>
        <v>3.4404885206789739</v>
      </c>
      <c r="Z149" t="b">
        <v>1</v>
      </c>
      <c r="AA149" t="b">
        <v>1</v>
      </c>
      <c r="BZ149" t="s">
        <v>88</v>
      </c>
    </row>
    <row r="150" spans="1:78" ht="15" customHeight="1">
      <c r="A150" t="s">
        <v>168</v>
      </c>
      <c r="J150" t="s">
        <v>93</v>
      </c>
      <c r="M150" t="s">
        <v>85</v>
      </c>
      <c r="P150" t="s">
        <v>166</v>
      </c>
      <c r="S150">
        <v>0</v>
      </c>
      <c r="U150">
        <v>-1</v>
      </c>
      <c r="V150" t="s">
        <v>86</v>
      </c>
      <c r="W150" t="s">
        <v>87</v>
      </c>
      <c r="X150" s="97">
        <f>Prices!$G$81/4</f>
        <v>41.863207547169814</v>
      </c>
      <c r="Z150" t="b">
        <v>1</v>
      </c>
      <c r="AA150" t="b">
        <v>1</v>
      </c>
      <c r="BZ150" t="s">
        <v>88</v>
      </c>
    </row>
    <row r="151" spans="1:78" ht="15" customHeight="1">
      <c r="A151" t="s">
        <v>168</v>
      </c>
      <c r="J151" t="s">
        <v>93</v>
      </c>
      <c r="M151" t="s">
        <v>95</v>
      </c>
      <c r="P151" t="s">
        <v>164</v>
      </c>
      <c r="S151">
        <v>0</v>
      </c>
      <c r="U151">
        <v>-52</v>
      </c>
      <c r="V151" t="s">
        <v>86</v>
      </c>
      <c r="W151" t="s">
        <v>87</v>
      </c>
      <c r="X151" s="97">
        <f>((VLOOKUP(J151,References!$A$1:$B$23,2,0)/2)^2)*PI()*Prices!$G$81*5.45*12</f>
        <v>3.4404885206789739</v>
      </c>
      <c r="Z151" t="b">
        <v>1</v>
      </c>
      <c r="AA151" t="b">
        <v>1</v>
      </c>
      <c r="BZ151" t="s">
        <v>88</v>
      </c>
    </row>
    <row r="152" spans="1:78" ht="15" customHeight="1">
      <c r="A152" t="s">
        <v>168</v>
      </c>
      <c r="J152" t="s">
        <v>93</v>
      </c>
      <c r="M152" t="s">
        <v>95</v>
      </c>
      <c r="P152" t="s">
        <v>166</v>
      </c>
      <c r="S152">
        <v>0</v>
      </c>
      <c r="U152">
        <v>-2</v>
      </c>
      <c r="V152" t="s">
        <v>86</v>
      </c>
      <c r="W152" t="s">
        <v>87</v>
      </c>
      <c r="X152" s="97">
        <f>Prices!$G$81/4</f>
        <v>41.863207547169814</v>
      </c>
      <c r="Z152" t="b">
        <v>1</v>
      </c>
      <c r="AA152" t="b">
        <v>1</v>
      </c>
      <c r="BZ152" t="s">
        <v>88</v>
      </c>
    </row>
    <row r="153" spans="1:78" ht="15" customHeight="1">
      <c r="A153" t="s">
        <v>168</v>
      </c>
      <c r="J153" t="s">
        <v>91</v>
      </c>
      <c r="M153" t="s">
        <v>85</v>
      </c>
      <c r="P153" t="s">
        <v>164</v>
      </c>
      <c r="S153">
        <v>0</v>
      </c>
      <c r="U153">
        <v>-144</v>
      </c>
      <c r="V153" t="s">
        <v>86</v>
      </c>
      <c r="W153" t="s">
        <v>87</v>
      </c>
      <c r="X153" s="97">
        <f>((VLOOKUP(J153,References!$A$1:$B$23,2,0)/2)^2)*PI()*Prices!$G$81*5.45*12</f>
        <v>1.9352747928819225</v>
      </c>
      <c r="Z153" t="b">
        <v>1</v>
      </c>
      <c r="AA153" t="b">
        <v>1</v>
      </c>
      <c r="BZ153" t="s">
        <v>88</v>
      </c>
    </row>
    <row r="154" spans="1:78" ht="15" customHeight="1">
      <c r="A154" t="s">
        <v>168</v>
      </c>
      <c r="J154" t="s">
        <v>91</v>
      </c>
      <c r="M154" t="s">
        <v>85</v>
      </c>
      <c r="P154" t="s">
        <v>166</v>
      </c>
      <c r="S154">
        <v>0</v>
      </c>
      <c r="U154">
        <v>-2</v>
      </c>
      <c r="V154" t="s">
        <v>86</v>
      </c>
      <c r="W154" t="s">
        <v>87</v>
      </c>
      <c r="X154" s="97">
        <f>Prices!$G$81/4</f>
        <v>41.863207547169814</v>
      </c>
      <c r="Z154" t="b">
        <v>1</v>
      </c>
      <c r="AA154" t="b">
        <v>1</v>
      </c>
      <c r="BZ154" t="s">
        <v>88</v>
      </c>
    </row>
    <row r="155" spans="1:78" ht="15" customHeight="1">
      <c r="A155" t="s">
        <v>168</v>
      </c>
      <c r="J155" t="s">
        <v>91</v>
      </c>
      <c r="M155" t="s">
        <v>95</v>
      </c>
      <c r="P155" t="s">
        <v>164</v>
      </c>
      <c r="S155">
        <v>0</v>
      </c>
      <c r="U155">
        <v>-21</v>
      </c>
      <c r="V155" t="s">
        <v>86</v>
      </c>
      <c r="W155" t="s">
        <v>87</v>
      </c>
      <c r="X155" s="97">
        <f>((VLOOKUP(J155,References!$A$1:$B$23,2,0)/2)^2)*PI()*Prices!$G$81*5.45*12</f>
        <v>1.9352747928819225</v>
      </c>
      <c r="Z155" t="b">
        <v>1</v>
      </c>
      <c r="AA155" t="b">
        <v>1</v>
      </c>
      <c r="BZ155" t="s">
        <v>88</v>
      </c>
    </row>
    <row r="156" spans="1:78" ht="15" customHeight="1">
      <c r="A156" t="s">
        <v>168</v>
      </c>
      <c r="J156" t="s">
        <v>91</v>
      </c>
      <c r="M156" t="s">
        <v>95</v>
      </c>
      <c r="P156" t="s">
        <v>166</v>
      </c>
      <c r="S156">
        <v>0</v>
      </c>
      <c r="U156">
        <v>-9</v>
      </c>
      <c r="V156" t="s">
        <v>86</v>
      </c>
      <c r="W156" t="s">
        <v>87</v>
      </c>
      <c r="X156" s="97">
        <f>Prices!$G$81/4</f>
        <v>41.863207547169814</v>
      </c>
      <c r="Z156" t="b">
        <v>1</v>
      </c>
      <c r="AA156" t="b">
        <v>1</v>
      </c>
      <c r="BZ156" t="s">
        <v>88</v>
      </c>
    </row>
    <row r="157" spans="1:78" ht="15" customHeight="1">
      <c r="A157" t="s">
        <v>168</v>
      </c>
      <c r="J157" t="s">
        <v>178</v>
      </c>
      <c r="M157" t="s">
        <v>85</v>
      </c>
      <c r="P157" t="s">
        <v>164</v>
      </c>
      <c r="S157">
        <v>0</v>
      </c>
      <c r="U157">
        <v>0</v>
      </c>
      <c r="V157" t="s">
        <v>86</v>
      </c>
      <c r="W157" t="s">
        <v>87</v>
      </c>
      <c r="X157" s="97">
        <f>((VLOOKUP(J157,References!$A$1:$B$23,2,0)/2)^2)*PI()*Prices!$G$81*5.45*12</f>
        <v>1.6858393751326972</v>
      </c>
      <c r="Z157" t="b">
        <v>1</v>
      </c>
      <c r="AA157" t="b">
        <v>1</v>
      </c>
      <c r="BZ157" t="s">
        <v>88</v>
      </c>
    </row>
    <row r="158" spans="1:78" ht="15" customHeight="1">
      <c r="A158" t="s">
        <v>168</v>
      </c>
      <c r="J158" t="s">
        <v>178</v>
      </c>
      <c r="M158" t="s">
        <v>85</v>
      </c>
      <c r="P158" t="s">
        <v>166</v>
      </c>
      <c r="S158">
        <v>0</v>
      </c>
      <c r="U158">
        <v>0</v>
      </c>
      <c r="V158" t="s">
        <v>86</v>
      </c>
      <c r="W158" t="s">
        <v>87</v>
      </c>
      <c r="X158" s="97">
        <f>Prices!$G$81/4</f>
        <v>41.863207547169814</v>
      </c>
      <c r="Z158" t="b">
        <v>1</v>
      </c>
      <c r="AA158" t="b">
        <v>1</v>
      </c>
      <c r="BZ158" t="s">
        <v>88</v>
      </c>
    </row>
    <row r="159" spans="1:78" ht="15" customHeight="1">
      <c r="A159" t="s">
        <v>168</v>
      </c>
      <c r="J159" t="s">
        <v>178</v>
      </c>
      <c r="M159" t="s">
        <v>95</v>
      </c>
      <c r="P159" t="s">
        <v>164</v>
      </c>
      <c r="S159">
        <v>0</v>
      </c>
      <c r="U159">
        <v>-3</v>
      </c>
      <c r="V159" t="s">
        <v>86</v>
      </c>
      <c r="W159" t="s">
        <v>87</v>
      </c>
      <c r="X159" s="97">
        <f>((VLOOKUP(J159,References!$A$1:$B$23,2,0)/2)^2)*PI()*Prices!$G$81*5.45*12</f>
        <v>1.6858393751326972</v>
      </c>
      <c r="Z159" t="b">
        <v>1</v>
      </c>
      <c r="AA159" t="b">
        <v>1</v>
      </c>
      <c r="BZ159" t="s">
        <v>88</v>
      </c>
    </row>
    <row r="160" spans="1:78" ht="15" customHeight="1">
      <c r="A160" t="s">
        <v>168</v>
      </c>
      <c r="J160" t="s">
        <v>178</v>
      </c>
      <c r="M160" t="s">
        <v>95</v>
      </c>
      <c r="P160" t="s">
        <v>166</v>
      </c>
      <c r="S160">
        <v>0</v>
      </c>
      <c r="U160">
        <v>0</v>
      </c>
      <c r="V160" t="s">
        <v>86</v>
      </c>
      <c r="W160" t="s">
        <v>87</v>
      </c>
      <c r="X160" s="97">
        <f>Prices!$G$81/4</f>
        <v>41.863207547169814</v>
      </c>
      <c r="Z160" t="b">
        <v>1</v>
      </c>
      <c r="AA160" t="b">
        <v>1</v>
      </c>
      <c r="BZ160" t="s">
        <v>88</v>
      </c>
    </row>
    <row r="161" spans="1:81" ht="15" customHeight="1">
      <c r="A161" t="s">
        <v>168</v>
      </c>
      <c r="J161" t="s">
        <v>90</v>
      </c>
      <c r="M161" t="s">
        <v>85</v>
      </c>
      <c r="P161" t="s">
        <v>164</v>
      </c>
      <c r="S161">
        <v>0</v>
      </c>
      <c r="U161">
        <v>-10</v>
      </c>
      <c r="V161" t="s">
        <v>86</v>
      </c>
      <c r="W161" t="s">
        <v>87</v>
      </c>
      <c r="X161" s="97">
        <f>((VLOOKUP(J161,References!$A$1:$B$23,2,0)/2)^2)*PI()*Prices!$G$81*5.45*12</f>
        <v>1.2385758674444303</v>
      </c>
      <c r="Z161" t="b">
        <v>1</v>
      </c>
      <c r="AA161" t="b">
        <v>1</v>
      </c>
      <c r="BZ161" t="s">
        <v>88</v>
      </c>
    </row>
    <row r="162" spans="1:81" ht="15" customHeight="1">
      <c r="A162" t="s">
        <v>168</v>
      </c>
      <c r="J162" t="s">
        <v>90</v>
      </c>
      <c r="M162" t="s">
        <v>85</v>
      </c>
      <c r="P162" t="s">
        <v>166</v>
      </c>
      <c r="S162">
        <v>0</v>
      </c>
      <c r="U162">
        <v>0</v>
      </c>
      <c r="V162" t="s">
        <v>86</v>
      </c>
      <c r="W162" t="s">
        <v>87</v>
      </c>
      <c r="X162" s="97">
        <f>Prices!$G$81/4</f>
        <v>41.863207547169814</v>
      </c>
      <c r="Z162" t="b">
        <v>1</v>
      </c>
      <c r="AA162" t="b">
        <v>1</v>
      </c>
      <c r="BZ162" t="s">
        <v>88</v>
      </c>
    </row>
    <row r="163" spans="1:81" ht="15" customHeight="1">
      <c r="A163" t="s">
        <v>168</v>
      </c>
      <c r="J163" t="s">
        <v>90</v>
      </c>
      <c r="M163" t="s">
        <v>95</v>
      </c>
      <c r="P163" t="s">
        <v>164</v>
      </c>
      <c r="S163">
        <v>0</v>
      </c>
      <c r="U163">
        <v>-6</v>
      </c>
      <c r="V163" t="s">
        <v>86</v>
      </c>
      <c r="W163" t="s">
        <v>87</v>
      </c>
      <c r="X163" s="97">
        <f>((VLOOKUP(J163,References!$A$1:$B$23,2,0)/2)^2)*PI()*Prices!$G$81*5.45*12</f>
        <v>1.2385758674444303</v>
      </c>
      <c r="Z163" t="b">
        <v>1</v>
      </c>
      <c r="AA163" t="b">
        <v>1</v>
      </c>
      <c r="BZ163" t="s">
        <v>88</v>
      </c>
    </row>
    <row r="164" spans="1:81" ht="15" customHeight="1">
      <c r="A164" t="s">
        <v>168</v>
      </c>
      <c r="J164" t="s">
        <v>90</v>
      </c>
      <c r="M164" t="s">
        <v>95</v>
      </c>
      <c r="P164" t="s">
        <v>166</v>
      </c>
      <c r="S164">
        <v>0</v>
      </c>
      <c r="U164">
        <v>-56</v>
      </c>
      <c r="V164" t="s">
        <v>86</v>
      </c>
      <c r="W164" t="s">
        <v>87</v>
      </c>
      <c r="X164" s="97">
        <f>Prices!$G$81/4</f>
        <v>41.863207547169814</v>
      </c>
      <c r="Z164" t="b">
        <v>1</v>
      </c>
      <c r="AA164" t="b">
        <v>1</v>
      </c>
      <c r="BZ164" t="s">
        <v>88</v>
      </c>
    </row>
    <row r="165" spans="1:81" ht="15" customHeight="1">
      <c r="A165" t="s">
        <v>168</v>
      </c>
      <c r="J165" t="s">
        <v>83</v>
      </c>
      <c r="M165" t="s">
        <v>85</v>
      </c>
      <c r="P165" t="s">
        <v>164</v>
      </c>
      <c r="S165">
        <v>0</v>
      </c>
      <c r="U165">
        <v>0</v>
      </c>
      <c r="V165" t="s">
        <v>86</v>
      </c>
      <c r="W165" t="s">
        <v>87</v>
      </c>
      <c r="X165" s="97">
        <f>((VLOOKUP(J165,References!$A$1:$B$23,2,0)/2)^2)*PI()*Prices!$G$81*5.45*12</f>
        <v>0.86012213016974348</v>
      </c>
      <c r="Z165" t="b">
        <v>1</v>
      </c>
      <c r="AA165" t="b">
        <v>1</v>
      </c>
      <c r="BZ165" t="s">
        <v>88</v>
      </c>
    </row>
    <row r="166" spans="1:81" ht="15" customHeight="1">
      <c r="A166" t="s">
        <v>168</v>
      </c>
      <c r="J166" t="s">
        <v>83</v>
      </c>
      <c r="M166" t="s">
        <v>85</v>
      </c>
      <c r="P166" t="s">
        <v>166</v>
      </c>
      <c r="S166">
        <v>0</v>
      </c>
      <c r="U166">
        <v>-2</v>
      </c>
      <c r="V166" t="s">
        <v>86</v>
      </c>
      <c r="W166" t="s">
        <v>87</v>
      </c>
      <c r="X166" s="97">
        <f>Prices!$G$81/4</f>
        <v>41.863207547169814</v>
      </c>
      <c r="Z166" t="b">
        <v>1</v>
      </c>
      <c r="AA166" t="b">
        <v>1</v>
      </c>
      <c r="BZ166" t="s">
        <v>88</v>
      </c>
    </row>
    <row r="167" spans="1:81" ht="15" customHeight="1">
      <c r="A167" t="s">
        <v>168</v>
      </c>
      <c r="J167" t="s">
        <v>83</v>
      </c>
      <c r="M167" t="s">
        <v>95</v>
      </c>
      <c r="P167" t="s">
        <v>164</v>
      </c>
      <c r="S167">
        <v>0</v>
      </c>
      <c r="U167">
        <v>-1</v>
      </c>
      <c r="V167" t="s">
        <v>86</v>
      </c>
      <c r="W167" t="s">
        <v>87</v>
      </c>
      <c r="X167" s="97">
        <f>((VLOOKUP(J167,References!$A$1:$B$23,2,0)/2)^2)*PI()*Prices!$G$81*5.45*12</f>
        <v>0.86012213016974348</v>
      </c>
      <c r="Z167" t="b">
        <v>1</v>
      </c>
      <c r="AA167" t="b">
        <v>1</v>
      </c>
      <c r="BZ167" t="s">
        <v>88</v>
      </c>
    </row>
    <row r="168" spans="1:81" ht="15" customHeight="1">
      <c r="A168" t="s">
        <v>168</v>
      </c>
      <c r="J168" t="s">
        <v>83</v>
      </c>
      <c r="M168" t="s">
        <v>95</v>
      </c>
      <c r="P168" t="s">
        <v>166</v>
      </c>
      <c r="S168">
        <v>0</v>
      </c>
      <c r="U168">
        <v>-6</v>
      </c>
      <c r="V168" t="s">
        <v>86</v>
      </c>
      <c r="W168" t="s">
        <v>87</v>
      </c>
      <c r="X168" s="97">
        <f>Prices!$G$81/4</f>
        <v>41.863207547169814</v>
      </c>
      <c r="Z168" t="b">
        <v>1</v>
      </c>
      <c r="AA168" t="b">
        <v>1</v>
      </c>
      <c r="BZ168" t="s">
        <v>88</v>
      </c>
    </row>
    <row r="169" spans="1:81" ht="15" customHeight="1">
      <c r="A169" t="s">
        <v>179</v>
      </c>
      <c r="B169" t="s">
        <v>180</v>
      </c>
      <c r="C169" s="1" t="s">
        <v>181</v>
      </c>
      <c r="D169" t="s">
        <v>79</v>
      </c>
      <c r="E169" t="s">
        <v>113</v>
      </c>
      <c r="G169" t="s">
        <v>182</v>
      </c>
      <c r="H169" t="b">
        <v>1</v>
      </c>
      <c r="I169" t="s">
        <v>82</v>
      </c>
      <c r="J169" t="s">
        <v>183</v>
      </c>
      <c r="L169" t="s">
        <v>84</v>
      </c>
      <c r="M169" t="s">
        <v>85</v>
      </c>
      <c r="S169">
        <v>0</v>
      </c>
      <c r="U169">
        <v>0</v>
      </c>
      <c r="V169" t="s">
        <v>86</v>
      </c>
      <c r="W169" t="s">
        <v>87</v>
      </c>
      <c r="X169" s="97">
        <f>((VLOOKUP(J169,References!$A$1:$B$23,2,0)/2)^2)*PI()*Prices!$J$8*205.98996</f>
        <v>0.60756344697070375</v>
      </c>
      <c r="Z169" t="b">
        <v>1</v>
      </c>
      <c r="AA169" t="b">
        <v>1</v>
      </c>
      <c r="AC169" t="s">
        <v>370</v>
      </c>
      <c r="AD169">
        <v>1</v>
      </c>
      <c r="AE169" t="s">
        <v>184</v>
      </c>
      <c r="AF169" t="b">
        <v>0</v>
      </c>
      <c r="BZ169" t="s">
        <v>88</v>
      </c>
      <c r="CC169" t="s">
        <v>89</v>
      </c>
    </row>
    <row r="170" spans="1:81" ht="15" customHeight="1">
      <c r="A170" t="s">
        <v>179</v>
      </c>
      <c r="J170" t="s">
        <v>185</v>
      </c>
      <c r="M170" t="s">
        <v>85</v>
      </c>
      <c r="S170">
        <v>0</v>
      </c>
      <c r="U170">
        <v>0</v>
      </c>
      <c r="V170" t="s">
        <v>86</v>
      </c>
      <c r="W170" t="s">
        <v>87</v>
      </c>
      <c r="X170" s="97">
        <f>((VLOOKUP(J170,References!$A$1:$B$23,2,0)/2)^2)*PI()*Prices!$J$8*205.98996</f>
        <v>1.0801127946145843</v>
      </c>
      <c r="Z170" t="b">
        <v>1</v>
      </c>
      <c r="AA170" t="b">
        <v>1</v>
      </c>
      <c r="BZ170" t="s">
        <v>88</v>
      </c>
    </row>
    <row r="171" spans="1:81" ht="15" customHeight="1">
      <c r="A171" t="s">
        <v>179</v>
      </c>
      <c r="J171" t="s">
        <v>83</v>
      </c>
      <c r="M171" t="s">
        <v>85</v>
      </c>
      <c r="S171">
        <v>0</v>
      </c>
      <c r="U171">
        <v>0</v>
      </c>
      <c r="V171" t="s">
        <v>86</v>
      </c>
      <c r="W171" t="s">
        <v>87</v>
      </c>
      <c r="X171" s="97">
        <f>((VLOOKUP(J171,References!$A$1:$B$23,2,0)/2)^2)*PI()*Prices!$J$8*205.98996</f>
        <v>1.687676241585288</v>
      </c>
      <c r="Z171" t="b">
        <v>1</v>
      </c>
      <c r="AA171" t="b">
        <v>1</v>
      </c>
      <c r="BZ171" t="s">
        <v>88</v>
      </c>
    </row>
    <row r="172" spans="1:81" ht="15" customHeight="1">
      <c r="A172" t="s">
        <v>179</v>
      </c>
      <c r="J172" t="s">
        <v>90</v>
      </c>
      <c r="M172" t="s">
        <v>85</v>
      </c>
      <c r="S172">
        <v>0</v>
      </c>
      <c r="U172">
        <v>-12</v>
      </c>
      <c r="V172" t="s">
        <v>86</v>
      </c>
      <c r="W172" t="s">
        <v>87</v>
      </c>
      <c r="X172" s="97">
        <f>((VLOOKUP(J172,References!$A$1:$B$23,2,0)/2)^2)*PI()*Prices!$J$8*205.98996</f>
        <v>2.430253787882815</v>
      </c>
      <c r="Z172" t="b">
        <v>1</v>
      </c>
      <c r="AA172" t="b">
        <v>1</v>
      </c>
      <c r="BZ172" t="s">
        <v>88</v>
      </c>
    </row>
    <row r="173" spans="1:81" ht="15" customHeight="1">
      <c r="A173" t="s">
        <v>179</v>
      </c>
      <c r="J173" t="s">
        <v>91</v>
      </c>
      <c r="M173" t="s">
        <v>85</v>
      </c>
      <c r="S173">
        <v>0</v>
      </c>
      <c r="U173">
        <v>0</v>
      </c>
      <c r="V173" t="s">
        <v>86</v>
      </c>
      <c r="W173" t="s">
        <v>87</v>
      </c>
      <c r="X173" s="97">
        <f>((VLOOKUP(J173,References!$A$1:$B$23,2,0)/2)^2)*PI()*Prices!$J$8*205.98996</f>
        <v>3.797271543566898</v>
      </c>
      <c r="Z173" t="b">
        <v>1</v>
      </c>
      <c r="AA173" t="b">
        <v>1</v>
      </c>
      <c r="BZ173" t="s">
        <v>88</v>
      </c>
    </row>
    <row r="174" spans="1:81" ht="15" customHeight="1">
      <c r="A174" t="s">
        <v>179</v>
      </c>
      <c r="J174" t="s">
        <v>93</v>
      </c>
      <c r="M174" t="s">
        <v>85</v>
      </c>
      <c r="S174">
        <v>0</v>
      </c>
      <c r="U174">
        <v>-2</v>
      </c>
      <c r="V174" t="s">
        <v>86</v>
      </c>
      <c r="W174" t="s">
        <v>87</v>
      </c>
      <c r="X174" s="97">
        <f>((VLOOKUP(J174,References!$A$1:$B$23,2,0)/2)^2)*PI()*Prices!$J$8*205.98996</f>
        <v>6.7507049663411518</v>
      </c>
      <c r="Z174" t="b">
        <v>1</v>
      </c>
      <c r="AA174" t="b">
        <v>1</v>
      </c>
      <c r="BZ174" t="s">
        <v>88</v>
      </c>
    </row>
    <row r="175" spans="1:81" ht="15" customHeight="1">
      <c r="A175" t="s">
        <v>179</v>
      </c>
      <c r="J175" t="s">
        <v>94</v>
      </c>
      <c r="M175" t="s">
        <v>85</v>
      </c>
      <c r="S175">
        <v>0</v>
      </c>
      <c r="U175">
        <v>-36</v>
      </c>
      <c r="V175" t="s">
        <v>86</v>
      </c>
      <c r="W175" t="s">
        <v>87</v>
      </c>
      <c r="X175" s="97">
        <f>((VLOOKUP(J175,References!$A$1:$B$23,2,0)/2)^2)*PI()*Prices!$J$8*205.98996</f>
        <v>10.54797650990805</v>
      </c>
      <c r="Z175" t="b">
        <v>1</v>
      </c>
      <c r="AA175" t="b">
        <v>1</v>
      </c>
      <c r="BZ175" t="s">
        <v>88</v>
      </c>
    </row>
    <row r="176" spans="1:81" ht="15" customHeight="1">
      <c r="A176" t="s">
        <v>179</v>
      </c>
      <c r="J176" t="s">
        <v>96</v>
      </c>
      <c r="M176" t="s">
        <v>85</v>
      </c>
      <c r="S176">
        <v>0</v>
      </c>
      <c r="U176">
        <v>-12</v>
      </c>
      <c r="V176" t="s">
        <v>86</v>
      </c>
      <c r="W176" t="s">
        <v>87</v>
      </c>
      <c r="X176" s="97">
        <f>((VLOOKUP(J176,References!$A$1:$B$23,2,0)/2)^2)*PI()*Prices!$J$8*205.98996</f>
        <v>15.189086174267592</v>
      </c>
      <c r="Z176" t="b">
        <v>1</v>
      </c>
      <c r="AA176" t="b">
        <v>1</v>
      </c>
      <c r="BZ176" t="s">
        <v>88</v>
      </c>
    </row>
    <row r="177" spans="1:81" ht="15" customHeight="1">
      <c r="A177" t="s">
        <v>179</v>
      </c>
      <c r="J177" t="s">
        <v>97</v>
      </c>
      <c r="M177" t="s">
        <v>85</v>
      </c>
      <c r="S177">
        <v>0</v>
      </c>
      <c r="U177">
        <v>-6</v>
      </c>
      <c r="V177" t="s">
        <v>86</v>
      </c>
      <c r="W177" t="s">
        <v>87</v>
      </c>
      <c r="X177" s="97">
        <f>((VLOOKUP(J177,References!$A$1:$B$23,2,0)/2)^2)*PI()*Prices!$J$8*205.98996</f>
        <v>27.002819865364607</v>
      </c>
      <c r="Z177" t="b">
        <v>1</v>
      </c>
      <c r="AA177" t="b">
        <v>1</v>
      </c>
      <c r="BZ177" t="s">
        <v>88</v>
      </c>
    </row>
    <row r="178" spans="1:81" ht="15" customHeight="1">
      <c r="A178" t="s">
        <v>179</v>
      </c>
      <c r="J178" t="s">
        <v>98</v>
      </c>
      <c r="M178" t="s">
        <v>85</v>
      </c>
      <c r="S178">
        <v>0</v>
      </c>
      <c r="U178">
        <v>-9</v>
      </c>
      <c r="V178" t="s">
        <v>86</v>
      </c>
      <c r="W178" t="s">
        <v>87</v>
      </c>
      <c r="X178" s="97">
        <f>((VLOOKUP(J178,References!$A$1:$B$23,2,0)/2)^2)*PI()*Prices!$J$8*205.98996</f>
        <v>42.191906039632201</v>
      </c>
      <c r="Z178" t="b">
        <v>1</v>
      </c>
      <c r="AA178" t="b">
        <v>1</v>
      </c>
      <c r="BZ178" t="s">
        <v>88</v>
      </c>
    </row>
    <row r="179" spans="1:81" ht="15" customHeight="1">
      <c r="A179" t="s">
        <v>179</v>
      </c>
      <c r="J179" t="s">
        <v>186</v>
      </c>
      <c r="M179" t="s">
        <v>85</v>
      </c>
      <c r="S179">
        <v>0</v>
      </c>
      <c r="U179">
        <v>-7</v>
      </c>
      <c r="V179" t="s">
        <v>86</v>
      </c>
      <c r="W179" t="s">
        <v>87</v>
      </c>
      <c r="X179" s="97">
        <f>((VLOOKUP(J179,References!$A$1:$B$23,2,0)/2)^2)*PI()*Prices!$J$8*205.98996</f>
        <v>60.756344697070368</v>
      </c>
      <c r="Z179" t="b">
        <v>1</v>
      </c>
      <c r="AA179" t="b">
        <v>1</v>
      </c>
      <c r="BZ179" t="s">
        <v>88</v>
      </c>
    </row>
    <row r="180" spans="1:81" ht="15" customHeight="1">
      <c r="A180" t="s">
        <v>179</v>
      </c>
      <c r="J180" t="s">
        <v>167</v>
      </c>
      <c r="M180" t="s">
        <v>85</v>
      </c>
      <c r="S180">
        <v>0</v>
      </c>
      <c r="U180">
        <v>0</v>
      </c>
      <c r="V180" t="s">
        <v>86</v>
      </c>
      <c r="W180" t="s">
        <v>87</v>
      </c>
      <c r="X180" s="97">
        <f>((VLOOKUP(J180,References!$A$1:$B$23,2,0)/2)^2)*PI()*Prices!$J$8*205.98996</f>
        <v>108.01127946145843</v>
      </c>
      <c r="Z180" t="b">
        <v>1</v>
      </c>
      <c r="AA180" t="b">
        <v>1</v>
      </c>
      <c r="BZ180" t="s">
        <v>88</v>
      </c>
    </row>
    <row r="181" spans="1:81" ht="15" customHeight="1">
      <c r="A181" t="s">
        <v>179</v>
      </c>
      <c r="J181" t="s">
        <v>174</v>
      </c>
      <c r="M181" t="s">
        <v>85</v>
      </c>
      <c r="S181">
        <v>0</v>
      </c>
      <c r="U181">
        <v>0</v>
      </c>
      <c r="V181" t="s">
        <v>86</v>
      </c>
      <c r="W181" t="s">
        <v>87</v>
      </c>
      <c r="X181" s="97">
        <f>((VLOOKUP(J181,References!$A$1:$B$23,2,0)/2)^2)*PI()*Prices!$J$8*205.98996</f>
        <v>168.7676241585288</v>
      </c>
      <c r="Z181" t="b">
        <v>1</v>
      </c>
      <c r="AA181" t="b">
        <v>1</v>
      </c>
      <c r="BZ181" t="s">
        <v>88</v>
      </c>
    </row>
    <row r="182" spans="1:81" ht="15" customHeight="1">
      <c r="A182" t="s">
        <v>179</v>
      </c>
      <c r="J182" t="s">
        <v>173</v>
      </c>
      <c r="M182" t="s">
        <v>85</v>
      </c>
      <c r="S182">
        <v>0</v>
      </c>
      <c r="U182">
        <v>0</v>
      </c>
      <c r="V182" t="s">
        <v>86</v>
      </c>
      <c r="W182" t="s">
        <v>87</v>
      </c>
      <c r="X182" s="97">
        <f>((VLOOKUP(J182,References!$A$1:$B$23,2,0)/2)^2)*PI()*Prices!$J$8*205.98996</f>
        <v>263.69941274770127</v>
      </c>
      <c r="Z182" t="b">
        <v>1</v>
      </c>
      <c r="AA182" t="b">
        <v>1</v>
      </c>
      <c r="BZ182" t="s">
        <v>88</v>
      </c>
    </row>
    <row r="183" spans="1:81" ht="15" customHeight="1">
      <c r="A183" t="s">
        <v>187</v>
      </c>
      <c r="B183" t="s">
        <v>188</v>
      </c>
      <c r="C183" s="1" t="s">
        <v>189</v>
      </c>
      <c r="D183" t="s">
        <v>79</v>
      </c>
      <c r="E183" t="s">
        <v>113</v>
      </c>
      <c r="G183" t="s">
        <v>190</v>
      </c>
      <c r="H183" t="b">
        <v>1</v>
      </c>
      <c r="I183" t="s">
        <v>82</v>
      </c>
      <c r="J183" t="s">
        <v>97</v>
      </c>
      <c r="L183" t="s">
        <v>84</v>
      </c>
      <c r="M183" t="s">
        <v>85</v>
      </c>
      <c r="S183">
        <v>0</v>
      </c>
      <c r="U183">
        <v>0</v>
      </c>
      <c r="V183" t="s">
        <v>86</v>
      </c>
      <c r="W183" t="s">
        <v>87</v>
      </c>
      <c r="X183" s="97" t="e">
        <f>((VLOOKUP(#REF!,References!$A$1:$B$23,2,0)/2)^2)*PI()*Prices!$J$10*114.844</f>
        <v>#REF!</v>
      </c>
      <c r="Z183" t="b">
        <v>1</v>
      </c>
      <c r="AA183" t="b">
        <v>1</v>
      </c>
      <c r="AC183" t="s">
        <v>369</v>
      </c>
      <c r="AD183">
        <v>1</v>
      </c>
      <c r="AE183" t="s">
        <v>191</v>
      </c>
      <c r="AF183" t="b">
        <v>0</v>
      </c>
      <c r="BZ183" t="s">
        <v>88</v>
      </c>
      <c r="CC183" t="s">
        <v>89</v>
      </c>
    </row>
    <row r="184" spans="1:81" ht="15" customHeight="1">
      <c r="A184" t="s">
        <v>187</v>
      </c>
      <c r="J184" t="s">
        <v>97</v>
      </c>
      <c r="M184" t="s">
        <v>95</v>
      </c>
      <c r="S184">
        <v>0</v>
      </c>
      <c r="U184">
        <v>-6</v>
      </c>
      <c r="V184" t="s">
        <v>86</v>
      </c>
      <c r="W184" t="s">
        <v>87</v>
      </c>
      <c r="X184" s="97" t="e">
        <f>((VLOOKUP(#REF!,References!$A$1:$B$23,2,0)/2)^2)*PI()*Prices!$J$10*114.844</f>
        <v>#REF!</v>
      </c>
      <c r="Z184" t="b">
        <v>1</v>
      </c>
      <c r="AA184" t="b">
        <v>1</v>
      </c>
      <c r="BZ184" t="s">
        <v>88</v>
      </c>
    </row>
    <row r="185" spans="1:81" ht="15" customHeight="1">
      <c r="A185" t="s">
        <v>192</v>
      </c>
      <c r="B185" t="s">
        <v>193</v>
      </c>
      <c r="C185" s="1" t="s">
        <v>194</v>
      </c>
      <c r="D185" t="s">
        <v>79</v>
      </c>
      <c r="E185" t="s">
        <v>113</v>
      </c>
      <c r="F185" t="s">
        <v>81</v>
      </c>
      <c r="G185" t="s">
        <v>195</v>
      </c>
      <c r="H185" t="b">
        <v>1</v>
      </c>
      <c r="I185" t="s">
        <v>82</v>
      </c>
      <c r="J185" t="s">
        <v>171</v>
      </c>
      <c r="L185" t="s">
        <v>84</v>
      </c>
      <c r="M185" t="s">
        <v>85</v>
      </c>
      <c r="O185" t="s">
        <v>163</v>
      </c>
      <c r="P185" t="s">
        <v>164</v>
      </c>
      <c r="S185">
        <v>0</v>
      </c>
      <c r="U185">
        <v>-7</v>
      </c>
      <c r="V185" t="s">
        <v>86</v>
      </c>
      <c r="W185" t="s">
        <v>87</v>
      </c>
      <c r="X185" s="97">
        <f>((VLOOKUP(J185,References!$A$1:$B$23,2,0)/2)^2)*PI()*Prices!$D$109*5.45*12</f>
        <v>83.198681889735013</v>
      </c>
      <c r="Z185" t="b">
        <v>1</v>
      </c>
      <c r="AA185" t="b">
        <v>1</v>
      </c>
      <c r="AC185" t="s">
        <v>368</v>
      </c>
      <c r="AD185">
        <v>1</v>
      </c>
      <c r="AE185" t="s">
        <v>196</v>
      </c>
      <c r="AF185" t="b">
        <v>0</v>
      </c>
      <c r="BZ185" t="s">
        <v>88</v>
      </c>
      <c r="CC185" t="s">
        <v>89</v>
      </c>
    </row>
    <row r="186" spans="1:81" ht="15" customHeight="1">
      <c r="A186" t="s">
        <v>192</v>
      </c>
      <c r="J186" t="s">
        <v>171</v>
      </c>
      <c r="M186" t="s">
        <v>85</v>
      </c>
      <c r="P186" t="s">
        <v>197</v>
      </c>
      <c r="S186">
        <v>0</v>
      </c>
      <c r="U186">
        <v>0</v>
      </c>
      <c r="V186" t="s">
        <v>86</v>
      </c>
      <c r="W186" t="s">
        <v>87</v>
      </c>
      <c r="X186" s="97">
        <f>Prices!$D$109</f>
        <v>63.271604938271601</v>
      </c>
      <c r="Z186" t="b">
        <v>1</v>
      </c>
      <c r="AA186" t="b">
        <v>1</v>
      </c>
      <c r="BZ186" t="s">
        <v>88</v>
      </c>
    </row>
    <row r="187" spans="1:81" ht="15" customHeight="1">
      <c r="A187" t="s">
        <v>192</v>
      </c>
      <c r="J187" t="s">
        <v>171</v>
      </c>
      <c r="M187" t="s">
        <v>95</v>
      </c>
      <c r="P187" t="s">
        <v>164</v>
      </c>
      <c r="S187">
        <v>0</v>
      </c>
      <c r="U187">
        <v>0</v>
      </c>
      <c r="V187" t="s">
        <v>86</v>
      </c>
      <c r="W187" t="s">
        <v>87</v>
      </c>
      <c r="X187" s="97">
        <f>((VLOOKUP(J187,References!$A$1:$B$23,2,0)/2)^2)*PI()*Prices!$D$109*5.45*12</f>
        <v>83.198681889735013</v>
      </c>
      <c r="Z187" t="b">
        <v>1</v>
      </c>
      <c r="AA187" t="b">
        <v>1</v>
      </c>
      <c r="BZ187" t="s">
        <v>88</v>
      </c>
    </row>
    <row r="188" spans="1:81" ht="15" customHeight="1">
      <c r="A188" t="s">
        <v>192</v>
      </c>
      <c r="J188" t="s">
        <v>171</v>
      </c>
      <c r="M188" t="s">
        <v>95</v>
      </c>
      <c r="P188" t="s">
        <v>197</v>
      </c>
      <c r="S188">
        <v>0</v>
      </c>
      <c r="U188">
        <v>0</v>
      </c>
      <c r="V188" t="s">
        <v>86</v>
      </c>
      <c r="W188" t="s">
        <v>87</v>
      </c>
      <c r="X188" s="97">
        <f>Prices!$D$109</f>
        <v>63.271604938271601</v>
      </c>
      <c r="Z188" t="b">
        <v>1</v>
      </c>
      <c r="AA188" t="b">
        <v>1</v>
      </c>
      <c r="BZ188" t="s">
        <v>88</v>
      </c>
    </row>
    <row r="189" spans="1:81" ht="15" customHeight="1">
      <c r="A189" t="s">
        <v>192</v>
      </c>
      <c r="J189" t="s">
        <v>173</v>
      </c>
      <c r="M189" t="s">
        <v>85</v>
      </c>
      <c r="P189" t="s">
        <v>164</v>
      </c>
      <c r="S189">
        <v>0</v>
      </c>
      <c r="U189">
        <v>-8</v>
      </c>
      <c r="V189" t="s">
        <v>86</v>
      </c>
      <c r="W189" t="s">
        <v>87</v>
      </c>
      <c r="X189" s="97">
        <f>((VLOOKUP(J189,References!$A$1:$B$23,2,0)/2)^2)*PI()*Prices!$D$109*5.45*12</f>
        <v>50.780445489340224</v>
      </c>
      <c r="Z189" t="b">
        <v>1</v>
      </c>
      <c r="AA189" t="b">
        <v>1</v>
      </c>
      <c r="BZ189" t="s">
        <v>88</v>
      </c>
    </row>
    <row r="190" spans="1:81" ht="15" customHeight="1">
      <c r="A190" t="s">
        <v>192</v>
      </c>
      <c r="J190" t="s">
        <v>173</v>
      </c>
      <c r="M190" t="s">
        <v>85</v>
      </c>
      <c r="P190" t="s">
        <v>197</v>
      </c>
      <c r="S190">
        <v>0</v>
      </c>
      <c r="U190">
        <v>0</v>
      </c>
      <c r="V190" t="s">
        <v>86</v>
      </c>
      <c r="W190" t="s">
        <v>87</v>
      </c>
      <c r="X190" s="97">
        <f>Prices!$D$109</f>
        <v>63.271604938271601</v>
      </c>
      <c r="Z190" t="b">
        <v>1</v>
      </c>
      <c r="AA190" t="b">
        <v>1</v>
      </c>
      <c r="BZ190" t="s">
        <v>88</v>
      </c>
    </row>
    <row r="191" spans="1:81" ht="15" customHeight="1">
      <c r="A191" t="s">
        <v>192</v>
      </c>
      <c r="J191" t="s">
        <v>173</v>
      </c>
      <c r="M191" t="s">
        <v>95</v>
      </c>
      <c r="P191" t="s">
        <v>164</v>
      </c>
      <c r="S191">
        <v>0</v>
      </c>
      <c r="U191">
        <v>-3</v>
      </c>
      <c r="V191" t="s">
        <v>86</v>
      </c>
      <c r="W191" t="s">
        <v>87</v>
      </c>
      <c r="X191" s="97">
        <f>((VLOOKUP(J191,References!$A$1:$B$23,2,0)/2)^2)*PI()*Prices!$D$109*5.45*12</f>
        <v>50.780445489340224</v>
      </c>
      <c r="Z191" t="b">
        <v>1</v>
      </c>
      <c r="AA191" t="b">
        <v>1</v>
      </c>
      <c r="BZ191" t="s">
        <v>88</v>
      </c>
    </row>
    <row r="192" spans="1:81" ht="15" customHeight="1">
      <c r="A192" t="s">
        <v>192</v>
      </c>
      <c r="J192" t="s">
        <v>173</v>
      </c>
      <c r="M192" t="s">
        <v>95</v>
      </c>
      <c r="P192" t="s">
        <v>197</v>
      </c>
      <c r="S192">
        <v>0</v>
      </c>
      <c r="U192">
        <v>0</v>
      </c>
      <c r="V192" t="s">
        <v>86</v>
      </c>
      <c r="W192" t="s">
        <v>87</v>
      </c>
      <c r="X192" s="97">
        <f>Prices!$D$109</f>
        <v>63.271604938271601</v>
      </c>
      <c r="Z192" t="b">
        <v>1</v>
      </c>
      <c r="AA192" t="b">
        <v>1</v>
      </c>
      <c r="BZ192" t="s">
        <v>88</v>
      </c>
    </row>
    <row r="193" spans="1:78" ht="15" customHeight="1">
      <c r="A193" t="s">
        <v>192</v>
      </c>
      <c r="J193" t="s">
        <v>174</v>
      </c>
      <c r="M193" t="s">
        <v>85</v>
      </c>
      <c r="P193" t="s">
        <v>164</v>
      </c>
      <c r="S193">
        <v>0</v>
      </c>
      <c r="U193">
        <v>-16</v>
      </c>
      <c r="V193" t="s">
        <v>86</v>
      </c>
      <c r="W193" t="s">
        <v>87</v>
      </c>
      <c r="X193" s="97">
        <f>((VLOOKUP(J193,References!$A$1:$B$23,2,0)/2)^2)*PI()*Prices!$D$109*5.45*12</f>
        <v>32.499485113177748</v>
      </c>
      <c r="Z193" t="b">
        <v>1</v>
      </c>
      <c r="AA193" t="b">
        <v>1</v>
      </c>
      <c r="BZ193" t="s">
        <v>88</v>
      </c>
    </row>
    <row r="194" spans="1:78" ht="15" customHeight="1">
      <c r="A194" t="s">
        <v>192</v>
      </c>
      <c r="J194" t="s">
        <v>174</v>
      </c>
      <c r="M194" t="s">
        <v>85</v>
      </c>
      <c r="P194" t="s">
        <v>197</v>
      </c>
      <c r="S194">
        <v>0</v>
      </c>
      <c r="U194">
        <v>0</v>
      </c>
      <c r="V194" t="s">
        <v>86</v>
      </c>
      <c r="W194" t="s">
        <v>87</v>
      </c>
      <c r="X194" s="97">
        <f>Prices!$D$109</f>
        <v>63.271604938271601</v>
      </c>
      <c r="Z194" t="b">
        <v>1</v>
      </c>
      <c r="AA194" t="b">
        <v>1</v>
      </c>
      <c r="BZ194" t="s">
        <v>88</v>
      </c>
    </row>
    <row r="195" spans="1:78" ht="15" customHeight="1">
      <c r="A195" t="s">
        <v>192</v>
      </c>
      <c r="J195" t="s">
        <v>174</v>
      </c>
      <c r="M195" t="s">
        <v>95</v>
      </c>
      <c r="P195" t="s">
        <v>164</v>
      </c>
      <c r="S195">
        <v>0</v>
      </c>
      <c r="U195">
        <v>0</v>
      </c>
      <c r="V195" t="s">
        <v>86</v>
      </c>
      <c r="W195" t="s">
        <v>87</v>
      </c>
      <c r="X195" s="97">
        <f>((VLOOKUP(J195,References!$A$1:$B$23,2,0)/2)^2)*PI()*Prices!$D$109*5.45*12</f>
        <v>32.499485113177748</v>
      </c>
      <c r="Z195" t="b">
        <v>1</v>
      </c>
      <c r="AA195" t="b">
        <v>1</v>
      </c>
      <c r="BZ195" t="s">
        <v>88</v>
      </c>
    </row>
    <row r="196" spans="1:78" ht="15" customHeight="1">
      <c r="A196" t="s">
        <v>192</v>
      </c>
      <c r="J196" t="s">
        <v>174</v>
      </c>
      <c r="M196" t="s">
        <v>95</v>
      </c>
      <c r="P196" t="s">
        <v>197</v>
      </c>
      <c r="S196">
        <v>0</v>
      </c>
      <c r="U196">
        <v>0</v>
      </c>
      <c r="V196" t="s">
        <v>86</v>
      </c>
      <c r="W196" t="s">
        <v>87</v>
      </c>
      <c r="X196" s="97">
        <f>Prices!$D$109</f>
        <v>63.271604938271601</v>
      </c>
      <c r="Z196" t="b">
        <v>1</v>
      </c>
      <c r="AA196" t="b">
        <v>1</v>
      </c>
      <c r="BZ196" t="s">
        <v>88</v>
      </c>
    </row>
    <row r="197" spans="1:78" ht="15" customHeight="1">
      <c r="A197" t="s">
        <v>192</v>
      </c>
      <c r="J197" t="s">
        <v>175</v>
      </c>
      <c r="M197" t="s">
        <v>85</v>
      </c>
      <c r="P197" t="s">
        <v>164</v>
      </c>
      <c r="S197">
        <v>0</v>
      </c>
      <c r="U197">
        <v>-15</v>
      </c>
      <c r="V197" t="s">
        <v>86</v>
      </c>
      <c r="W197" t="s">
        <v>87</v>
      </c>
      <c r="X197" s="97">
        <f>((VLOOKUP(J197,References!$A$1:$B$23,2,0)/2)^2)*PI()*Prices!$D$109*5.45*12</f>
        <v>26.324582941673974</v>
      </c>
      <c r="Z197" t="b">
        <v>1</v>
      </c>
      <c r="AA197" t="b">
        <v>1</v>
      </c>
      <c r="BZ197" t="s">
        <v>88</v>
      </c>
    </row>
    <row r="198" spans="1:78" ht="15" customHeight="1">
      <c r="A198" t="s">
        <v>192</v>
      </c>
      <c r="J198" t="s">
        <v>175</v>
      </c>
      <c r="M198" t="s">
        <v>85</v>
      </c>
      <c r="P198" t="s">
        <v>197</v>
      </c>
      <c r="S198">
        <v>0</v>
      </c>
      <c r="U198">
        <v>0</v>
      </c>
      <c r="V198" t="s">
        <v>86</v>
      </c>
      <c r="W198" t="s">
        <v>87</v>
      </c>
      <c r="X198" s="97">
        <f>Prices!$D$109</f>
        <v>63.271604938271601</v>
      </c>
      <c r="Z198" t="b">
        <v>1</v>
      </c>
      <c r="AA198" t="b">
        <v>1</v>
      </c>
      <c r="BZ198" t="s">
        <v>88</v>
      </c>
    </row>
    <row r="199" spans="1:78" ht="15" customHeight="1">
      <c r="A199" t="s">
        <v>192</v>
      </c>
      <c r="J199" t="s">
        <v>175</v>
      </c>
      <c r="M199" t="s">
        <v>95</v>
      </c>
      <c r="P199" t="s">
        <v>164</v>
      </c>
      <c r="S199">
        <v>0</v>
      </c>
      <c r="U199">
        <v>0</v>
      </c>
      <c r="V199" t="s">
        <v>86</v>
      </c>
      <c r="W199" t="s">
        <v>87</v>
      </c>
      <c r="X199" s="97">
        <f>((VLOOKUP(J199,References!$A$1:$B$23,2,0)/2)^2)*PI()*Prices!$D$109*5.45*12</f>
        <v>26.324582941673974</v>
      </c>
      <c r="Z199" t="b">
        <v>1</v>
      </c>
      <c r="AA199" t="b">
        <v>1</v>
      </c>
      <c r="BZ199" t="s">
        <v>88</v>
      </c>
    </row>
    <row r="200" spans="1:78" ht="15" customHeight="1">
      <c r="A200" t="s">
        <v>192</v>
      </c>
      <c r="J200" t="s">
        <v>175</v>
      </c>
      <c r="M200" t="s">
        <v>95</v>
      </c>
      <c r="P200" t="s">
        <v>197</v>
      </c>
      <c r="S200">
        <v>0</v>
      </c>
      <c r="U200">
        <v>0</v>
      </c>
      <c r="V200" t="s">
        <v>86</v>
      </c>
      <c r="W200" t="s">
        <v>87</v>
      </c>
      <c r="X200" s="97">
        <f>Prices!$D$109</f>
        <v>63.271604938271601</v>
      </c>
      <c r="Z200" t="b">
        <v>1</v>
      </c>
      <c r="AA200" t="b">
        <v>1</v>
      </c>
      <c r="BZ200" t="s">
        <v>88</v>
      </c>
    </row>
    <row r="201" spans="1:78" ht="15" customHeight="1">
      <c r="A201" t="s">
        <v>192</v>
      </c>
      <c r="J201" t="s">
        <v>167</v>
      </c>
      <c r="M201" t="s">
        <v>85</v>
      </c>
      <c r="P201" t="s">
        <v>164</v>
      </c>
      <c r="S201">
        <v>0</v>
      </c>
      <c r="U201">
        <v>-32</v>
      </c>
      <c r="V201" t="s">
        <v>86</v>
      </c>
      <c r="W201" t="s">
        <v>87</v>
      </c>
      <c r="X201" s="97">
        <f>((VLOOKUP(J201,References!$A$1:$B$23,2,0)/2)^2)*PI()*Prices!$D$109*5.45*12</f>
        <v>20.799670472433753</v>
      </c>
      <c r="Z201" t="b">
        <v>1</v>
      </c>
      <c r="AA201" t="b">
        <v>1</v>
      </c>
      <c r="BZ201" t="s">
        <v>88</v>
      </c>
    </row>
    <row r="202" spans="1:78" ht="15" customHeight="1">
      <c r="A202" t="s">
        <v>192</v>
      </c>
      <c r="J202" t="s">
        <v>167</v>
      </c>
      <c r="M202" t="s">
        <v>85</v>
      </c>
      <c r="P202" t="s">
        <v>197</v>
      </c>
      <c r="S202">
        <v>0</v>
      </c>
      <c r="U202">
        <v>0</v>
      </c>
      <c r="V202" t="s">
        <v>86</v>
      </c>
      <c r="W202" t="s">
        <v>87</v>
      </c>
      <c r="X202" s="97">
        <f>Prices!$D$109</f>
        <v>63.271604938271601</v>
      </c>
      <c r="Z202" t="b">
        <v>1</v>
      </c>
      <c r="AA202" t="b">
        <v>1</v>
      </c>
      <c r="BZ202" t="s">
        <v>88</v>
      </c>
    </row>
    <row r="203" spans="1:78" ht="15" customHeight="1">
      <c r="A203" t="s">
        <v>192</v>
      </c>
      <c r="J203" t="s">
        <v>167</v>
      </c>
      <c r="M203" t="s">
        <v>95</v>
      </c>
      <c r="P203" t="s">
        <v>164</v>
      </c>
      <c r="S203">
        <v>0</v>
      </c>
      <c r="U203">
        <v>-1</v>
      </c>
      <c r="V203" t="s">
        <v>86</v>
      </c>
      <c r="W203" t="s">
        <v>87</v>
      </c>
      <c r="X203" s="97">
        <f>((VLOOKUP(J203,References!$A$1:$B$23,2,0)/2)^2)*PI()*Prices!$D$109*5.45*12</f>
        <v>20.799670472433753</v>
      </c>
      <c r="Z203" t="b">
        <v>1</v>
      </c>
      <c r="AA203" t="b">
        <v>1</v>
      </c>
      <c r="BZ203" t="s">
        <v>88</v>
      </c>
    </row>
    <row r="204" spans="1:78" ht="15" customHeight="1">
      <c r="A204" t="s">
        <v>192</v>
      </c>
      <c r="J204" t="s">
        <v>167</v>
      </c>
      <c r="M204" t="s">
        <v>95</v>
      </c>
      <c r="P204" t="s">
        <v>197</v>
      </c>
      <c r="S204">
        <v>0</v>
      </c>
      <c r="U204">
        <v>0</v>
      </c>
      <c r="V204" t="s">
        <v>86</v>
      </c>
      <c r="W204" t="s">
        <v>87</v>
      </c>
      <c r="X204" s="97">
        <f>Prices!$D$109</f>
        <v>63.271604938271601</v>
      </c>
      <c r="Z204" t="b">
        <v>1</v>
      </c>
      <c r="AA204" t="b">
        <v>1</v>
      </c>
      <c r="BZ204" t="s">
        <v>88</v>
      </c>
    </row>
    <row r="205" spans="1:78" ht="15" customHeight="1">
      <c r="A205" t="s">
        <v>192</v>
      </c>
      <c r="J205" t="s">
        <v>198</v>
      </c>
      <c r="M205" t="s">
        <v>85</v>
      </c>
      <c r="P205" t="s">
        <v>164</v>
      </c>
      <c r="S205">
        <v>0</v>
      </c>
      <c r="U205">
        <v>-4</v>
      </c>
      <c r="V205" t="s">
        <v>86</v>
      </c>
      <c r="W205" t="s">
        <v>87</v>
      </c>
      <c r="X205" s="97">
        <f>((VLOOKUP(J205,References!$A$1:$B$23,2,0)/2)^2)*PI()*Prices!$D$109*5.45*12</f>
        <v>15.924747705457095</v>
      </c>
      <c r="Z205" t="b">
        <v>1</v>
      </c>
      <c r="AA205" t="b">
        <v>1</v>
      </c>
      <c r="BZ205" t="s">
        <v>88</v>
      </c>
    </row>
    <row r="206" spans="1:78" ht="15" customHeight="1">
      <c r="A206" t="s">
        <v>192</v>
      </c>
      <c r="J206" t="s">
        <v>198</v>
      </c>
      <c r="M206" t="s">
        <v>85</v>
      </c>
      <c r="P206" t="s">
        <v>197</v>
      </c>
      <c r="S206">
        <v>0</v>
      </c>
      <c r="U206">
        <v>0</v>
      </c>
      <c r="V206" t="s">
        <v>86</v>
      </c>
      <c r="W206" t="s">
        <v>87</v>
      </c>
      <c r="X206" s="97">
        <f>Prices!$D$109</f>
        <v>63.271604938271601</v>
      </c>
      <c r="Z206" t="b">
        <v>1</v>
      </c>
      <c r="AA206" t="b">
        <v>1</v>
      </c>
      <c r="BZ206" t="s">
        <v>88</v>
      </c>
    </row>
    <row r="207" spans="1:78" ht="15" customHeight="1">
      <c r="A207" t="s">
        <v>192</v>
      </c>
      <c r="J207" t="s">
        <v>198</v>
      </c>
      <c r="M207" t="s">
        <v>95</v>
      </c>
      <c r="P207" t="s">
        <v>164</v>
      </c>
      <c r="S207">
        <v>0</v>
      </c>
      <c r="U207">
        <v>0</v>
      </c>
      <c r="V207" t="s">
        <v>86</v>
      </c>
      <c r="W207" t="s">
        <v>87</v>
      </c>
      <c r="X207" s="97">
        <f>((VLOOKUP(J207,References!$A$1:$B$23,2,0)/2)^2)*PI()*Prices!$D$109*5.45*12</f>
        <v>15.924747705457095</v>
      </c>
      <c r="Z207" t="b">
        <v>1</v>
      </c>
      <c r="AA207" t="b">
        <v>1</v>
      </c>
      <c r="BZ207" t="s">
        <v>88</v>
      </c>
    </row>
    <row r="208" spans="1:78" ht="15" customHeight="1">
      <c r="A208" t="s">
        <v>192</v>
      </c>
      <c r="J208" t="s">
        <v>198</v>
      </c>
      <c r="M208" t="s">
        <v>95</v>
      </c>
      <c r="P208" t="s">
        <v>197</v>
      </c>
      <c r="S208">
        <v>0</v>
      </c>
      <c r="U208">
        <v>0</v>
      </c>
      <c r="V208" t="s">
        <v>86</v>
      </c>
      <c r="W208" t="s">
        <v>87</v>
      </c>
      <c r="X208" s="97">
        <f>Prices!$D$109</f>
        <v>63.271604938271601</v>
      </c>
      <c r="Z208" t="b">
        <v>1</v>
      </c>
      <c r="AA208" t="b">
        <v>1</v>
      </c>
      <c r="BZ208" t="s">
        <v>88</v>
      </c>
    </row>
    <row r="209" spans="1:78" ht="15" customHeight="1">
      <c r="A209" t="s">
        <v>192</v>
      </c>
      <c r="J209" t="s">
        <v>186</v>
      </c>
      <c r="M209" t="s">
        <v>85</v>
      </c>
      <c r="P209" t="s">
        <v>164</v>
      </c>
      <c r="S209">
        <v>0</v>
      </c>
      <c r="U209">
        <v>-19</v>
      </c>
      <c r="V209" t="s">
        <v>86</v>
      </c>
      <c r="W209" t="s">
        <v>87</v>
      </c>
      <c r="X209" s="97">
        <f>((VLOOKUP(J209,References!$A$1:$B$23,2,0)/2)^2)*PI()*Prices!$D$109*5.45*12</f>
        <v>11.699814640743986</v>
      </c>
      <c r="Z209" t="b">
        <v>1</v>
      </c>
      <c r="AA209" t="b">
        <v>1</v>
      </c>
      <c r="BZ209" t="s">
        <v>88</v>
      </c>
    </row>
    <row r="210" spans="1:78" ht="15" customHeight="1">
      <c r="A210" t="s">
        <v>192</v>
      </c>
      <c r="J210" t="s">
        <v>186</v>
      </c>
      <c r="M210" t="s">
        <v>85</v>
      </c>
      <c r="P210" t="s">
        <v>197</v>
      </c>
      <c r="S210">
        <v>0</v>
      </c>
      <c r="U210">
        <v>0</v>
      </c>
      <c r="V210" t="s">
        <v>86</v>
      </c>
      <c r="W210" t="s">
        <v>87</v>
      </c>
      <c r="X210" s="97">
        <f>Prices!$D$109</f>
        <v>63.271604938271601</v>
      </c>
      <c r="Z210" t="b">
        <v>1</v>
      </c>
      <c r="AA210" t="b">
        <v>1</v>
      </c>
      <c r="BZ210" t="s">
        <v>88</v>
      </c>
    </row>
    <row r="211" spans="1:78" ht="15" customHeight="1">
      <c r="A211" t="s">
        <v>192</v>
      </c>
      <c r="J211" t="s">
        <v>186</v>
      </c>
      <c r="M211" t="s">
        <v>95</v>
      </c>
      <c r="P211" t="s">
        <v>164</v>
      </c>
      <c r="S211">
        <v>0</v>
      </c>
      <c r="U211">
        <v>-1</v>
      </c>
      <c r="V211" t="s">
        <v>86</v>
      </c>
      <c r="W211" t="s">
        <v>87</v>
      </c>
      <c r="X211" s="97">
        <f>((VLOOKUP(J211,References!$A$1:$B$23,2,0)/2)^2)*PI()*Prices!$D$109*5.45*12</f>
        <v>11.699814640743986</v>
      </c>
      <c r="Z211" t="b">
        <v>1</v>
      </c>
      <c r="AA211" t="b">
        <v>1</v>
      </c>
      <c r="BZ211" t="s">
        <v>88</v>
      </c>
    </row>
    <row r="212" spans="1:78" ht="15" customHeight="1">
      <c r="A212" t="s">
        <v>192</v>
      </c>
      <c r="J212" t="s">
        <v>186</v>
      </c>
      <c r="M212" t="s">
        <v>95</v>
      </c>
      <c r="P212" t="s">
        <v>197</v>
      </c>
      <c r="S212">
        <v>0</v>
      </c>
      <c r="U212">
        <v>0</v>
      </c>
      <c r="V212" t="s">
        <v>86</v>
      </c>
      <c r="W212" t="s">
        <v>87</v>
      </c>
      <c r="X212" s="97">
        <f>Prices!$D$109</f>
        <v>63.271604938271601</v>
      </c>
      <c r="Z212" t="b">
        <v>1</v>
      </c>
      <c r="AA212" t="b">
        <v>1</v>
      </c>
      <c r="BZ212" t="s">
        <v>88</v>
      </c>
    </row>
    <row r="213" spans="1:78" ht="15" customHeight="1">
      <c r="A213" t="s">
        <v>192</v>
      </c>
      <c r="J213" t="s">
        <v>98</v>
      </c>
      <c r="M213" t="s">
        <v>85</v>
      </c>
      <c r="P213" t="s">
        <v>164</v>
      </c>
      <c r="S213">
        <v>0</v>
      </c>
      <c r="U213">
        <v>-251</v>
      </c>
      <c r="V213" t="s">
        <v>86</v>
      </c>
      <c r="W213" t="s">
        <v>87</v>
      </c>
      <c r="X213" s="97">
        <f>((VLOOKUP(J213,References!$A$1:$B$23,2,0)/2)^2)*PI()*Prices!$D$109*5.45*12</f>
        <v>8.124871278294437</v>
      </c>
      <c r="Z213" t="b">
        <v>1</v>
      </c>
      <c r="AA213" t="b">
        <v>1</v>
      </c>
      <c r="BZ213" t="s">
        <v>88</v>
      </c>
    </row>
    <row r="214" spans="1:78" ht="15" customHeight="1">
      <c r="A214" t="s">
        <v>192</v>
      </c>
      <c r="J214" t="s">
        <v>98</v>
      </c>
      <c r="M214" t="s">
        <v>85</v>
      </c>
      <c r="P214" t="s">
        <v>197</v>
      </c>
      <c r="S214">
        <v>0</v>
      </c>
      <c r="U214">
        <v>0</v>
      </c>
      <c r="V214" t="s">
        <v>86</v>
      </c>
      <c r="W214" t="s">
        <v>87</v>
      </c>
      <c r="X214" s="97">
        <f>Prices!$D$109</f>
        <v>63.271604938271601</v>
      </c>
      <c r="Z214" t="b">
        <v>1</v>
      </c>
      <c r="AA214" t="b">
        <v>1</v>
      </c>
      <c r="BZ214" t="s">
        <v>88</v>
      </c>
    </row>
    <row r="215" spans="1:78" ht="15" customHeight="1">
      <c r="A215" t="s">
        <v>192</v>
      </c>
      <c r="J215" t="s">
        <v>98</v>
      </c>
      <c r="M215" t="s">
        <v>95</v>
      </c>
      <c r="P215" t="s">
        <v>164</v>
      </c>
      <c r="S215">
        <v>0</v>
      </c>
      <c r="U215">
        <v>-6</v>
      </c>
      <c r="V215" t="s">
        <v>86</v>
      </c>
      <c r="W215" t="s">
        <v>87</v>
      </c>
      <c r="X215" s="97">
        <f>((VLOOKUP(J215,References!$A$1:$B$23,2,0)/2)^2)*PI()*Prices!$D$109*5.45*12</f>
        <v>8.124871278294437</v>
      </c>
      <c r="Z215" t="b">
        <v>1</v>
      </c>
      <c r="AA215" t="b">
        <v>1</v>
      </c>
      <c r="BZ215" t="s">
        <v>88</v>
      </c>
    </row>
    <row r="216" spans="1:78" ht="15" customHeight="1">
      <c r="A216" t="s">
        <v>192</v>
      </c>
      <c r="J216" t="s">
        <v>98</v>
      </c>
      <c r="M216" t="s">
        <v>95</v>
      </c>
      <c r="P216" t="s">
        <v>197</v>
      </c>
      <c r="S216">
        <v>0</v>
      </c>
      <c r="U216">
        <v>0</v>
      </c>
      <c r="V216" t="s">
        <v>86</v>
      </c>
      <c r="W216" t="s">
        <v>87</v>
      </c>
      <c r="X216" s="97">
        <f>Prices!$D$109</f>
        <v>63.271604938271601</v>
      </c>
      <c r="Z216" t="b">
        <v>1</v>
      </c>
      <c r="AA216" t="b">
        <v>1</v>
      </c>
      <c r="BZ216" t="s">
        <v>88</v>
      </c>
    </row>
    <row r="217" spans="1:78" ht="15" customHeight="1">
      <c r="A217" t="s">
        <v>192</v>
      </c>
      <c r="J217" t="s">
        <v>176</v>
      </c>
      <c r="M217" t="s">
        <v>85</v>
      </c>
      <c r="P217" t="s">
        <v>164</v>
      </c>
      <c r="S217">
        <v>0</v>
      </c>
      <c r="U217">
        <v>-6</v>
      </c>
      <c r="V217" t="s">
        <v>86</v>
      </c>
      <c r="W217" t="s">
        <v>87</v>
      </c>
      <c r="X217" s="97">
        <f>((VLOOKUP(J217,References!$A$1:$B$23,2,0)/2)^2)*PI()*Prices!$D$109*5.45*12</f>
        <v>6.5811457354184935</v>
      </c>
      <c r="Z217" t="b">
        <v>1</v>
      </c>
      <c r="AA217" t="b">
        <v>1</v>
      </c>
      <c r="BZ217" t="s">
        <v>88</v>
      </c>
    </row>
    <row r="218" spans="1:78" ht="15" customHeight="1">
      <c r="A218" t="s">
        <v>192</v>
      </c>
      <c r="J218" t="s">
        <v>176</v>
      </c>
      <c r="M218" t="s">
        <v>85</v>
      </c>
      <c r="P218" t="s">
        <v>197</v>
      </c>
      <c r="S218">
        <v>0</v>
      </c>
      <c r="U218">
        <v>0</v>
      </c>
      <c r="V218" t="s">
        <v>86</v>
      </c>
      <c r="W218" t="s">
        <v>87</v>
      </c>
      <c r="X218" s="97">
        <f>Prices!$D$109</f>
        <v>63.271604938271601</v>
      </c>
      <c r="Z218" t="b">
        <v>1</v>
      </c>
      <c r="AA218" t="b">
        <v>1</v>
      </c>
      <c r="BZ218" t="s">
        <v>88</v>
      </c>
    </row>
    <row r="219" spans="1:78" ht="15" customHeight="1">
      <c r="A219" t="s">
        <v>192</v>
      </c>
      <c r="J219" t="s">
        <v>176</v>
      </c>
      <c r="M219" t="s">
        <v>95</v>
      </c>
      <c r="P219" t="s">
        <v>164</v>
      </c>
      <c r="S219">
        <v>0</v>
      </c>
      <c r="U219">
        <v>0</v>
      </c>
      <c r="V219" t="s">
        <v>86</v>
      </c>
      <c r="W219" t="s">
        <v>87</v>
      </c>
      <c r="X219" s="97">
        <f>((VLOOKUP(J219,References!$A$1:$B$23,2,0)/2)^2)*PI()*Prices!$D$109*5.45*12</f>
        <v>6.5811457354184935</v>
      </c>
      <c r="Z219" t="b">
        <v>1</v>
      </c>
      <c r="AA219" t="b">
        <v>1</v>
      </c>
      <c r="BZ219" t="s">
        <v>88</v>
      </c>
    </row>
    <row r="220" spans="1:78" ht="15" customHeight="1">
      <c r="A220" t="s">
        <v>192</v>
      </c>
      <c r="J220" t="s">
        <v>176</v>
      </c>
      <c r="M220" t="s">
        <v>95</v>
      </c>
      <c r="P220" t="s">
        <v>197</v>
      </c>
      <c r="S220">
        <v>0</v>
      </c>
      <c r="U220">
        <v>0</v>
      </c>
      <c r="V220" t="s">
        <v>86</v>
      </c>
      <c r="W220" t="s">
        <v>87</v>
      </c>
      <c r="X220" s="97">
        <f>Prices!$D$109</f>
        <v>63.271604938271601</v>
      </c>
      <c r="Z220" t="b">
        <v>1</v>
      </c>
      <c r="AA220" t="b">
        <v>1</v>
      </c>
      <c r="BZ220" t="s">
        <v>88</v>
      </c>
    </row>
    <row r="221" spans="1:78" ht="15" customHeight="1">
      <c r="A221" t="s">
        <v>192</v>
      </c>
      <c r="J221" t="s">
        <v>97</v>
      </c>
      <c r="M221" t="s">
        <v>85</v>
      </c>
      <c r="P221" t="s">
        <v>164</v>
      </c>
      <c r="S221">
        <v>0</v>
      </c>
      <c r="U221">
        <v>-273</v>
      </c>
      <c r="V221" t="s">
        <v>86</v>
      </c>
      <c r="W221" t="s">
        <v>87</v>
      </c>
      <c r="X221" s="97">
        <f>((VLOOKUP(J221,References!$A$1:$B$23,2,0)/2)^2)*PI()*Prices!$D$109*5.45*12</f>
        <v>5.1999176181084383</v>
      </c>
      <c r="Z221" t="b">
        <v>1</v>
      </c>
      <c r="AA221" t="b">
        <v>1</v>
      </c>
      <c r="BZ221" t="s">
        <v>88</v>
      </c>
    </row>
    <row r="222" spans="1:78" ht="15" customHeight="1">
      <c r="A222" t="s">
        <v>192</v>
      </c>
      <c r="J222" t="s">
        <v>97</v>
      </c>
      <c r="M222" t="s">
        <v>85</v>
      </c>
      <c r="P222" t="s">
        <v>197</v>
      </c>
      <c r="S222">
        <v>0</v>
      </c>
      <c r="U222">
        <v>-1</v>
      </c>
      <c r="V222" t="s">
        <v>86</v>
      </c>
      <c r="W222" t="s">
        <v>87</v>
      </c>
      <c r="X222" s="97">
        <f>Prices!$D$109</f>
        <v>63.271604938271601</v>
      </c>
      <c r="Z222" t="b">
        <v>1</v>
      </c>
      <c r="AA222" t="b">
        <v>1</v>
      </c>
      <c r="BZ222" t="s">
        <v>88</v>
      </c>
    </row>
    <row r="223" spans="1:78" ht="15" customHeight="1">
      <c r="A223" t="s">
        <v>192</v>
      </c>
      <c r="J223" t="s">
        <v>97</v>
      </c>
      <c r="M223" t="s">
        <v>95</v>
      </c>
      <c r="P223" t="s">
        <v>164</v>
      </c>
      <c r="S223">
        <v>0</v>
      </c>
      <c r="U223">
        <v>-17</v>
      </c>
      <c r="V223" t="s">
        <v>86</v>
      </c>
      <c r="W223" t="s">
        <v>87</v>
      </c>
      <c r="X223" s="97">
        <f>((VLOOKUP(J223,References!$A$1:$B$23,2,0)/2)^2)*PI()*Prices!$D$109*5.45*12</f>
        <v>5.1999176181084383</v>
      </c>
      <c r="Z223" t="b">
        <v>1</v>
      </c>
      <c r="AA223" t="b">
        <v>1</v>
      </c>
      <c r="BZ223" t="s">
        <v>88</v>
      </c>
    </row>
    <row r="224" spans="1:78" ht="15" customHeight="1">
      <c r="A224" t="s">
        <v>192</v>
      </c>
      <c r="J224" t="s">
        <v>97</v>
      </c>
      <c r="M224" t="s">
        <v>95</v>
      </c>
      <c r="P224" t="s">
        <v>197</v>
      </c>
      <c r="S224">
        <v>0</v>
      </c>
      <c r="U224">
        <v>0</v>
      </c>
      <c r="V224" t="s">
        <v>86</v>
      </c>
      <c r="W224" t="s">
        <v>87</v>
      </c>
      <c r="X224" s="97">
        <f>Prices!$D$109</f>
        <v>63.271604938271601</v>
      </c>
      <c r="Z224" t="b">
        <v>1</v>
      </c>
      <c r="AA224" t="b">
        <v>1</v>
      </c>
      <c r="BZ224" t="s">
        <v>88</v>
      </c>
    </row>
    <row r="225" spans="1:78" ht="15" customHeight="1">
      <c r="A225" t="s">
        <v>192</v>
      </c>
      <c r="J225" t="s">
        <v>177</v>
      </c>
      <c r="M225" t="s">
        <v>85</v>
      </c>
      <c r="P225" t="s">
        <v>164</v>
      </c>
      <c r="S225">
        <v>0</v>
      </c>
      <c r="U225">
        <v>-3</v>
      </c>
      <c r="V225" t="s">
        <v>86</v>
      </c>
      <c r="W225" t="s">
        <v>87</v>
      </c>
      <c r="X225" s="97">
        <f>((VLOOKUP(J225,References!$A$1:$B$23,2,0)/2)^2)*PI()*Prices!$D$109*5.45*12</f>
        <v>3.9811869263642738</v>
      </c>
      <c r="Z225" t="b">
        <v>1</v>
      </c>
      <c r="AA225" t="b">
        <v>1</v>
      </c>
      <c r="BZ225" t="s">
        <v>88</v>
      </c>
    </row>
    <row r="226" spans="1:78" ht="15" customHeight="1">
      <c r="A226" t="s">
        <v>192</v>
      </c>
      <c r="J226" t="s">
        <v>177</v>
      </c>
      <c r="M226" t="s">
        <v>85</v>
      </c>
      <c r="P226" t="s">
        <v>197</v>
      </c>
      <c r="S226">
        <v>0</v>
      </c>
      <c r="U226">
        <v>0</v>
      </c>
      <c r="V226" t="s">
        <v>86</v>
      </c>
      <c r="W226" t="s">
        <v>87</v>
      </c>
      <c r="X226" s="97">
        <f>Prices!$D$109</f>
        <v>63.271604938271601</v>
      </c>
      <c r="Z226" t="b">
        <v>1</v>
      </c>
      <c r="AA226" t="b">
        <v>1</v>
      </c>
      <c r="BZ226" t="s">
        <v>88</v>
      </c>
    </row>
    <row r="227" spans="1:78" ht="15" customHeight="1">
      <c r="A227" t="s">
        <v>192</v>
      </c>
      <c r="J227" t="s">
        <v>177</v>
      </c>
      <c r="M227" t="s">
        <v>95</v>
      </c>
      <c r="P227" t="s">
        <v>164</v>
      </c>
      <c r="S227">
        <v>0</v>
      </c>
      <c r="U227">
        <v>-12</v>
      </c>
      <c r="V227" t="s">
        <v>86</v>
      </c>
      <c r="W227" t="s">
        <v>87</v>
      </c>
      <c r="X227" s="97">
        <f>((VLOOKUP(J227,References!$A$1:$B$23,2,0)/2)^2)*PI()*Prices!$D$109*5.45*12</f>
        <v>3.9811869263642738</v>
      </c>
      <c r="Z227" t="b">
        <v>1</v>
      </c>
      <c r="AA227" t="b">
        <v>1</v>
      </c>
      <c r="BZ227" t="s">
        <v>88</v>
      </c>
    </row>
    <row r="228" spans="1:78" ht="15" customHeight="1">
      <c r="A228" t="s">
        <v>192</v>
      </c>
      <c r="J228" t="s">
        <v>177</v>
      </c>
      <c r="M228" t="s">
        <v>95</v>
      </c>
      <c r="P228" t="s">
        <v>197</v>
      </c>
      <c r="S228">
        <v>0</v>
      </c>
      <c r="U228">
        <v>0</v>
      </c>
      <c r="V228" t="s">
        <v>86</v>
      </c>
      <c r="W228" t="s">
        <v>87</v>
      </c>
      <c r="X228" s="97">
        <f>Prices!$D$109</f>
        <v>63.271604938271601</v>
      </c>
      <c r="Z228" t="b">
        <v>1</v>
      </c>
      <c r="AA228" t="b">
        <v>1</v>
      </c>
      <c r="BZ228" t="s">
        <v>88</v>
      </c>
    </row>
    <row r="229" spans="1:78" ht="15" customHeight="1">
      <c r="A229" t="s">
        <v>192</v>
      </c>
      <c r="J229" t="s">
        <v>96</v>
      </c>
      <c r="M229" t="s">
        <v>85</v>
      </c>
      <c r="P229" t="s">
        <v>164</v>
      </c>
      <c r="S229">
        <v>0</v>
      </c>
      <c r="U229">
        <v>-170</v>
      </c>
      <c r="V229" t="s">
        <v>86</v>
      </c>
      <c r="W229" t="s">
        <v>87</v>
      </c>
      <c r="X229" s="97">
        <f>((VLOOKUP(J229,References!$A$1:$B$23,2,0)/2)^2)*PI()*Prices!$D$109*5.45*12</f>
        <v>2.9249536601859965</v>
      </c>
      <c r="Z229" t="b">
        <v>1</v>
      </c>
      <c r="AA229" t="b">
        <v>1</v>
      </c>
      <c r="BZ229" t="s">
        <v>88</v>
      </c>
    </row>
    <row r="230" spans="1:78" ht="15" customHeight="1">
      <c r="A230" t="s">
        <v>192</v>
      </c>
      <c r="J230" t="s">
        <v>96</v>
      </c>
      <c r="M230" t="s">
        <v>85</v>
      </c>
      <c r="P230" t="s">
        <v>197</v>
      </c>
      <c r="S230">
        <v>0</v>
      </c>
      <c r="U230">
        <v>-1</v>
      </c>
      <c r="V230" t="s">
        <v>86</v>
      </c>
      <c r="W230" t="s">
        <v>87</v>
      </c>
      <c r="X230" s="97">
        <f>Prices!$D$109</f>
        <v>63.271604938271601</v>
      </c>
      <c r="Z230" t="b">
        <v>1</v>
      </c>
      <c r="AA230" t="b">
        <v>1</v>
      </c>
      <c r="BZ230" t="s">
        <v>88</v>
      </c>
    </row>
    <row r="231" spans="1:78" ht="15" customHeight="1">
      <c r="A231" t="s">
        <v>192</v>
      </c>
      <c r="J231" t="s">
        <v>96</v>
      </c>
      <c r="M231" t="s">
        <v>95</v>
      </c>
      <c r="P231" t="s">
        <v>164</v>
      </c>
      <c r="S231">
        <v>0</v>
      </c>
      <c r="U231">
        <v>-286</v>
      </c>
      <c r="V231" t="s">
        <v>86</v>
      </c>
      <c r="W231" t="s">
        <v>87</v>
      </c>
      <c r="X231" s="97">
        <f>((VLOOKUP(J231,References!$A$1:$B$23,2,0)/2)^2)*PI()*Prices!$D$109*5.45*12</f>
        <v>2.9249536601859965</v>
      </c>
      <c r="Z231" t="b">
        <v>1</v>
      </c>
      <c r="AA231" t="b">
        <v>1</v>
      </c>
      <c r="BZ231" t="s">
        <v>88</v>
      </c>
    </row>
    <row r="232" spans="1:78" ht="15" customHeight="1">
      <c r="A232" t="s">
        <v>192</v>
      </c>
      <c r="J232" t="s">
        <v>96</v>
      </c>
      <c r="M232" t="s">
        <v>95</v>
      </c>
      <c r="P232" t="s">
        <v>197</v>
      </c>
      <c r="S232">
        <v>0</v>
      </c>
      <c r="U232">
        <v>0</v>
      </c>
      <c r="V232" t="s">
        <v>86</v>
      </c>
      <c r="W232" t="s">
        <v>87</v>
      </c>
      <c r="X232" s="97">
        <f>Prices!$D$109</f>
        <v>63.271604938271601</v>
      </c>
      <c r="Z232" t="b">
        <v>1</v>
      </c>
      <c r="AA232" t="b">
        <v>1</v>
      </c>
      <c r="BZ232" t="s">
        <v>88</v>
      </c>
    </row>
    <row r="233" spans="1:78" ht="15" customHeight="1">
      <c r="A233" t="s">
        <v>192</v>
      </c>
      <c r="J233" t="s">
        <v>94</v>
      </c>
      <c r="M233" t="s">
        <v>85</v>
      </c>
      <c r="P233" t="s">
        <v>164</v>
      </c>
      <c r="S233">
        <v>0</v>
      </c>
      <c r="U233">
        <v>-53</v>
      </c>
      <c r="V233" t="s">
        <v>86</v>
      </c>
      <c r="W233" t="s">
        <v>87</v>
      </c>
      <c r="X233" s="97">
        <f>((VLOOKUP(J233,References!$A$1:$B$23,2,0)/2)^2)*PI()*Prices!$D$109*5.45*12</f>
        <v>2.0312178195736093</v>
      </c>
      <c r="Z233" t="b">
        <v>1</v>
      </c>
      <c r="AA233" t="b">
        <v>1</v>
      </c>
      <c r="BZ233" t="s">
        <v>88</v>
      </c>
    </row>
    <row r="234" spans="1:78" ht="15" customHeight="1">
      <c r="A234" t="s">
        <v>192</v>
      </c>
      <c r="J234" t="s">
        <v>94</v>
      </c>
      <c r="M234" t="s">
        <v>85</v>
      </c>
      <c r="P234" t="s">
        <v>197</v>
      </c>
      <c r="S234">
        <v>0</v>
      </c>
      <c r="U234">
        <v>0</v>
      </c>
      <c r="V234" t="s">
        <v>86</v>
      </c>
      <c r="W234" t="s">
        <v>87</v>
      </c>
      <c r="X234" s="97">
        <f>Prices!$D$109</f>
        <v>63.271604938271601</v>
      </c>
      <c r="Z234" t="b">
        <v>1</v>
      </c>
      <c r="AA234" t="b">
        <v>1</v>
      </c>
      <c r="BZ234" t="s">
        <v>88</v>
      </c>
    </row>
    <row r="235" spans="1:78" ht="15" customHeight="1">
      <c r="A235" t="s">
        <v>192</v>
      </c>
      <c r="J235" t="s">
        <v>94</v>
      </c>
      <c r="M235" t="s">
        <v>95</v>
      </c>
      <c r="P235" t="s">
        <v>164</v>
      </c>
      <c r="S235">
        <v>0</v>
      </c>
      <c r="U235">
        <v>-53</v>
      </c>
      <c r="V235" t="s">
        <v>86</v>
      </c>
      <c r="W235" t="s">
        <v>87</v>
      </c>
      <c r="X235" s="97">
        <f>((VLOOKUP(J235,References!$A$1:$B$23,2,0)/2)^2)*PI()*Prices!$D$109*5.45*12</f>
        <v>2.0312178195736093</v>
      </c>
      <c r="Z235" t="b">
        <v>1</v>
      </c>
      <c r="AA235" t="b">
        <v>1</v>
      </c>
      <c r="BZ235" t="s">
        <v>88</v>
      </c>
    </row>
    <row r="236" spans="1:78" ht="15" customHeight="1">
      <c r="A236" t="s">
        <v>192</v>
      </c>
      <c r="J236" t="s">
        <v>94</v>
      </c>
      <c r="M236" t="s">
        <v>95</v>
      </c>
      <c r="P236" t="s">
        <v>197</v>
      </c>
      <c r="S236">
        <v>0</v>
      </c>
      <c r="U236">
        <v>0</v>
      </c>
      <c r="V236" t="s">
        <v>86</v>
      </c>
      <c r="W236" t="s">
        <v>87</v>
      </c>
      <c r="X236" s="97">
        <f>Prices!$D$109</f>
        <v>63.271604938271601</v>
      </c>
      <c r="Z236" t="b">
        <v>1</v>
      </c>
      <c r="AA236" t="b">
        <v>1</v>
      </c>
      <c r="BZ236" t="s">
        <v>88</v>
      </c>
    </row>
    <row r="237" spans="1:78" ht="15" customHeight="1">
      <c r="A237" t="s">
        <v>192</v>
      </c>
      <c r="J237" t="s">
        <v>93</v>
      </c>
      <c r="M237" t="s">
        <v>85</v>
      </c>
      <c r="P237" t="s">
        <v>164</v>
      </c>
      <c r="S237">
        <v>0</v>
      </c>
      <c r="U237">
        <v>-243</v>
      </c>
      <c r="V237" t="s">
        <v>86</v>
      </c>
      <c r="W237" t="s">
        <v>87</v>
      </c>
      <c r="X237" s="97">
        <f>((VLOOKUP(J237,References!$A$1:$B$23,2,0)/2)^2)*PI()*Prices!$D$109*5.45*12</f>
        <v>1.2999794045271096</v>
      </c>
      <c r="Z237" t="b">
        <v>1</v>
      </c>
      <c r="AA237" t="b">
        <v>1</v>
      </c>
      <c r="BZ237" t="s">
        <v>88</v>
      </c>
    </row>
    <row r="238" spans="1:78" ht="15" customHeight="1">
      <c r="A238" t="s">
        <v>192</v>
      </c>
      <c r="J238" t="s">
        <v>93</v>
      </c>
      <c r="M238" t="s">
        <v>85</v>
      </c>
      <c r="P238" t="s">
        <v>197</v>
      </c>
      <c r="S238">
        <v>0</v>
      </c>
      <c r="U238">
        <v>0</v>
      </c>
      <c r="V238" t="s">
        <v>86</v>
      </c>
      <c r="W238" t="s">
        <v>87</v>
      </c>
      <c r="X238" s="97">
        <f>Prices!$D$109</f>
        <v>63.271604938271601</v>
      </c>
      <c r="Z238" t="b">
        <v>1</v>
      </c>
      <c r="AA238" t="b">
        <v>1</v>
      </c>
      <c r="BZ238" t="s">
        <v>88</v>
      </c>
    </row>
    <row r="239" spans="1:78" ht="15" customHeight="1">
      <c r="A239" t="s">
        <v>192</v>
      </c>
      <c r="J239" t="s">
        <v>93</v>
      </c>
      <c r="M239" t="s">
        <v>95</v>
      </c>
      <c r="P239" t="s">
        <v>164</v>
      </c>
      <c r="S239">
        <v>0</v>
      </c>
      <c r="U239">
        <v>-77</v>
      </c>
      <c r="V239" t="s">
        <v>86</v>
      </c>
      <c r="W239" t="s">
        <v>87</v>
      </c>
      <c r="X239" s="97">
        <f>((VLOOKUP(J239,References!$A$1:$B$23,2,0)/2)^2)*PI()*Prices!$D$109*5.45*12</f>
        <v>1.2999794045271096</v>
      </c>
      <c r="Z239" t="b">
        <v>1</v>
      </c>
      <c r="AA239" t="b">
        <v>1</v>
      </c>
      <c r="BZ239" t="s">
        <v>88</v>
      </c>
    </row>
    <row r="240" spans="1:78" ht="15" customHeight="1">
      <c r="A240" t="s">
        <v>192</v>
      </c>
      <c r="J240" t="s">
        <v>93</v>
      </c>
      <c r="M240" t="s">
        <v>95</v>
      </c>
      <c r="P240" t="s">
        <v>197</v>
      </c>
      <c r="S240">
        <v>0</v>
      </c>
      <c r="U240">
        <v>0</v>
      </c>
      <c r="V240" t="s">
        <v>86</v>
      </c>
      <c r="W240" t="s">
        <v>87</v>
      </c>
      <c r="X240" s="97">
        <f>Prices!$D$109</f>
        <v>63.271604938271601</v>
      </c>
      <c r="Z240" t="b">
        <v>1</v>
      </c>
      <c r="AA240" t="b">
        <v>1</v>
      </c>
      <c r="BZ240" t="s">
        <v>88</v>
      </c>
    </row>
    <row r="241" spans="1:78" ht="15" customHeight="1">
      <c r="A241" t="s">
        <v>192</v>
      </c>
      <c r="J241" t="s">
        <v>91</v>
      </c>
      <c r="M241" t="s">
        <v>85</v>
      </c>
      <c r="P241" t="s">
        <v>164</v>
      </c>
      <c r="S241">
        <v>0</v>
      </c>
      <c r="U241">
        <v>-160</v>
      </c>
      <c r="V241" t="s">
        <v>86</v>
      </c>
      <c r="W241" t="s">
        <v>87</v>
      </c>
      <c r="X241" s="97">
        <f>((VLOOKUP(J241,References!$A$1:$B$23,2,0)/2)^2)*PI()*Prices!$D$109*5.45*12</f>
        <v>0.73123841504649911</v>
      </c>
      <c r="Z241" t="b">
        <v>1</v>
      </c>
      <c r="AA241" t="b">
        <v>1</v>
      </c>
      <c r="BZ241" t="s">
        <v>88</v>
      </c>
    </row>
    <row r="242" spans="1:78" ht="15" customHeight="1">
      <c r="A242" t="s">
        <v>192</v>
      </c>
      <c r="J242" t="s">
        <v>91</v>
      </c>
      <c r="M242" t="s">
        <v>85</v>
      </c>
      <c r="P242" t="s">
        <v>197</v>
      </c>
      <c r="S242">
        <v>0</v>
      </c>
      <c r="U242">
        <v>0</v>
      </c>
      <c r="V242" t="s">
        <v>86</v>
      </c>
      <c r="W242" t="s">
        <v>87</v>
      </c>
      <c r="X242" s="97">
        <f>Prices!$D$109</f>
        <v>63.271604938271601</v>
      </c>
      <c r="Z242" t="b">
        <v>1</v>
      </c>
      <c r="AA242" t="b">
        <v>1</v>
      </c>
      <c r="BZ242" t="s">
        <v>88</v>
      </c>
    </row>
    <row r="243" spans="1:78" ht="15" customHeight="1">
      <c r="A243" t="s">
        <v>192</v>
      </c>
      <c r="J243" t="s">
        <v>91</v>
      </c>
      <c r="M243" t="s">
        <v>95</v>
      </c>
      <c r="P243" t="s">
        <v>164</v>
      </c>
      <c r="S243">
        <v>0</v>
      </c>
      <c r="U243">
        <v>-41</v>
      </c>
      <c r="V243" t="s">
        <v>86</v>
      </c>
      <c r="W243" t="s">
        <v>87</v>
      </c>
      <c r="X243" s="97">
        <f>((VLOOKUP(J243,References!$A$1:$B$23,2,0)/2)^2)*PI()*Prices!$D$109*5.45*12</f>
        <v>0.73123841504649911</v>
      </c>
      <c r="Z243" t="b">
        <v>1</v>
      </c>
      <c r="AA243" t="b">
        <v>1</v>
      </c>
      <c r="BZ243" t="s">
        <v>88</v>
      </c>
    </row>
    <row r="244" spans="1:78" ht="15" customHeight="1">
      <c r="A244" t="s">
        <v>192</v>
      </c>
      <c r="J244" t="s">
        <v>91</v>
      </c>
      <c r="M244" t="s">
        <v>95</v>
      </c>
      <c r="P244" t="s">
        <v>197</v>
      </c>
      <c r="S244">
        <v>0</v>
      </c>
      <c r="U244">
        <v>0</v>
      </c>
      <c r="V244" t="s">
        <v>86</v>
      </c>
      <c r="W244" t="s">
        <v>87</v>
      </c>
      <c r="X244" s="97">
        <f>Prices!$D$109</f>
        <v>63.271604938271601</v>
      </c>
      <c r="Z244" t="b">
        <v>1</v>
      </c>
      <c r="AA244" t="b">
        <v>1</v>
      </c>
      <c r="BZ244" t="s">
        <v>88</v>
      </c>
    </row>
    <row r="245" spans="1:78" ht="15" customHeight="1">
      <c r="A245" t="s">
        <v>192</v>
      </c>
      <c r="J245" t="s">
        <v>178</v>
      </c>
      <c r="M245" t="s">
        <v>85</v>
      </c>
      <c r="P245" t="s">
        <v>164</v>
      </c>
      <c r="S245">
        <v>0</v>
      </c>
      <c r="U245">
        <v>0</v>
      </c>
      <c r="V245" t="s">
        <v>86</v>
      </c>
      <c r="W245" t="s">
        <v>87</v>
      </c>
      <c r="X245" s="97">
        <f>((VLOOKUP(J245,References!$A$1:$B$23,2,0)/2)^2)*PI()*Prices!$D$109*5.45*12</f>
        <v>0.63698990821828383</v>
      </c>
      <c r="Z245" t="b">
        <v>1</v>
      </c>
      <c r="AA245" t="b">
        <v>1</v>
      </c>
      <c r="BZ245" t="s">
        <v>88</v>
      </c>
    </row>
    <row r="246" spans="1:78" ht="15" customHeight="1">
      <c r="A246" t="s">
        <v>192</v>
      </c>
      <c r="J246" t="s">
        <v>178</v>
      </c>
      <c r="M246" t="s">
        <v>85</v>
      </c>
      <c r="P246" t="s">
        <v>197</v>
      </c>
      <c r="S246">
        <v>0</v>
      </c>
      <c r="U246">
        <v>0</v>
      </c>
      <c r="V246" t="s">
        <v>86</v>
      </c>
      <c r="W246" t="s">
        <v>87</v>
      </c>
      <c r="X246" s="97">
        <f>Prices!$D$109</f>
        <v>63.271604938271601</v>
      </c>
      <c r="Z246" t="b">
        <v>1</v>
      </c>
      <c r="AA246" t="b">
        <v>1</v>
      </c>
      <c r="BZ246" t="s">
        <v>88</v>
      </c>
    </row>
    <row r="247" spans="1:78" ht="15" customHeight="1">
      <c r="A247" t="s">
        <v>192</v>
      </c>
      <c r="J247" t="s">
        <v>178</v>
      </c>
      <c r="M247" t="s">
        <v>95</v>
      </c>
      <c r="P247" t="s">
        <v>164</v>
      </c>
      <c r="S247">
        <v>0</v>
      </c>
      <c r="U247">
        <v>0</v>
      </c>
      <c r="V247" t="s">
        <v>86</v>
      </c>
      <c r="W247" t="s">
        <v>87</v>
      </c>
      <c r="X247" s="97">
        <f>((VLOOKUP(J247,References!$A$1:$B$23,2,0)/2)^2)*PI()*Prices!$D$109*5.45*12</f>
        <v>0.63698990821828383</v>
      </c>
      <c r="Z247" t="b">
        <v>1</v>
      </c>
      <c r="AA247" t="b">
        <v>1</v>
      </c>
      <c r="BZ247" t="s">
        <v>88</v>
      </c>
    </row>
    <row r="248" spans="1:78" ht="15" customHeight="1">
      <c r="A248" t="s">
        <v>192</v>
      </c>
      <c r="J248" t="s">
        <v>178</v>
      </c>
      <c r="M248" t="s">
        <v>95</v>
      </c>
      <c r="P248" t="s">
        <v>197</v>
      </c>
      <c r="S248">
        <v>0</v>
      </c>
      <c r="U248">
        <v>0</v>
      </c>
      <c r="V248" t="s">
        <v>86</v>
      </c>
      <c r="W248" t="s">
        <v>87</v>
      </c>
      <c r="X248" s="97">
        <f>Prices!$D$109</f>
        <v>63.271604938271601</v>
      </c>
      <c r="Z248" t="b">
        <v>1</v>
      </c>
      <c r="AA248" t="b">
        <v>1</v>
      </c>
      <c r="BZ248" t="s">
        <v>88</v>
      </c>
    </row>
    <row r="249" spans="1:78" ht="15" customHeight="1">
      <c r="A249" t="s">
        <v>192</v>
      </c>
      <c r="J249" t="s">
        <v>90</v>
      </c>
      <c r="M249" t="s">
        <v>85</v>
      </c>
      <c r="P249" t="s">
        <v>164</v>
      </c>
      <c r="S249">
        <v>0</v>
      </c>
      <c r="U249">
        <v>0</v>
      </c>
      <c r="V249" t="s">
        <v>86</v>
      </c>
      <c r="W249" t="s">
        <v>87</v>
      </c>
      <c r="X249" s="97">
        <f>((VLOOKUP(J249,References!$A$1:$B$23,2,0)/2)^2)*PI()*Prices!$D$109*5.45*12</f>
        <v>0.46799258562975948</v>
      </c>
      <c r="Z249" t="b">
        <v>1</v>
      </c>
      <c r="AA249" t="b">
        <v>1</v>
      </c>
      <c r="BZ249" t="s">
        <v>88</v>
      </c>
    </row>
    <row r="250" spans="1:78" ht="15" customHeight="1">
      <c r="A250" t="s">
        <v>192</v>
      </c>
      <c r="J250" t="s">
        <v>90</v>
      </c>
      <c r="M250" t="s">
        <v>85</v>
      </c>
      <c r="P250" t="s">
        <v>197</v>
      </c>
      <c r="S250">
        <v>0</v>
      </c>
      <c r="U250">
        <v>0</v>
      </c>
      <c r="V250" t="s">
        <v>86</v>
      </c>
      <c r="W250" t="s">
        <v>87</v>
      </c>
      <c r="X250" s="97">
        <f>Prices!$D$109</f>
        <v>63.271604938271601</v>
      </c>
      <c r="Z250" t="b">
        <v>1</v>
      </c>
      <c r="AA250" t="b">
        <v>1</v>
      </c>
      <c r="BZ250" t="s">
        <v>88</v>
      </c>
    </row>
    <row r="251" spans="1:78" ht="15" customHeight="1">
      <c r="A251" t="s">
        <v>192</v>
      </c>
      <c r="J251" t="s">
        <v>90</v>
      </c>
      <c r="M251" t="s">
        <v>95</v>
      </c>
      <c r="P251" t="s">
        <v>164</v>
      </c>
      <c r="S251">
        <v>0</v>
      </c>
      <c r="U251">
        <v>0</v>
      </c>
      <c r="V251" t="s">
        <v>86</v>
      </c>
      <c r="W251" t="s">
        <v>87</v>
      </c>
      <c r="X251" s="97">
        <f>((VLOOKUP(J251,References!$A$1:$B$23,2,0)/2)^2)*PI()*Prices!$D$109*5.45*12</f>
        <v>0.46799258562975948</v>
      </c>
      <c r="Z251" t="b">
        <v>1</v>
      </c>
      <c r="AA251" t="b">
        <v>1</v>
      </c>
      <c r="BZ251" t="s">
        <v>88</v>
      </c>
    </row>
    <row r="252" spans="1:78" ht="15" customHeight="1">
      <c r="A252" t="s">
        <v>192</v>
      </c>
      <c r="J252" t="s">
        <v>90</v>
      </c>
      <c r="M252" t="s">
        <v>95</v>
      </c>
      <c r="P252" t="s">
        <v>197</v>
      </c>
      <c r="S252">
        <v>0</v>
      </c>
      <c r="U252">
        <v>0</v>
      </c>
      <c r="V252" t="s">
        <v>86</v>
      </c>
      <c r="W252" t="s">
        <v>87</v>
      </c>
      <c r="X252" s="97">
        <f>Prices!$D$109</f>
        <v>63.271604938271601</v>
      </c>
      <c r="Z252" t="b">
        <v>1</v>
      </c>
      <c r="AA252" t="b">
        <v>1</v>
      </c>
      <c r="BZ252" t="s">
        <v>88</v>
      </c>
    </row>
    <row r="253" spans="1:78" ht="15" customHeight="1">
      <c r="A253" t="s">
        <v>192</v>
      </c>
      <c r="J253" t="s">
        <v>83</v>
      </c>
      <c r="M253" t="s">
        <v>85</v>
      </c>
      <c r="P253" t="s">
        <v>164</v>
      </c>
      <c r="S253">
        <v>0</v>
      </c>
      <c r="U253">
        <v>-2</v>
      </c>
      <c r="V253" t="s">
        <v>86</v>
      </c>
      <c r="W253" t="s">
        <v>87</v>
      </c>
      <c r="X253" s="97">
        <f>((VLOOKUP(J253,References!$A$1:$B$23,2,0)/2)^2)*PI()*Prices!$D$109*5.45*12</f>
        <v>0.3249948511317774</v>
      </c>
      <c r="Z253" t="b">
        <v>1</v>
      </c>
      <c r="AA253" t="b">
        <v>1</v>
      </c>
      <c r="BZ253" t="s">
        <v>88</v>
      </c>
    </row>
    <row r="254" spans="1:78" ht="15" customHeight="1">
      <c r="A254" t="s">
        <v>192</v>
      </c>
      <c r="J254" t="s">
        <v>83</v>
      </c>
      <c r="M254" t="s">
        <v>85</v>
      </c>
      <c r="P254" t="s">
        <v>197</v>
      </c>
      <c r="S254">
        <v>0</v>
      </c>
      <c r="U254">
        <v>0</v>
      </c>
      <c r="V254" t="s">
        <v>86</v>
      </c>
      <c r="W254" t="s">
        <v>87</v>
      </c>
      <c r="X254" s="97">
        <f>Prices!$D$109</f>
        <v>63.271604938271601</v>
      </c>
      <c r="Z254" t="b">
        <v>1</v>
      </c>
      <c r="AA254" t="b">
        <v>1</v>
      </c>
      <c r="BZ254" t="s">
        <v>88</v>
      </c>
    </row>
    <row r="255" spans="1:78" ht="15" customHeight="1">
      <c r="A255" t="s">
        <v>192</v>
      </c>
      <c r="J255" t="s">
        <v>83</v>
      </c>
      <c r="M255" t="s">
        <v>95</v>
      </c>
      <c r="P255" t="s">
        <v>164</v>
      </c>
      <c r="S255">
        <v>0</v>
      </c>
      <c r="U255">
        <v>0</v>
      </c>
      <c r="V255" t="s">
        <v>86</v>
      </c>
      <c r="W255" t="s">
        <v>87</v>
      </c>
      <c r="X255" s="97">
        <f>((VLOOKUP(J255,References!$A$1:$B$23,2,0)/2)^2)*PI()*Prices!$D$109*5.45*12</f>
        <v>0.3249948511317774</v>
      </c>
      <c r="Z255" t="b">
        <v>1</v>
      </c>
      <c r="AA255" t="b">
        <v>1</v>
      </c>
      <c r="BZ255" t="s">
        <v>88</v>
      </c>
    </row>
    <row r="256" spans="1:78" ht="15" customHeight="1">
      <c r="A256" t="s">
        <v>192</v>
      </c>
      <c r="J256" t="s">
        <v>83</v>
      </c>
      <c r="M256" t="s">
        <v>95</v>
      </c>
      <c r="P256" t="s">
        <v>197</v>
      </c>
      <c r="S256">
        <v>0</v>
      </c>
      <c r="U256">
        <v>0</v>
      </c>
      <c r="V256" t="s">
        <v>86</v>
      </c>
      <c r="W256" t="s">
        <v>87</v>
      </c>
      <c r="X256" s="97">
        <f>Prices!$D$109</f>
        <v>63.271604938271601</v>
      </c>
      <c r="Z256" t="b">
        <v>1</v>
      </c>
      <c r="AA256" t="b">
        <v>1</v>
      </c>
      <c r="BZ256" t="s">
        <v>88</v>
      </c>
    </row>
    <row r="257" spans="1:81" ht="15" customHeight="1">
      <c r="A257" t="s">
        <v>199</v>
      </c>
      <c r="B257" t="s">
        <v>200</v>
      </c>
      <c r="C257" s="1" t="s">
        <v>161</v>
      </c>
      <c r="D257" t="s">
        <v>79</v>
      </c>
      <c r="E257" t="s">
        <v>113</v>
      </c>
      <c r="G257" t="s">
        <v>195</v>
      </c>
      <c r="H257" t="b">
        <v>1</v>
      </c>
      <c r="I257" t="s">
        <v>82</v>
      </c>
      <c r="J257" t="s">
        <v>83</v>
      </c>
      <c r="L257" t="s">
        <v>84</v>
      </c>
      <c r="M257" t="s">
        <v>85</v>
      </c>
      <c r="O257" t="s">
        <v>201</v>
      </c>
      <c r="P257" t="s">
        <v>151</v>
      </c>
      <c r="S257">
        <v>0</v>
      </c>
      <c r="U257">
        <v>-20</v>
      </c>
      <c r="V257" t="s">
        <v>86</v>
      </c>
      <c r="W257" t="s">
        <v>87</v>
      </c>
      <c r="X257" s="97">
        <f>((VLOOKUP(J257,References!$A$1:$B$23,2,0)/2)^2)*PI()*Prices!$G$109*5.5*12</f>
        <v>0.34955385364366698</v>
      </c>
      <c r="Z257" t="b">
        <v>1</v>
      </c>
      <c r="AA257" t="b">
        <v>1</v>
      </c>
      <c r="AC257" t="s">
        <v>367</v>
      </c>
      <c r="AD257">
        <v>1</v>
      </c>
      <c r="AE257" t="s">
        <v>202</v>
      </c>
      <c r="AF257" t="b">
        <v>0</v>
      </c>
      <c r="BZ257" t="s">
        <v>88</v>
      </c>
      <c r="CC257" t="s">
        <v>89</v>
      </c>
    </row>
    <row r="258" spans="1:81" ht="15" customHeight="1">
      <c r="A258" t="s">
        <v>199</v>
      </c>
      <c r="J258" t="s">
        <v>83</v>
      </c>
      <c r="M258" t="s">
        <v>85</v>
      </c>
      <c r="P258" t="s">
        <v>203</v>
      </c>
      <c r="S258">
        <v>0</v>
      </c>
      <c r="U258">
        <v>0</v>
      </c>
      <c r="V258" t="s">
        <v>86</v>
      </c>
      <c r="W258" t="s">
        <v>87</v>
      </c>
      <c r="X258" s="97">
        <f>Prices!$G$109</f>
        <v>67.434210526315795</v>
      </c>
      <c r="Z258" t="b">
        <v>1</v>
      </c>
      <c r="AA258" t="b">
        <v>1</v>
      </c>
      <c r="BZ258" t="s">
        <v>88</v>
      </c>
    </row>
    <row r="259" spans="1:81" ht="15" customHeight="1">
      <c r="A259" t="s">
        <v>199</v>
      </c>
      <c r="J259" t="s">
        <v>90</v>
      </c>
      <c r="M259" t="s">
        <v>85</v>
      </c>
      <c r="P259" t="s">
        <v>151</v>
      </c>
      <c r="S259">
        <v>0</v>
      </c>
      <c r="U259">
        <v>-42</v>
      </c>
      <c r="V259" t="s">
        <v>86</v>
      </c>
      <c r="W259" t="s">
        <v>87</v>
      </c>
      <c r="X259" s="97">
        <f>((VLOOKUP(J259,References!$A$1:$B$23,2,0)/2)^2)*PI()*Prices!$G$109*5.5*12</f>
        <v>0.50335754924688036</v>
      </c>
      <c r="Z259" t="b">
        <v>1</v>
      </c>
      <c r="AA259" t="b">
        <v>1</v>
      </c>
      <c r="BZ259" t="s">
        <v>88</v>
      </c>
    </row>
    <row r="260" spans="1:81" ht="15" customHeight="1">
      <c r="A260" t="s">
        <v>199</v>
      </c>
      <c r="J260" t="s">
        <v>90</v>
      </c>
      <c r="M260" t="s">
        <v>85</v>
      </c>
      <c r="P260" t="s">
        <v>203</v>
      </c>
      <c r="S260">
        <v>0</v>
      </c>
      <c r="U260">
        <v>0</v>
      </c>
      <c r="V260" t="s">
        <v>86</v>
      </c>
      <c r="W260" t="s">
        <v>87</v>
      </c>
      <c r="X260" s="97">
        <f>Prices!$G$109</f>
        <v>67.434210526315795</v>
      </c>
      <c r="Z260" t="b">
        <v>1</v>
      </c>
      <c r="AA260" t="b">
        <v>1</v>
      </c>
      <c r="BZ260" t="s">
        <v>88</v>
      </c>
    </row>
    <row r="261" spans="1:81" ht="15" customHeight="1">
      <c r="A261" t="s">
        <v>199</v>
      </c>
      <c r="J261" t="s">
        <v>91</v>
      </c>
      <c r="M261" t="s">
        <v>85</v>
      </c>
      <c r="P261" t="s">
        <v>151</v>
      </c>
      <c r="S261">
        <v>0</v>
      </c>
      <c r="U261">
        <v>-10</v>
      </c>
      <c r="V261" t="s">
        <v>86</v>
      </c>
      <c r="W261" t="s">
        <v>87</v>
      </c>
      <c r="X261" s="97">
        <f>((VLOOKUP(J261,References!$A$1:$B$23,2,0)/2)^2)*PI()*Prices!$G$109*5.5*12</f>
        <v>0.78649617069825062</v>
      </c>
      <c r="Z261" t="b">
        <v>1</v>
      </c>
      <c r="AA261" t="b">
        <v>1</v>
      </c>
      <c r="BZ261" t="s">
        <v>88</v>
      </c>
    </row>
    <row r="262" spans="1:81" ht="15" customHeight="1">
      <c r="A262" t="s">
        <v>199</v>
      </c>
      <c r="J262" t="s">
        <v>91</v>
      </c>
      <c r="M262" t="s">
        <v>85</v>
      </c>
      <c r="P262" t="s">
        <v>203</v>
      </c>
      <c r="S262">
        <v>0</v>
      </c>
      <c r="U262">
        <v>0</v>
      </c>
      <c r="V262" t="s">
        <v>86</v>
      </c>
      <c r="W262" t="s">
        <v>87</v>
      </c>
      <c r="X262" s="97">
        <f>Prices!$G$109</f>
        <v>67.434210526315795</v>
      </c>
      <c r="Z262" t="b">
        <v>1</v>
      </c>
      <c r="AA262" t="b">
        <v>1</v>
      </c>
      <c r="BZ262" t="s">
        <v>88</v>
      </c>
    </row>
    <row r="263" spans="1:81" ht="15" customHeight="1">
      <c r="A263" t="s">
        <v>199</v>
      </c>
      <c r="J263" t="s">
        <v>93</v>
      </c>
      <c r="M263" t="s">
        <v>85</v>
      </c>
      <c r="P263" t="s">
        <v>151</v>
      </c>
      <c r="S263">
        <v>0</v>
      </c>
      <c r="U263">
        <v>-35</v>
      </c>
      <c r="V263" t="s">
        <v>86</v>
      </c>
      <c r="W263" t="s">
        <v>87</v>
      </c>
      <c r="X263" s="97">
        <f>((VLOOKUP(J263,References!$A$1:$B$23,2,0)/2)^2)*PI()*Prices!$G$109*5.5*12</f>
        <v>1.3982154145746679</v>
      </c>
      <c r="Z263" t="b">
        <v>1</v>
      </c>
      <c r="AA263" t="b">
        <v>1</v>
      </c>
      <c r="BZ263" t="s">
        <v>88</v>
      </c>
    </row>
    <row r="264" spans="1:81" ht="15" customHeight="1">
      <c r="A264" t="s">
        <v>199</v>
      </c>
      <c r="J264" t="s">
        <v>93</v>
      </c>
      <c r="M264" t="s">
        <v>85</v>
      </c>
      <c r="P264" t="s">
        <v>203</v>
      </c>
      <c r="S264">
        <v>0</v>
      </c>
      <c r="U264">
        <v>0</v>
      </c>
      <c r="V264" t="s">
        <v>86</v>
      </c>
      <c r="W264" t="s">
        <v>87</v>
      </c>
      <c r="X264" s="97">
        <f>Prices!$G$109</f>
        <v>67.434210526315795</v>
      </c>
      <c r="Z264" t="b">
        <v>1</v>
      </c>
      <c r="AA264" t="b">
        <v>1</v>
      </c>
      <c r="BZ264" t="s">
        <v>88</v>
      </c>
    </row>
    <row r="265" spans="1:81" ht="15" customHeight="1">
      <c r="A265" t="s">
        <v>199</v>
      </c>
      <c r="J265" t="s">
        <v>94</v>
      </c>
      <c r="M265" t="s">
        <v>85</v>
      </c>
      <c r="P265" t="s">
        <v>151</v>
      </c>
      <c r="S265">
        <v>0</v>
      </c>
      <c r="U265">
        <v>0</v>
      </c>
      <c r="V265" t="s">
        <v>86</v>
      </c>
      <c r="W265" t="s">
        <v>87</v>
      </c>
      <c r="X265" s="97">
        <f>((VLOOKUP(J265,References!$A$1:$B$23,2,0)/2)^2)*PI()*Prices!$G$109*5.5*12</f>
        <v>2.1847115852729191</v>
      </c>
      <c r="Z265" t="b">
        <v>1</v>
      </c>
      <c r="AA265" t="b">
        <v>1</v>
      </c>
      <c r="BZ265" t="s">
        <v>88</v>
      </c>
    </row>
    <row r="266" spans="1:81" ht="15" customHeight="1">
      <c r="A266" t="s">
        <v>199</v>
      </c>
      <c r="J266" t="s">
        <v>94</v>
      </c>
      <c r="M266" t="s">
        <v>85</v>
      </c>
      <c r="P266" t="s">
        <v>203</v>
      </c>
      <c r="S266">
        <v>0</v>
      </c>
      <c r="U266">
        <v>0</v>
      </c>
      <c r="V266" t="s">
        <v>86</v>
      </c>
      <c r="W266" t="s">
        <v>87</v>
      </c>
      <c r="X266" s="97">
        <f>Prices!$G$109</f>
        <v>67.434210526315795</v>
      </c>
      <c r="Z266" t="b">
        <v>1</v>
      </c>
      <c r="AA266" t="b">
        <v>1</v>
      </c>
      <c r="BZ266" t="s">
        <v>88</v>
      </c>
    </row>
    <row r="267" spans="1:81" ht="15" customHeight="1">
      <c r="A267" t="s">
        <v>199</v>
      </c>
      <c r="J267" t="s">
        <v>96</v>
      </c>
      <c r="M267" t="s">
        <v>85</v>
      </c>
      <c r="P267" t="s">
        <v>151</v>
      </c>
      <c r="S267">
        <v>0</v>
      </c>
      <c r="U267">
        <v>-87</v>
      </c>
      <c r="V267" t="s">
        <v>86</v>
      </c>
      <c r="W267" t="s">
        <v>87</v>
      </c>
      <c r="X267" s="97">
        <f>((VLOOKUP(J267,References!$A$1:$B$23,2,0)/2)^2)*PI()*Prices!$G$109*5.5*12</f>
        <v>3.1459846827930025</v>
      </c>
      <c r="Z267" t="b">
        <v>1</v>
      </c>
      <c r="AA267" t="b">
        <v>1</v>
      </c>
      <c r="BZ267" t="s">
        <v>88</v>
      </c>
    </row>
    <row r="268" spans="1:81" ht="15" customHeight="1">
      <c r="A268" t="s">
        <v>199</v>
      </c>
      <c r="J268" t="s">
        <v>96</v>
      </c>
      <c r="M268" t="s">
        <v>85</v>
      </c>
      <c r="P268" t="s">
        <v>203</v>
      </c>
      <c r="S268">
        <v>0</v>
      </c>
      <c r="U268">
        <v>0</v>
      </c>
      <c r="V268" t="s">
        <v>86</v>
      </c>
      <c r="W268" t="s">
        <v>87</v>
      </c>
      <c r="X268" s="97">
        <f>Prices!$G$109</f>
        <v>67.434210526315795</v>
      </c>
      <c r="Z268" t="b">
        <v>1</v>
      </c>
      <c r="AA268" t="b">
        <v>1</v>
      </c>
      <c r="BZ268" t="s">
        <v>88</v>
      </c>
    </row>
    <row r="269" spans="1:81" ht="15" customHeight="1">
      <c r="A269" t="s">
        <v>199</v>
      </c>
      <c r="J269" t="s">
        <v>97</v>
      </c>
      <c r="M269" t="s">
        <v>85</v>
      </c>
      <c r="P269" t="s">
        <v>151</v>
      </c>
      <c r="S269">
        <v>0</v>
      </c>
      <c r="U269">
        <v>-67</v>
      </c>
      <c r="V269" t="s">
        <v>86</v>
      </c>
      <c r="W269" t="s">
        <v>87</v>
      </c>
      <c r="X269" s="97">
        <f>((VLOOKUP(J269,References!$A$1:$B$23,2,0)/2)^2)*PI()*Prices!$G$109*5.5*12</f>
        <v>5.5928616582986717</v>
      </c>
      <c r="Z269" t="b">
        <v>1</v>
      </c>
      <c r="AA269" t="b">
        <v>1</v>
      </c>
      <c r="BZ269" t="s">
        <v>88</v>
      </c>
    </row>
    <row r="270" spans="1:81" ht="15" customHeight="1">
      <c r="A270" t="s">
        <v>199</v>
      </c>
      <c r="J270" t="s">
        <v>97</v>
      </c>
      <c r="M270" t="s">
        <v>85</v>
      </c>
      <c r="P270" t="s">
        <v>203</v>
      </c>
      <c r="S270">
        <v>0</v>
      </c>
      <c r="U270">
        <v>0</v>
      </c>
      <c r="V270" t="s">
        <v>86</v>
      </c>
      <c r="W270" t="s">
        <v>87</v>
      </c>
      <c r="X270" s="97">
        <f>Prices!$G$109</f>
        <v>67.434210526315795</v>
      </c>
      <c r="Z270" t="b">
        <v>1</v>
      </c>
      <c r="AA270" t="b">
        <v>1</v>
      </c>
      <c r="BZ270" t="s">
        <v>88</v>
      </c>
    </row>
    <row r="271" spans="1:81" ht="15" customHeight="1">
      <c r="A271" t="s">
        <v>199</v>
      </c>
      <c r="J271" t="s">
        <v>98</v>
      </c>
      <c r="M271" t="s">
        <v>85</v>
      </c>
      <c r="P271" t="s">
        <v>151</v>
      </c>
      <c r="S271">
        <v>0</v>
      </c>
      <c r="U271">
        <v>-15</v>
      </c>
      <c r="V271" t="s">
        <v>86</v>
      </c>
      <c r="W271" t="s">
        <v>87</v>
      </c>
      <c r="X271" s="97">
        <f>((VLOOKUP(J271,References!$A$1:$B$23,2,0)/2)^2)*PI()*Prices!$G$109*5.5*12</f>
        <v>8.7388463410916764</v>
      </c>
      <c r="Z271" t="b">
        <v>1</v>
      </c>
      <c r="AA271" t="b">
        <v>1</v>
      </c>
      <c r="BZ271" t="s">
        <v>88</v>
      </c>
    </row>
    <row r="272" spans="1:81" ht="15" customHeight="1">
      <c r="A272" t="s">
        <v>199</v>
      </c>
      <c r="J272" t="s">
        <v>98</v>
      </c>
      <c r="M272" t="s">
        <v>85</v>
      </c>
      <c r="P272" t="s">
        <v>203</v>
      </c>
      <c r="S272">
        <v>0</v>
      </c>
      <c r="U272">
        <v>0</v>
      </c>
      <c r="V272" t="s">
        <v>86</v>
      </c>
      <c r="W272" t="s">
        <v>87</v>
      </c>
      <c r="X272" s="97">
        <f>Prices!$G$109</f>
        <v>67.434210526315795</v>
      </c>
      <c r="Z272" t="b">
        <v>1</v>
      </c>
      <c r="AA272" t="b">
        <v>1</v>
      </c>
      <c r="BZ272" t="s">
        <v>88</v>
      </c>
    </row>
    <row r="273" spans="1:81" ht="15" customHeight="1">
      <c r="A273" t="s">
        <v>199</v>
      </c>
      <c r="J273" t="s">
        <v>186</v>
      </c>
      <c r="M273" t="s">
        <v>85</v>
      </c>
      <c r="P273" t="s">
        <v>151</v>
      </c>
      <c r="S273">
        <v>0</v>
      </c>
      <c r="U273">
        <v>-2</v>
      </c>
      <c r="V273" t="s">
        <v>86</v>
      </c>
      <c r="W273" t="s">
        <v>87</v>
      </c>
      <c r="X273" s="97">
        <f>((VLOOKUP(J273,References!$A$1:$B$23,2,0)/2)^2)*PI()*Prices!$G$109*5.5*12</f>
        <v>12.58393873117201</v>
      </c>
      <c r="Z273" t="b">
        <v>1</v>
      </c>
      <c r="AA273" t="b">
        <v>1</v>
      </c>
      <c r="BZ273" t="s">
        <v>88</v>
      </c>
    </row>
    <row r="274" spans="1:81" ht="15" customHeight="1">
      <c r="A274" t="s">
        <v>199</v>
      </c>
      <c r="J274" t="s">
        <v>186</v>
      </c>
      <c r="M274" t="s">
        <v>85</v>
      </c>
      <c r="P274" t="s">
        <v>203</v>
      </c>
      <c r="S274">
        <v>0</v>
      </c>
      <c r="U274">
        <v>0</v>
      </c>
      <c r="V274" t="s">
        <v>86</v>
      </c>
      <c r="W274" t="s">
        <v>87</v>
      </c>
      <c r="X274" s="97">
        <f>Prices!$G$109</f>
        <v>67.434210526315795</v>
      </c>
      <c r="Z274" t="b">
        <v>1</v>
      </c>
      <c r="AA274" t="b">
        <v>1</v>
      </c>
      <c r="BZ274" t="s">
        <v>88</v>
      </c>
    </row>
    <row r="275" spans="1:81" ht="15" customHeight="1">
      <c r="A275" t="s">
        <v>199</v>
      </c>
      <c r="J275" t="s">
        <v>167</v>
      </c>
      <c r="M275" t="s">
        <v>85</v>
      </c>
      <c r="P275" t="s">
        <v>151</v>
      </c>
      <c r="S275">
        <v>0</v>
      </c>
      <c r="U275">
        <v>-8</v>
      </c>
      <c r="V275" t="s">
        <v>86</v>
      </c>
      <c r="W275" t="s">
        <v>87</v>
      </c>
      <c r="X275" s="97">
        <f>((VLOOKUP(J275,References!$A$1:$B$23,2,0)/2)^2)*PI()*Prices!$G$109*5.5*12</f>
        <v>22.371446633194687</v>
      </c>
      <c r="Z275" t="b">
        <v>1</v>
      </c>
      <c r="AA275" t="b">
        <v>1</v>
      </c>
      <c r="BZ275" t="s">
        <v>88</v>
      </c>
    </row>
    <row r="276" spans="1:81" ht="15" customHeight="1">
      <c r="A276" t="s">
        <v>199</v>
      </c>
      <c r="J276" t="s">
        <v>167</v>
      </c>
      <c r="M276" t="s">
        <v>85</v>
      </c>
      <c r="P276" t="s">
        <v>203</v>
      </c>
      <c r="S276">
        <v>0</v>
      </c>
      <c r="U276">
        <v>0</v>
      </c>
      <c r="V276" t="s">
        <v>86</v>
      </c>
      <c r="W276" t="s">
        <v>87</v>
      </c>
      <c r="X276" s="97">
        <f>Prices!$G$109</f>
        <v>67.434210526315795</v>
      </c>
      <c r="Z276" t="b">
        <v>1</v>
      </c>
      <c r="AA276" t="b">
        <v>1</v>
      </c>
      <c r="BZ276" t="s">
        <v>88</v>
      </c>
    </row>
    <row r="277" spans="1:81" ht="15" customHeight="1">
      <c r="A277" t="s">
        <v>199</v>
      </c>
      <c r="J277" t="s">
        <v>174</v>
      </c>
      <c r="M277" t="s">
        <v>85</v>
      </c>
      <c r="P277" t="s">
        <v>151</v>
      </c>
      <c r="S277">
        <v>0</v>
      </c>
      <c r="U277">
        <v>0</v>
      </c>
      <c r="V277" t="s">
        <v>86</v>
      </c>
      <c r="W277" t="s">
        <v>87</v>
      </c>
      <c r="X277" s="97">
        <f>((VLOOKUP(J277,References!$A$1:$B$23,2,0)/2)^2)*PI()*Prices!$G$109*5.5*12</f>
        <v>34.955385364366705</v>
      </c>
      <c r="Z277" t="b">
        <v>1</v>
      </c>
      <c r="AA277" t="b">
        <v>1</v>
      </c>
      <c r="BZ277" t="s">
        <v>88</v>
      </c>
    </row>
    <row r="278" spans="1:81" ht="15" customHeight="1">
      <c r="A278" t="s">
        <v>199</v>
      </c>
      <c r="J278" t="s">
        <v>174</v>
      </c>
      <c r="M278" t="s">
        <v>85</v>
      </c>
      <c r="P278" t="s">
        <v>203</v>
      </c>
      <c r="S278">
        <v>0</v>
      </c>
      <c r="U278">
        <v>0</v>
      </c>
      <c r="V278" t="s">
        <v>86</v>
      </c>
      <c r="W278" t="s">
        <v>87</v>
      </c>
      <c r="X278" s="97">
        <f>Prices!$G$109</f>
        <v>67.434210526315795</v>
      </c>
      <c r="Z278" t="b">
        <v>1</v>
      </c>
      <c r="AA278" t="b">
        <v>1</v>
      </c>
      <c r="BZ278" t="s">
        <v>88</v>
      </c>
    </row>
    <row r="279" spans="1:81" ht="15" customHeight="1">
      <c r="A279" t="s">
        <v>199</v>
      </c>
      <c r="J279" t="s">
        <v>173</v>
      </c>
      <c r="M279" t="s">
        <v>85</v>
      </c>
      <c r="P279" t="s">
        <v>151</v>
      </c>
      <c r="S279">
        <v>0</v>
      </c>
      <c r="U279">
        <v>0</v>
      </c>
      <c r="V279" t="s">
        <v>86</v>
      </c>
      <c r="W279" t="s">
        <v>87</v>
      </c>
      <c r="X279" s="97">
        <f>((VLOOKUP(J279,References!$A$1:$B$23,2,0)/2)^2)*PI()*Prices!$G$109*5.5*12</f>
        <v>54.617789631822966</v>
      </c>
      <c r="Z279" t="b">
        <v>1</v>
      </c>
      <c r="AA279" t="b">
        <v>1</v>
      </c>
      <c r="BZ279" t="s">
        <v>88</v>
      </c>
    </row>
    <row r="280" spans="1:81" ht="15" customHeight="1">
      <c r="A280" t="s">
        <v>199</v>
      </c>
      <c r="J280" t="s">
        <v>173</v>
      </c>
      <c r="M280" t="s">
        <v>85</v>
      </c>
      <c r="P280" t="s">
        <v>203</v>
      </c>
      <c r="S280">
        <v>0</v>
      </c>
      <c r="U280">
        <v>0</v>
      </c>
      <c r="V280" t="s">
        <v>86</v>
      </c>
      <c r="W280" t="s">
        <v>87</v>
      </c>
      <c r="X280" s="97">
        <f>Prices!$G$109</f>
        <v>67.434210526315795</v>
      </c>
      <c r="Z280" t="b">
        <v>1</v>
      </c>
      <c r="AA280" t="b">
        <v>1</v>
      </c>
      <c r="BZ280" t="s">
        <v>88</v>
      </c>
    </row>
    <row r="281" spans="1:81" ht="15" customHeight="1">
      <c r="A281" t="s">
        <v>199</v>
      </c>
      <c r="J281" t="s">
        <v>171</v>
      </c>
      <c r="M281" t="s">
        <v>85</v>
      </c>
      <c r="P281" t="s">
        <v>151</v>
      </c>
      <c r="S281">
        <v>0</v>
      </c>
      <c r="U281">
        <v>0</v>
      </c>
      <c r="V281" t="s">
        <v>86</v>
      </c>
      <c r="W281" t="s">
        <v>87</v>
      </c>
      <c r="X281" s="97">
        <f>((VLOOKUP(J281,References!$A$1:$B$23,2,0)/2)^2)*PI()*Prices!$G$109*5.5*12</f>
        <v>89.485786532778747</v>
      </c>
      <c r="Z281" t="b">
        <v>1</v>
      </c>
      <c r="AA281" t="b">
        <v>1</v>
      </c>
      <c r="BZ281" t="s">
        <v>88</v>
      </c>
    </row>
    <row r="282" spans="1:81" ht="15" customHeight="1">
      <c r="A282" t="s">
        <v>199</v>
      </c>
      <c r="J282" t="s">
        <v>171</v>
      </c>
      <c r="M282" t="s">
        <v>85</v>
      </c>
      <c r="P282" t="s">
        <v>203</v>
      </c>
      <c r="S282">
        <v>0</v>
      </c>
      <c r="U282">
        <v>0</v>
      </c>
      <c r="V282" t="s">
        <v>86</v>
      </c>
      <c r="W282" t="s">
        <v>87</v>
      </c>
      <c r="X282" s="97">
        <f>Prices!$G$109</f>
        <v>67.434210526315795</v>
      </c>
      <c r="Z282" t="b">
        <v>1</v>
      </c>
      <c r="AA282" t="b">
        <v>1</v>
      </c>
      <c r="BZ282" t="s">
        <v>88</v>
      </c>
    </row>
    <row r="283" spans="1:81" ht="15" customHeight="1">
      <c r="A283" t="s">
        <v>204</v>
      </c>
      <c r="B283" t="s">
        <v>205</v>
      </c>
      <c r="C283" t="s">
        <v>206</v>
      </c>
      <c r="D283" t="s">
        <v>79</v>
      </c>
      <c r="E283" t="s">
        <v>113</v>
      </c>
      <c r="G283" t="s">
        <v>207</v>
      </c>
      <c r="H283" t="b">
        <v>1</v>
      </c>
      <c r="I283" t="s">
        <v>82</v>
      </c>
      <c r="J283" t="s">
        <v>171</v>
      </c>
      <c r="L283" t="s">
        <v>84</v>
      </c>
      <c r="M283" t="s">
        <v>85</v>
      </c>
      <c r="S283">
        <v>0</v>
      </c>
      <c r="U283">
        <v>0</v>
      </c>
      <c r="V283" t="s">
        <v>86</v>
      </c>
      <c r="W283" t="s">
        <v>87</v>
      </c>
      <c r="X283" s="96">
        <f>((VLOOKUP(J283,References!$A$1:$B$23,2,0)/2)^2)*PI()*Prices!$J$57*204</f>
        <v>822.64999764238758</v>
      </c>
      <c r="Z283" t="b">
        <v>1</v>
      </c>
      <c r="AA283" t="b">
        <v>1</v>
      </c>
      <c r="AC283" t="s">
        <v>366</v>
      </c>
      <c r="AD283">
        <v>1</v>
      </c>
      <c r="AE283" t="s">
        <v>208</v>
      </c>
      <c r="AF283" t="b">
        <v>0</v>
      </c>
      <c r="BZ283" t="s">
        <v>88</v>
      </c>
      <c r="CC283" t="s">
        <v>89</v>
      </c>
    </row>
    <row r="284" spans="1:81" ht="15" customHeight="1">
      <c r="A284" t="s">
        <v>204</v>
      </c>
      <c r="J284" t="s">
        <v>174</v>
      </c>
      <c r="M284" t="s">
        <v>85</v>
      </c>
      <c r="S284">
        <v>0</v>
      </c>
      <c r="U284">
        <v>0</v>
      </c>
      <c r="V284" t="s">
        <v>86</v>
      </c>
      <c r="W284" t="s">
        <v>87</v>
      </c>
      <c r="X284" s="96">
        <f>((VLOOKUP(J284,References!$A$1:$B$23,2,0)/2)^2)*PI()*Prices!$J$57*204</f>
        <v>321.34765532905772</v>
      </c>
      <c r="Z284" t="b">
        <v>1</v>
      </c>
      <c r="AA284" t="b">
        <v>1</v>
      </c>
      <c r="BZ284" t="s">
        <v>88</v>
      </c>
    </row>
    <row r="285" spans="1:81" ht="15" customHeight="1">
      <c r="A285" t="s">
        <v>204</v>
      </c>
      <c r="J285" t="s">
        <v>167</v>
      </c>
      <c r="M285" t="s">
        <v>85</v>
      </c>
      <c r="S285">
        <v>0</v>
      </c>
      <c r="U285">
        <v>-10</v>
      </c>
      <c r="V285" t="s">
        <v>86</v>
      </c>
      <c r="W285" t="s">
        <v>87</v>
      </c>
      <c r="X285" s="96">
        <f>((VLOOKUP(J285,References!$A$1:$B$23,2,0)/2)^2)*PI()*Prices!$J$57*204</f>
        <v>205.66249941059689</v>
      </c>
      <c r="Z285" t="b">
        <v>1</v>
      </c>
      <c r="AA285" t="b">
        <v>1</v>
      </c>
      <c r="BZ285" t="s">
        <v>88</v>
      </c>
    </row>
    <row r="286" spans="1:81" ht="15" customHeight="1">
      <c r="A286" t="s">
        <v>204</v>
      </c>
      <c r="J286" t="s">
        <v>186</v>
      </c>
      <c r="M286" t="s">
        <v>85</v>
      </c>
      <c r="S286">
        <v>0</v>
      </c>
      <c r="U286">
        <v>-7</v>
      </c>
      <c r="V286" t="s">
        <v>86</v>
      </c>
      <c r="W286" t="s">
        <v>87</v>
      </c>
      <c r="X286" s="96">
        <f>((VLOOKUP(J286,References!$A$1:$B$23,2,0)/2)^2)*PI()*Prices!$J$57*204</f>
        <v>115.68515591846075</v>
      </c>
      <c r="Z286" t="b">
        <v>1</v>
      </c>
      <c r="AA286" t="b">
        <v>1</v>
      </c>
      <c r="BZ286" t="s">
        <v>88</v>
      </c>
    </row>
    <row r="287" spans="1:81" ht="15" customHeight="1">
      <c r="A287" t="s">
        <v>204</v>
      </c>
      <c r="J287" t="s">
        <v>98</v>
      </c>
      <c r="M287" t="s">
        <v>85</v>
      </c>
      <c r="S287">
        <v>0</v>
      </c>
      <c r="U287">
        <v>-15</v>
      </c>
      <c r="V287" t="s">
        <v>86</v>
      </c>
      <c r="W287" t="s">
        <v>87</v>
      </c>
      <c r="X287" s="96">
        <f>((VLOOKUP(J287,References!$A$1:$B$23,2,0)/2)^2)*PI()*Prices!$J$57*204</f>
        <v>80.336913832264429</v>
      </c>
      <c r="Z287" t="b">
        <v>1</v>
      </c>
      <c r="AA287" t="b">
        <v>1</v>
      </c>
      <c r="BZ287" t="s">
        <v>88</v>
      </c>
    </row>
    <row r="288" spans="1:81" ht="15" customHeight="1">
      <c r="A288" t="s">
        <v>204</v>
      </c>
      <c r="J288" t="s">
        <v>97</v>
      </c>
      <c r="M288" t="s">
        <v>85</v>
      </c>
      <c r="S288">
        <v>0</v>
      </c>
      <c r="U288">
        <v>-17</v>
      </c>
      <c r="V288" t="s">
        <v>86</v>
      </c>
      <c r="W288" t="s">
        <v>87</v>
      </c>
      <c r="X288" s="96">
        <f>((VLOOKUP(J288,References!$A$1:$B$23,2,0)/2)^2)*PI()*Prices!$J$57*204</f>
        <v>51.415624852649223</v>
      </c>
      <c r="Z288" t="b">
        <v>1</v>
      </c>
      <c r="AA288" t="b">
        <v>1</v>
      </c>
      <c r="BZ288" t="s">
        <v>88</v>
      </c>
    </row>
    <row r="289" spans="1:81" ht="15" customHeight="1">
      <c r="A289" t="s">
        <v>204</v>
      </c>
      <c r="J289" t="s">
        <v>177</v>
      </c>
      <c r="M289" t="s">
        <v>85</v>
      </c>
      <c r="S289">
        <v>0</v>
      </c>
      <c r="U289">
        <v>-1</v>
      </c>
      <c r="V289" t="s">
        <v>86</v>
      </c>
      <c r="W289" t="s">
        <v>87</v>
      </c>
      <c r="X289" s="96">
        <f>((VLOOKUP(J289,References!$A$1:$B$23,2,0)/2)^2)*PI()*Prices!$J$57*204</f>
        <v>39.365087777809563</v>
      </c>
      <c r="Z289" t="b">
        <v>1</v>
      </c>
      <c r="AA289" t="b">
        <v>1</v>
      </c>
      <c r="BZ289" t="s">
        <v>88</v>
      </c>
    </row>
    <row r="290" spans="1:81" ht="15" customHeight="1">
      <c r="A290" t="s">
        <v>204</v>
      </c>
      <c r="J290" t="s">
        <v>96</v>
      </c>
      <c r="M290" t="s">
        <v>85</v>
      </c>
      <c r="S290">
        <v>0</v>
      </c>
      <c r="U290">
        <v>-19</v>
      </c>
      <c r="V290" t="s">
        <v>86</v>
      </c>
      <c r="W290" t="s">
        <v>87</v>
      </c>
      <c r="X290" s="96">
        <f>((VLOOKUP(J290,References!$A$1:$B$23,2,0)/2)^2)*PI()*Prices!$J$57*204</f>
        <v>28.921288979615188</v>
      </c>
      <c r="Z290" t="b">
        <v>1</v>
      </c>
      <c r="AA290" t="b">
        <v>1</v>
      </c>
      <c r="BZ290" t="s">
        <v>88</v>
      </c>
    </row>
    <row r="291" spans="1:81" ht="15" customHeight="1">
      <c r="A291" t="s">
        <v>204</v>
      </c>
      <c r="J291" t="s">
        <v>94</v>
      </c>
      <c r="M291" t="s">
        <v>85</v>
      </c>
      <c r="S291">
        <v>0</v>
      </c>
      <c r="U291">
        <v>0</v>
      </c>
      <c r="V291" t="s">
        <v>86</v>
      </c>
      <c r="W291" t="s">
        <v>87</v>
      </c>
      <c r="X291" s="96">
        <f>((VLOOKUP(J291,References!$A$1:$B$23,2,0)/2)^2)*PI()*Prices!$J$57*204</f>
        <v>20.084228458066107</v>
      </c>
      <c r="Z291" t="b">
        <v>1</v>
      </c>
      <c r="AA291" t="b">
        <v>1</v>
      </c>
      <c r="BZ291" t="s">
        <v>88</v>
      </c>
    </row>
    <row r="292" spans="1:81" ht="15" customHeight="1">
      <c r="A292" t="s">
        <v>204</v>
      </c>
      <c r="J292" t="s">
        <v>93</v>
      </c>
      <c r="M292" t="s">
        <v>85</v>
      </c>
      <c r="S292">
        <v>0</v>
      </c>
      <c r="U292">
        <v>-22</v>
      </c>
      <c r="V292" t="s">
        <v>86</v>
      </c>
      <c r="W292" t="s">
        <v>87</v>
      </c>
      <c r="X292" s="96">
        <f>((VLOOKUP(J292,References!$A$1:$B$23,2,0)/2)^2)*PI()*Prices!$J$57*204</f>
        <v>12.853906213162306</v>
      </c>
      <c r="Z292" t="b">
        <v>1</v>
      </c>
      <c r="AA292" t="b">
        <v>1</v>
      </c>
      <c r="BZ292" t="s">
        <v>88</v>
      </c>
    </row>
    <row r="293" spans="1:81" ht="15" customHeight="1">
      <c r="A293" t="s">
        <v>204</v>
      </c>
      <c r="J293" t="s">
        <v>91</v>
      </c>
      <c r="M293" t="s">
        <v>85</v>
      </c>
      <c r="S293">
        <v>0</v>
      </c>
      <c r="U293">
        <v>-37</v>
      </c>
      <c r="V293" t="s">
        <v>86</v>
      </c>
      <c r="W293" t="s">
        <v>87</v>
      </c>
      <c r="X293" s="96">
        <f>((VLOOKUP(J293,References!$A$1:$B$23,2,0)/2)^2)*PI()*Prices!$J$57*204</f>
        <v>7.2303222449037969</v>
      </c>
      <c r="Z293" t="b">
        <v>1</v>
      </c>
      <c r="AA293" t="b">
        <v>1</v>
      </c>
      <c r="BZ293" t="s">
        <v>88</v>
      </c>
    </row>
    <row r="294" spans="1:81" ht="15" customHeight="1">
      <c r="A294" t="s">
        <v>204</v>
      </c>
      <c r="J294" t="s">
        <v>90</v>
      </c>
      <c r="M294" t="s">
        <v>85</v>
      </c>
      <c r="S294">
        <v>0</v>
      </c>
      <c r="U294">
        <v>0</v>
      </c>
      <c r="V294" t="s">
        <v>86</v>
      </c>
      <c r="W294" t="s">
        <v>87</v>
      </c>
      <c r="X294" s="96">
        <f>((VLOOKUP(J294,References!$A$1:$B$23,2,0)/2)^2)*PI()*Prices!$J$57*204</f>
        <v>4.6274062367384303</v>
      </c>
      <c r="Z294" t="b">
        <v>1</v>
      </c>
      <c r="AA294" t="b">
        <v>1</v>
      </c>
      <c r="BZ294" t="s">
        <v>88</v>
      </c>
    </row>
    <row r="295" spans="1:81" ht="15" customHeight="1">
      <c r="A295" t="s">
        <v>204</v>
      </c>
      <c r="J295" t="s">
        <v>83</v>
      </c>
      <c r="M295" t="s">
        <v>85</v>
      </c>
      <c r="S295">
        <v>0</v>
      </c>
      <c r="U295">
        <v>0</v>
      </c>
      <c r="V295" t="s">
        <v>86</v>
      </c>
      <c r="W295" t="s">
        <v>87</v>
      </c>
      <c r="X295" s="96">
        <f>((VLOOKUP(J295,References!$A$1:$B$23,2,0)/2)^2)*PI()*Prices!$J$57*204</f>
        <v>3.2134765532905765</v>
      </c>
      <c r="Z295" t="b">
        <v>1</v>
      </c>
      <c r="AA295" t="b">
        <v>1</v>
      </c>
      <c r="BZ295" t="s">
        <v>88</v>
      </c>
    </row>
    <row r="296" spans="1:81" ht="15" customHeight="1">
      <c r="A296" t="s">
        <v>209</v>
      </c>
      <c r="B296" t="s">
        <v>210</v>
      </c>
      <c r="C296" s="1" t="s">
        <v>189</v>
      </c>
      <c r="D296" t="s">
        <v>79</v>
      </c>
      <c r="E296" t="s">
        <v>113</v>
      </c>
      <c r="G296" t="s">
        <v>211</v>
      </c>
      <c r="H296" t="b">
        <v>1</v>
      </c>
      <c r="I296" t="s">
        <v>82</v>
      </c>
      <c r="J296" t="s">
        <v>171</v>
      </c>
      <c r="L296" t="s">
        <v>84</v>
      </c>
      <c r="M296" t="s">
        <v>85</v>
      </c>
      <c r="S296">
        <v>0</v>
      </c>
      <c r="U296">
        <v>0</v>
      </c>
      <c r="V296" t="s">
        <v>86</v>
      </c>
      <c r="W296" t="s">
        <v>87</v>
      </c>
      <c r="X296" s="96">
        <f>((VLOOKUP(J296,References!$A$1:$B$23,2,0)/2)^2)*PI()*Prices!$J$33*164</f>
        <v>585.29127773439279</v>
      </c>
      <c r="Z296" t="b">
        <v>1</v>
      </c>
      <c r="AA296" t="b">
        <v>1</v>
      </c>
      <c r="AC296" t="s">
        <v>365</v>
      </c>
      <c r="AD296">
        <v>1</v>
      </c>
      <c r="AE296" t="s">
        <v>212</v>
      </c>
      <c r="AF296" t="b">
        <v>0</v>
      </c>
      <c r="BZ296" t="s">
        <v>88</v>
      </c>
      <c r="CC296" t="s">
        <v>89</v>
      </c>
    </row>
    <row r="297" spans="1:81" ht="15" customHeight="1">
      <c r="A297" t="s">
        <v>209</v>
      </c>
      <c r="J297" t="s">
        <v>171</v>
      </c>
      <c r="M297" t="s">
        <v>95</v>
      </c>
      <c r="S297">
        <v>0</v>
      </c>
      <c r="U297">
        <v>0</v>
      </c>
      <c r="V297" t="s">
        <v>86</v>
      </c>
      <c r="W297" t="s">
        <v>87</v>
      </c>
      <c r="X297" s="96">
        <f>((VLOOKUP(J297,References!$A$1:$B$23,2,0)/2)^2)*PI()*Prices!$J$33*164</f>
        <v>585.29127773439279</v>
      </c>
      <c r="Z297" t="b">
        <v>1</v>
      </c>
      <c r="AA297" t="b">
        <v>1</v>
      </c>
      <c r="BZ297" t="s">
        <v>88</v>
      </c>
    </row>
    <row r="298" spans="1:81" ht="15" customHeight="1">
      <c r="A298" t="s">
        <v>209</v>
      </c>
      <c r="J298" t="s">
        <v>173</v>
      </c>
      <c r="M298" t="s">
        <v>85</v>
      </c>
      <c r="S298">
        <v>0</v>
      </c>
      <c r="U298">
        <v>0</v>
      </c>
      <c r="V298" t="s">
        <v>86</v>
      </c>
      <c r="W298" t="s">
        <v>87</v>
      </c>
      <c r="X298" s="96">
        <f>((VLOOKUP(J298,References!$A$1:$B$23,2,0)/2)^2)*PI()*Prices!$J$33*164</f>
        <v>357.2334458828081</v>
      </c>
      <c r="Z298" t="b">
        <v>1</v>
      </c>
      <c r="AA298" t="b">
        <v>1</v>
      </c>
      <c r="BZ298" t="s">
        <v>88</v>
      </c>
    </row>
    <row r="299" spans="1:81" ht="15" customHeight="1">
      <c r="A299" t="s">
        <v>209</v>
      </c>
      <c r="J299" t="s">
        <v>173</v>
      </c>
      <c r="M299" t="s">
        <v>95</v>
      </c>
      <c r="S299">
        <v>0</v>
      </c>
      <c r="U299">
        <v>-3</v>
      </c>
      <c r="V299" t="s">
        <v>86</v>
      </c>
      <c r="W299" t="s">
        <v>87</v>
      </c>
      <c r="X299" s="96">
        <f>((VLOOKUP(J299,References!$A$1:$B$23,2,0)/2)^2)*PI()*Prices!$J$33*164</f>
        <v>357.2334458828081</v>
      </c>
      <c r="Z299" t="b">
        <v>1</v>
      </c>
      <c r="AA299" t="b">
        <v>1</v>
      </c>
      <c r="BZ299" t="s">
        <v>88</v>
      </c>
    </row>
    <row r="300" spans="1:81" ht="15" customHeight="1">
      <c r="A300" t="s">
        <v>209</v>
      </c>
      <c r="J300" t="s">
        <v>174</v>
      </c>
      <c r="M300" t="s">
        <v>85</v>
      </c>
      <c r="S300">
        <v>0</v>
      </c>
      <c r="U300">
        <v>0</v>
      </c>
      <c r="V300" t="s">
        <v>86</v>
      </c>
      <c r="W300" t="s">
        <v>87</v>
      </c>
      <c r="X300" s="96">
        <f>((VLOOKUP(J300,References!$A$1:$B$23,2,0)/2)^2)*PI()*Prices!$J$33*164</f>
        <v>228.62940536499721</v>
      </c>
      <c r="Z300" t="b">
        <v>1</v>
      </c>
      <c r="AA300" t="b">
        <v>1</v>
      </c>
      <c r="BZ300" t="s">
        <v>88</v>
      </c>
    </row>
    <row r="301" spans="1:81" ht="15" customHeight="1">
      <c r="A301" t="s">
        <v>209</v>
      </c>
      <c r="J301" t="s">
        <v>174</v>
      </c>
      <c r="M301" t="s">
        <v>95</v>
      </c>
      <c r="S301">
        <v>0</v>
      </c>
      <c r="U301">
        <v>0</v>
      </c>
      <c r="V301" t="s">
        <v>86</v>
      </c>
      <c r="W301" t="s">
        <v>87</v>
      </c>
      <c r="X301" s="96">
        <f>((VLOOKUP(J301,References!$A$1:$B$23,2,0)/2)^2)*PI()*Prices!$J$33*164</f>
        <v>228.62940536499721</v>
      </c>
      <c r="Z301" t="b">
        <v>1</v>
      </c>
      <c r="AA301" t="b">
        <v>1</v>
      </c>
      <c r="BZ301" t="s">
        <v>88</v>
      </c>
    </row>
    <row r="302" spans="1:81" ht="15" customHeight="1">
      <c r="A302" t="s">
        <v>209</v>
      </c>
      <c r="J302" t="s">
        <v>175</v>
      </c>
      <c r="M302" t="s">
        <v>85</v>
      </c>
      <c r="S302">
        <v>0</v>
      </c>
      <c r="U302">
        <v>0</v>
      </c>
      <c r="V302" t="s">
        <v>86</v>
      </c>
      <c r="W302" t="s">
        <v>87</v>
      </c>
      <c r="X302" s="96">
        <f>((VLOOKUP(J302,References!$A$1:$B$23,2,0)/2)^2)*PI()*Prices!$J$33*164</f>
        <v>185.18981834564769</v>
      </c>
      <c r="Z302" t="b">
        <v>1</v>
      </c>
      <c r="AA302" t="b">
        <v>1</v>
      </c>
      <c r="BZ302" t="s">
        <v>88</v>
      </c>
    </row>
    <row r="303" spans="1:81" ht="15" customHeight="1">
      <c r="A303" t="s">
        <v>209</v>
      </c>
      <c r="J303" t="s">
        <v>175</v>
      </c>
      <c r="M303" t="s">
        <v>95</v>
      </c>
      <c r="S303">
        <v>0</v>
      </c>
      <c r="U303">
        <v>0</v>
      </c>
      <c r="V303" t="s">
        <v>86</v>
      </c>
      <c r="W303" t="s">
        <v>87</v>
      </c>
      <c r="X303" s="96">
        <f>((VLOOKUP(J303,References!$A$1:$B$23,2,0)/2)^2)*PI()*Prices!$J$33*164</f>
        <v>185.18981834564769</v>
      </c>
      <c r="Z303" t="b">
        <v>1</v>
      </c>
      <c r="AA303" t="b">
        <v>1</v>
      </c>
      <c r="BZ303" t="s">
        <v>88</v>
      </c>
    </row>
    <row r="304" spans="1:81" ht="15" customHeight="1">
      <c r="A304" t="s">
        <v>209</v>
      </c>
      <c r="J304" t="s">
        <v>167</v>
      </c>
      <c r="M304" t="s">
        <v>85</v>
      </c>
      <c r="S304">
        <v>0</v>
      </c>
      <c r="U304">
        <v>-5</v>
      </c>
      <c r="V304" t="s">
        <v>86</v>
      </c>
      <c r="W304" t="s">
        <v>87</v>
      </c>
      <c r="X304" s="96">
        <f>((VLOOKUP(J304,References!$A$1:$B$23,2,0)/2)^2)*PI()*Prices!$J$33*164</f>
        <v>146.3228194335982</v>
      </c>
      <c r="Z304" t="b">
        <v>1</v>
      </c>
      <c r="AA304" t="b">
        <v>1</v>
      </c>
      <c r="BZ304" t="s">
        <v>88</v>
      </c>
    </row>
    <row r="305" spans="1:78" ht="15" customHeight="1">
      <c r="A305" t="s">
        <v>209</v>
      </c>
      <c r="J305" t="s">
        <v>167</v>
      </c>
      <c r="M305" t="s">
        <v>95</v>
      </c>
      <c r="S305">
        <v>0</v>
      </c>
      <c r="U305">
        <v>0</v>
      </c>
      <c r="V305" t="s">
        <v>86</v>
      </c>
      <c r="W305" t="s">
        <v>87</v>
      </c>
      <c r="X305" s="96">
        <f>((VLOOKUP(J305,References!$A$1:$B$23,2,0)/2)^2)*PI()*Prices!$J$33*164</f>
        <v>146.3228194335982</v>
      </c>
      <c r="Z305" t="b">
        <v>1</v>
      </c>
      <c r="AA305" t="b">
        <v>1</v>
      </c>
      <c r="BZ305" t="s">
        <v>88</v>
      </c>
    </row>
    <row r="306" spans="1:78" ht="15" customHeight="1">
      <c r="A306" t="s">
        <v>209</v>
      </c>
      <c r="J306" t="s">
        <v>198</v>
      </c>
      <c r="M306" t="s">
        <v>85</v>
      </c>
      <c r="S306">
        <v>0</v>
      </c>
      <c r="U306">
        <v>-9</v>
      </c>
      <c r="V306" t="s">
        <v>86</v>
      </c>
      <c r="W306" t="s">
        <v>87</v>
      </c>
      <c r="X306" s="96">
        <f>((VLOOKUP(J306,References!$A$1:$B$23,2,0)/2)^2)*PI()*Prices!$J$33*164</f>
        <v>112.02840862884864</v>
      </c>
      <c r="Z306" t="b">
        <v>1</v>
      </c>
      <c r="AA306" t="b">
        <v>1</v>
      </c>
      <c r="BZ306" t="s">
        <v>88</v>
      </c>
    </row>
    <row r="307" spans="1:78" ht="15" customHeight="1">
      <c r="A307" t="s">
        <v>209</v>
      </c>
      <c r="J307" t="s">
        <v>198</v>
      </c>
      <c r="M307" t="s">
        <v>95</v>
      </c>
      <c r="S307">
        <v>0</v>
      </c>
      <c r="U307">
        <v>0</v>
      </c>
      <c r="V307" t="s">
        <v>86</v>
      </c>
      <c r="W307" t="s">
        <v>87</v>
      </c>
      <c r="X307" s="96">
        <f>((VLOOKUP(J307,References!$A$1:$B$23,2,0)/2)^2)*PI()*Prices!$J$33*164</f>
        <v>112.02840862884864</v>
      </c>
      <c r="Z307" t="b">
        <v>1</v>
      </c>
      <c r="AA307" t="b">
        <v>1</v>
      </c>
      <c r="BZ307" t="s">
        <v>88</v>
      </c>
    </row>
    <row r="308" spans="1:78" ht="15" customHeight="1">
      <c r="A308" t="s">
        <v>209</v>
      </c>
      <c r="J308" t="s">
        <v>186</v>
      </c>
      <c r="M308" t="s">
        <v>85</v>
      </c>
      <c r="S308">
        <v>0</v>
      </c>
      <c r="U308">
        <v>-2</v>
      </c>
      <c r="V308" t="s">
        <v>86</v>
      </c>
      <c r="W308" t="s">
        <v>87</v>
      </c>
      <c r="X308" s="96">
        <f>((VLOOKUP(J308,References!$A$1:$B$23,2,0)/2)^2)*PI()*Prices!$J$33*164</f>
        <v>82.306585931398985</v>
      </c>
      <c r="Z308" t="b">
        <v>1</v>
      </c>
      <c r="AA308" t="b">
        <v>1</v>
      </c>
      <c r="BZ308" t="s">
        <v>88</v>
      </c>
    </row>
    <row r="309" spans="1:78" ht="15" customHeight="1">
      <c r="A309" t="s">
        <v>209</v>
      </c>
      <c r="J309" t="s">
        <v>186</v>
      </c>
      <c r="M309" t="s">
        <v>95</v>
      </c>
      <c r="S309">
        <v>0</v>
      </c>
      <c r="U309">
        <v>0</v>
      </c>
      <c r="V309" t="s">
        <v>86</v>
      </c>
      <c r="W309" t="s">
        <v>87</v>
      </c>
      <c r="X309" s="96">
        <f>((VLOOKUP(J309,References!$A$1:$B$23,2,0)/2)^2)*PI()*Prices!$J$33*164</f>
        <v>82.306585931398985</v>
      </c>
      <c r="Z309" t="b">
        <v>1</v>
      </c>
      <c r="AA309" t="b">
        <v>1</v>
      </c>
      <c r="BZ309" t="s">
        <v>88</v>
      </c>
    </row>
    <row r="310" spans="1:78" ht="15" customHeight="1">
      <c r="A310" t="s">
        <v>209</v>
      </c>
      <c r="J310" t="s">
        <v>98</v>
      </c>
      <c r="M310" t="s">
        <v>85</v>
      </c>
      <c r="S310">
        <v>0</v>
      </c>
      <c r="U310">
        <v>-15</v>
      </c>
      <c r="V310" t="s">
        <v>86</v>
      </c>
      <c r="W310" t="s">
        <v>87</v>
      </c>
      <c r="X310" s="96">
        <f>((VLOOKUP(J310,References!$A$1:$B$23,2,0)/2)^2)*PI()*Prices!$J$33*164</f>
        <v>57.157351341249303</v>
      </c>
      <c r="Z310" t="b">
        <v>1</v>
      </c>
      <c r="AA310" t="b">
        <v>1</v>
      </c>
      <c r="BZ310" t="s">
        <v>88</v>
      </c>
    </row>
    <row r="311" spans="1:78" ht="15" customHeight="1">
      <c r="A311" t="s">
        <v>209</v>
      </c>
      <c r="J311" t="s">
        <v>98</v>
      </c>
      <c r="M311" t="s">
        <v>95</v>
      </c>
      <c r="S311">
        <v>0</v>
      </c>
      <c r="U311">
        <v>0</v>
      </c>
      <c r="V311" t="s">
        <v>86</v>
      </c>
      <c r="W311" t="s">
        <v>87</v>
      </c>
      <c r="X311" s="96">
        <f>((VLOOKUP(J311,References!$A$1:$B$23,2,0)/2)^2)*PI()*Prices!$J$33*164</f>
        <v>57.157351341249303</v>
      </c>
      <c r="Z311" t="b">
        <v>1</v>
      </c>
      <c r="AA311" t="b">
        <v>1</v>
      </c>
      <c r="BZ311" t="s">
        <v>88</v>
      </c>
    </row>
    <row r="312" spans="1:78" ht="15" customHeight="1">
      <c r="A312" t="s">
        <v>209</v>
      </c>
      <c r="J312" t="s">
        <v>176</v>
      </c>
      <c r="M312" t="s">
        <v>85</v>
      </c>
      <c r="S312">
        <v>0</v>
      </c>
      <c r="U312">
        <v>-12</v>
      </c>
      <c r="V312" t="s">
        <v>86</v>
      </c>
      <c r="W312" t="s">
        <v>87</v>
      </c>
      <c r="X312" s="96">
        <f>((VLOOKUP(J312,References!$A$1:$B$23,2,0)/2)^2)*PI()*Prices!$J$33*164</f>
        <v>46.297454586411924</v>
      </c>
      <c r="Z312" t="b">
        <v>1</v>
      </c>
      <c r="AA312" t="b">
        <v>1</v>
      </c>
      <c r="BZ312" t="s">
        <v>88</v>
      </c>
    </row>
    <row r="313" spans="1:78" ht="15" customHeight="1">
      <c r="A313" t="s">
        <v>209</v>
      </c>
      <c r="J313" t="s">
        <v>176</v>
      </c>
      <c r="M313" t="s">
        <v>95</v>
      </c>
      <c r="S313">
        <v>0</v>
      </c>
      <c r="U313">
        <v>0</v>
      </c>
      <c r="V313" t="s">
        <v>86</v>
      </c>
      <c r="W313" t="s">
        <v>87</v>
      </c>
      <c r="X313" s="96">
        <f>((VLOOKUP(J313,References!$A$1:$B$23,2,0)/2)^2)*PI()*Prices!$J$33*164</f>
        <v>46.297454586411924</v>
      </c>
      <c r="Z313" t="b">
        <v>1</v>
      </c>
      <c r="AA313" t="b">
        <v>1</v>
      </c>
      <c r="BZ313" t="s">
        <v>88</v>
      </c>
    </row>
    <row r="314" spans="1:78" ht="15" customHeight="1">
      <c r="A314" t="s">
        <v>209</v>
      </c>
      <c r="J314" t="s">
        <v>97</v>
      </c>
      <c r="M314" t="s">
        <v>85</v>
      </c>
      <c r="S314">
        <v>0</v>
      </c>
      <c r="U314">
        <v>-33</v>
      </c>
      <c r="V314" t="s">
        <v>86</v>
      </c>
      <c r="W314" t="s">
        <v>87</v>
      </c>
      <c r="X314" s="96">
        <f>((VLOOKUP(J314,References!$A$1:$B$23,2,0)/2)^2)*PI()*Prices!$J$33*164</f>
        <v>36.58070485839955</v>
      </c>
      <c r="Z314" t="b">
        <v>1</v>
      </c>
      <c r="AA314" t="b">
        <v>1</v>
      </c>
      <c r="BZ314" t="s">
        <v>88</v>
      </c>
    </row>
    <row r="315" spans="1:78" ht="15" customHeight="1">
      <c r="A315" t="s">
        <v>209</v>
      </c>
      <c r="J315" t="s">
        <v>97</v>
      </c>
      <c r="M315" t="s">
        <v>95</v>
      </c>
      <c r="S315">
        <v>0</v>
      </c>
      <c r="U315">
        <v>0</v>
      </c>
      <c r="V315" t="s">
        <v>86</v>
      </c>
      <c r="W315" t="s">
        <v>87</v>
      </c>
      <c r="X315" s="96">
        <f>((VLOOKUP(J315,References!$A$1:$B$23,2,0)/2)^2)*PI()*Prices!$J$33*164</f>
        <v>36.58070485839955</v>
      </c>
      <c r="Z315" t="b">
        <v>1</v>
      </c>
      <c r="AA315" t="b">
        <v>1</v>
      </c>
      <c r="BZ315" t="s">
        <v>88</v>
      </c>
    </row>
    <row r="316" spans="1:78" ht="15" customHeight="1">
      <c r="A316" t="s">
        <v>209</v>
      </c>
      <c r="J316" t="s">
        <v>177</v>
      </c>
      <c r="M316" t="s">
        <v>85</v>
      </c>
      <c r="S316">
        <v>0</v>
      </c>
      <c r="U316">
        <v>0</v>
      </c>
      <c r="V316" t="s">
        <v>86</v>
      </c>
      <c r="W316" t="s">
        <v>87</v>
      </c>
      <c r="X316" s="96">
        <f>((VLOOKUP(J316,References!$A$1:$B$23,2,0)/2)^2)*PI()*Prices!$J$33*164</f>
        <v>28.007102157212159</v>
      </c>
      <c r="Z316" t="b">
        <v>1</v>
      </c>
      <c r="AA316" t="b">
        <v>1</v>
      </c>
      <c r="BZ316" t="s">
        <v>88</v>
      </c>
    </row>
    <row r="317" spans="1:78" ht="15" customHeight="1">
      <c r="A317" t="s">
        <v>209</v>
      </c>
      <c r="J317" t="s">
        <v>177</v>
      </c>
      <c r="M317" t="s">
        <v>95</v>
      </c>
      <c r="S317">
        <v>0</v>
      </c>
      <c r="U317">
        <v>-10</v>
      </c>
      <c r="V317" t="s">
        <v>86</v>
      </c>
      <c r="W317" t="s">
        <v>87</v>
      </c>
      <c r="X317" s="96">
        <f>((VLOOKUP(J317,References!$A$1:$B$23,2,0)/2)^2)*PI()*Prices!$J$33*164</f>
        <v>28.007102157212159</v>
      </c>
      <c r="Z317" t="b">
        <v>1</v>
      </c>
      <c r="AA317" t="b">
        <v>1</v>
      </c>
      <c r="BZ317" t="s">
        <v>88</v>
      </c>
    </row>
    <row r="318" spans="1:78" ht="15" customHeight="1">
      <c r="A318" t="s">
        <v>209</v>
      </c>
      <c r="J318" t="s">
        <v>96</v>
      </c>
      <c r="M318" t="s">
        <v>85</v>
      </c>
      <c r="S318">
        <v>0</v>
      </c>
      <c r="U318">
        <v>-118</v>
      </c>
      <c r="V318" t="s">
        <v>86</v>
      </c>
      <c r="W318" t="s">
        <v>87</v>
      </c>
      <c r="X318" s="96">
        <f>((VLOOKUP(J318,References!$A$1:$B$23,2,0)/2)^2)*PI()*Prices!$J$33*164</f>
        <v>20.576646482849746</v>
      </c>
      <c r="Z318" t="b">
        <v>1</v>
      </c>
      <c r="AA318" t="b">
        <v>1</v>
      </c>
      <c r="BZ318" t="s">
        <v>88</v>
      </c>
    </row>
    <row r="319" spans="1:78" ht="15" customHeight="1">
      <c r="A319" t="s">
        <v>209</v>
      </c>
      <c r="J319" t="s">
        <v>96</v>
      </c>
      <c r="M319" t="s">
        <v>95</v>
      </c>
      <c r="S319">
        <v>0</v>
      </c>
      <c r="U319">
        <v>0</v>
      </c>
      <c r="V319" t="s">
        <v>86</v>
      </c>
      <c r="W319" t="s">
        <v>87</v>
      </c>
      <c r="X319" s="96">
        <f>((VLOOKUP(J319,References!$A$1:$B$23,2,0)/2)^2)*PI()*Prices!$J$33*164</f>
        <v>20.576646482849746</v>
      </c>
      <c r="Z319" t="b">
        <v>1</v>
      </c>
      <c r="AA319" t="b">
        <v>1</v>
      </c>
      <c r="BZ319" t="s">
        <v>88</v>
      </c>
    </row>
    <row r="320" spans="1:78" ht="15" customHeight="1">
      <c r="A320" t="s">
        <v>209</v>
      </c>
      <c r="J320" t="s">
        <v>94</v>
      </c>
      <c r="M320" t="s">
        <v>85</v>
      </c>
      <c r="S320">
        <v>0</v>
      </c>
      <c r="U320">
        <v>-88</v>
      </c>
      <c r="V320" t="s">
        <v>86</v>
      </c>
      <c r="W320" t="s">
        <v>87</v>
      </c>
      <c r="X320" s="96">
        <f>((VLOOKUP(J320,References!$A$1:$B$23,2,0)/2)^2)*PI()*Prices!$J$33*164</f>
        <v>14.289337835312326</v>
      </c>
      <c r="Z320" t="b">
        <v>1</v>
      </c>
      <c r="AA320" t="b">
        <v>1</v>
      </c>
      <c r="BZ320" t="s">
        <v>88</v>
      </c>
    </row>
    <row r="321" spans="1:81" ht="15" customHeight="1">
      <c r="A321" t="s">
        <v>209</v>
      </c>
      <c r="J321" t="s">
        <v>94</v>
      </c>
      <c r="M321" t="s">
        <v>95</v>
      </c>
      <c r="S321">
        <v>0</v>
      </c>
      <c r="U321">
        <v>0</v>
      </c>
      <c r="V321" t="s">
        <v>86</v>
      </c>
      <c r="W321" t="s">
        <v>87</v>
      </c>
      <c r="X321" s="96">
        <f>((VLOOKUP(J321,References!$A$1:$B$23,2,0)/2)^2)*PI()*Prices!$J$33*164</f>
        <v>14.289337835312326</v>
      </c>
      <c r="Z321" t="b">
        <v>1</v>
      </c>
      <c r="AA321" t="b">
        <v>1</v>
      </c>
      <c r="BZ321" t="s">
        <v>88</v>
      </c>
    </row>
    <row r="322" spans="1:81" ht="15" customHeight="1">
      <c r="A322" t="s">
        <v>209</v>
      </c>
      <c r="J322" t="s">
        <v>93</v>
      </c>
      <c r="M322" t="s">
        <v>85</v>
      </c>
      <c r="S322">
        <v>0</v>
      </c>
      <c r="U322">
        <v>-56</v>
      </c>
      <c r="V322" t="s">
        <v>86</v>
      </c>
      <c r="W322" t="s">
        <v>87</v>
      </c>
      <c r="X322" s="96">
        <f>((VLOOKUP(J322,References!$A$1:$B$23,2,0)/2)^2)*PI()*Prices!$J$33*164</f>
        <v>9.1451762145998874</v>
      </c>
      <c r="Z322" t="b">
        <v>1</v>
      </c>
      <c r="AA322" t="b">
        <v>1</v>
      </c>
      <c r="BZ322" t="s">
        <v>88</v>
      </c>
    </row>
    <row r="323" spans="1:81" ht="15" customHeight="1">
      <c r="A323" t="s">
        <v>209</v>
      </c>
      <c r="J323" t="s">
        <v>93</v>
      </c>
      <c r="M323" t="s">
        <v>95</v>
      </c>
      <c r="S323">
        <v>0</v>
      </c>
      <c r="U323">
        <v>0</v>
      </c>
      <c r="V323" t="s">
        <v>86</v>
      </c>
      <c r="W323" t="s">
        <v>87</v>
      </c>
      <c r="X323" s="96">
        <f>((VLOOKUP(J323,References!$A$1:$B$23,2,0)/2)^2)*PI()*Prices!$J$33*164</f>
        <v>9.1451762145998874</v>
      </c>
      <c r="Z323" t="b">
        <v>1</v>
      </c>
      <c r="AA323" t="b">
        <v>1</v>
      </c>
      <c r="BZ323" t="s">
        <v>88</v>
      </c>
    </row>
    <row r="324" spans="1:81" ht="15" customHeight="1">
      <c r="A324" t="s">
        <v>209</v>
      </c>
      <c r="J324" t="s">
        <v>92</v>
      </c>
      <c r="M324" t="s">
        <v>85</v>
      </c>
      <c r="S324">
        <v>0</v>
      </c>
      <c r="U324">
        <v>0</v>
      </c>
      <c r="V324" t="s">
        <v>86</v>
      </c>
      <c r="W324" t="s">
        <v>87</v>
      </c>
      <c r="X324" s="96">
        <f>((VLOOKUP(J324,References!$A$1:$B$23,2,0)/2)^2)*PI()*Prices!$J$33*164</f>
        <v>7.4075927338259087</v>
      </c>
      <c r="Z324" t="b">
        <v>1</v>
      </c>
      <c r="AA324" t="b">
        <v>1</v>
      </c>
      <c r="BZ324" t="s">
        <v>88</v>
      </c>
    </row>
    <row r="325" spans="1:81" ht="15" customHeight="1">
      <c r="A325" t="s">
        <v>209</v>
      </c>
      <c r="J325" t="s">
        <v>92</v>
      </c>
      <c r="M325" t="s">
        <v>95</v>
      </c>
      <c r="S325">
        <v>0</v>
      </c>
      <c r="U325">
        <v>0</v>
      </c>
      <c r="V325" t="s">
        <v>86</v>
      </c>
      <c r="W325" t="s">
        <v>87</v>
      </c>
      <c r="X325" s="96">
        <f>((VLOOKUP(J325,References!$A$1:$B$23,2,0)/2)^2)*PI()*Prices!$J$33*164</f>
        <v>7.4075927338259087</v>
      </c>
      <c r="Z325" t="b">
        <v>1</v>
      </c>
      <c r="AA325" t="b">
        <v>1</v>
      </c>
      <c r="BZ325" t="s">
        <v>88</v>
      </c>
    </row>
    <row r="326" spans="1:81" ht="15" customHeight="1">
      <c r="A326" t="s">
        <v>209</v>
      </c>
      <c r="J326" t="s">
        <v>91</v>
      </c>
      <c r="M326" t="s">
        <v>85</v>
      </c>
      <c r="S326">
        <v>0</v>
      </c>
      <c r="U326">
        <v>-180</v>
      </c>
      <c r="V326" t="s">
        <v>86</v>
      </c>
      <c r="W326" t="s">
        <v>87</v>
      </c>
      <c r="X326" s="96">
        <f>((VLOOKUP(J326,References!$A$1:$B$23,2,0)/2)^2)*PI()*Prices!$J$33*164</f>
        <v>5.1441616207124365</v>
      </c>
      <c r="Z326" t="b">
        <v>1</v>
      </c>
      <c r="AA326" t="b">
        <v>1</v>
      </c>
      <c r="BZ326" t="s">
        <v>88</v>
      </c>
    </row>
    <row r="327" spans="1:81" ht="15" customHeight="1">
      <c r="A327" t="s">
        <v>209</v>
      </c>
      <c r="J327" t="s">
        <v>91</v>
      </c>
      <c r="M327" t="s">
        <v>95</v>
      </c>
      <c r="S327">
        <v>0</v>
      </c>
      <c r="U327">
        <v>-24</v>
      </c>
      <c r="V327" t="s">
        <v>86</v>
      </c>
      <c r="W327" t="s">
        <v>87</v>
      </c>
      <c r="X327" s="96">
        <f>((VLOOKUP(J327,References!$A$1:$B$23,2,0)/2)^2)*PI()*Prices!$J$33*164</f>
        <v>5.1441616207124365</v>
      </c>
      <c r="Z327" t="b">
        <v>1</v>
      </c>
      <c r="AA327" t="b">
        <v>1</v>
      </c>
      <c r="BZ327" t="s">
        <v>88</v>
      </c>
    </row>
    <row r="328" spans="1:81" ht="15" customHeight="1">
      <c r="A328" t="s">
        <v>209</v>
      </c>
      <c r="J328" t="s">
        <v>178</v>
      </c>
      <c r="M328" t="s">
        <v>85</v>
      </c>
      <c r="S328">
        <v>0</v>
      </c>
      <c r="U328">
        <v>0</v>
      </c>
      <c r="V328" t="s">
        <v>86</v>
      </c>
      <c r="W328" t="s">
        <v>87</v>
      </c>
      <c r="X328" s="96">
        <f>((VLOOKUP(J328,References!$A$1:$B$23,2,0)/2)^2)*PI()*Prices!$J$33*164</f>
        <v>4.4811363451539457</v>
      </c>
      <c r="Z328" t="b">
        <v>1</v>
      </c>
      <c r="AA328" t="b">
        <v>1</v>
      </c>
      <c r="BZ328" t="s">
        <v>88</v>
      </c>
    </row>
    <row r="329" spans="1:81" ht="15" customHeight="1">
      <c r="A329" t="s">
        <v>209</v>
      </c>
      <c r="J329" t="s">
        <v>178</v>
      </c>
      <c r="M329" t="s">
        <v>95</v>
      </c>
      <c r="S329">
        <v>0</v>
      </c>
      <c r="U329">
        <v>0</v>
      </c>
      <c r="V329" t="s">
        <v>86</v>
      </c>
      <c r="W329" t="s">
        <v>87</v>
      </c>
      <c r="X329" s="96">
        <f>((VLOOKUP(J329,References!$A$1:$B$23,2,0)/2)^2)*PI()*Prices!$J$33*164</f>
        <v>4.4811363451539457</v>
      </c>
      <c r="Z329" t="b">
        <v>1</v>
      </c>
      <c r="AA329" t="b">
        <v>1</v>
      </c>
      <c r="BZ329" t="s">
        <v>88</v>
      </c>
    </row>
    <row r="330" spans="1:81" ht="15" customHeight="1">
      <c r="A330" t="s">
        <v>209</v>
      </c>
      <c r="J330" t="s">
        <v>90</v>
      </c>
      <c r="M330" t="s">
        <v>85</v>
      </c>
      <c r="S330">
        <v>0</v>
      </c>
      <c r="U330">
        <v>0</v>
      </c>
      <c r="V330" t="s">
        <v>86</v>
      </c>
      <c r="W330" t="s">
        <v>87</v>
      </c>
      <c r="X330" s="96">
        <f>((VLOOKUP(J330,References!$A$1:$B$23,2,0)/2)^2)*PI()*Prices!$J$33*164</f>
        <v>3.2922634372559596</v>
      </c>
      <c r="Z330" t="b">
        <v>1</v>
      </c>
      <c r="AA330" t="b">
        <v>1</v>
      </c>
      <c r="BZ330" t="s">
        <v>88</v>
      </c>
    </row>
    <row r="331" spans="1:81" ht="15" customHeight="1">
      <c r="A331" t="s">
        <v>209</v>
      </c>
      <c r="J331" t="s">
        <v>90</v>
      </c>
      <c r="M331" t="s">
        <v>95</v>
      </c>
      <c r="S331">
        <v>0</v>
      </c>
      <c r="U331">
        <v>0</v>
      </c>
      <c r="V331" t="s">
        <v>86</v>
      </c>
      <c r="W331" t="s">
        <v>87</v>
      </c>
      <c r="X331" s="96">
        <f>((VLOOKUP(J331,References!$A$1:$B$23,2,0)/2)^2)*PI()*Prices!$J$33*164</f>
        <v>3.2922634372559596</v>
      </c>
      <c r="Z331" t="b">
        <v>1</v>
      </c>
      <c r="AA331" t="b">
        <v>1</v>
      </c>
      <c r="BZ331" t="s">
        <v>88</v>
      </c>
    </row>
    <row r="332" spans="1:81" ht="15" customHeight="1">
      <c r="A332" t="s">
        <v>209</v>
      </c>
      <c r="J332" t="s">
        <v>83</v>
      </c>
      <c r="M332" t="s">
        <v>85</v>
      </c>
      <c r="S332">
        <v>0</v>
      </c>
      <c r="U332">
        <v>0</v>
      </c>
      <c r="V332" t="s">
        <v>86</v>
      </c>
      <c r="W332" t="s">
        <v>87</v>
      </c>
      <c r="X332" s="96">
        <f>((VLOOKUP(J332,References!$A$1:$B$23,2,0)/2)^2)*PI()*Prices!$J$33*164</f>
        <v>2.2862940536499718</v>
      </c>
      <c r="Z332" t="b">
        <v>1</v>
      </c>
      <c r="AA332" t="b">
        <v>1</v>
      </c>
      <c r="BZ332" t="s">
        <v>88</v>
      </c>
    </row>
    <row r="333" spans="1:81" ht="15" customHeight="1">
      <c r="A333" t="s">
        <v>209</v>
      </c>
      <c r="J333" t="s">
        <v>83</v>
      </c>
      <c r="M333" t="s">
        <v>95</v>
      </c>
      <c r="S333">
        <v>0</v>
      </c>
      <c r="U333">
        <v>0</v>
      </c>
      <c r="V333" t="s">
        <v>86</v>
      </c>
      <c r="W333" t="s">
        <v>87</v>
      </c>
      <c r="X333" s="96">
        <f>((VLOOKUP(J333,References!$A$1:$B$23,2,0)/2)^2)*PI()*Prices!$J$33*164</f>
        <v>2.2862940536499718</v>
      </c>
      <c r="Z333" t="b">
        <v>1</v>
      </c>
      <c r="AA333" t="b">
        <v>1</v>
      </c>
      <c r="BZ333" t="s">
        <v>88</v>
      </c>
    </row>
    <row r="334" spans="1:81" ht="15" customHeight="1">
      <c r="A334" t="s">
        <v>213</v>
      </c>
      <c r="B334" t="s">
        <v>214</v>
      </c>
      <c r="C334" s="1" t="s">
        <v>215</v>
      </c>
      <c r="D334" t="s">
        <v>79</v>
      </c>
      <c r="E334" t="s">
        <v>113</v>
      </c>
      <c r="G334" t="s">
        <v>216</v>
      </c>
      <c r="H334" t="b">
        <v>1</v>
      </c>
      <c r="I334" t="s">
        <v>82</v>
      </c>
      <c r="J334" t="s">
        <v>171</v>
      </c>
      <c r="L334" t="s">
        <v>84</v>
      </c>
      <c r="M334" t="s">
        <v>85</v>
      </c>
      <c r="S334">
        <v>0</v>
      </c>
      <c r="U334">
        <v>0</v>
      </c>
      <c r="V334" t="s">
        <v>86</v>
      </c>
      <c r="W334" t="s">
        <v>87</v>
      </c>
      <c r="X334" s="96">
        <f>((VLOOKUP(J334,References!$A$1:$B$23,2,0)/2)^2)*PI()*Prices!$J$33*164</f>
        <v>585.29127773439279</v>
      </c>
      <c r="Z334" t="b">
        <v>1</v>
      </c>
      <c r="AA334" t="b">
        <v>1</v>
      </c>
      <c r="AC334" t="s">
        <v>364</v>
      </c>
      <c r="AD334">
        <v>1</v>
      </c>
      <c r="AE334" t="s">
        <v>217</v>
      </c>
      <c r="AF334" t="b">
        <v>0</v>
      </c>
      <c r="BZ334" t="s">
        <v>88</v>
      </c>
      <c r="CC334" t="s">
        <v>89</v>
      </c>
    </row>
    <row r="335" spans="1:81" ht="15" customHeight="1">
      <c r="A335" t="s">
        <v>213</v>
      </c>
      <c r="J335" t="s">
        <v>171</v>
      </c>
      <c r="M335" t="s">
        <v>95</v>
      </c>
      <c r="S335">
        <v>0</v>
      </c>
      <c r="U335">
        <v>0</v>
      </c>
      <c r="V335" t="s">
        <v>86</v>
      </c>
      <c r="W335" t="s">
        <v>87</v>
      </c>
      <c r="X335" s="96">
        <f>((VLOOKUP(J335,References!$A$1:$B$23,2,0)/2)^2)*PI()*Prices!$J$33*164</f>
        <v>585.29127773439279</v>
      </c>
      <c r="Z335" t="b">
        <v>1</v>
      </c>
      <c r="AA335" t="b">
        <v>1</v>
      </c>
      <c r="BZ335" t="s">
        <v>88</v>
      </c>
    </row>
    <row r="336" spans="1:81" ht="15" customHeight="1">
      <c r="A336" t="s">
        <v>213</v>
      </c>
      <c r="J336" t="s">
        <v>173</v>
      </c>
      <c r="M336" t="s">
        <v>85</v>
      </c>
      <c r="S336">
        <v>0</v>
      </c>
      <c r="U336">
        <v>0</v>
      </c>
      <c r="V336" t="s">
        <v>86</v>
      </c>
      <c r="W336" t="s">
        <v>87</v>
      </c>
      <c r="X336" s="96">
        <f>((VLOOKUP(J336,References!$A$1:$B$23,2,0)/2)^2)*PI()*Prices!$J$33*164</f>
        <v>357.2334458828081</v>
      </c>
      <c r="Z336" t="b">
        <v>1</v>
      </c>
      <c r="AA336" t="b">
        <v>1</v>
      </c>
      <c r="BZ336" t="s">
        <v>88</v>
      </c>
    </row>
    <row r="337" spans="1:78" ht="15" customHeight="1">
      <c r="A337" t="s">
        <v>213</v>
      </c>
      <c r="J337" t="s">
        <v>173</v>
      </c>
      <c r="M337" t="s">
        <v>95</v>
      </c>
      <c r="S337">
        <v>0</v>
      </c>
      <c r="U337">
        <v>0</v>
      </c>
      <c r="V337" t="s">
        <v>86</v>
      </c>
      <c r="W337" t="s">
        <v>87</v>
      </c>
      <c r="X337" s="96">
        <f>((VLOOKUP(J337,References!$A$1:$B$23,2,0)/2)^2)*PI()*Prices!$J$33*164</f>
        <v>357.2334458828081</v>
      </c>
      <c r="Z337" t="b">
        <v>1</v>
      </c>
      <c r="AA337" t="b">
        <v>1</v>
      </c>
      <c r="BZ337" t="s">
        <v>88</v>
      </c>
    </row>
    <row r="338" spans="1:78" ht="15" customHeight="1">
      <c r="A338" t="s">
        <v>213</v>
      </c>
      <c r="J338" t="s">
        <v>174</v>
      </c>
      <c r="M338" t="s">
        <v>85</v>
      </c>
      <c r="S338">
        <v>0</v>
      </c>
      <c r="U338">
        <v>0</v>
      </c>
      <c r="V338" t="s">
        <v>86</v>
      </c>
      <c r="W338" t="s">
        <v>87</v>
      </c>
      <c r="X338" s="96">
        <f>((VLOOKUP(J338,References!$A$1:$B$23,2,0)/2)^2)*PI()*Prices!$J$33*164</f>
        <v>228.62940536499721</v>
      </c>
      <c r="Z338" t="b">
        <v>1</v>
      </c>
      <c r="AA338" t="b">
        <v>1</v>
      </c>
      <c r="BZ338" t="s">
        <v>88</v>
      </c>
    </row>
    <row r="339" spans="1:78" ht="15" customHeight="1">
      <c r="A339" t="s">
        <v>213</v>
      </c>
      <c r="J339" t="s">
        <v>174</v>
      </c>
      <c r="M339" t="s">
        <v>95</v>
      </c>
      <c r="S339">
        <v>0</v>
      </c>
      <c r="U339">
        <v>0</v>
      </c>
      <c r="V339" t="s">
        <v>86</v>
      </c>
      <c r="W339" t="s">
        <v>87</v>
      </c>
      <c r="X339" s="96">
        <f>((VLOOKUP(J339,References!$A$1:$B$23,2,0)/2)^2)*PI()*Prices!$J$33*164</f>
        <v>228.62940536499721</v>
      </c>
      <c r="Z339" t="b">
        <v>1</v>
      </c>
      <c r="AA339" t="b">
        <v>1</v>
      </c>
      <c r="BZ339" t="s">
        <v>88</v>
      </c>
    </row>
    <row r="340" spans="1:78" ht="15" customHeight="1">
      <c r="A340" t="s">
        <v>213</v>
      </c>
      <c r="J340" t="s">
        <v>175</v>
      </c>
      <c r="M340" t="s">
        <v>85</v>
      </c>
      <c r="S340">
        <v>0</v>
      </c>
      <c r="U340">
        <v>0</v>
      </c>
      <c r="V340" t="s">
        <v>86</v>
      </c>
      <c r="W340" t="s">
        <v>87</v>
      </c>
      <c r="X340" s="96">
        <f>((VLOOKUP(J340,References!$A$1:$B$23,2,0)/2)^2)*PI()*Prices!$J$33*164</f>
        <v>185.18981834564769</v>
      </c>
      <c r="Z340" t="b">
        <v>1</v>
      </c>
      <c r="AA340" t="b">
        <v>1</v>
      </c>
      <c r="BZ340" t="s">
        <v>88</v>
      </c>
    </row>
    <row r="341" spans="1:78" ht="15" customHeight="1">
      <c r="A341" t="s">
        <v>213</v>
      </c>
      <c r="J341" t="s">
        <v>175</v>
      </c>
      <c r="M341" t="s">
        <v>95</v>
      </c>
      <c r="S341">
        <v>0</v>
      </c>
      <c r="U341">
        <v>0</v>
      </c>
      <c r="V341" t="s">
        <v>86</v>
      </c>
      <c r="W341" t="s">
        <v>87</v>
      </c>
      <c r="X341" s="96">
        <f>((VLOOKUP(J341,References!$A$1:$B$23,2,0)/2)^2)*PI()*Prices!$J$33*164</f>
        <v>185.18981834564769</v>
      </c>
      <c r="Z341" t="b">
        <v>1</v>
      </c>
      <c r="AA341" t="b">
        <v>1</v>
      </c>
      <c r="BZ341" t="s">
        <v>88</v>
      </c>
    </row>
    <row r="342" spans="1:78" ht="15" customHeight="1">
      <c r="A342" t="s">
        <v>213</v>
      </c>
      <c r="J342" t="s">
        <v>167</v>
      </c>
      <c r="M342" t="s">
        <v>85</v>
      </c>
      <c r="S342">
        <v>0</v>
      </c>
      <c r="U342">
        <v>0</v>
      </c>
      <c r="V342" t="s">
        <v>86</v>
      </c>
      <c r="W342" t="s">
        <v>87</v>
      </c>
      <c r="X342" s="96">
        <f>((VLOOKUP(J342,References!$A$1:$B$23,2,0)/2)^2)*PI()*Prices!$J$33*164</f>
        <v>146.3228194335982</v>
      </c>
      <c r="Z342" t="b">
        <v>1</v>
      </c>
      <c r="AA342" t="b">
        <v>1</v>
      </c>
      <c r="BZ342" t="s">
        <v>88</v>
      </c>
    </row>
    <row r="343" spans="1:78" ht="15" customHeight="1">
      <c r="A343" t="s">
        <v>213</v>
      </c>
      <c r="J343" t="s">
        <v>167</v>
      </c>
      <c r="M343" t="s">
        <v>95</v>
      </c>
      <c r="S343">
        <v>0</v>
      </c>
      <c r="U343">
        <v>0</v>
      </c>
      <c r="V343" t="s">
        <v>86</v>
      </c>
      <c r="W343" t="s">
        <v>87</v>
      </c>
      <c r="X343" s="96">
        <f>((VLOOKUP(J343,References!$A$1:$B$23,2,0)/2)^2)*PI()*Prices!$J$33*164</f>
        <v>146.3228194335982</v>
      </c>
      <c r="Z343" t="b">
        <v>1</v>
      </c>
      <c r="AA343" t="b">
        <v>1</v>
      </c>
      <c r="BZ343" t="s">
        <v>88</v>
      </c>
    </row>
    <row r="344" spans="1:78" ht="15" customHeight="1">
      <c r="A344" t="s">
        <v>213</v>
      </c>
      <c r="J344" t="s">
        <v>198</v>
      </c>
      <c r="M344" t="s">
        <v>85</v>
      </c>
      <c r="S344">
        <v>0</v>
      </c>
      <c r="U344">
        <v>0</v>
      </c>
      <c r="V344" t="s">
        <v>86</v>
      </c>
      <c r="W344" t="s">
        <v>87</v>
      </c>
      <c r="X344" s="96">
        <f>((VLOOKUP(J344,References!$A$1:$B$23,2,0)/2)^2)*PI()*Prices!$J$33*164</f>
        <v>112.02840862884864</v>
      </c>
      <c r="Z344" t="b">
        <v>1</v>
      </c>
      <c r="AA344" t="b">
        <v>1</v>
      </c>
      <c r="BZ344" t="s">
        <v>88</v>
      </c>
    </row>
    <row r="345" spans="1:78" ht="15" customHeight="1">
      <c r="A345" t="s">
        <v>213</v>
      </c>
      <c r="J345" t="s">
        <v>198</v>
      </c>
      <c r="M345" t="s">
        <v>95</v>
      </c>
      <c r="S345">
        <v>0</v>
      </c>
      <c r="U345">
        <v>0</v>
      </c>
      <c r="V345" t="s">
        <v>86</v>
      </c>
      <c r="W345" t="s">
        <v>87</v>
      </c>
      <c r="X345" s="96">
        <f>((VLOOKUP(J345,References!$A$1:$B$23,2,0)/2)^2)*PI()*Prices!$J$33*164</f>
        <v>112.02840862884864</v>
      </c>
      <c r="Z345" t="b">
        <v>1</v>
      </c>
      <c r="AA345" t="b">
        <v>1</v>
      </c>
      <c r="BZ345" t="s">
        <v>88</v>
      </c>
    </row>
    <row r="346" spans="1:78" ht="15" customHeight="1">
      <c r="A346" t="s">
        <v>213</v>
      </c>
      <c r="J346" t="s">
        <v>186</v>
      </c>
      <c r="M346" t="s">
        <v>85</v>
      </c>
      <c r="S346">
        <v>0</v>
      </c>
      <c r="U346">
        <v>0</v>
      </c>
      <c r="V346" t="s">
        <v>86</v>
      </c>
      <c r="W346" t="s">
        <v>87</v>
      </c>
      <c r="X346" s="96">
        <f>((VLOOKUP(J346,References!$A$1:$B$23,2,0)/2)^2)*PI()*Prices!$J$33*164</f>
        <v>82.306585931398985</v>
      </c>
      <c r="Z346" t="b">
        <v>1</v>
      </c>
      <c r="AA346" t="b">
        <v>1</v>
      </c>
      <c r="BZ346" t="s">
        <v>88</v>
      </c>
    </row>
    <row r="347" spans="1:78" ht="15" customHeight="1">
      <c r="A347" t="s">
        <v>213</v>
      </c>
      <c r="J347" t="s">
        <v>186</v>
      </c>
      <c r="M347" t="s">
        <v>95</v>
      </c>
      <c r="S347">
        <v>0</v>
      </c>
      <c r="U347">
        <v>0</v>
      </c>
      <c r="V347" t="s">
        <v>86</v>
      </c>
      <c r="W347" t="s">
        <v>87</v>
      </c>
      <c r="X347" s="96">
        <f>((VLOOKUP(J347,References!$A$1:$B$23,2,0)/2)^2)*PI()*Prices!$J$33*164</f>
        <v>82.306585931398985</v>
      </c>
      <c r="Z347" t="b">
        <v>1</v>
      </c>
      <c r="AA347" t="b">
        <v>1</v>
      </c>
      <c r="BZ347" t="s">
        <v>88</v>
      </c>
    </row>
    <row r="348" spans="1:78" ht="15" customHeight="1">
      <c r="A348" t="s">
        <v>213</v>
      </c>
      <c r="J348" t="s">
        <v>98</v>
      </c>
      <c r="M348" t="s">
        <v>85</v>
      </c>
      <c r="S348">
        <v>0</v>
      </c>
      <c r="U348">
        <v>0</v>
      </c>
      <c r="V348" t="s">
        <v>86</v>
      </c>
      <c r="W348" t="s">
        <v>87</v>
      </c>
      <c r="X348" s="96">
        <f>((VLOOKUP(J348,References!$A$1:$B$23,2,0)/2)^2)*PI()*Prices!$J$33*164</f>
        <v>57.157351341249303</v>
      </c>
      <c r="Z348" t="b">
        <v>1</v>
      </c>
      <c r="AA348" t="b">
        <v>1</v>
      </c>
      <c r="BZ348" t="s">
        <v>88</v>
      </c>
    </row>
    <row r="349" spans="1:78" ht="15" customHeight="1">
      <c r="A349" t="s">
        <v>213</v>
      </c>
      <c r="J349" t="s">
        <v>98</v>
      </c>
      <c r="M349" t="s">
        <v>95</v>
      </c>
      <c r="S349">
        <v>0</v>
      </c>
      <c r="U349">
        <v>0</v>
      </c>
      <c r="V349" t="s">
        <v>86</v>
      </c>
      <c r="W349" t="s">
        <v>87</v>
      </c>
      <c r="X349" s="96">
        <f>((VLOOKUP(J349,References!$A$1:$B$23,2,0)/2)^2)*PI()*Prices!$J$33*164</f>
        <v>57.157351341249303</v>
      </c>
      <c r="Z349" t="b">
        <v>1</v>
      </c>
      <c r="AA349" t="b">
        <v>1</v>
      </c>
      <c r="BZ349" t="s">
        <v>88</v>
      </c>
    </row>
    <row r="350" spans="1:78" ht="15" customHeight="1">
      <c r="A350" t="s">
        <v>213</v>
      </c>
      <c r="J350" t="s">
        <v>176</v>
      </c>
      <c r="M350" t="s">
        <v>85</v>
      </c>
      <c r="S350">
        <v>0</v>
      </c>
      <c r="U350">
        <v>0</v>
      </c>
      <c r="V350" t="s">
        <v>86</v>
      </c>
      <c r="W350" t="s">
        <v>87</v>
      </c>
      <c r="X350" s="96">
        <f>((VLOOKUP(J350,References!$A$1:$B$23,2,0)/2)^2)*PI()*Prices!$J$33*164</f>
        <v>46.297454586411924</v>
      </c>
      <c r="Z350" t="b">
        <v>1</v>
      </c>
      <c r="AA350" t="b">
        <v>1</v>
      </c>
      <c r="BZ350" t="s">
        <v>88</v>
      </c>
    </row>
    <row r="351" spans="1:78" ht="15" customHeight="1">
      <c r="A351" t="s">
        <v>213</v>
      </c>
      <c r="J351" t="s">
        <v>176</v>
      </c>
      <c r="M351" t="s">
        <v>95</v>
      </c>
      <c r="S351">
        <v>0</v>
      </c>
      <c r="U351">
        <v>0</v>
      </c>
      <c r="V351" t="s">
        <v>86</v>
      </c>
      <c r="W351" t="s">
        <v>87</v>
      </c>
      <c r="X351" s="96">
        <f>((VLOOKUP(J351,References!$A$1:$B$23,2,0)/2)^2)*PI()*Prices!$J$33*164</f>
        <v>46.297454586411924</v>
      </c>
      <c r="Z351" t="b">
        <v>1</v>
      </c>
      <c r="AA351" t="b">
        <v>1</v>
      </c>
      <c r="BZ351" t="s">
        <v>88</v>
      </c>
    </row>
    <row r="352" spans="1:78" ht="15" customHeight="1">
      <c r="A352" t="s">
        <v>213</v>
      </c>
      <c r="J352" t="s">
        <v>97</v>
      </c>
      <c r="M352" t="s">
        <v>85</v>
      </c>
      <c r="S352">
        <v>0</v>
      </c>
      <c r="U352">
        <v>0</v>
      </c>
      <c r="V352" t="s">
        <v>86</v>
      </c>
      <c r="W352" t="s">
        <v>87</v>
      </c>
      <c r="X352" s="96">
        <f>((VLOOKUP(J352,References!$A$1:$B$23,2,0)/2)^2)*PI()*Prices!$J$33*164</f>
        <v>36.58070485839955</v>
      </c>
      <c r="Z352" t="b">
        <v>1</v>
      </c>
      <c r="AA352" t="b">
        <v>1</v>
      </c>
      <c r="BZ352" t="s">
        <v>88</v>
      </c>
    </row>
    <row r="353" spans="1:78" ht="15" customHeight="1">
      <c r="A353" t="s">
        <v>213</v>
      </c>
      <c r="J353" t="s">
        <v>97</v>
      </c>
      <c r="M353" t="s">
        <v>95</v>
      </c>
      <c r="S353">
        <v>0</v>
      </c>
      <c r="U353">
        <v>0</v>
      </c>
      <c r="V353" t="s">
        <v>86</v>
      </c>
      <c r="W353" t="s">
        <v>87</v>
      </c>
      <c r="X353" s="96">
        <f>((VLOOKUP(J353,References!$A$1:$B$23,2,0)/2)^2)*PI()*Prices!$J$33*164</f>
        <v>36.58070485839955</v>
      </c>
      <c r="Z353" t="b">
        <v>1</v>
      </c>
      <c r="AA353" t="b">
        <v>1</v>
      </c>
      <c r="BZ353" t="s">
        <v>88</v>
      </c>
    </row>
    <row r="354" spans="1:78" ht="15" customHeight="1">
      <c r="A354" t="s">
        <v>213</v>
      </c>
      <c r="J354" t="s">
        <v>177</v>
      </c>
      <c r="M354" t="s">
        <v>85</v>
      </c>
      <c r="S354">
        <v>0</v>
      </c>
      <c r="U354">
        <v>0</v>
      </c>
      <c r="V354" t="s">
        <v>86</v>
      </c>
      <c r="W354" t="s">
        <v>87</v>
      </c>
      <c r="X354" s="96">
        <f>((VLOOKUP(J354,References!$A$1:$B$23,2,0)/2)^2)*PI()*Prices!$J$33*164</f>
        <v>28.007102157212159</v>
      </c>
      <c r="Z354" t="b">
        <v>1</v>
      </c>
      <c r="AA354" t="b">
        <v>1</v>
      </c>
      <c r="BZ354" t="s">
        <v>88</v>
      </c>
    </row>
    <row r="355" spans="1:78" ht="15" customHeight="1">
      <c r="A355" t="s">
        <v>213</v>
      </c>
      <c r="J355" t="s">
        <v>177</v>
      </c>
      <c r="M355" t="s">
        <v>95</v>
      </c>
      <c r="S355">
        <v>0</v>
      </c>
      <c r="U355">
        <v>0</v>
      </c>
      <c r="V355" t="s">
        <v>86</v>
      </c>
      <c r="W355" t="s">
        <v>87</v>
      </c>
      <c r="X355" s="96">
        <f>((VLOOKUP(J355,References!$A$1:$B$23,2,0)/2)^2)*PI()*Prices!$J$33*164</f>
        <v>28.007102157212159</v>
      </c>
      <c r="Z355" t="b">
        <v>1</v>
      </c>
      <c r="AA355" t="b">
        <v>1</v>
      </c>
      <c r="BZ355" t="s">
        <v>88</v>
      </c>
    </row>
    <row r="356" spans="1:78" ht="15" customHeight="1">
      <c r="A356" t="s">
        <v>213</v>
      </c>
      <c r="J356" t="s">
        <v>96</v>
      </c>
      <c r="M356" t="s">
        <v>85</v>
      </c>
      <c r="S356">
        <v>0</v>
      </c>
      <c r="U356">
        <v>0</v>
      </c>
      <c r="V356" t="s">
        <v>86</v>
      </c>
      <c r="W356" t="s">
        <v>87</v>
      </c>
      <c r="X356" s="96">
        <f>((VLOOKUP(J356,References!$A$1:$B$23,2,0)/2)^2)*PI()*Prices!$J$33*164</f>
        <v>20.576646482849746</v>
      </c>
      <c r="Z356" t="b">
        <v>1</v>
      </c>
      <c r="AA356" t="b">
        <v>1</v>
      </c>
      <c r="BZ356" t="s">
        <v>88</v>
      </c>
    </row>
    <row r="357" spans="1:78" ht="15" customHeight="1">
      <c r="A357" t="s">
        <v>213</v>
      </c>
      <c r="J357" t="s">
        <v>96</v>
      </c>
      <c r="M357" t="s">
        <v>95</v>
      </c>
      <c r="S357">
        <v>0</v>
      </c>
      <c r="U357">
        <v>0</v>
      </c>
      <c r="V357" t="s">
        <v>86</v>
      </c>
      <c r="W357" t="s">
        <v>87</v>
      </c>
      <c r="X357" s="96">
        <f>((VLOOKUP(J357,References!$A$1:$B$23,2,0)/2)^2)*PI()*Prices!$J$33*164</f>
        <v>20.576646482849746</v>
      </c>
      <c r="Z357" t="b">
        <v>1</v>
      </c>
      <c r="AA357" t="b">
        <v>1</v>
      </c>
      <c r="BZ357" t="s">
        <v>88</v>
      </c>
    </row>
    <row r="358" spans="1:78" ht="15" customHeight="1">
      <c r="A358" t="s">
        <v>213</v>
      </c>
      <c r="J358" t="s">
        <v>94</v>
      </c>
      <c r="M358" t="s">
        <v>85</v>
      </c>
      <c r="S358">
        <v>0</v>
      </c>
      <c r="U358">
        <v>0</v>
      </c>
      <c r="V358" t="s">
        <v>86</v>
      </c>
      <c r="W358" t="s">
        <v>87</v>
      </c>
      <c r="X358" s="96">
        <f>((VLOOKUP(J358,References!$A$1:$B$23,2,0)/2)^2)*PI()*Prices!$J$33*164</f>
        <v>14.289337835312326</v>
      </c>
      <c r="Z358" t="b">
        <v>1</v>
      </c>
      <c r="AA358" t="b">
        <v>1</v>
      </c>
      <c r="BZ358" t="s">
        <v>88</v>
      </c>
    </row>
    <row r="359" spans="1:78" ht="15" customHeight="1">
      <c r="A359" t="s">
        <v>213</v>
      </c>
      <c r="J359" t="s">
        <v>94</v>
      </c>
      <c r="M359" t="s">
        <v>95</v>
      </c>
      <c r="S359">
        <v>0</v>
      </c>
      <c r="U359">
        <v>0</v>
      </c>
      <c r="V359" t="s">
        <v>86</v>
      </c>
      <c r="W359" t="s">
        <v>87</v>
      </c>
      <c r="X359" s="96">
        <f>((VLOOKUP(J359,References!$A$1:$B$23,2,0)/2)^2)*PI()*Prices!$J$33*164</f>
        <v>14.289337835312326</v>
      </c>
      <c r="Z359" t="b">
        <v>1</v>
      </c>
      <c r="AA359" t="b">
        <v>1</v>
      </c>
      <c r="BZ359" t="s">
        <v>88</v>
      </c>
    </row>
    <row r="360" spans="1:78" ht="15" customHeight="1">
      <c r="A360" t="s">
        <v>213</v>
      </c>
      <c r="J360" t="s">
        <v>93</v>
      </c>
      <c r="M360" t="s">
        <v>85</v>
      </c>
      <c r="S360">
        <v>0</v>
      </c>
      <c r="U360">
        <v>-36</v>
      </c>
      <c r="V360" t="s">
        <v>86</v>
      </c>
      <c r="W360" t="s">
        <v>87</v>
      </c>
      <c r="X360" s="96">
        <f>((VLOOKUP(J360,References!$A$1:$B$23,2,0)/2)^2)*PI()*Prices!$J$33*164</f>
        <v>9.1451762145998874</v>
      </c>
      <c r="Z360" t="b">
        <v>1</v>
      </c>
      <c r="AA360" t="b">
        <v>1</v>
      </c>
      <c r="BZ360" t="s">
        <v>88</v>
      </c>
    </row>
    <row r="361" spans="1:78" ht="15" customHeight="1">
      <c r="A361" t="s">
        <v>213</v>
      </c>
      <c r="J361" t="s">
        <v>93</v>
      </c>
      <c r="M361" t="s">
        <v>95</v>
      </c>
      <c r="S361">
        <v>0</v>
      </c>
      <c r="U361">
        <v>0</v>
      </c>
      <c r="V361" t="s">
        <v>86</v>
      </c>
      <c r="W361" t="s">
        <v>87</v>
      </c>
      <c r="X361" s="96">
        <f>((VLOOKUP(J361,References!$A$1:$B$23,2,0)/2)^2)*PI()*Prices!$J$33*164</f>
        <v>9.1451762145998874</v>
      </c>
      <c r="Z361" t="b">
        <v>1</v>
      </c>
      <c r="AA361" t="b">
        <v>1</v>
      </c>
      <c r="BZ361" t="s">
        <v>88</v>
      </c>
    </row>
    <row r="362" spans="1:78" ht="15" customHeight="1">
      <c r="A362" t="s">
        <v>213</v>
      </c>
      <c r="J362" t="s">
        <v>92</v>
      </c>
      <c r="M362" t="s">
        <v>85</v>
      </c>
      <c r="S362">
        <v>0</v>
      </c>
      <c r="U362">
        <v>0</v>
      </c>
      <c r="V362" t="s">
        <v>86</v>
      </c>
      <c r="W362" t="s">
        <v>87</v>
      </c>
      <c r="X362" s="96">
        <f>((VLOOKUP(J362,References!$A$1:$B$23,2,0)/2)^2)*PI()*Prices!$J$33*164</f>
        <v>7.4075927338259087</v>
      </c>
      <c r="Z362" t="b">
        <v>1</v>
      </c>
      <c r="AA362" t="b">
        <v>1</v>
      </c>
      <c r="BZ362" t="s">
        <v>88</v>
      </c>
    </row>
    <row r="363" spans="1:78" ht="15" customHeight="1">
      <c r="A363" t="s">
        <v>213</v>
      </c>
      <c r="J363" t="s">
        <v>92</v>
      </c>
      <c r="M363" t="s">
        <v>95</v>
      </c>
      <c r="S363">
        <v>0</v>
      </c>
      <c r="U363">
        <v>0</v>
      </c>
      <c r="V363" t="s">
        <v>86</v>
      </c>
      <c r="W363" t="s">
        <v>87</v>
      </c>
      <c r="X363" s="96">
        <f>((VLOOKUP(J363,References!$A$1:$B$23,2,0)/2)^2)*PI()*Prices!$J$33*164</f>
        <v>7.4075927338259087</v>
      </c>
      <c r="Z363" t="b">
        <v>1</v>
      </c>
      <c r="AA363" t="b">
        <v>1</v>
      </c>
      <c r="BZ363" t="s">
        <v>88</v>
      </c>
    </row>
    <row r="364" spans="1:78" ht="15" customHeight="1">
      <c r="A364" t="s">
        <v>213</v>
      </c>
      <c r="J364" t="s">
        <v>91</v>
      </c>
      <c r="M364" t="s">
        <v>85</v>
      </c>
      <c r="S364">
        <v>0</v>
      </c>
      <c r="U364">
        <v>0</v>
      </c>
      <c r="V364" t="s">
        <v>86</v>
      </c>
      <c r="W364" t="s">
        <v>87</v>
      </c>
      <c r="X364" s="96">
        <f>((VLOOKUP(J364,References!$A$1:$B$23,2,0)/2)^2)*PI()*Prices!$J$33*164</f>
        <v>5.1441616207124365</v>
      </c>
      <c r="Z364" t="b">
        <v>1</v>
      </c>
      <c r="AA364" t="b">
        <v>1</v>
      </c>
      <c r="BZ364" t="s">
        <v>88</v>
      </c>
    </row>
    <row r="365" spans="1:78" ht="15" customHeight="1">
      <c r="A365" t="s">
        <v>213</v>
      </c>
      <c r="J365" t="s">
        <v>91</v>
      </c>
      <c r="M365" t="s">
        <v>95</v>
      </c>
      <c r="S365">
        <v>0</v>
      </c>
      <c r="U365">
        <v>0</v>
      </c>
      <c r="V365" t="s">
        <v>86</v>
      </c>
      <c r="W365" t="s">
        <v>87</v>
      </c>
      <c r="X365" s="96">
        <f>((VLOOKUP(J365,References!$A$1:$B$23,2,0)/2)^2)*PI()*Prices!$J$33*164</f>
        <v>5.1441616207124365</v>
      </c>
      <c r="Z365" t="b">
        <v>1</v>
      </c>
      <c r="AA365" t="b">
        <v>1</v>
      </c>
      <c r="BZ365" t="s">
        <v>88</v>
      </c>
    </row>
    <row r="366" spans="1:78" ht="15" customHeight="1">
      <c r="A366" t="s">
        <v>213</v>
      </c>
      <c r="J366" t="s">
        <v>178</v>
      </c>
      <c r="M366" t="s">
        <v>85</v>
      </c>
      <c r="S366">
        <v>0</v>
      </c>
      <c r="U366">
        <v>0</v>
      </c>
      <c r="V366" t="s">
        <v>86</v>
      </c>
      <c r="W366" t="s">
        <v>87</v>
      </c>
      <c r="X366" s="96">
        <f>((VLOOKUP(J366,References!$A$1:$B$23,2,0)/2)^2)*PI()*Prices!$J$33*164</f>
        <v>4.4811363451539457</v>
      </c>
      <c r="Z366" t="b">
        <v>1</v>
      </c>
      <c r="AA366" t="b">
        <v>1</v>
      </c>
      <c r="BZ366" t="s">
        <v>88</v>
      </c>
    </row>
    <row r="367" spans="1:78" ht="15" customHeight="1">
      <c r="A367" t="s">
        <v>213</v>
      </c>
      <c r="J367" t="s">
        <v>178</v>
      </c>
      <c r="M367" t="s">
        <v>95</v>
      </c>
      <c r="S367">
        <v>0</v>
      </c>
      <c r="U367">
        <v>0</v>
      </c>
      <c r="V367" t="s">
        <v>86</v>
      </c>
      <c r="W367" t="s">
        <v>87</v>
      </c>
      <c r="X367" s="96">
        <f>((VLOOKUP(J367,References!$A$1:$B$23,2,0)/2)^2)*PI()*Prices!$J$33*164</f>
        <v>4.4811363451539457</v>
      </c>
      <c r="Z367" t="b">
        <v>1</v>
      </c>
      <c r="AA367" t="b">
        <v>1</v>
      </c>
      <c r="BZ367" t="s">
        <v>88</v>
      </c>
    </row>
    <row r="368" spans="1:78" ht="15" customHeight="1">
      <c r="A368" t="s">
        <v>213</v>
      </c>
      <c r="J368" t="s">
        <v>90</v>
      </c>
      <c r="M368" t="s">
        <v>85</v>
      </c>
      <c r="S368">
        <v>0</v>
      </c>
      <c r="U368">
        <v>0</v>
      </c>
      <c r="V368" t="s">
        <v>86</v>
      </c>
      <c r="W368" t="s">
        <v>87</v>
      </c>
      <c r="X368" s="96">
        <f>((VLOOKUP(J368,References!$A$1:$B$23,2,0)/2)^2)*PI()*Prices!$J$33*164</f>
        <v>3.2922634372559596</v>
      </c>
      <c r="Z368" t="b">
        <v>1</v>
      </c>
      <c r="AA368" t="b">
        <v>1</v>
      </c>
      <c r="BZ368" t="s">
        <v>88</v>
      </c>
    </row>
    <row r="369" spans="1:81" ht="15" customHeight="1">
      <c r="A369" t="s">
        <v>213</v>
      </c>
      <c r="J369" t="s">
        <v>90</v>
      </c>
      <c r="M369" t="s">
        <v>95</v>
      </c>
      <c r="S369">
        <v>0</v>
      </c>
      <c r="U369">
        <v>0</v>
      </c>
      <c r="V369" t="s">
        <v>86</v>
      </c>
      <c r="W369" t="s">
        <v>87</v>
      </c>
      <c r="X369" s="96">
        <f>((VLOOKUP(J369,References!$A$1:$B$23,2,0)/2)^2)*PI()*Prices!$J$33*164</f>
        <v>3.2922634372559596</v>
      </c>
      <c r="Z369" t="b">
        <v>1</v>
      </c>
      <c r="AA369" t="b">
        <v>1</v>
      </c>
      <c r="BZ369" t="s">
        <v>88</v>
      </c>
    </row>
    <row r="370" spans="1:81" ht="15" customHeight="1">
      <c r="A370" t="s">
        <v>213</v>
      </c>
      <c r="J370" t="s">
        <v>83</v>
      </c>
      <c r="M370" t="s">
        <v>85</v>
      </c>
      <c r="S370">
        <v>0</v>
      </c>
      <c r="U370">
        <v>0</v>
      </c>
      <c r="V370" t="s">
        <v>86</v>
      </c>
      <c r="W370" t="s">
        <v>87</v>
      </c>
      <c r="X370" s="96">
        <f>((VLOOKUP(J370,References!$A$1:$B$23,2,0)/2)^2)*PI()*Prices!$J$33*164</f>
        <v>2.2862940536499718</v>
      </c>
      <c r="Z370" t="b">
        <v>1</v>
      </c>
      <c r="AA370" t="b">
        <v>1</v>
      </c>
      <c r="BZ370" t="s">
        <v>88</v>
      </c>
    </row>
    <row r="371" spans="1:81" ht="15" customHeight="1">
      <c r="A371" t="s">
        <v>213</v>
      </c>
      <c r="J371" t="s">
        <v>83</v>
      </c>
      <c r="M371" t="s">
        <v>95</v>
      </c>
      <c r="S371">
        <v>0</v>
      </c>
      <c r="U371">
        <v>0</v>
      </c>
      <c r="V371" t="s">
        <v>86</v>
      </c>
      <c r="W371" t="s">
        <v>87</v>
      </c>
      <c r="X371" s="96">
        <f>((VLOOKUP(J371,References!$A$1:$B$23,2,0)/2)^2)*PI()*Prices!$J$33*164</f>
        <v>2.2862940536499718</v>
      </c>
      <c r="Z371" t="b">
        <v>1</v>
      </c>
      <c r="AA371" t="b">
        <v>1</v>
      </c>
      <c r="BZ371" t="s">
        <v>88</v>
      </c>
    </row>
    <row r="372" spans="1:81" ht="15" customHeight="1">
      <c r="A372" t="s">
        <v>218</v>
      </c>
      <c r="B372" t="s">
        <v>219</v>
      </c>
      <c r="C372" s="1" t="s">
        <v>215</v>
      </c>
      <c r="D372" t="s">
        <v>79</v>
      </c>
      <c r="E372" t="s">
        <v>113</v>
      </c>
      <c r="G372" t="s">
        <v>220</v>
      </c>
      <c r="H372" t="b">
        <v>1</v>
      </c>
      <c r="I372" t="s">
        <v>82</v>
      </c>
      <c r="J372" t="s">
        <v>83</v>
      </c>
      <c r="L372" t="s">
        <v>84</v>
      </c>
      <c r="M372" t="s">
        <v>85</v>
      </c>
      <c r="S372">
        <v>0</v>
      </c>
      <c r="U372">
        <v>-20</v>
      </c>
      <c r="V372" t="s">
        <v>86</v>
      </c>
      <c r="W372" t="s">
        <v>87</v>
      </c>
      <c r="X372" s="96">
        <f>((VLOOKUP(J372,References!$A$1:$B$23,2,0)/2)^2)*PI()*Prices!$J$33*164</f>
        <v>2.2862940536499718</v>
      </c>
      <c r="Z372" t="b">
        <v>1</v>
      </c>
      <c r="AA372" t="b">
        <v>1</v>
      </c>
      <c r="AC372" t="s">
        <v>363</v>
      </c>
      <c r="AD372">
        <v>1</v>
      </c>
      <c r="AE372" t="s">
        <v>221</v>
      </c>
      <c r="AF372" t="b">
        <v>0</v>
      </c>
      <c r="BZ372" t="s">
        <v>88</v>
      </c>
      <c r="CC372" t="s">
        <v>89</v>
      </c>
    </row>
    <row r="373" spans="1:81" ht="15" customHeight="1">
      <c r="A373" t="s">
        <v>218</v>
      </c>
      <c r="J373" t="s">
        <v>91</v>
      </c>
      <c r="M373" t="s">
        <v>85</v>
      </c>
      <c r="S373">
        <v>0</v>
      </c>
      <c r="U373">
        <v>0</v>
      </c>
      <c r="V373" t="s">
        <v>86</v>
      </c>
      <c r="W373" t="s">
        <v>87</v>
      </c>
      <c r="X373" s="96">
        <f>((VLOOKUP(J373,References!$A$1:$B$23,2,0)/2)^2)*PI()*Prices!$J$33*164</f>
        <v>5.1441616207124365</v>
      </c>
      <c r="Z373" t="b">
        <v>1</v>
      </c>
      <c r="AA373" t="b">
        <v>1</v>
      </c>
      <c r="BZ373" t="s">
        <v>88</v>
      </c>
    </row>
    <row r="374" spans="1:81" ht="15" customHeight="1">
      <c r="A374" t="s">
        <v>218</v>
      </c>
      <c r="J374" t="s">
        <v>93</v>
      </c>
      <c r="M374" t="s">
        <v>85</v>
      </c>
      <c r="S374">
        <v>0</v>
      </c>
      <c r="U374">
        <v>-2</v>
      </c>
      <c r="V374" t="s">
        <v>86</v>
      </c>
      <c r="W374" t="s">
        <v>87</v>
      </c>
      <c r="X374" s="96">
        <f>((VLOOKUP(J374,References!$A$1:$B$23,2,0)/2)^2)*PI()*Prices!$J$33*164</f>
        <v>9.1451762145998874</v>
      </c>
      <c r="Z374" t="b">
        <v>1</v>
      </c>
      <c r="AA374" t="b">
        <v>1</v>
      </c>
      <c r="BZ374" t="s">
        <v>88</v>
      </c>
    </row>
    <row r="375" spans="1:81" ht="15" customHeight="1">
      <c r="A375" t="s">
        <v>218</v>
      </c>
      <c r="J375" t="s">
        <v>94</v>
      </c>
      <c r="M375" t="s">
        <v>85</v>
      </c>
      <c r="S375">
        <v>0</v>
      </c>
      <c r="U375">
        <v>0</v>
      </c>
      <c r="V375" t="s">
        <v>86</v>
      </c>
      <c r="W375" t="s">
        <v>87</v>
      </c>
      <c r="X375" s="96">
        <f>((VLOOKUP(J375,References!$A$1:$B$23,2,0)/2)^2)*PI()*Prices!$J$33*164</f>
        <v>14.289337835312326</v>
      </c>
      <c r="Z375" t="b">
        <v>1</v>
      </c>
      <c r="AA375" t="b">
        <v>1</v>
      </c>
      <c r="BZ375" t="s">
        <v>88</v>
      </c>
    </row>
    <row r="376" spans="1:81" ht="15" customHeight="1">
      <c r="A376" t="s">
        <v>218</v>
      </c>
      <c r="J376" t="s">
        <v>94</v>
      </c>
      <c r="M376" t="s">
        <v>95</v>
      </c>
      <c r="S376">
        <v>0</v>
      </c>
      <c r="U376">
        <v>0</v>
      </c>
      <c r="V376" t="s">
        <v>86</v>
      </c>
      <c r="W376" t="s">
        <v>87</v>
      </c>
      <c r="X376" s="96">
        <f>((VLOOKUP(J376,References!$A$1:$B$23,2,0)/2)^2)*PI()*Prices!$J$33*164</f>
        <v>14.289337835312326</v>
      </c>
      <c r="Z376" t="b">
        <v>1</v>
      </c>
      <c r="AA376" t="b">
        <v>1</v>
      </c>
      <c r="BZ376" t="s">
        <v>88</v>
      </c>
    </row>
    <row r="377" spans="1:81" ht="15" customHeight="1">
      <c r="A377" t="s">
        <v>218</v>
      </c>
      <c r="J377" t="s">
        <v>96</v>
      </c>
      <c r="M377" t="s">
        <v>85</v>
      </c>
      <c r="S377">
        <v>0</v>
      </c>
      <c r="U377">
        <v>-16</v>
      </c>
      <c r="V377" t="s">
        <v>86</v>
      </c>
      <c r="W377" t="s">
        <v>87</v>
      </c>
      <c r="X377" s="96">
        <f>((VLOOKUP(J377,References!$A$1:$B$23,2,0)/2)^2)*PI()*Prices!$J$33*164</f>
        <v>20.576646482849746</v>
      </c>
      <c r="Z377" t="b">
        <v>1</v>
      </c>
      <c r="AA377" t="b">
        <v>1</v>
      </c>
      <c r="BZ377" t="s">
        <v>88</v>
      </c>
    </row>
    <row r="378" spans="1:81" ht="15" customHeight="1">
      <c r="A378" t="s">
        <v>218</v>
      </c>
      <c r="J378" t="s">
        <v>177</v>
      </c>
      <c r="M378" t="s">
        <v>85</v>
      </c>
      <c r="S378">
        <v>0</v>
      </c>
      <c r="U378">
        <v>0</v>
      </c>
      <c r="V378" t="s">
        <v>86</v>
      </c>
      <c r="W378" t="s">
        <v>87</v>
      </c>
      <c r="X378" s="96">
        <f>((VLOOKUP(J378,References!$A$1:$B$23,2,0)/2)^2)*PI()*Prices!$J$33*164</f>
        <v>28.007102157212159</v>
      </c>
      <c r="Z378" t="b">
        <v>1</v>
      </c>
      <c r="AA378" t="b">
        <v>1</v>
      </c>
      <c r="BZ378" t="s">
        <v>88</v>
      </c>
    </row>
    <row r="379" spans="1:81" ht="15" customHeight="1">
      <c r="A379" t="s">
        <v>218</v>
      </c>
      <c r="J379" t="s">
        <v>97</v>
      </c>
      <c r="M379" t="s">
        <v>85</v>
      </c>
      <c r="S379">
        <v>0</v>
      </c>
      <c r="U379">
        <v>0</v>
      </c>
      <c r="V379" t="s">
        <v>86</v>
      </c>
      <c r="W379" t="s">
        <v>87</v>
      </c>
      <c r="X379" s="96">
        <f>((VLOOKUP(J379,References!$A$1:$B$23,2,0)/2)^2)*PI()*Prices!$J$33*164</f>
        <v>36.58070485839955</v>
      </c>
      <c r="Z379" t="b">
        <v>1</v>
      </c>
      <c r="AA379" t="b">
        <v>1</v>
      </c>
      <c r="BZ379" t="s">
        <v>88</v>
      </c>
    </row>
    <row r="380" spans="1:81" ht="15" customHeight="1">
      <c r="A380" t="s">
        <v>218</v>
      </c>
      <c r="J380" t="s">
        <v>98</v>
      </c>
      <c r="M380" t="s">
        <v>95</v>
      </c>
      <c r="S380">
        <v>0</v>
      </c>
      <c r="U380">
        <v>0</v>
      </c>
      <c r="V380" t="s">
        <v>86</v>
      </c>
      <c r="W380" t="s">
        <v>87</v>
      </c>
      <c r="X380" s="96">
        <f>((VLOOKUP(J380,References!$A$1:$B$23,2,0)/2)^2)*PI()*Prices!$J$33*164</f>
        <v>57.157351341249303</v>
      </c>
      <c r="Z380" t="b">
        <v>1</v>
      </c>
      <c r="AA380" t="b">
        <v>1</v>
      </c>
      <c r="BZ380" t="s">
        <v>88</v>
      </c>
    </row>
    <row r="381" spans="1:81" ht="15" customHeight="1">
      <c r="A381" t="s">
        <v>218</v>
      </c>
      <c r="J381" t="s">
        <v>186</v>
      </c>
      <c r="M381" t="s">
        <v>85</v>
      </c>
      <c r="S381">
        <v>0</v>
      </c>
      <c r="U381">
        <v>-3</v>
      </c>
      <c r="V381" t="s">
        <v>86</v>
      </c>
      <c r="W381" t="s">
        <v>87</v>
      </c>
      <c r="X381" s="96">
        <f>((VLOOKUP(J381,References!$A$1:$B$23,2,0)/2)^2)*PI()*Prices!$J$33*164</f>
        <v>82.306585931398985</v>
      </c>
      <c r="Z381" t="b">
        <v>1</v>
      </c>
      <c r="AA381" t="b">
        <v>1</v>
      </c>
      <c r="BZ381" t="s">
        <v>88</v>
      </c>
    </row>
    <row r="382" spans="1:81" ht="15" customHeight="1">
      <c r="A382" t="s">
        <v>218</v>
      </c>
      <c r="J382" t="s">
        <v>167</v>
      </c>
      <c r="M382" t="s">
        <v>85</v>
      </c>
      <c r="S382">
        <v>0</v>
      </c>
      <c r="U382">
        <v>0</v>
      </c>
      <c r="V382" t="s">
        <v>86</v>
      </c>
      <c r="W382" t="s">
        <v>87</v>
      </c>
      <c r="X382" s="96">
        <f>((VLOOKUP(J382,References!$A$1:$B$23,2,0)/2)^2)*PI()*Prices!$J$33*164</f>
        <v>146.3228194335982</v>
      </c>
      <c r="Z382" t="b">
        <v>1</v>
      </c>
      <c r="AA382" t="b">
        <v>1</v>
      </c>
      <c r="BZ382" t="s">
        <v>88</v>
      </c>
    </row>
    <row r="383" spans="1:81" ht="15" customHeight="1">
      <c r="A383" t="s">
        <v>222</v>
      </c>
      <c r="B383" t="s">
        <v>223</v>
      </c>
      <c r="C383" s="1" t="s">
        <v>224</v>
      </c>
      <c r="D383" t="s">
        <v>79</v>
      </c>
      <c r="E383" t="s">
        <v>113</v>
      </c>
      <c r="G383" t="s">
        <v>225</v>
      </c>
      <c r="H383" t="b">
        <v>1</v>
      </c>
      <c r="I383" t="s">
        <v>82</v>
      </c>
      <c r="J383" t="s">
        <v>171</v>
      </c>
      <c r="L383" t="s">
        <v>84</v>
      </c>
      <c r="M383" t="s">
        <v>85</v>
      </c>
      <c r="S383">
        <v>0</v>
      </c>
      <c r="U383">
        <v>-5</v>
      </c>
      <c r="V383" t="s">
        <v>86</v>
      </c>
      <c r="W383" t="s">
        <v>87</v>
      </c>
      <c r="X383" s="96">
        <f>((VLOOKUP(J383,References!$A$1:$B$23,2,0)/2)^2)*PI()*Prices!$J$13*138</f>
        <v>394.00095769437172</v>
      </c>
      <c r="Z383" t="b">
        <v>1</v>
      </c>
      <c r="AA383" t="b">
        <v>1</v>
      </c>
      <c r="AC383" t="s">
        <v>362</v>
      </c>
      <c r="AD383">
        <v>1</v>
      </c>
      <c r="AE383" t="s">
        <v>226</v>
      </c>
      <c r="AF383" t="b">
        <v>0</v>
      </c>
      <c r="BZ383" t="s">
        <v>88</v>
      </c>
      <c r="CC383" t="s">
        <v>89</v>
      </c>
    </row>
    <row r="384" spans="1:81" ht="15" customHeight="1">
      <c r="A384" t="s">
        <v>222</v>
      </c>
      <c r="J384" t="s">
        <v>173</v>
      </c>
      <c r="M384" t="s">
        <v>85</v>
      </c>
      <c r="S384">
        <v>0</v>
      </c>
      <c r="U384">
        <v>0</v>
      </c>
      <c r="V384" t="s">
        <v>86</v>
      </c>
      <c r="W384" t="s">
        <v>87</v>
      </c>
      <c r="X384" s="96">
        <f>((VLOOKUP(J384,References!$A$1:$B$23,2,0)/2)^2)*PI()*Prices!$J$13*138</f>
        <v>240.47910015525622</v>
      </c>
      <c r="Z384" t="b">
        <v>1</v>
      </c>
      <c r="AA384" t="b">
        <v>1</v>
      </c>
      <c r="BZ384" t="s">
        <v>88</v>
      </c>
    </row>
    <row r="385" spans="1:78" ht="15" customHeight="1">
      <c r="A385" t="s">
        <v>222</v>
      </c>
      <c r="J385" t="s">
        <v>174</v>
      </c>
      <c r="M385" t="s">
        <v>85</v>
      </c>
      <c r="S385">
        <v>0</v>
      </c>
      <c r="U385">
        <v>0</v>
      </c>
      <c r="V385" t="s">
        <v>86</v>
      </c>
      <c r="W385" t="s">
        <v>87</v>
      </c>
      <c r="X385" s="96">
        <f>((VLOOKUP(J385,References!$A$1:$B$23,2,0)/2)^2)*PI()*Prices!$J$13*138</f>
        <v>153.906624099364</v>
      </c>
      <c r="Z385" t="b">
        <v>1</v>
      </c>
      <c r="AA385" t="b">
        <v>1</v>
      </c>
      <c r="BZ385" t="s">
        <v>88</v>
      </c>
    </row>
    <row r="386" spans="1:78" ht="15" customHeight="1">
      <c r="A386" t="s">
        <v>222</v>
      </c>
      <c r="J386" t="s">
        <v>167</v>
      </c>
      <c r="M386" t="s">
        <v>85</v>
      </c>
      <c r="S386">
        <v>0</v>
      </c>
      <c r="U386">
        <v>0</v>
      </c>
      <c r="V386" t="s">
        <v>86</v>
      </c>
      <c r="W386" t="s">
        <v>87</v>
      </c>
      <c r="X386" s="96">
        <f>((VLOOKUP(J386,References!$A$1:$B$23,2,0)/2)^2)*PI()*Prices!$J$13*138</f>
        <v>98.50023942359293</v>
      </c>
      <c r="Z386" t="b">
        <v>1</v>
      </c>
      <c r="AA386" t="b">
        <v>1</v>
      </c>
      <c r="BZ386" t="s">
        <v>88</v>
      </c>
    </row>
    <row r="387" spans="1:78" ht="15" customHeight="1">
      <c r="A387" t="s">
        <v>222</v>
      </c>
      <c r="J387" t="s">
        <v>167</v>
      </c>
      <c r="M387" t="s">
        <v>95</v>
      </c>
      <c r="S387">
        <v>0</v>
      </c>
      <c r="U387">
        <v>0</v>
      </c>
      <c r="V387" t="s">
        <v>86</v>
      </c>
      <c r="W387" t="s">
        <v>87</v>
      </c>
      <c r="X387" s="96">
        <f>((VLOOKUP(J387,References!$A$1:$B$23,2,0)/2)^2)*PI()*Prices!$J$13*138</f>
        <v>98.50023942359293</v>
      </c>
      <c r="Z387" t="b">
        <v>1</v>
      </c>
      <c r="AA387" t="b">
        <v>1</v>
      </c>
      <c r="BZ387" t="s">
        <v>88</v>
      </c>
    </row>
    <row r="388" spans="1:78" ht="15" customHeight="1">
      <c r="A388" t="s">
        <v>222</v>
      </c>
      <c r="J388" t="s">
        <v>167</v>
      </c>
      <c r="M388" t="s">
        <v>99</v>
      </c>
      <c r="S388">
        <v>0</v>
      </c>
      <c r="U388">
        <v>0</v>
      </c>
      <c r="V388" t="s">
        <v>86</v>
      </c>
      <c r="W388" t="s">
        <v>87</v>
      </c>
      <c r="X388" s="96">
        <f>((VLOOKUP(J388,References!$A$1:$B$23,2,0)/2)^2)*PI()*Prices!$J$13*138</f>
        <v>98.50023942359293</v>
      </c>
      <c r="Z388" t="b">
        <v>1</v>
      </c>
      <c r="AA388" t="b">
        <v>1</v>
      </c>
      <c r="BZ388" t="s">
        <v>88</v>
      </c>
    </row>
    <row r="389" spans="1:78" ht="15" customHeight="1">
      <c r="A389" t="s">
        <v>222</v>
      </c>
      <c r="J389" t="s">
        <v>186</v>
      </c>
      <c r="M389" t="s">
        <v>85</v>
      </c>
      <c r="S389">
        <v>0</v>
      </c>
      <c r="U389">
        <v>0</v>
      </c>
      <c r="V389" t="s">
        <v>86</v>
      </c>
      <c r="W389" t="s">
        <v>87</v>
      </c>
      <c r="X389" s="96">
        <f>((VLOOKUP(J389,References!$A$1:$B$23,2,0)/2)^2)*PI()*Prices!$J$13*138</f>
        <v>55.406384675771029</v>
      </c>
      <c r="Z389" t="b">
        <v>1</v>
      </c>
      <c r="AA389" t="b">
        <v>1</v>
      </c>
      <c r="BZ389" t="s">
        <v>88</v>
      </c>
    </row>
    <row r="390" spans="1:78" ht="15" customHeight="1">
      <c r="A390" t="s">
        <v>222</v>
      </c>
      <c r="J390" t="s">
        <v>186</v>
      </c>
      <c r="M390" t="s">
        <v>99</v>
      </c>
      <c r="S390">
        <v>0</v>
      </c>
      <c r="U390">
        <v>0</v>
      </c>
      <c r="V390" t="s">
        <v>86</v>
      </c>
      <c r="W390" t="s">
        <v>87</v>
      </c>
      <c r="X390" s="96">
        <f>((VLOOKUP(J390,References!$A$1:$B$23,2,0)/2)^2)*PI()*Prices!$J$13*138</f>
        <v>55.406384675771029</v>
      </c>
      <c r="Z390" t="b">
        <v>1</v>
      </c>
      <c r="AA390" t="b">
        <v>1</v>
      </c>
      <c r="BZ390" t="s">
        <v>88</v>
      </c>
    </row>
    <row r="391" spans="1:78" ht="15" customHeight="1">
      <c r="A391" t="s">
        <v>222</v>
      </c>
      <c r="J391" t="s">
        <v>98</v>
      </c>
      <c r="M391" t="s">
        <v>85</v>
      </c>
      <c r="S391">
        <v>0</v>
      </c>
      <c r="U391">
        <v>-2</v>
      </c>
      <c r="V391" t="s">
        <v>86</v>
      </c>
      <c r="W391" t="s">
        <v>87</v>
      </c>
      <c r="X391" s="96">
        <f>((VLOOKUP(J391,References!$A$1:$B$23,2,0)/2)^2)*PI()*Prices!$J$13*138</f>
        <v>38.476656024840999</v>
      </c>
      <c r="Z391" t="b">
        <v>1</v>
      </c>
      <c r="AA391" t="b">
        <v>1</v>
      </c>
      <c r="BZ391" t="s">
        <v>88</v>
      </c>
    </row>
    <row r="392" spans="1:78" ht="15" customHeight="1">
      <c r="A392" t="s">
        <v>222</v>
      </c>
      <c r="J392" t="s">
        <v>98</v>
      </c>
      <c r="M392" t="s">
        <v>99</v>
      </c>
      <c r="S392">
        <v>0</v>
      </c>
      <c r="U392">
        <v>0</v>
      </c>
      <c r="V392" t="s">
        <v>86</v>
      </c>
      <c r="W392" t="s">
        <v>87</v>
      </c>
      <c r="X392" s="96">
        <f>((VLOOKUP(J392,References!$A$1:$B$23,2,0)/2)^2)*PI()*Prices!$J$13*138</f>
        <v>38.476656024840999</v>
      </c>
      <c r="Z392" t="b">
        <v>1</v>
      </c>
      <c r="AA392" t="b">
        <v>1</v>
      </c>
      <c r="BZ392" t="s">
        <v>88</v>
      </c>
    </row>
    <row r="393" spans="1:78" ht="15" customHeight="1">
      <c r="A393" t="s">
        <v>222</v>
      </c>
      <c r="J393" t="s">
        <v>176</v>
      </c>
      <c r="M393" t="s">
        <v>85</v>
      </c>
      <c r="S393">
        <v>0</v>
      </c>
      <c r="U393">
        <v>0</v>
      </c>
      <c r="V393" t="s">
        <v>86</v>
      </c>
      <c r="W393" t="s">
        <v>87</v>
      </c>
      <c r="X393" s="96">
        <f>((VLOOKUP(J393,References!$A$1:$B$23,2,0)/2)^2)*PI()*Prices!$J$13*138</f>
        <v>31.166091380121202</v>
      </c>
      <c r="Z393" t="b">
        <v>1</v>
      </c>
      <c r="AA393" t="b">
        <v>1</v>
      </c>
      <c r="BZ393" t="s">
        <v>88</v>
      </c>
    </row>
    <row r="394" spans="1:78" ht="15" customHeight="1">
      <c r="A394" t="s">
        <v>222</v>
      </c>
      <c r="J394" t="s">
        <v>176</v>
      </c>
      <c r="M394" t="s">
        <v>99</v>
      </c>
      <c r="S394">
        <v>0</v>
      </c>
      <c r="U394">
        <v>0</v>
      </c>
      <c r="V394" t="s">
        <v>86</v>
      </c>
      <c r="W394" t="s">
        <v>87</v>
      </c>
      <c r="X394" s="96">
        <f>((VLOOKUP(J394,References!$A$1:$B$23,2,0)/2)^2)*PI()*Prices!$J$13*138</f>
        <v>31.166091380121202</v>
      </c>
      <c r="Z394" t="b">
        <v>1</v>
      </c>
      <c r="AA394" t="b">
        <v>1</v>
      </c>
      <c r="BZ394" t="s">
        <v>88</v>
      </c>
    </row>
    <row r="395" spans="1:78" ht="15" customHeight="1">
      <c r="A395" t="s">
        <v>222</v>
      </c>
      <c r="J395" t="s">
        <v>97</v>
      </c>
      <c r="M395" t="s">
        <v>85</v>
      </c>
      <c r="S395">
        <v>0</v>
      </c>
      <c r="U395">
        <v>-125</v>
      </c>
      <c r="V395" t="s">
        <v>86</v>
      </c>
      <c r="W395" t="s">
        <v>87</v>
      </c>
      <c r="X395" s="96">
        <f>((VLOOKUP(J395,References!$A$1:$B$23,2,0)/2)^2)*PI()*Prices!$J$13*138</f>
        <v>24.625059855898233</v>
      </c>
      <c r="Z395" t="b">
        <v>1</v>
      </c>
      <c r="AA395" t="b">
        <v>1</v>
      </c>
      <c r="BZ395" t="s">
        <v>88</v>
      </c>
    </row>
    <row r="396" spans="1:78" ht="15" customHeight="1">
      <c r="A396" t="s">
        <v>222</v>
      </c>
      <c r="J396" t="s">
        <v>97</v>
      </c>
      <c r="M396" t="s">
        <v>99</v>
      </c>
      <c r="S396">
        <v>0</v>
      </c>
      <c r="U396">
        <v>0</v>
      </c>
      <c r="V396" t="s">
        <v>86</v>
      </c>
      <c r="W396" t="s">
        <v>87</v>
      </c>
      <c r="X396" s="96">
        <f>((VLOOKUP(J396,References!$A$1:$B$23,2,0)/2)^2)*PI()*Prices!$J$13*138</f>
        <v>24.625059855898233</v>
      </c>
      <c r="Z396" t="b">
        <v>1</v>
      </c>
      <c r="AA396" t="b">
        <v>1</v>
      </c>
      <c r="BZ396" t="s">
        <v>88</v>
      </c>
    </row>
    <row r="397" spans="1:78" ht="15" customHeight="1">
      <c r="A397" t="s">
        <v>222</v>
      </c>
      <c r="J397" t="s">
        <v>177</v>
      </c>
      <c r="M397" t="s">
        <v>85</v>
      </c>
      <c r="S397">
        <v>0</v>
      </c>
      <c r="U397">
        <v>-15</v>
      </c>
      <c r="V397" t="s">
        <v>86</v>
      </c>
      <c r="W397" t="s">
        <v>87</v>
      </c>
      <c r="X397" s="96">
        <f>((VLOOKUP(J397,References!$A$1:$B$23,2,0)/2)^2)*PI()*Prices!$J$13*138</f>
        <v>18.853561452172087</v>
      </c>
      <c r="Z397" t="b">
        <v>1</v>
      </c>
      <c r="AA397" t="b">
        <v>1</v>
      </c>
      <c r="BZ397" t="s">
        <v>88</v>
      </c>
    </row>
    <row r="398" spans="1:78" ht="15" customHeight="1">
      <c r="A398" t="s">
        <v>222</v>
      </c>
      <c r="J398" t="s">
        <v>177</v>
      </c>
      <c r="M398" t="s">
        <v>95</v>
      </c>
      <c r="S398">
        <v>0</v>
      </c>
      <c r="U398">
        <v>0</v>
      </c>
      <c r="V398" t="s">
        <v>86</v>
      </c>
      <c r="W398" t="s">
        <v>87</v>
      </c>
      <c r="X398" s="96">
        <f>((VLOOKUP(J398,References!$A$1:$B$23,2,0)/2)^2)*PI()*Prices!$J$13*138</f>
        <v>18.853561452172087</v>
      </c>
      <c r="Z398" t="b">
        <v>1</v>
      </c>
      <c r="AA398" t="b">
        <v>1</v>
      </c>
      <c r="BZ398" t="s">
        <v>88</v>
      </c>
    </row>
    <row r="399" spans="1:78" ht="15" customHeight="1">
      <c r="A399" t="s">
        <v>222</v>
      </c>
      <c r="J399" t="s">
        <v>177</v>
      </c>
      <c r="M399" t="s">
        <v>99</v>
      </c>
      <c r="S399">
        <v>0</v>
      </c>
      <c r="U399">
        <v>0</v>
      </c>
      <c r="V399" t="s">
        <v>86</v>
      </c>
      <c r="W399" t="s">
        <v>87</v>
      </c>
      <c r="X399" s="96">
        <f>((VLOOKUP(J399,References!$A$1:$B$23,2,0)/2)^2)*PI()*Prices!$J$13*138</f>
        <v>18.853561452172087</v>
      </c>
      <c r="Z399" t="b">
        <v>1</v>
      </c>
      <c r="AA399" t="b">
        <v>1</v>
      </c>
      <c r="BZ399" t="s">
        <v>88</v>
      </c>
    </row>
    <row r="400" spans="1:78" ht="15" customHeight="1">
      <c r="A400" t="s">
        <v>222</v>
      </c>
      <c r="J400" t="s">
        <v>96</v>
      </c>
      <c r="M400" t="s">
        <v>85</v>
      </c>
      <c r="S400">
        <v>0</v>
      </c>
      <c r="U400">
        <v>-49</v>
      </c>
      <c r="V400" t="s">
        <v>86</v>
      </c>
      <c r="W400" t="s">
        <v>87</v>
      </c>
      <c r="X400" s="96">
        <f>((VLOOKUP(J400,References!$A$1:$B$23,2,0)/2)^2)*PI()*Prices!$J$13*138</f>
        <v>13.851596168942757</v>
      </c>
      <c r="Z400" t="b">
        <v>1</v>
      </c>
      <c r="AA400" t="b">
        <v>1</v>
      </c>
      <c r="BZ400" t="s">
        <v>88</v>
      </c>
    </row>
    <row r="401" spans="1:81" ht="15" customHeight="1">
      <c r="A401" t="s">
        <v>222</v>
      </c>
      <c r="J401" t="s">
        <v>96</v>
      </c>
      <c r="M401" t="s">
        <v>95</v>
      </c>
      <c r="S401">
        <v>0</v>
      </c>
      <c r="U401">
        <v>-50</v>
      </c>
      <c r="V401" t="s">
        <v>86</v>
      </c>
      <c r="W401" t="s">
        <v>87</v>
      </c>
      <c r="X401" s="96">
        <f>((VLOOKUP(J401,References!$A$1:$B$23,2,0)/2)^2)*PI()*Prices!$J$13*138</f>
        <v>13.851596168942757</v>
      </c>
      <c r="Z401" t="b">
        <v>1</v>
      </c>
      <c r="AA401" t="b">
        <v>1</v>
      </c>
      <c r="BZ401" t="s">
        <v>88</v>
      </c>
    </row>
    <row r="402" spans="1:81" ht="15" customHeight="1">
      <c r="A402" t="s">
        <v>222</v>
      </c>
      <c r="J402" t="s">
        <v>96</v>
      </c>
      <c r="M402" t="s">
        <v>99</v>
      </c>
      <c r="S402">
        <v>0</v>
      </c>
      <c r="U402">
        <v>0</v>
      </c>
      <c r="V402" t="s">
        <v>86</v>
      </c>
      <c r="W402" t="s">
        <v>87</v>
      </c>
      <c r="X402" s="96">
        <f>((VLOOKUP(J402,References!$A$1:$B$23,2,0)/2)^2)*PI()*Prices!$J$13*138</f>
        <v>13.851596168942757</v>
      </c>
      <c r="Z402" t="b">
        <v>1</v>
      </c>
      <c r="AA402" t="b">
        <v>1</v>
      </c>
      <c r="BZ402" t="s">
        <v>88</v>
      </c>
    </row>
    <row r="403" spans="1:81" ht="15" customHeight="1">
      <c r="A403" t="s">
        <v>222</v>
      </c>
      <c r="J403" t="s">
        <v>94</v>
      </c>
      <c r="M403" t="s">
        <v>85</v>
      </c>
      <c r="S403">
        <v>0</v>
      </c>
      <c r="U403">
        <v>0</v>
      </c>
      <c r="V403" t="s">
        <v>86</v>
      </c>
      <c r="W403" t="s">
        <v>87</v>
      </c>
      <c r="X403" s="96">
        <f>((VLOOKUP(J403,References!$A$1:$B$23,2,0)/2)^2)*PI()*Prices!$J$13*138</f>
        <v>9.6191640062102497</v>
      </c>
      <c r="Z403" t="b">
        <v>1</v>
      </c>
      <c r="AA403" t="b">
        <v>1</v>
      </c>
      <c r="BZ403" t="s">
        <v>88</v>
      </c>
    </row>
    <row r="404" spans="1:81" ht="15" customHeight="1">
      <c r="A404" t="s">
        <v>222</v>
      </c>
      <c r="J404" t="s">
        <v>94</v>
      </c>
      <c r="M404" t="s">
        <v>95</v>
      </c>
      <c r="S404">
        <v>0</v>
      </c>
      <c r="U404">
        <v>-20</v>
      </c>
      <c r="V404" t="s">
        <v>86</v>
      </c>
      <c r="W404" t="s">
        <v>87</v>
      </c>
      <c r="X404" s="96">
        <f>((VLOOKUP(J404,References!$A$1:$B$23,2,0)/2)^2)*PI()*Prices!$J$13*138</f>
        <v>9.6191640062102497</v>
      </c>
      <c r="Z404" t="b">
        <v>1</v>
      </c>
      <c r="AA404" t="b">
        <v>1</v>
      </c>
      <c r="BZ404" t="s">
        <v>88</v>
      </c>
    </row>
    <row r="405" spans="1:81" ht="15" customHeight="1">
      <c r="A405" t="s">
        <v>222</v>
      </c>
      <c r="J405" t="s">
        <v>94</v>
      </c>
      <c r="M405" t="s">
        <v>99</v>
      </c>
      <c r="S405">
        <v>0</v>
      </c>
      <c r="U405">
        <v>0</v>
      </c>
      <c r="V405" t="s">
        <v>86</v>
      </c>
      <c r="W405" t="s">
        <v>87</v>
      </c>
      <c r="X405" s="96">
        <f>((VLOOKUP(J405,References!$A$1:$B$23,2,0)/2)^2)*PI()*Prices!$J$13*138</f>
        <v>9.6191640062102497</v>
      </c>
      <c r="Z405" t="b">
        <v>1</v>
      </c>
      <c r="AA405" t="b">
        <v>1</v>
      </c>
      <c r="BZ405" t="s">
        <v>88</v>
      </c>
    </row>
    <row r="406" spans="1:81" ht="15" customHeight="1">
      <c r="A406" t="s">
        <v>222</v>
      </c>
      <c r="J406" t="s">
        <v>93</v>
      </c>
      <c r="M406" t="s">
        <v>85</v>
      </c>
      <c r="S406">
        <v>0</v>
      </c>
      <c r="U406">
        <v>-44</v>
      </c>
      <c r="V406" t="s">
        <v>86</v>
      </c>
      <c r="W406" t="s">
        <v>87</v>
      </c>
      <c r="X406" s="96">
        <f>((VLOOKUP(J406,References!$A$1:$B$23,2,0)/2)^2)*PI()*Prices!$J$13*138</f>
        <v>6.1562649639745581</v>
      </c>
      <c r="Z406" t="b">
        <v>1</v>
      </c>
      <c r="AA406" t="b">
        <v>1</v>
      </c>
      <c r="BZ406" t="s">
        <v>88</v>
      </c>
    </row>
    <row r="407" spans="1:81" ht="15" customHeight="1">
      <c r="A407" t="s">
        <v>222</v>
      </c>
      <c r="J407" t="s">
        <v>93</v>
      </c>
      <c r="M407" t="s">
        <v>95</v>
      </c>
      <c r="S407">
        <v>0</v>
      </c>
      <c r="U407">
        <v>-33</v>
      </c>
      <c r="V407" t="s">
        <v>86</v>
      </c>
      <c r="W407" t="s">
        <v>87</v>
      </c>
      <c r="X407" s="96">
        <f>((VLOOKUP(J407,References!$A$1:$B$23,2,0)/2)^2)*PI()*Prices!$J$13*138</f>
        <v>6.1562649639745581</v>
      </c>
      <c r="Z407" t="b">
        <v>1</v>
      </c>
      <c r="AA407" t="b">
        <v>1</v>
      </c>
      <c r="BZ407" t="s">
        <v>88</v>
      </c>
    </row>
    <row r="408" spans="1:81" ht="15" customHeight="1">
      <c r="A408" t="s">
        <v>222</v>
      </c>
      <c r="J408" t="s">
        <v>93</v>
      </c>
      <c r="M408" t="s">
        <v>99</v>
      </c>
      <c r="S408">
        <v>0</v>
      </c>
      <c r="U408">
        <v>0</v>
      </c>
      <c r="V408" t="s">
        <v>86</v>
      </c>
      <c r="W408" t="s">
        <v>87</v>
      </c>
      <c r="X408" s="96">
        <f>((VLOOKUP(J408,References!$A$1:$B$23,2,0)/2)^2)*PI()*Prices!$J$13*138</f>
        <v>6.1562649639745581</v>
      </c>
      <c r="Z408" t="b">
        <v>1</v>
      </c>
      <c r="AA408" t="b">
        <v>1</v>
      </c>
      <c r="BZ408" t="s">
        <v>88</v>
      </c>
    </row>
    <row r="409" spans="1:81" ht="15" customHeight="1">
      <c r="A409" t="s">
        <v>222</v>
      </c>
      <c r="J409" t="s">
        <v>92</v>
      </c>
      <c r="M409" t="s">
        <v>85</v>
      </c>
      <c r="S409">
        <v>0</v>
      </c>
      <c r="U409">
        <v>-200</v>
      </c>
      <c r="V409" t="s">
        <v>86</v>
      </c>
      <c r="W409" t="s">
        <v>87</v>
      </c>
      <c r="X409" s="96">
        <f>((VLOOKUP(J409,References!$A$1:$B$23,2,0)/2)^2)*PI()*Prices!$J$13*138</f>
        <v>4.9865746208193924</v>
      </c>
      <c r="Z409" t="b">
        <v>1</v>
      </c>
      <c r="AA409" t="b">
        <v>1</v>
      </c>
      <c r="BZ409" t="s">
        <v>88</v>
      </c>
    </row>
    <row r="410" spans="1:81" ht="15" customHeight="1">
      <c r="A410" t="s">
        <v>222</v>
      </c>
      <c r="J410" t="s">
        <v>92</v>
      </c>
      <c r="M410" t="s">
        <v>95</v>
      </c>
      <c r="S410">
        <v>0</v>
      </c>
      <c r="U410">
        <v>0</v>
      </c>
      <c r="V410" t="s">
        <v>86</v>
      </c>
      <c r="W410" t="s">
        <v>87</v>
      </c>
      <c r="X410" s="96">
        <f>((VLOOKUP(J410,References!$A$1:$B$23,2,0)/2)^2)*PI()*Prices!$J$13*138</f>
        <v>4.9865746208193924</v>
      </c>
      <c r="Z410" t="b">
        <v>1</v>
      </c>
      <c r="AA410" t="b">
        <v>1</v>
      </c>
      <c r="BZ410" t="s">
        <v>88</v>
      </c>
    </row>
    <row r="411" spans="1:81" ht="15" customHeight="1">
      <c r="A411" t="s">
        <v>222</v>
      </c>
      <c r="J411" t="s">
        <v>91</v>
      </c>
      <c r="M411" t="s">
        <v>85</v>
      </c>
      <c r="S411">
        <v>0</v>
      </c>
      <c r="U411">
        <v>-113</v>
      </c>
      <c r="V411" t="s">
        <v>86</v>
      </c>
      <c r="W411" t="s">
        <v>87</v>
      </c>
      <c r="X411" s="96">
        <f>((VLOOKUP(J411,References!$A$1:$B$23,2,0)/2)^2)*PI()*Prices!$J$13*138</f>
        <v>3.4628990422356893</v>
      </c>
      <c r="Z411" t="b">
        <v>1</v>
      </c>
      <c r="AA411" t="b">
        <v>1</v>
      </c>
      <c r="BZ411" t="s">
        <v>88</v>
      </c>
    </row>
    <row r="412" spans="1:81" ht="15" customHeight="1">
      <c r="A412" t="s">
        <v>222</v>
      </c>
      <c r="J412" t="s">
        <v>91</v>
      </c>
      <c r="M412" t="s">
        <v>95</v>
      </c>
      <c r="S412">
        <v>0</v>
      </c>
      <c r="U412">
        <v>-30</v>
      </c>
      <c r="V412" t="s">
        <v>86</v>
      </c>
      <c r="W412" t="s">
        <v>87</v>
      </c>
      <c r="X412" s="96">
        <f>((VLOOKUP(J412,References!$A$1:$B$23,2,0)/2)^2)*PI()*Prices!$J$13*138</f>
        <v>3.4628990422356893</v>
      </c>
      <c r="Z412" t="b">
        <v>1</v>
      </c>
      <c r="AA412" t="b">
        <v>1</v>
      </c>
      <c r="BZ412" t="s">
        <v>88</v>
      </c>
    </row>
    <row r="413" spans="1:81" ht="15" customHeight="1">
      <c r="A413" t="s">
        <v>222</v>
      </c>
      <c r="J413" t="s">
        <v>91</v>
      </c>
      <c r="M413" t="s">
        <v>99</v>
      </c>
      <c r="S413">
        <v>0</v>
      </c>
      <c r="U413">
        <v>0</v>
      </c>
      <c r="V413" t="s">
        <v>86</v>
      </c>
      <c r="W413" t="s">
        <v>87</v>
      </c>
      <c r="X413" s="96">
        <f>((VLOOKUP(J413,References!$A$1:$B$23,2,0)/2)^2)*PI()*Prices!$J$13*138</f>
        <v>3.4628990422356893</v>
      </c>
      <c r="Z413" t="b">
        <v>1</v>
      </c>
      <c r="AA413" t="b">
        <v>1</v>
      </c>
      <c r="BZ413" t="s">
        <v>88</v>
      </c>
    </row>
    <row r="414" spans="1:81" ht="15" customHeight="1">
      <c r="A414" t="s">
        <v>222</v>
      </c>
      <c r="J414" t="s">
        <v>90</v>
      </c>
      <c r="M414" t="s">
        <v>85</v>
      </c>
      <c r="S414">
        <v>0</v>
      </c>
      <c r="U414">
        <v>-12</v>
      </c>
      <c r="V414" t="s">
        <v>86</v>
      </c>
      <c r="W414" t="s">
        <v>87</v>
      </c>
      <c r="X414" s="96">
        <f>((VLOOKUP(J414,References!$A$1:$B$23,2,0)/2)^2)*PI()*Prices!$J$13*138</f>
        <v>2.216255387030841</v>
      </c>
      <c r="Z414" t="b">
        <v>1</v>
      </c>
      <c r="AA414" t="b">
        <v>1</v>
      </c>
      <c r="BZ414" t="s">
        <v>88</v>
      </c>
    </row>
    <row r="415" spans="1:81" ht="15" customHeight="1">
      <c r="A415" t="s">
        <v>222</v>
      </c>
      <c r="J415" t="s">
        <v>83</v>
      </c>
      <c r="M415" t="s">
        <v>85</v>
      </c>
      <c r="S415">
        <v>0</v>
      </c>
      <c r="U415">
        <v>-24</v>
      </c>
      <c r="V415" t="s">
        <v>86</v>
      </c>
      <c r="W415" t="s">
        <v>87</v>
      </c>
      <c r="X415" s="96">
        <f>((VLOOKUP(J415,References!$A$1:$B$23,2,0)/2)^2)*PI()*Prices!$J$13*138</f>
        <v>1.5390662409936395</v>
      </c>
      <c r="Z415" t="b">
        <v>1</v>
      </c>
      <c r="AA415" t="b">
        <v>1</v>
      </c>
      <c r="BZ415" t="s">
        <v>88</v>
      </c>
    </row>
    <row r="416" spans="1:81" ht="15" customHeight="1">
      <c r="A416" t="s">
        <v>227</v>
      </c>
      <c r="B416" t="s">
        <v>228</v>
      </c>
      <c r="C416" s="1" t="s">
        <v>229</v>
      </c>
      <c r="D416" t="s">
        <v>79</v>
      </c>
      <c r="E416" t="s">
        <v>113</v>
      </c>
      <c r="G416" t="s">
        <v>230</v>
      </c>
      <c r="H416" t="b">
        <v>1</v>
      </c>
      <c r="I416" t="s">
        <v>82</v>
      </c>
      <c r="J416" t="s">
        <v>171</v>
      </c>
      <c r="L416" t="s">
        <v>84</v>
      </c>
      <c r="M416" t="s">
        <v>85</v>
      </c>
      <c r="S416">
        <v>0</v>
      </c>
      <c r="U416">
        <v>-3</v>
      </c>
      <c r="V416" t="s">
        <v>86</v>
      </c>
      <c r="W416" t="s">
        <v>87</v>
      </c>
      <c r="X416" s="96">
        <f>((VLOOKUP(J416,References!$A$1:$B$23,2,0)/2)^2)*PI()*Prices!$J$13*138</f>
        <v>394.00095769437172</v>
      </c>
      <c r="Z416" t="b">
        <v>1</v>
      </c>
      <c r="AA416" t="b">
        <v>1</v>
      </c>
      <c r="AC416" t="s">
        <v>361</v>
      </c>
      <c r="AD416">
        <v>1</v>
      </c>
      <c r="AE416" t="s">
        <v>231</v>
      </c>
      <c r="AF416" t="b">
        <v>0</v>
      </c>
      <c r="BZ416" t="s">
        <v>88</v>
      </c>
      <c r="CC416" t="s">
        <v>89</v>
      </c>
    </row>
    <row r="417" spans="1:78" ht="15" customHeight="1">
      <c r="A417" t="s">
        <v>227</v>
      </c>
      <c r="J417" t="s">
        <v>173</v>
      </c>
      <c r="M417" t="s">
        <v>85</v>
      </c>
      <c r="S417">
        <v>0</v>
      </c>
      <c r="U417">
        <v>0</v>
      </c>
      <c r="V417" t="s">
        <v>86</v>
      </c>
      <c r="W417" t="s">
        <v>87</v>
      </c>
      <c r="X417" s="96">
        <f>((VLOOKUP(J417,References!$A$1:$B$23,2,0)/2)^2)*PI()*Prices!$J$13*138</f>
        <v>240.47910015525622</v>
      </c>
      <c r="Z417" t="b">
        <v>1</v>
      </c>
      <c r="AA417" t="b">
        <v>1</v>
      </c>
      <c r="BZ417" t="s">
        <v>88</v>
      </c>
    </row>
    <row r="418" spans="1:78" ht="15" customHeight="1">
      <c r="A418" t="s">
        <v>227</v>
      </c>
      <c r="J418" t="s">
        <v>174</v>
      </c>
      <c r="M418" t="s">
        <v>85</v>
      </c>
      <c r="S418">
        <v>0</v>
      </c>
      <c r="U418">
        <v>0</v>
      </c>
      <c r="V418" t="s">
        <v>86</v>
      </c>
      <c r="W418" t="s">
        <v>87</v>
      </c>
      <c r="X418" s="96">
        <f>((VLOOKUP(J418,References!$A$1:$B$23,2,0)/2)^2)*PI()*Prices!$J$13*138</f>
        <v>153.906624099364</v>
      </c>
      <c r="Z418" t="b">
        <v>1</v>
      </c>
      <c r="AA418" t="b">
        <v>1</v>
      </c>
      <c r="BZ418" t="s">
        <v>88</v>
      </c>
    </row>
    <row r="419" spans="1:78" ht="15" customHeight="1">
      <c r="A419" t="s">
        <v>227</v>
      </c>
      <c r="J419" t="s">
        <v>167</v>
      </c>
      <c r="M419" t="s">
        <v>85</v>
      </c>
      <c r="S419">
        <v>0</v>
      </c>
      <c r="U419">
        <v>-3</v>
      </c>
      <c r="V419" t="s">
        <v>86</v>
      </c>
      <c r="W419" t="s">
        <v>87</v>
      </c>
      <c r="X419" s="96">
        <f>((VLOOKUP(J419,References!$A$1:$B$23,2,0)/2)^2)*PI()*Prices!$J$13*138</f>
        <v>98.50023942359293</v>
      </c>
      <c r="Z419" t="b">
        <v>1</v>
      </c>
      <c r="AA419" t="b">
        <v>1</v>
      </c>
      <c r="BZ419" t="s">
        <v>88</v>
      </c>
    </row>
    <row r="420" spans="1:78" ht="15" customHeight="1">
      <c r="A420" t="s">
        <v>227</v>
      </c>
      <c r="J420" t="s">
        <v>186</v>
      </c>
      <c r="M420" t="s">
        <v>85</v>
      </c>
      <c r="S420">
        <v>0</v>
      </c>
      <c r="U420">
        <v>0</v>
      </c>
      <c r="V420" t="s">
        <v>86</v>
      </c>
      <c r="W420" t="s">
        <v>87</v>
      </c>
      <c r="X420" s="96">
        <f>((VLOOKUP(J420,References!$A$1:$B$23,2,0)/2)^2)*PI()*Prices!$J$13*138</f>
        <v>55.406384675771029</v>
      </c>
      <c r="Z420" t="b">
        <v>1</v>
      </c>
      <c r="AA420" t="b">
        <v>1</v>
      </c>
      <c r="BZ420" t="s">
        <v>88</v>
      </c>
    </row>
    <row r="421" spans="1:78" ht="15" customHeight="1">
      <c r="A421" t="s">
        <v>227</v>
      </c>
      <c r="J421" t="s">
        <v>186</v>
      </c>
      <c r="M421" t="s">
        <v>99</v>
      </c>
      <c r="S421">
        <v>0</v>
      </c>
      <c r="U421">
        <v>0</v>
      </c>
      <c r="V421" t="s">
        <v>86</v>
      </c>
      <c r="W421" t="s">
        <v>87</v>
      </c>
      <c r="X421" s="96">
        <f>((VLOOKUP(J421,References!$A$1:$B$23,2,0)/2)^2)*PI()*Prices!$J$13*138</f>
        <v>55.406384675771029</v>
      </c>
      <c r="Z421" t="b">
        <v>1</v>
      </c>
      <c r="AA421" t="b">
        <v>1</v>
      </c>
      <c r="BZ421" t="s">
        <v>88</v>
      </c>
    </row>
    <row r="422" spans="1:78" ht="15" customHeight="1">
      <c r="A422" t="s">
        <v>227</v>
      </c>
      <c r="J422" t="s">
        <v>98</v>
      </c>
      <c r="M422" t="s">
        <v>85</v>
      </c>
      <c r="S422">
        <v>0</v>
      </c>
      <c r="U422">
        <v>0</v>
      </c>
      <c r="V422" t="s">
        <v>86</v>
      </c>
      <c r="W422" t="s">
        <v>87</v>
      </c>
      <c r="X422" s="96">
        <f>((VLOOKUP(J422,References!$A$1:$B$23,2,0)/2)^2)*PI()*Prices!$J$13*138</f>
        <v>38.476656024840999</v>
      </c>
      <c r="Z422" t="b">
        <v>1</v>
      </c>
      <c r="AA422" t="b">
        <v>1</v>
      </c>
      <c r="BZ422" t="s">
        <v>88</v>
      </c>
    </row>
    <row r="423" spans="1:78" ht="15" customHeight="1">
      <c r="A423" t="s">
        <v>227</v>
      </c>
      <c r="J423" t="s">
        <v>98</v>
      </c>
      <c r="M423" t="s">
        <v>99</v>
      </c>
      <c r="S423">
        <v>0</v>
      </c>
      <c r="U423">
        <v>0</v>
      </c>
      <c r="V423" t="s">
        <v>86</v>
      </c>
      <c r="W423" t="s">
        <v>87</v>
      </c>
      <c r="X423" s="96">
        <f>((VLOOKUP(J423,References!$A$1:$B$23,2,0)/2)^2)*PI()*Prices!$J$13*138</f>
        <v>38.476656024840999</v>
      </c>
      <c r="Z423" t="b">
        <v>1</v>
      </c>
      <c r="AA423" t="b">
        <v>1</v>
      </c>
      <c r="BZ423" t="s">
        <v>88</v>
      </c>
    </row>
    <row r="424" spans="1:78" ht="15" customHeight="1">
      <c r="A424" t="s">
        <v>227</v>
      </c>
      <c r="J424" t="s">
        <v>176</v>
      </c>
      <c r="M424" t="s">
        <v>85</v>
      </c>
      <c r="S424">
        <v>0</v>
      </c>
      <c r="U424">
        <v>0</v>
      </c>
      <c r="V424" t="s">
        <v>86</v>
      </c>
      <c r="W424" t="s">
        <v>87</v>
      </c>
      <c r="X424" s="96">
        <f>((VLOOKUP(J424,References!$A$1:$B$23,2,0)/2)^2)*PI()*Prices!$J$13*138</f>
        <v>31.166091380121202</v>
      </c>
      <c r="Z424" t="b">
        <v>1</v>
      </c>
      <c r="AA424" t="b">
        <v>1</v>
      </c>
      <c r="BZ424" t="s">
        <v>88</v>
      </c>
    </row>
    <row r="425" spans="1:78" ht="15" customHeight="1">
      <c r="A425" t="s">
        <v>227</v>
      </c>
      <c r="J425" t="s">
        <v>176</v>
      </c>
      <c r="M425" t="s">
        <v>99</v>
      </c>
      <c r="S425">
        <v>0</v>
      </c>
      <c r="U425">
        <v>0</v>
      </c>
      <c r="V425" t="s">
        <v>86</v>
      </c>
      <c r="W425" t="s">
        <v>87</v>
      </c>
      <c r="X425" s="96">
        <f>((VLOOKUP(J425,References!$A$1:$B$23,2,0)/2)^2)*PI()*Prices!$J$13*138</f>
        <v>31.166091380121202</v>
      </c>
      <c r="Z425" t="b">
        <v>1</v>
      </c>
      <c r="AA425" t="b">
        <v>1</v>
      </c>
      <c r="BZ425" t="s">
        <v>88</v>
      </c>
    </row>
    <row r="426" spans="1:78" ht="15" customHeight="1">
      <c r="A426" t="s">
        <v>227</v>
      </c>
      <c r="J426" t="s">
        <v>97</v>
      </c>
      <c r="M426" t="s">
        <v>85</v>
      </c>
      <c r="S426">
        <v>0</v>
      </c>
      <c r="U426">
        <v>0</v>
      </c>
      <c r="V426" t="s">
        <v>86</v>
      </c>
      <c r="W426" t="s">
        <v>87</v>
      </c>
      <c r="X426" s="96">
        <f>((VLOOKUP(J426,References!$A$1:$B$23,2,0)/2)^2)*PI()*Prices!$J$13*138</f>
        <v>24.625059855898233</v>
      </c>
      <c r="Z426" t="b">
        <v>1</v>
      </c>
      <c r="AA426" t="b">
        <v>1</v>
      </c>
      <c r="BZ426" t="s">
        <v>88</v>
      </c>
    </row>
    <row r="427" spans="1:78" ht="15" customHeight="1">
      <c r="A427" t="s">
        <v>227</v>
      </c>
      <c r="J427" t="s">
        <v>97</v>
      </c>
      <c r="M427" t="s">
        <v>99</v>
      </c>
      <c r="S427">
        <v>0</v>
      </c>
      <c r="U427">
        <v>0</v>
      </c>
      <c r="V427" t="s">
        <v>86</v>
      </c>
      <c r="W427" t="s">
        <v>87</v>
      </c>
      <c r="X427" s="96">
        <f>((VLOOKUP(J427,References!$A$1:$B$23,2,0)/2)^2)*PI()*Prices!$J$13*138</f>
        <v>24.625059855898233</v>
      </c>
      <c r="Z427" t="b">
        <v>1</v>
      </c>
      <c r="AA427" t="b">
        <v>1</v>
      </c>
      <c r="BZ427" t="s">
        <v>88</v>
      </c>
    </row>
    <row r="428" spans="1:78" ht="15" customHeight="1">
      <c r="A428" t="s">
        <v>227</v>
      </c>
      <c r="J428" t="s">
        <v>177</v>
      </c>
      <c r="M428" t="s">
        <v>85</v>
      </c>
      <c r="S428">
        <v>0</v>
      </c>
      <c r="U428">
        <v>0</v>
      </c>
      <c r="V428" t="s">
        <v>86</v>
      </c>
      <c r="W428" t="s">
        <v>87</v>
      </c>
      <c r="X428" s="96">
        <f>((VLOOKUP(J428,References!$A$1:$B$23,2,0)/2)^2)*PI()*Prices!$J$13*138</f>
        <v>18.853561452172087</v>
      </c>
      <c r="Z428" t="b">
        <v>1</v>
      </c>
      <c r="AA428" t="b">
        <v>1</v>
      </c>
      <c r="BZ428" t="s">
        <v>88</v>
      </c>
    </row>
    <row r="429" spans="1:78" ht="15" customHeight="1">
      <c r="A429" t="s">
        <v>227</v>
      </c>
      <c r="J429" t="s">
        <v>177</v>
      </c>
      <c r="M429" t="s">
        <v>99</v>
      </c>
      <c r="S429">
        <v>0</v>
      </c>
      <c r="U429">
        <v>0</v>
      </c>
      <c r="V429" t="s">
        <v>86</v>
      </c>
      <c r="W429" t="s">
        <v>87</v>
      </c>
      <c r="X429" s="96">
        <f>((VLOOKUP(J429,References!$A$1:$B$23,2,0)/2)^2)*PI()*Prices!$J$13*138</f>
        <v>18.853561452172087</v>
      </c>
      <c r="Z429" t="b">
        <v>1</v>
      </c>
      <c r="AA429" t="b">
        <v>1</v>
      </c>
      <c r="BZ429" t="s">
        <v>88</v>
      </c>
    </row>
    <row r="430" spans="1:78" ht="15" customHeight="1">
      <c r="A430" t="s">
        <v>227</v>
      </c>
      <c r="J430" t="s">
        <v>96</v>
      </c>
      <c r="M430" t="s">
        <v>85</v>
      </c>
      <c r="S430">
        <v>0</v>
      </c>
      <c r="U430">
        <v>0</v>
      </c>
      <c r="V430" t="s">
        <v>86</v>
      </c>
      <c r="W430" t="s">
        <v>87</v>
      </c>
      <c r="X430" s="96">
        <f>((VLOOKUP(J430,References!$A$1:$B$23,2,0)/2)^2)*PI()*Prices!$J$13*138</f>
        <v>13.851596168942757</v>
      </c>
      <c r="Z430" t="b">
        <v>1</v>
      </c>
      <c r="AA430" t="b">
        <v>1</v>
      </c>
      <c r="BZ430" t="s">
        <v>88</v>
      </c>
    </row>
    <row r="431" spans="1:78" ht="15" customHeight="1">
      <c r="A431" t="s">
        <v>227</v>
      </c>
      <c r="J431" t="s">
        <v>96</v>
      </c>
      <c r="M431" t="s">
        <v>95</v>
      </c>
      <c r="S431">
        <v>0</v>
      </c>
      <c r="U431">
        <v>0</v>
      </c>
      <c r="V431" t="s">
        <v>86</v>
      </c>
      <c r="W431" t="s">
        <v>87</v>
      </c>
      <c r="X431" s="96">
        <f>((VLOOKUP(J431,References!$A$1:$B$23,2,0)/2)^2)*PI()*Prices!$J$13*138</f>
        <v>13.851596168942757</v>
      </c>
      <c r="Z431" t="b">
        <v>1</v>
      </c>
      <c r="AA431" t="b">
        <v>1</v>
      </c>
      <c r="BZ431" t="s">
        <v>88</v>
      </c>
    </row>
    <row r="432" spans="1:78" ht="15" customHeight="1">
      <c r="A432" t="s">
        <v>227</v>
      </c>
      <c r="J432" t="s">
        <v>96</v>
      </c>
      <c r="M432" t="s">
        <v>99</v>
      </c>
      <c r="S432">
        <v>0</v>
      </c>
      <c r="U432">
        <v>0</v>
      </c>
      <c r="V432" t="s">
        <v>86</v>
      </c>
      <c r="W432" t="s">
        <v>87</v>
      </c>
      <c r="X432" s="96">
        <f>((VLOOKUP(J432,References!$A$1:$B$23,2,0)/2)^2)*PI()*Prices!$J$13*138</f>
        <v>13.851596168942757</v>
      </c>
      <c r="Z432" t="b">
        <v>1</v>
      </c>
      <c r="AA432" t="b">
        <v>1</v>
      </c>
      <c r="BZ432" t="s">
        <v>88</v>
      </c>
    </row>
    <row r="433" spans="1:81" ht="15" customHeight="1">
      <c r="A433" t="s">
        <v>227</v>
      </c>
      <c r="J433" t="s">
        <v>94</v>
      </c>
      <c r="M433" t="s">
        <v>85</v>
      </c>
      <c r="S433">
        <v>0</v>
      </c>
      <c r="U433">
        <v>0</v>
      </c>
      <c r="V433" t="s">
        <v>86</v>
      </c>
      <c r="W433" t="s">
        <v>87</v>
      </c>
      <c r="X433" s="96">
        <f>((VLOOKUP(J433,References!$A$1:$B$23,2,0)/2)^2)*PI()*Prices!$J$13*138</f>
        <v>9.6191640062102497</v>
      </c>
      <c r="Z433" t="b">
        <v>1</v>
      </c>
      <c r="AA433" t="b">
        <v>1</v>
      </c>
      <c r="BZ433" t="s">
        <v>88</v>
      </c>
    </row>
    <row r="434" spans="1:81" ht="15" customHeight="1">
      <c r="A434" t="s">
        <v>227</v>
      </c>
      <c r="J434" t="s">
        <v>94</v>
      </c>
      <c r="M434" t="s">
        <v>95</v>
      </c>
      <c r="S434">
        <v>0</v>
      </c>
      <c r="U434">
        <v>0</v>
      </c>
      <c r="V434" t="s">
        <v>86</v>
      </c>
      <c r="W434" t="s">
        <v>87</v>
      </c>
      <c r="X434" s="96">
        <f>((VLOOKUP(J434,References!$A$1:$B$23,2,0)/2)^2)*PI()*Prices!$J$13*138</f>
        <v>9.6191640062102497</v>
      </c>
      <c r="Z434" t="b">
        <v>1</v>
      </c>
      <c r="AA434" t="b">
        <v>1</v>
      </c>
      <c r="BZ434" t="s">
        <v>88</v>
      </c>
    </row>
    <row r="435" spans="1:81" ht="15" customHeight="1">
      <c r="A435" t="s">
        <v>227</v>
      </c>
      <c r="J435" t="s">
        <v>94</v>
      </c>
      <c r="M435" t="s">
        <v>99</v>
      </c>
      <c r="S435">
        <v>0</v>
      </c>
      <c r="U435">
        <v>0</v>
      </c>
      <c r="V435" t="s">
        <v>86</v>
      </c>
      <c r="W435" t="s">
        <v>87</v>
      </c>
      <c r="X435" s="96">
        <f>((VLOOKUP(J435,References!$A$1:$B$23,2,0)/2)^2)*PI()*Prices!$J$13*138</f>
        <v>9.6191640062102497</v>
      </c>
      <c r="Z435" t="b">
        <v>1</v>
      </c>
      <c r="AA435" t="b">
        <v>1</v>
      </c>
      <c r="BZ435" t="s">
        <v>88</v>
      </c>
    </row>
    <row r="436" spans="1:81" ht="15" customHeight="1">
      <c r="A436" t="s">
        <v>227</v>
      </c>
      <c r="J436" t="s">
        <v>93</v>
      </c>
      <c r="M436" t="s">
        <v>85</v>
      </c>
      <c r="S436">
        <v>0</v>
      </c>
      <c r="U436">
        <v>0</v>
      </c>
      <c r="V436" t="s">
        <v>86</v>
      </c>
      <c r="W436" t="s">
        <v>87</v>
      </c>
      <c r="X436" s="96">
        <f>((VLOOKUP(J436,References!$A$1:$B$23,2,0)/2)^2)*PI()*Prices!$J$13*138</f>
        <v>6.1562649639745581</v>
      </c>
      <c r="Z436" t="b">
        <v>1</v>
      </c>
      <c r="AA436" t="b">
        <v>1</v>
      </c>
      <c r="BZ436" t="s">
        <v>88</v>
      </c>
    </row>
    <row r="437" spans="1:81" ht="15" customHeight="1">
      <c r="A437" t="s">
        <v>227</v>
      </c>
      <c r="J437" t="s">
        <v>93</v>
      </c>
      <c r="M437" t="s">
        <v>95</v>
      </c>
      <c r="S437">
        <v>0</v>
      </c>
      <c r="U437">
        <v>0</v>
      </c>
      <c r="V437" t="s">
        <v>86</v>
      </c>
      <c r="W437" t="s">
        <v>87</v>
      </c>
      <c r="X437" s="96">
        <f>((VLOOKUP(J437,References!$A$1:$B$23,2,0)/2)^2)*PI()*Prices!$J$13*138</f>
        <v>6.1562649639745581</v>
      </c>
      <c r="Z437" t="b">
        <v>1</v>
      </c>
      <c r="AA437" t="b">
        <v>1</v>
      </c>
      <c r="BZ437" t="s">
        <v>88</v>
      </c>
    </row>
    <row r="438" spans="1:81" ht="15" customHeight="1">
      <c r="A438" t="s">
        <v>227</v>
      </c>
      <c r="J438" t="s">
        <v>93</v>
      </c>
      <c r="M438" t="s">
        <v>99</v>
      </c>
      <c r="S438">
        <v>0</v>
      </c>
      <c r="U438">
        <v>0</v>
      </c>
      <c r="V438" t="s">
        <v>86</v>
      </c>
      <c r="W438" t="s">
        <v>87</v>
      </c>
      <c r="X438" s="96">
        <f>((VLOOKUP(J438,References!$A$1:$B$23,2,0)/2)^2)*PI()*Prices!$J$13*138</f>
        <v>6.1562649639745581</v>
      </c>
      <c r="Z438" t="b">
        <v>1</v>
      </c>
      <c r="AA438" t="b">
        <v>1</v>
      </c>
      <c r="BZ438" t="s">
        <v>88</v>
      </c>
    </row>
    <row r="439" spans="1:81" ht="15" customHeight="1">
      <c r="A439" t="s">
        <v>227</v>
      </c>
      <c r="J439" t="s">
        <v>91</v>
      </c>
      <c r="M439" t="s">
        <v>85</v>
      </c>
      <c r="S439">
        <v>0</v>
      </c>
      <c r="U439">
        <v>0</v>
      </c>
      <c r="V439" t="s">
        <v>86</v>
      </c>
      <c r="W439" t="s">
        <v>87</v>
      </c>
      <c r="X439" s="96">
        <f>((VLOOKUP(J439,References!$A$1:$B$23,2,0)/2)^2)*PI()*Prices!$J$13*138</f>
        <v>3.4628990422356893</v>
      </c>
      <c r="Z439" t="b">
        <v>1</v>
      </c>
      <c r="AA439" t="b">
        <v>1</v>
      </c>
      <c r="BZ439" t="s">
        <v>88</v>
      </c>
    </row>
    <row r="440" spans="1:81" ht="15" customHeight="1">
      <c r="A440" t="s">
        <v>227</v>
      </c>
      <c r="J440" t="s">
        <v>91</v>
      </c>
      <c r="M440" t="s">
        <v>95</v>
      </c>
      <c r="S440">
        <v>0</v>
      </c>
      <c r="U440">
        <v>0</v>
      </c>
      <c r="V440" t="s">
        <v>86</v>
      </c>
      <c r="W440" t="s">
        <v>87</v>
      </c>
      <c r="X440" s="96">
        <f>((VLOOKUP(J440,References!$A$1:$B$23,2,0)/2)^2)*PI()*Prices!$J$13*138</f>
        <v>3.4628990422356893</v>
      </c>
      <c r="Z440" t="b">
        <v>1</v>
      </c>
      <c r="AA440" t="b">
        <v>1</v>
      </c>
      <c r="BZ440" t="s">
        <v>88</v>
      </c>
    </row>
    <row r="441" spans="1:81" ht="15" customHeight="1">
      <c r="A441" t="s">
        <v>227</v>
      </c>
      <c r="J441" t="s">
        <v>90</v>
      </c>
      <c r="M441" t="s">
        <v>85</v>
      </c>
      <c r="S441">
        <v>0</v>
      </c>
      <c r="U441">
        <v>0</v>
      </c>
      <c r="V441" t="s">
        <v>86</v>
      </c>
      <c r="W441" t="s">
        <v>87</v>
      </c>
      <c r="X441" s="96">
        <f>((VLOOKUP(J441,References!$A$1:$B$23,2,0)/2)^2)*PI()*Prices!$J$13*138</f>
        <v>2.216255387030841</v>
      </c>
      <c r="Z441" t="b">
        <v>1</v>
      </c>
      <c r="AA441" t="b">
        <v>1</v>
      </c>
      <c r="BZ441" t="s">
        <v>88</v>
      </c>
    </row>
    <row r="442" spans="1:81" ht="15" customHeight="1">
      <c r="A442" t="s">
        <v>227</v>
      </c>
      <c r="J442" t="s">
        <v>83</v>
      </c>
      <c r="M442" t="s">
        <v>85</v>
      </c>
      <c r="S442">
        <v>0</v>
      </c>
      <c r="U442">
        <v>0</v>
      </c>
      <c r="V442" t="s">
        <v>86</v>
      </c>
      <c r="W442" t="s">
        <v>87</v>
      </c>
      <c r="X442" s="96">
        <f>((VLOOKUP(J442,References!$A$1:$B$23,2,0)/2)^2)*PI()*Prices!$J$13*138</f>
        <v>1.5390662409936395</v>
      </c>
      <c r="Z442" t="b">
        <v>1</v>
      </c>
      <c r="AA442" t="b">
        <v>1</v>
      </c>
      <c r="BZ442" t="s">
        <v>88</v>
      </c>
    </row>
    <row r="443" spans="1:81" ht="15" customHeight="1">
      <c r="A443" t="s">
        <v>232</v>
      </c>
      <c r="B443" t="s">
        <v>233</v>
      </c>
      <c r="C443" s="1" t="s">
        <v>234</v>
      </c>
      <c r="D443" t="s">
        <v>79</v>
      </c>
      <c r="E443" t="s">
        <v>113</v>
      </c>
      <c r="G443" t="s">
        <v>235</v>
      </c>
      <c r="H443" t="b">
        <v>1</v>
      </c>
      <c r="I443" t="s">
        <v>82</v>
      </c>
      <c r="J443" t="s">
        <v>83</v>
      </c>
      <c r="L443" t="s">
        <v>84</v>
      </c>
      <c r="M443" t="s">
        <v>85</v>
      </c>
      <c r="S443">
        <v>0</v>
      </c>
      <c r="U443">
        <v>0</v>
      </c>
      <c r="V443" t="s">
        <v>236</v>
      </c>
      <c r="W443" t="s">
        <v>87</v>
      </c>
      <c r="X443" s="96">
        <f>((VLOOKUP(J443,References!$A$1:$B$23,2,0)/2)^2)*PI()*122*Prices!$D$57</f>
        <v>1.0629873267732339</v>
      </c>
      <c r="Z443" t="b">
        <v>1</v>
      </c>
      <c r="AA443" t="b">
        <v>1</v>
      </c>
      <c r="AC443" t="s">
        <v>360</v>
      </c>
      <c r="AD443">
        <v>1</v>
      </c>
      <c r="AE443" t="s">
        <v>237</v>
      </c>
      <c r="AF443" t="b">
        <v>0</v>
      </c>
      <c r="BZ443" t="s">
        <v>88</v>
      </c>
      <c r="CC443" t="s">
        <v>89</v>
      </c>
    </row>
    <row r="444" spans="1:81" ht="15" customHeight="1">
      <c r="A444" t="s">
        <v>232</v>
      </c>
      <c r="J444" t="s">
        <v>91</v>
      </c>
      <c r="M444" t="s">
        <v>85</v>
      </c>
      <c r="S444">
        <v>0</v>
      </c>
      <c r="U444">
        <v>0</v>
      </c>
      <c r="V444" t="s">
        <v>236</v>
      </c>
      <c r="W444" t="s">
        <v>87</v>
      </c>
      <c r="X444" s="96">
        <f>((VLOOKUP(J444,References!$A$1:$B$23,2,0)/2)^2)*PI()*122*Prices!$D$57</f>
        <v>2.3917214852397759</v>
      </c>
      <c r="Z444" t="b">
        <v>1</v>
      </c>
      <c r="AA444" t="b">
        <v>1</v>
      </c>
      <c r="BZ444" t="s">
        <v>88</v>
      </c>
    </row>
    <row r="445" spans="1:81" ht="15" customHeight="1">
      <c r="A445" t="s">
        <v>232</v>
      </c>
      <c r="J445" t="s">
        <v>93</v>
      </c>
      <c r="M445" t="s">
        <v>85</v>
      </c>
      <c r="S445">
        <v>0</v>
      </c>
      <c r="U445">
        <v>-36</v>
      </c>
      <c r="V445" t="s">
        <v>236</v>
      </c>
      <c r="W445" t="s">
        <v>87</v>
      </c>
      <c r="X445" s="96">
        <f>((VLOOKUP(J445,References!$A$1:$B$23,2,0)/2)^2)*PI()*122*Prices!$D$57</f>
        <v>4.2519493070929357</v>
      </c>
      <c r="Z445" t="b">
        <v>1</v>
      </c>
      <c r="AA445" t="b">
        <v>1</v>
      </c>
      <c r="BZ445" t="s">
        <v>88</v>
      </c>
    </row>
    <row r="446" spans="1:81" ht="15" customHeight="1">
      <c r="A446" t="s">
        <v>232</v>
      </c>
      <c r="J446" t="s">
        <v>94</v>
      </c>
      <c r="M446" t="s">
        <v>85</v>
      </c>
      <c r="S446">
        <v>0</v>
      </c>
      <c r="U446">
        <v>-36</v>
      </c>
      <c r="V446" t="s">
        <v>236</v>
      </c>
      <c r="W446" t="s">
        <v>87</v>
      </c>
      <c r="X446" s="96">
        <f>((VLOOKUP(J446,References!$A$1:$B$23,2,0)/2)^2)*PI()*122*Prices!$D$57</f>
        <v>6.6436707923327125</v>
      </c>
      <c r="Z446" t="b">
        <v>1</v>
      </c>
      <c r="AA446" t="b">
        <v>1</v>
      </c>
      <c r="BZ446" t="s">
        <v>88</v>
      </c>
    </row>
    <row r="447" spans="1:81" ht="15" customHeight="1">
      <c r="A447" t="s">
        <v>232</v>
      </c>
      <c r="J447" t="s">
        <v>94</v>
      </c>
      <c r="M447" t="s">
        <v>95</v>
      </c>
      <c r="S447">
        <v>0</v>
      </c>
      <c r="U447">
        <v>0</v>
      </c>
      <c r="V447" t="s">
        <v>236</v>
      </c>
      <c r="W447" t="s">
        <v>87</v>
      </c>
      <c r="X447" s="96">
        <f>((VLOOKUP(J447,References!$A$1:$B$23,2,0)/2)^2)*PI()*122*Prices!$D$57</f>
        <v>6.6436707923327125</v>
      </c>
      <c r="Z447" t="b">
        <v>1</v>
      </c>
      <c r="AA447" t="b">
        <v>1</v>
      </c>
      <c r="BZ447" t="s">
        <v>88</v>
      </c>
    </row>
    <row r="448" spans="1:81" ht="15" customHeight="1">
      <c r="A448" t="s">
        <v>232</v>
      </c>
      <c r="J448" t="s">
        <v>96</v>
      </c>
      <c r="M448" t="s">
        <v>85</v>
      </c>
      <c r="S448">
        <v>0</v>
      </c>
      <c r="U448">
        <v>-6</v>
      </c>
      <c r="V448" t="s">
        <v>236</v>
      </c>
      <c r="W448" t="s">
        <v>87</v>
      </c>
      <c r="X448" s="96">
        <f>((VLOOKUP(J448,References!$A$1:$B$23,2,0)/2)^2)*PI()*122*Prices!$D$57</f>
        <v>9.5668859409591036</v>
      </c>
      <c r="Z448" t="b">
        <v>1</v>
      </c>
      <c r="AA448" t="b">
        <v>1</v>
      </c>
      <c r="BZ448" t="s">
        <v>88</v>
      </c>
    </row>
    <row r="449" spans="1:81" ht="15" customHeight="1">
      <c r="A449" t="s">
        <v>232</v>
      </c>
      <c r="J449" t="s">
        <v>177</v>
      </c>
      <c r="M449" t="s">
        <v>95</v>
      </c>
      <c r="S449">
        <v>0</v>
      </c>
      <c r="U449">
        <v>0</v>
      </c>
      <c r="V449" t="s">
        <v>236</v>
      </c>
      <c r="W449" t="s">
        <v>87</v>
      </c>
      <c r="X449" s="96">
        <f>((VLOOKUP(J449,References!$A$1:$B$23,2,0)/2)^2)*PI()*122*Prices!$D$57</f>
        <v>13.021594752972117</v>
      </c>
      <c r="Z449" t="b">
        <v>1</v>
      </c>
      <c r="AA449" t="b">
        <v>1</v>
      </c>
      <c r="BZ449" t="s">
        <v>88</v>
      </c>
    </row>
    <row r="450" spans="1:81" ht="15" customHeight="1">
      <c r="A450" t="s">
        <v>238</v>
      </c>
      <c r="B450" t="s">
        <v>239</v>
      </c>
      <c r="C450" s="1" t="s">
        <v>170</v>
      </c>
      <c r="D450" t="s">
        <v>79</v>
      </c>
      <c r="E450" t="s">
        <v>113</v>
      </c>
      <c r="G450" t="s">
        <v>240</v>
      </c>
      <c r="H450" t="b">
        <v>1</v>
      </c>
      <c r="I450" t="s">
        <v>82</v>
      </c>
      <c r="J450" t="s">
        <v>90</v>
      </c>
      <c r="L450" t="s">
        <v>84</v>
      </c>
      <c r="M450" t="s">
        <v>85</v>
      </c>
      <c r="S450">
        <v>0</v>
      </c>
      <c r="U450">
        <v>0</v>
      </c>
      <c r="V450" t="s">
        <v>86</v>
      </c>
      <c r="W450" t="s">
        <v>87</v>
      </c>
      <c r="X450" s="96">
        <f>((VLOOKUP(J450,References!$A$1:$B$23,2,0)/2)^2)*PI()*Prices!$J$19*138</f>
        <v>2.2895200279244228</v>
      </c>
      <c r="Z450" t="b">
        <v>1</v>
      </c>
      <c r="AA450" t="b">
        <v>1</v>
      </c>
      <c r="AC450" t="s">
        <v>359</v>
      </c>
      <c r="AD450">
        <v>1</v>
      </c>
      <c r="AE450" t="s">
        <v>241</v>
      </c>
      <c r="AF450" t="b">
        <v>0</v>
      </c>
      <c r="BZ450" t="s">
        <v>88</v>
      </c>
      <c r="CC450" t="s">
        <v>89</v>
      </c>
    </row>
    <row r="451" spans="1:81" ht="15" customHeight="1">
      <c r="A451" t="s">
        <v>238</v>
      </c>
      <c r="J451" t="s">
        <v>91</v>
      </c>
      <c r="M451" t="s">
        <v>85</v>
      </c>
      <c r="S451">
        <v>0</v>
      </c>
      <c r="U451">
        <v>-10</v>
      </c>
      <c r="V451" t="s">
        <v>86</v>
      </c>
      <c r="W451" t="s">
        <v>87</v>
      </c>
      <c r="X451" s="96">
        <f>((VLOOKUP(J451,References!$A$1:$B$23,2,0)/2)^2)*PI()*Prices!$J$19*138</f>
        <v>3.5773750436319105</v>
      </c>
      <c r="Z451" t="b">
        <v>1</v>
      </c>
      <c r="AA451" t="b">
        <v>1</v>
      </c>
      <c r="BZ451" t="s">
        <v>88</v>
      </c>
    </row>
    <row r="452" spans="1:81" ht="15" customHeight="1">
      <c r="A452" t="s">
        <v>238</v>
      </c>
      <c r="J452" t="s">
        <v>93</v>
      </c>
      <c r="M452" t="s">
        <v>85</v>
      </c>
      <c r="S452">
        <v>0</v>
      </c>
      <c r="U452">
        <v>-10</v>
      </c>
      <c r="V452" t="s">
        <v>86</v>
      </c>
      <c r="W452" t="s">
        <v>87</v>
      </c>
      <c r="X452" s="96">
        <f>((VLOOKUP(J452,References!$A$1:$B$23,2,0)/2)^2)*PI()*Prices!$J$19*138</f>
        <v>6.3597778553456195</v>
      </c>
      <c r="Z452" t="b">
        <v>1</v>
      </c>
      <c r="AA452" t="b">
        <v>1</v>
      </c>
      <c r="BZ452" t="s">
        <v>88</v>
      </c>
    </row>
    <row r="453" spans="1:81" ht="15" customHeight="1">
      <c r="A453" t="s">
        <v>238</v>
      </c>
      <c r="J453" t="s">
        <v>94</v>
      </c>
      <c r="M453" t="s">
        <v>85</v>
      </c>
      <c r="S453">
        <v>0</v>
      </c>
      <c r="U453">
        <v>-36</v>
      </c>
      <c r="V453" t="s">
        <v>86</v>
      </c>
      <c r="W453" t="s">
        <v>87</v>
      </c>
      <c r="X453" s="96">
        <f>((VLOOKUP(J453,References!$A$1:$B$23,2,0)/2)^2)*PI()*Prices!$J$19*138</f>
        <v>9.93715289897753</v>
      </c>
      <c r="Z453" t="b">
        <v>1</v>
      </c>
      <c r="AA453" t="b">
        <v>1</v>
      </c>
      <c r="BZ453" t="s">
        <v>88</v>
      </c>
    </row>
    <row r="454" spans="1:81" ht="15" customHeight="1">
      <c r="A454" t="s">
        <v>238</v>
      </c>
      <c r="J454" t="s">
        <v>96</v>
      </c>
      <c r="M454" t="s">
        <v>85</v>
      </c>
      <c r="S454">
        <v>0</v>
      </c>
      <c r="U454">
        <v>-45</v>
      </c>
      <c r="V454" t="s">
        <v>86</v>
      </c>
      <c r="W454" t="s">
        <v>87</v>
      </c>
      <c r="X454" s="96">
        <f>((VLOOKUP(J454,References!$A$1:$B$23,2,0)/2)^2)*PI()*Prices!$J$19*138</f>
        <v>14.309500174527642</v>
      </c>
      <c r="Z454" t="b">
        <v>1</v>
      </c>
      <c r="AA454" t="b">
        <v>1</v>
      </c>
      <c r="BZ454" t="s">
        <v>88</v>
      </c>
    </row>
    <row r="455" spans="1:81" ht="15" customHeight="1">
      <c r="A455" t="s">
        <v>238</v>
      </c>
      <c r="J455" t="s">
        <v>96</v>
      </c>
      <c r="M455" t="s">
        <v>99</v>
      </c>
      <c r="S455">
        <v>0</v>
      </c>
      <c r="U455">
        <v>0</v>
      </c>
      <c r="V455" t="s">
        <v>86</v>
      </c>
      <c r="W455" t="s">
        <v>87</v>
      </c>
      <c r="X455" s="96">
        <f>((VLOOKUP(J455,References!$A$1:$B$23,2,0)/2)^2)*PI()*Prices!$J$19*138</f>
        <v>14.309500174527642</v>
      </c>
      <c r="Z455" t="b">
        <v>1</v>
      </c>
      <c r="AA455" t="b">
        <v>1</v>
      </c>
      <c r="BZ455" t="s">
        <v>88</v>
      </c>
    </row>
    <row r="456" spans="1:81" ht="15" customHeight="1">
      <c r="A456" t="s">
        <v>238</v>
      </c>
      <c r="J456" t="s">
        <v>97</v>
      </c>
      <c r="M456" t="s">
        <v>85</v>
      </c>
      <c r="S456">
        <v>0</v>
      </c>
      <c r="U456">
        <v>0</v>
      </c>
      <c r="V456" t="s">
        <v>86</v>
      </c>
      <c r="W456" t="s">
        <v>87</v>
      </c>
      <c r="X456" s="96">
        <f>((VLOOKUP(J456,References!$A$1:$B$23,2,0)/2)^2)*PI()*Prices!$J$19*138</f>
        <v>25.439111421382478</v>
      </c>
      <c r="Z456" t="b">
        <v>1</v>
      </c>
      <c r="AA456" t="b">
        <v>1</v>
      </c>
      <c r="BZ456" t="s">
        <v>88</v>
      </c>
    </row>
    <row r="457" spans="1:81" ht="15" customHeight="1">
      <c r="A457" t="s">
        <v>238</v>
      </c>
      <c r="J457" t="s">
        <v>97</v>
      </c>
      <c r="M457" t="s">
        <v>99</v>
      </c>
      <c r="S457">
        <v>0</v>
      </c>
      <c r="U457">
        <v>0</v>
      </c>
      <c r="V457" t="s">
        <v>86</v>
      </c>
      <c r="W457" t="s">
        <v>87</v>
      </c>
      <c r="X457" s="96">
        <f>((VLOOKUP(J457,References!$A$1:$B$23,2,0)/2)^2)*PI()*Prices!$J$19*138</f>
        <v>25.439111421382478</v>
      </c>
      <c r="Z457" t="b">
        <v>1</v>
      </c>
      <c r="AA457" t="b">
        <v>1</v>
      </c>
      <c r="BZ457" t="s">
        <v>88</v>
      </c>
    </row>
    <row r="458" spans="1:81" ht="15" customHeight="1">
      <c r="A458" t="s">
        <v>238</v>
      </c>
      <c r="J458" t="s">
        <v>98</v>
      </c>
      <c r="M458" t="s">
        <v>85</v>
      </c>
      <c r="S458">
        <v>0</v>
      </c>
      <c r="U458">
        <v>0</v>
      </c>
      <c r="V458" t="s">
        <v>86</v>
      </c>
      <c r="W458" t="s">
        <v>87</v>
      </c>
      <c r="X458" s="96">
        <f>((VLOOKUP(J458,References!$A$1:$B$23,2,0)/2)^2)*PI()*Prices!$J$19*138</f>
        <v>39.74861159591012</v>
      </c>
      <c r="Z458" t="b">
        <v>1</v>
      </c>
      <c r="AA458" t="b">
        <v>1</v>
      </c>
      <c r="BZ458" t="s">
        <v>88</v>
      </c>
    </row>
    <row r="459" spans="1:81" ht="15" customHeight="1">
      <c r="A459" t="s">
        <v>238</v>
      </c>
      <c r="J459" t="s">
        <v>186</v>
      </c>
      <c r="M459" t="s">
        <v>85</v>
      </c>
      <c r="S459">
        <v>0</v>
      </c>
      <c r="U459">
        <v>-6</v>
      </c>
      <c r="V459" t="s">
        <v>86</v>
      </c>
      <c r="W459" t="s">
        <v>87</v>
      </c>
      <c r="X459" s="96">
        <f>((VLOOKUP(J459,References!$A$1:$B$23,2,0)/2)^2)*PI()*Prices!$J$19*138</f>
        <v>57.238000698110568</v>
      </c>
      <c r="Z459" t="b">
        <v>1</v>
      </c>
      <c r="AA459" t="b">
        <v>1</v>
      </c>
      <c r="BZ459" t="s">
        <v>88</v>
      </c>
    </row>
    <row r="460" spans="1:81" ht="15" customHeight="1">
      <c r="A460" t="s">
        <v>238</v>
      </c>
      <c r="J460" t="s">
        <v>167</v>
      </c>
      <c r="M460" t="s">
        <v>85</v>
      </c>
      <c r="S460">
        <v>0</v>
      </c>
      <c r="U460">
        <v>0</v>
      </c>
      <c r="V460" t="s">
        <v>86</v>
      </c>
      <c r="W460" t="s">
        <v>87</v>
      </c>
      <c r="X460" s="96">
        <f>((VLOOKUP(J460,References!$A$1:$B$23,2,0)/2)^2)*PI()*Prices!$J$19*138</f>
        <v>101.75644568552991</v>
      </c>
      <c r="Z460" t="b">
        <v>1</v>
      </c>
      <c r="AA460" t="b">
        <v>1</v>
      </c>
      <c r="BZ460" t="s">
        <v>88</v>
      </c>
    </row>
    <row r="461" spans="1:81" ht="15" customHeight="1">
      <c r="A461" t="s">
        <v>238</v>
      </c>
      <c r="J461" t="s">
        <v>174</v>
      </c>
      <c r="M461" t="s">
        <v>85</v>
      </c>
      <c r="S461">
        <v>0</v>
      </c>
      <c r="U461">
        <v>0</v>
      </c>
      <c r="V461" t="s">
        <v>86</v>
      </c>
      <c r="W461" t="s">
        <v>87</v>
      </c>
      <c r="X461" s="96">
        <f>((VLOOKUP(J461,References!$A$1:$B$23,2,0)/2)^2)*PI()*Prices!$J$19*138</f>
        <v>158.99444638364048</v>
      </c>
      <c r="Z461" t="b">
        <v>1</v>
      </c>
      <c r="AA461" t="b">
        <v>1</v>
      </c>
      <c r="BZ461" t="s">
        <v>88</v>
      </c>
    </row>
    <row r="462" spans="1:81" ht="15" customHeight="1">
      <c r="A462" t="s">
        <v>242</v>
      </c>
      <c r="B462" t="s">
        <v>243</v>
      </c>
      <c r="C462" s="1" t="s">
        <v>229</v>
      </c>
      <c r="D462" t="s">
        <v>79</v>
      </c>
      <c r="E462" t="s">
        <v>113</v>
      </c>
      <c r="G462" t="s">
        <v>244</v>
      </c>
      <c r="H462" t="b">
        <v>1</v>
      </c>
      <c r="I462" t="s">
        <v>82</v>
      </c>
      <c r="J462" t="s">
        <v>83</v>
      </c>
      <c r="L462" t="s">
        <v>84</v>
      </c>
      <c r="M462" t="s">
        <v>85</v>
      </c>
      <c r="S462">
        <v>0</v>
      </c>
      <c r="U462">
        <v>-2</v>
      </c>
      <c r="V462" t="s">
        <v>86</v>
      </c>
      <c r="W462" t="s">
        <v>87</v>
      </c>
      <c r="X462" s="96">
        <f>((VLOOKUP(J462,References!$A$1:$B$23,2,0)/2)^2)*PI()*Prices!$J$19*138</f>
        <v>1.5899444638364049</v>
      </c>
      <c r="Z462" t="b">
        <v>1</v>
      </c>
      <c r="AA462" t="b">
        <v>1</v>
      </c>
      <c r="AC462" t="s">
        <v>358</v>
      </c>
      <c r="AD462">
        <v>1</v>
      </c>
      <c r="AE462" t="s">
        <v>245</v>
      </c>
      <c r="AF462" t="b">
        <v>0</v>
      </c>
      <c r="BZ462" t="s">
        <v>88</v>
      </c>
      <c r="CC462" t="s">
        <v>89</v>
      </c>
    </row>
    <row r="463" spans="1:81" ht="15" customHeight="1">
      <c r="A463" t="s">
        <v>242</v>
      </c>
      <c r="J463" t="s">
        <v>90</v>
      </c>
      <c r="M463" t="s">
        <v>85</v>
      </c>
      <c r="S463">
        <v>0</v>
      </c>
      <c r="U463">
        <v>0</v>
      </c>
      <c r="V463" t="s">
        <v>86</v>
      </c>
      <c r="W463" t="s">
        <v>87</v>
      </c>
      <c r="X463" s="96">
        <f>((VLOOKUP(J463,References!$A$1:$B$23,2,0)/2)^2)*PI()*Prices!$J$19*138</f>
        <v>2.2895200279244228</v>
      </c>
      <c r="Z463" t="b">
        <v>1</v>
      </c>
      <c r="AA463" t="b">
        <v>1</v>
      </c>
      <c r="BZ463" t="s">
        <v>88</v>
      </c>
    </row>
    <row r="464" spans="1:81" ht="15" customHeight="1">
      <c r="A464" t="s">
        <v>242</v>
      </c>
      <c r="J464" t="s">
        <v>91</v>
      </c>
      <c r="M464" t="s">
        <v>85</v>
      </c>
      <c r="S464">
        <v>0</v>
      </c>
      <c r="U464">
        <v>-4</v>
      </c>
      <c r="V464" t="s">
        <v>86</v>
      </c>
      <c r="W464" t="s">
        <v>87</v>
      </c>
      <c r="X464" s="96">
        <f>((VLOOKUP(J464,References!$A$1:$B$23,2,0)/2)^2)*PI()*Prices!$J$19*138</f>
        <v>3.5773750436319105</v>
      </c>
      <c r="Z464" t="b">
        <v>1</v>
      </c>
      <c r="AA464" t="b">
        <v>1</v>
      </c>
      <c r="BZ464" t="s">
        <v>88</v>
      </c>
    </row>
    <row r="465" spans="1:83" ht="15" customHeight="1">
      <c r="A465" t="s">
        <v>242</v>
      </c>
      <c r="J465" t="s">
        <v>93</v>
      </c>
      <c r="M465" t="s">
        <v>85</v>
      </c>
      <c r="S465">
        <v>0</v>
      </c>
      <c r="U465">
        <v>0</v>
      </c>
      <c r="V465" t="s">
        <v>86</v>
      </c>
      <c r="W465" t="s">
        <v>87</v>
      </c>
      <c r="X465" s="96">
        <f>((VLOOKUP(J465,References!$A$1:$B$23,2,0)/2)^2)*PI()*Prices!$J$19*138</f>
        <v>6.3597778553456195</v>
      </c>
      <c r="Z465" t="b">
        <v>1</v>
      </c>
      <c r="AA465" t="b">
        <v>1</v>
      </c>
      <c r="BZ465" t="s">
        <v>88</v>
      </c>
    </row>
    <row r="466" spans="1:83" ht="15" customHeight="1">
      <c r="A466" t="s">
        <v>242</v>
      </c>
      <c r="J466" t="s">
        <v>94</v>
      </c>
      <c r="M466" t="s">
        <v>85</v>
      </c>
      <c r="S466">
        <v>0</v>
      </c>
      <c r="U466">
        <v>0</v>
      </c>
      <c r="V466" t="s">
        <v>86</v>
      </c>
      <c r="W466" t="s">
        <v>87</v>
      </c>
      <c r="X466" s="96">
        <f>((VLOOKUP(J466,References!$A$1:$B$23,2,0)/2)^2)*PI()*Prices!$J$19*138</f>
        <v>9.93715289897753</v>
      </c>
      <c r="Z466" t="b">
        <v>1</v>
      </c>
      <c r="AA466" t="b">
        <v>1</v>
      </c>
      <c r="BZ466" t="s">
        <v>88</v>
      </c>
    </row>
    <row r="467" spans="1:83" ht="15" customHeight="1">
      <c r="A467" t="s">
        <v>242</v>
      </c>
      <c r="J467" t="s">
        <v>96</v>
      </c>
      <c r="M467" t="s">
        <v>85</v>
      </c>
      <c r="S467">
        <v>0</v>
      </c>
      <c r="U467">
        <v>-12</v>
      </c>
      <c r="V467" t="s">
        <v>86</v>
      </c>
      <c r="W467" t="s">
        <v>87</v>
      </c>
      <c r="X467" s="96">
        <f>((VLOOKUP(J467,References!$A$1:$B$23,2,0)/2)^2)*PI()*Prices!$J$19*138</f>
        <v>14.309500174527642</v>
      </c>
      <c r="Z467" t="b">
        <v>1</v>
      </c>
      <c r="AA467" t="b">
        <v>1</v>
      </c>
      <c r="BZ467" t="s">
        <v>88</v>
      </c>
    </row>
    <row r="468" spans="1:83" ht="15" customHeight="1">
      <c r="A468" t="s">
        <v>242</v>
      </c>
      <c r="J468" t="s">
        <v>96</v>
      </c>
      <c r="M468" t="s">
        <v>99</v>
      </c>
      <c r="S468">
        <v>0</v>
      </c>
      <c r="U468">
        <v>0</v>
      </c>
      <c r="V468" t="s">
        <v>86</v>
      </c>
      <c r="W468" t="s">
        <v>87</v>
      </c>
      <c r="X468" s="96">
        <f>((VLOOKUP(J468,References!$A$1:$B$23,2,0)/2)^2)*PI()*Prices!$J$19*138</f>
        <v>14.309500174527642</v>
      </c>
      <c r="Z468" t="b">
        <v>1</v>
      </c>
      <c r="AA468" t="b">
        <v>1</v>
      </c>
      <c r="BZ468" t="s">
        <v>88</v>
      </c>
    </row>
    <row r="469" spans="1:83" ht="15" customHeight="1">
      <c r="A469" t="s">
        <v>242</v>
      </c>
      <c r="J469" t="s">
        <v>97</v>
      </c>
      <c r="M469" t="s">
        <v>85</v>
      </c>
      <c r="S469">
        <v>0</v>
      </c>
      <c r="U469">
        <v>0</v>
      </c>
      <c r="V469" t="s">
        <v>86</v>
      </c>
      <c r="W469" t="s">
        <v>87</v>
      </c>
      <c r="X469" s="96">
        <f>((VLOOKUP(J469,References!$A$1:$B$23,2,0)/2)^2)*PI()*Prices!$J$19*138</f>
        <v>25.439111421382478</v>
      </c>
      <c r="Z469" t="b">
        <v>1</v>
      </c>
      <c r="AA469" t="b">
        <v>1</v>
      </c>
      <c r="BZ469" t="s">
        <v>88</v>
      </c>
    </row>
    <row r="470" spans="1:83" ht="15" customHeight="1">
      <c r="A470" t="s">
        <v>242</v>
      </c>
      <c r="J470" t="s">
        <v>97</v>
      </c>
      <c r="M470" t="s">
        <v>99</v>
      </c>
      <c r="S470">
        <v>0</v>
      </c>
      <c r="U470">
        <v>0</v>
      </c>
      <c r="V470" t="s">
        <v>86</v>
      </c>
      <c r="W470" t="s">
        <v>87</v>
      </c>
      <c r="X470" s="96">
        <f>((VLOOKUP(J470,References!$A$1:$B$23,2,0)/2)^2)*PI()*Prices!$J$19*138</f>
        <v>25.439111421382478</v>
      </c>
      <c r="Z470" t="b">
        <v>1</v>
      </c>
      <c r="AA470" t="b">
        <v>1</v>
      </c>
      <c r="BZ470" t="s">
        <v>88</v>
      </c>
    </row>
    <row r="471" spans="1:83" ht="15" customHeight="1">
      <c r="A471" t="s">
        <v>242</v>
      </c>
      <c r="J471" t="s">
        <v>176</v>
      </c>
      <c r="M471" t="s">
        <v>85</v>
      </c>
      <c r="S471">
        <v>0</v>
      </c>
      <c r="U471">
        <v>0</v>
      </c>
      <c r="V471" t="s">
        <v>86</v>
      </c>
      <c r="W471" t="s">
        <v>87</v>
      </c>
      <c r="X471" s="96">
        <f>((VLOOKUP(J471,References!$A$1:$B$23,2,0)/2)^2)*PI()*Prices!$J$19*138</f>
        <v>32.196375392687195</v>
      </c>
      <c r="Z471" t="b">
        <v>1</v>
      </c>
      <c r="AA471" t="b">
        <v>1</v>
      </c>
      <c r="BZ471" t="s">
        <v>88</v>
      </c>
    </row>
    <row r="472" spans="1:83" ht="15" customHeight="1">
      <c r="A472" t="s">
        <v>242</v>
      </c>
      <c r="J472" t="s">
        <v>98</v>
      </c>
      <c r="M472" t="s">
        <v>85</v>
      </c>
      <c r="S472">
        <v>0</v>
      </c>
      <c r="U472">
        <v>0</v>
      </c>
      <c r="V472" t="s">
        <v>86</v>
      </c>
      <c r="W472" t="s">
        <v>87</v>
      </c>
      <c r="X472" s="96">
        <f>((VLOOKUP(J472,References!$A$1:$B$23,2,0)/2)^2)*PI()*Prices!$J$19*138</f>
        <v>39.74861159591012</v>
      </c>
      <c r="Z472" t="b">
        <v>1</v>
      </c>
      <c r="AA472" t="b">
        <v>1</v>
      </c>
      <c r="BZ472" t="s">
        <v>88</v>
      </c>
    </row>
    <row r="473" spans="1:83" ht="15" customHeight="1">
      <c r="A473" t="s">
        <v>242</v>
      </c>
      <c r="J473" t="s">
        <v>98</v>
      </c>
      <c r="M473" t="s">
        <v>99</v>
      </c>
      <c r="S473">
        <v>0</v>
      </c>
      <c r="U473">
        <v>0</v>
      </c>
      <c r="V473" t="s">
        <v>86</v>
      </c>
      <c r="W473" t="s">
        <v>87</v>
      </c>
      <c r="X473" s="96">
        <f>((VLOOKUP(J473,References!$A$1:$B$23,2,0)/2)^2)*PI()*Prices!$J$19*138</f>
        <v>39.74861159591012</v>
      </c>
      <c r="Z473" t="b">
        <v>1</v>
      </c>
      <c r="AA473" t="b">
        <v>1</v>
      </c>
      <c r="BZ473" t="s">
        <v>88</v>
      </c>
    </row>
    <row r="474" spans="1:83" ht="15" customHeight="1">
      <c r="A474" t="s">
        <v>242</v>
      </c>
      <c r="J474" t="s">
        <v>186</v>
      </c>
      <c r="M474" t="s">
        <v>85</v>
      </c>
      <c r="S474">
        <v>0</v>
      </c>
      <c r="U474">
        <v>0</v>
      </c>
      <c r="V474" t="s">
        <v>86</v>
      </c>
      <c r="W474" t="s">
        <v>87</v>
      </c>
      <c r="X474" s="96">
        <f>((VLOOKUP(J474,References!$A$1:$B$23,2,0)/2)^2)*PI()*Prices!$J$19*138</f>
        <v>57.238000698110568</v>
      </c>
      <c r="Z474" t="b">
        <v>1</v>
      </c>
      <c r="AA474" t="b">
        <v>1</v>
      </c>
      <c r="BZ474" t="s">
        <v>88</v>
      </c>
    </row>
    <row r="475" spans="1:83" ht="15" customHeight="1">
      <c r="A475" t="s">
        <v>242</v>
      </c>
      <c r="J475" t="s">
        <v>167</v>
      </c>
      <c r="M475" t="s">
        <v>85</v>
      </c>
      <c r="S475">
        <v>0</v>
      </c>
      <c r="U475">
        <v>0</v>
      </c>
      <c r="V475" t="s">
        <v>86</v>
      </c>
      <c r="W475" t="s">
        <v>87</v>
      </c>
      <c r="X475" s="96">
        <f>((VLOOKUP(J475,References!$A$1:$B$23,2,0)/2)^2)*PI()*Prices!$J$19*138</f>
        <v>101.75644568552991</v>
      </c>
      <c r="Z475" t="b">
        <v>1</v>
      </c>
      <c r="AA475" t="b">
        <v>1</v>
      </c>
      <c r="BZ475" t="s">
        <v>88</v>
      </c>
    </row>
    <row r="476" spans="1:83" ht="15" customHeight="1">
      <c r="A476" t="s">
        <v>242</v>
      </c>
      <c r="J476" t="s">
        <v>174</v>
      </c>
      <c r="M476" t="s">
        <v>85</v>
      </c>
      <c r="S476">
        <v>0</v>
      </c>
      <c r="U476">
        <v>0</v>
      </c>
      <c r="V476" t="s">
        <v>86</v>
      </c>
      <c r="W476" t="s">
        <v>87</v>
      </c>
      <c r="X476" s="96">
        <f>((VLOOKUP(J476,References!$A$1:$B$23,2,0)/2)^2)*PI()*Prices!$J$19*138</f>
        <v>158.99444638364048</v>
      </c>
      <c r="Z476" t="b">
        <v>1</v>
      </c>
      <c r="AA476" t="b">
        <v>1</v>
      </c>
      <c r="BZ476" t="s">
        <v>88</v>
      </c>
    </row>
    <row r="477" spans="1:83" ht="15" customHeight="1">
      <c r="A477" t="s">
        <v>242</v>
      </c>
      <c r="J477" t="s">
        <v>173</v>
      </c>
      <c r="M477" t="s">
        <v>85</v>
      </c>
      <c r="S477">
        <v>0</v>
      </c>
      <c r="U477">
        <v>0</v>
      </c>
      <c r="V477" t="s">
        <v>86</v>
      </c>
      <c r="W477" t="s">
        <v>87</v>
      </c>
      <c r="X477" s="96">
        <f>((VLOOKUP(J477,References!$A$1:$B$23,2,0)/2)^2)*PI()*Prices!$J$19*138</f>
        <v>248.42882247443825</v>
      </c>
      <c r="Z477" t="b">
        <v>1</v>
      </c>
      <c r="AA477" t="b">
        <v>1</v>
      </c>
      <c r="BZ477" t="s">
        <v>88</v>
      </c>
    </row>
    <row r="478" spans="1:83" ht="15" customHeight="1">
      <c r="A478" t="s">
        <v>242</v>
      </c>
      <c r="J478" t="s">
        <v>171</v>
      </c>
      <c r="M478" t="s">
        <v>85</v>
      </c>
      <c r="S478">
        <v>0</v>
      </c>
      <c r="U478">
        <v>0</v>
      </c>
      <c r="V478" t="s">
        <v>86</v>
      </c>
      <c r="W478" t="s">
        <v>87</v>
      </c>
      <c r="X478" s="96">
        <f>((VLOOKUP(J478,References!$A$1:$B$23,2,0)/2)^2)*PI()*Prices!$J$19*138</f>
        <v>407.02578274211965</v>
      </c>
      <c r="Z478" t="b">
        <v>1</v>
      </c>
      <c r="AA478" t="b">
        <v>1</v>
      </c>
      <c r="BZ478" t="s">
        <v>88</v>
      </c>
    </row>
    <row r="479" spans="1:83" ht="15" customHeight="1">
      <c r="A479" t="s">
        <v>428</v>
      </c>
      <c r="B479" t="s">
        <v>436</v>
      </c>
      <c r="C479" s="1" t="s">
        <v>435</v>
      </c>
      <c r="D479" t="s">
        <v>79</v>
      </c>
      <c r="E479" t="s">
        <v>113</v>
      </c>
      <c r="G479" t="s">
        <v>434</v>
      </c>
      <c r="H479" t="b">
        <v>1</v>
      </c>
      <c r="I479" t="s">
        <v>5</v>
      </c>
      <c r="J479" t="s">
        <v>384</v>
      </c>
      <c r="R479" t="s">
        <v>433</v>
      </c>
      <c r="S479">
        <v>0.1</v>
      </c>
      <c r="U479">
        <v>-5</v>
      </c>
      <c r="V479" t="s">
        <v>86</v>
      </c>
      <c r="W479" t="s">
        <v>87</v>
      </c>
      <c r="X479">
        <v>11.75</v>
      </c>
      <c r="Z479" t="b">
        <v>1</v>
      </c>
      <c r="AA479" t="b">
        <v>1</v>
      </c>
      <c r="AC479" t="s">
        <v>432</v>
      </c>
      <c r="AD479">
        <v>1</v>
      </c>
      <c r="AE479" t="s">
        <v>431</v>
      </c>
      <c r="AF479" t="b">
        <v>0</v>
      </c>
      <c r="CB479" t="s">
        <v>352</v>
      </c>
      <c r="CE479" t="s">
        <v>89</v>
      </c>
    </row>
    <row r="480" spans="1:83" ht="15" customHeight="1">
      <c r="A480" t="s">
        <v>428</v>
      </c>
      <c r="J480" t="s">
        <v>382</v>
      </c>
      <c r="R480" t="s">
        <v>430</v>
      </c>
      <c r="S480">
        <v>0.1</v>
      </c>
      <c r="U480">
        <v>-4</v>
      </c>
      <c r="V480" t="s">
        <v>86</v>
      </c>
      <c r="W480" t="s">
        <v>87</v>
      </c>
      <c r="X480">
        <v>11.75</v>
      </c>
      <c r="Z480" t="b">
        <v>1</v>
      </c>
      <c r="AA480" t="b">
        <v>1</v>
      </c>
      <c r="CB480" t="s">
        <v>352</v>
      </c>
    </row>
    <row r="481" spans="1:83" ht="15" customHeight="1">
      <c r="A481" t="s">
        <v>428</v>
      </c>
      <c r="J481" t="s">
        <v>95</v>
      </c>
      <c r="R481" t="s">
        <v>429</v>
      </c>
      <c r="S481">
        <v>0.1</v>
      </c>
      <c r="U481">
        <v>-5</v>
      </c>
      <c r="V481" t="s">
        <v>86</v>
      </c>
      <c r="W481" t="s">
        <v>87</v>
      </c>
      <c r="X481">
        <v>11.75</v>
      </c>
      <c r="Z481" t="b">
        <v>1</v>
      </c>
      <c r="AA481" t="b">
        <v>1</v>
      </c>
      <c r="CB481" t="s">
        <v>352</v>
      </c>
    </row>
    <row r="482" spans="1:83" ht="15" customHeight="1">
      <c r="A482" t="s">
        <v>428</v>
      </c>
      <c r="J482" t="s">
        <v>396</v>
      </c>
      <c r="S482">
        <v>0.1</v>
      </c>
      <c r="U482">
        <v>0</v>
      </c>
      <c r="V482" t="s">
        <v>86</v>
      </c>
      <c r="W482" t="s">
        <v>87</v>
      </c>
      <c r="X482">
        <v>11.75</v>
      </c>
      <c r="Z482" t="b">
        <v>1</v>
      </c>
      <c r="AA482" t="b">
        <v>1</v>
      </c>
      <c r="CB482" t="s">
        <v>352</v>
      </c>
    </row>
    <row r="483" spans="1:83" ht="15" customHeight="1">
      <c r="A483" t="s">
        <v>415</v>
      </c>
      <c r="B483" t="s">
        <v>427</v>
      </c>
      <c r="C483" s="1" t="s">
        <v>426</v>
      </c>
      <c r="D483" t="s">
        <v>79</v>
      </c>
      <c r="E483" t="s">
        <v>113</v>
      </c>
      <c r="G483" t="s">
        <v>425</v>
      </c>
      <c r="H483" t="b">
        <v>1</v>
      </c>
      <c r="I483" t="s">
        <v>390</v>
      </c>
      <c r="J483" t="s">
        <v>384</v>
      </c>
      <c r="R483" t="s">
        <v>424</v>
      </c>
      <c r="S483">
        <v>0.1</v>
      </c>
      <c r="U483">
        <v>-4</v>
      </c>
      <c r="V483" t="s">
        <v>86</v>
      </c>
      <c r="W483" t="s">
        <v>87</v>
      </c>
      <c r="X483">
        <v>30</v>
      </c>
      <c r="Z483" t="b">
        <v>1</v>
      </c>
      <c r="AA483" t="b">
        <v>1</v>
      </c>
      <c r="AB483" t="s">
        <v>423</v>
      </c>
      <c r="AC483" t="s">
        <v>421</v>
      </c>
      <c r="AD483">
        <v>1</v>
      </c>
      <c r="AE483" t="s">
        <v>422</v>
      </c>
      <c r="AF483" t="b">
        <v>0</v>
      </c>
      <c r="CA483" t="s">
        <v>421</v>
      </c>
      <c r="CB483" t="s">
        <v>352</v>
      </c>
      <c r="CE483" t="s">
        <v>89</v>
      </c>
    </row>
    <row r="484" spans="1:83" ht="15" customHeight="1">
      <c r="A484" t="s">
        <v>415</v>
      </c>
      <c r="J484" t="s">
        <v>382</v>
      </c>
      <c r="R484" t="s">
        <v>420</v>
      </c>
      <c r="S484">
        <v>0.1</v>
      </c>
      <c r="U484">
        <v>0</v>
      </c>
      <c r="V484" t="s">
        <v>86</v>
      </c>
      <c r="W484" t="s">
        <v>87</v>
      </c>
      <c r="X484">
        <v>30</v>
      </c>
      <c r="Z484" t="b">
        <v>1</v>
      </c>
      <c r="AA484" t="b">
        <v>1</v>
      </c>
      <c r="AC484" t="s">
        <v>418</v>
      </c>
      <c r="AD484">
        <v>2</v>
      </c>
      <c r="AE484" t="s">
        <v>419</v>
      </c>
      <c r="CA484" t="s">
        <v>418</v>
      </c>
      <c r="CB484" t="s">
        <v>352</v>
      </c>
    </row>
    <row r="485" spans="1:83" ht="15" customHeight="1">
      <c r="A485" t="s">
        <v>415</v>
      </c>
      <c r="J485" t="s">
        <v>95</v>
      </c>
      <c r="R485" t="s">
        <v>417</v>
      </c>
      <c r="S485">
        <v>0.1</v>
      </c>
      <c r="U485">
        <v>0</v>
      </c>
      <c r="V485" t="s">
        <v>86</v>
      </c>
      <c r="W485" t="s">
        <v>87</v>
      </c>
      <c r="X485">
        <v>30</v>
      </c>
      <c r="Z485" t="b">
        <v>1</v>
      </c>
      <c r="AA485" t="b">
        <v>1</v>
      </c>
      <c r="AC485" t="s">
        <v>416</v>
      </c>
      <c r="AD485">
        <v>3</v>
      </c>
      <c r="AE485" t="s">
        <v>413</v>
      </c>
      <c r="CA485" t="s">
        <v>416</v>
      </c>
      <c r="CB485" t="s">
        <v>352</v>
      </c>
    </row>
    <row r="486" spans="1:83" ht="15" customHeight="1">
      <c r="A486" t="s">
        <v>415</v>
      </c>
      <c r="J486" t="s">
        <v>396</v>
      </c>
      <c r="R486" t="s">
        <v>414</v>
      </c>
      <c r="S486">
        <v>0.1</v>
      </c>
      <c r="U486">
        <v>0</v>
      </c>
      <c r="V486" t="s">
        <v>86</v>
      </c>
      <c r="W486" t="s">
        <v>87</v>
      </c>
      <c r="X486">
        <v>30</v>
      </c>
      <c r="Z486" t="b">
        <v>1</v>
      </c>
      <c r="AA486" t="b">
        <v>1</v>
      </c>
      <c r="AC486" t="s">
        <v>412</v>
      </c>
      <c r="AD486">
        <v>4</v>
      </c>
      <c r="AE486" t="s">
        <v>413</v>
      </c>
      <c r="CA486" t="s">
        <v>412</v>
      </c>
      <c r="CB486" t="s">
        <v>352</v>
      </c>
    </row>
    <row r="487" spans="1:83" ht="15" customHeight="1">
      <c r="A487" t="s">
        <v>397</v>
      </c>
      <c r="B487" t="s">
        <v>411</v>
      </c>
      <c r="C487" s="1" t="s">
        <v>410</v>
      </c>
      <c r="D487" t="s">
        <v>79</v>
      </c>
      <c r="E487" t="s">
        <v>113</v>
      </c>
      <c r="G487" t="s">
        <v>409</v>
      </c>
      <c r="H487" t="b">
        <v>1</v>
      </c>
      <c r="I487" t="s">
        <v>390</v>
      </c>
      <c r="J487" t="s">
        <v>389</v>
      </c>
      <c r="R487" t="s">
        <v>408</v>
      </c>
      <c r="S487">
        <v>0.1</v>
      </c>
      <c r="U487">
        <v>-11</v>
      </c>
      <c r="V487" t="s">
        <v>86</v>
      </c>
      <c r="W487" t="s">
        <v>87</v>
      </c>
      <c r="X487">
        <v>13.85</v>
      </c>
      <c r="Z487" t="b">
        <v>1</v>
      </c>
      <c r="AA487" t="b">
        <v>1</v>
      </c>
      <c r="AC487" t="s">
        <v>401</v>
      </c>
      <c r="AD487">
        <v>1</v>
      </c>
      <c r="AE487" t="s">
        <v>407</v>
      </c>
      <c r="AF487" t="b">
        <v>0</v>
      </c>
      <c r="CA487" t="s">
        <v>405</v>
      </c>
      <c r="CB487" t="s">
        <v>352</v>
      </c>
      <c r="CE487" t="s">
        <v>89</v>
      </c>
    </row>
    <row r="488" spans="1:83" ht="15" customHeight="1">
      <c r="A488" t="s">
        <v>397</v>
      </c>
      <c r="J488" t="s">
        <v>384</v>
      </c>
      <c r="R488" t="s">
        <v>406</v>
      </c>
      <c r="S488">
        <v>0.1</v>
      </c>
      <c r="U488">
        <v>0</v>
      </c>
      <c r="V488" t="s">
        <v>86</v>
      </c>
      <c r="W488" t="s">
        <v>87</v>
      </c>
      <c r="X488">
        <v>13.85</v>
      </c>
      <c r="Z488" t="b">
        <v>1</v>
      </c>
      <c r="AA488" t="b">
        <v>1</v>
      </c>
      <c r="AC488" t="s">
        <v>405</v>
      </c>
      <c r="AD488">
        <v>2</v>
      </c>
      <c r="AE488" t="s">
        <v>404</v>
      </c>
      <c r="CA488" t="s">
        <v>398</v>
      </c>
      <c r="CB488" t="s">
        <v>352</v>
      </c>
    </row>
    <row r="489" spans="1:83" ht="15" customHeight="1">
      <c r="A489" t="s">
        <v>397</v>
      </c>
      <c r="J489" t="s">
        <v>382</v>
      </c>
      <c r="R489" t="s">
        <v>403</v>
      </c>
      <c r="S489">
        <v>0.1</v>
      </c>
      <c r="U489">
        <v>0</v>
      </c>
      <c r="V489" t="s">
        <v>86</v>
      </c>
      <c r="W489" t="s">
        <v>87</v>
      </c>
      <c r="X489">
        <v>13.85</v>
      </c>
      <c r="Z489" t="b">
        <v>1</v>
      </c>
      <c r="AA489" t="b">
        <v>1</v>
      </c>
      <c r="AC489" t="s">
        <v>394</v>
      </c>
      <c r="AD489">
        <v>3</v>
      </c>
      <c r="AE489" t="s">
        <v>402</v>
      </c>
      <c r="CA489" t="s">
        <v>401</v>
      </c>
      <c r="CB489" t="s">
        <v>352</v>
      </c>
    </row>
    <row r="490" spans="1:83" ht="15" customHeight="1">
      <c r="A490" t="s">
        <v>397</v>
      </c>
      <c r="J490" t="s">
        <v>95</v>
      </c>
      <c r="R490" t="s">
        <v>400</v>
      </c>
      <c r="S490">
        <v>0.1</v>
      </c>
      <c r="U490">
        <v>0</v>
      </c>
      <c r="V490" t="s">
        <v>86</v>
      </c>
      <c r="W490" t="s">
        <v>87</v>
      </c>
      <c r="X490">
        <v>13.85</v>
      </c>
      <c r="Z490" t="b">
        <v>1</v>
      </c>
      <c r="AA490" t="b">
        <v>1</v>
      </c>
      <c r="AC490" t="s">
        <v>398</v>
      </c>
      <c r="AD490">
        <v>4</v>
      </c>
      <c r="AE490" t="s">
        <v>399</v>
      </c>
      <c r="CA490" t="s">
        <v>398</v>
      </c>
      <c r="CB490" t="s">
        <v>352</v>
      </c>
    </row>
    <row r="491" spans="1:83" ht="15" customHeight="1">
      <c r="A491" t="s">
        <v>397</v>
      </c>
      <c r="J491" t="s">
        <v>396</v>
      </c>
      <c r="R491" t="s">
        <v>395</v>
      </c>
      <c r="S491">
        <v>0.1</v>
      </c>
      <c r="U491">
        <v>0</v>
      </c>
      <c r="V491" t="s">
        <v>86</v>
      </c>
      <c r="W491" t="s">
        <v>87</v>
      </c>
      <c r="X491">
        <v>13.85</v>
      </c>
      <c r="Z491" t="b">
        <v>1</v>
      </c>
      <c r="AA491" t="b">
        <v>1</v>
      </c>
      <c r="CA491" t="s">
        <v>394</v>
      </c>
      <c r="CB491" t="s">
        <v>352</v>
      </c>
    </row>
    <row r="492" spans="1:83" ht="15" customHeight="1">
      <c r="A492" t="s">
        <v>380</v>
      </c>
      <c r="B492" t="s">
        <v>393</v>
      </c>
      <c r="C492" s="1" t="s">
        <v>392</v>
      </c>
      <c r="D492" t="s">
        <v>79</v>
      </c>
      <c r="E492" t="s">
        <v>113</v>
      </c>
      <c r="G492" t="s">
        <v>391</v>
      </c>
      <c r="H492" t="b">
        <v>1</v>
      </c>
      <c r="I492" t="s">
        <v>390</v>
      </c>
      <c r="J492" t="s">
        <v>389</v>
      </c>
      <c r="R492" t="s">
        <v>388</v>
      </c>
      <c r="S492">
        <v>0.1</v>
      </c>
      <c r="U492">
        <v>0</v>
      </c>
      <c r="V492" t="s">
        <v>86</v>
      </c>
      <c r="W492" t="s">
        <v>87</v>
      </c>
      <c r="X492">
        <v>2.8</v>
      </c>
      <c r="Z492" t="b">
        <v>1</v>
      </c>
      <c r="AA492" t="b">
        <v>1</v>
      </c>
      <c r="AB492" t="s">
        <v>387</v>
      </c>
      <c r="AC492" t="s">
        <v>386</v>
      </c>
      <c r="AD492">
        <v>1</v>
      </c>
      <c r="AE492" t="s">
        <v>385</v>
      </c>
      <c r="AF492" t="b">
        <v>0</v>
      </c>
      <c r="CB492" t="s">
        <v>352</v>
      </c>
      <c r="CE492" t="s">
        <v>89</v>
      </c>
    </row>
    <row r="493" spans="1:83" ht="15" customHeight="1">
      <c r="A493" t="s">
        <v>380</v>
      </c>
      <c r="J493" t="s">
        <v>384</v>
      </c>
      <c r="R493" t="s">
        <v>383</v>
      </c>
      <c r="S493">
        <v>0.1</v>
      </c>
      <c r="U493">
        <v>0</v>
      </c>
      <c r="V493" t="s">
        <v>86</v>
      </c>
      <c r="W493" t="s">
        <v>87</v>
      </c>
      <c r="X493">
        <v>2.8</v>
      </c>
      <c r="Z493" t="b">
        <v>1</v>
      </c>
      <c r="AA493" t="b">
        <v>1</v>
      </c>
      <c r="CB493" t="s">
        <v>352</v>
      </c>
    </row>
    <row r="494" spans="1:83" ht="15" customHeight="1">
      <c r="A494" t="s">
        <v>380</v>
      </c>
      <c r="J494" t="s">
        <v>382</v>
      </c>
      <c r="R494" t="s">
        <v>381</v>
      </c>
      <c r="S494">
        <v>0.1</v>
      </c>
      <c r="U494">
        <v>0</v>
      </c>
      <c r="V494" t="s">
        <v>86</v>
      </c>
      <c r="W494" t="s">
        <v>87</v>
      </c>
      <c r="X494">
        <v>2.8</v>
      </c>
      <c r="Z494" t="b">
        <v>1</v>
      </c>
      <c r="AA494" t="b">
        <v>1</v>
      </c>
      <c r="CB494" t="s">
        <v>352</v>
      </c>
    </row>
    <row r="495" spans="1:83" ht="15" customHeight="1">
      <c r="A495" t="s">
        <v>380</v>
      </c>
      <c r="J495" t="s">
        <v>95</v>
      </c>
      <c r="R495" t="s">
        <v>379</v>
      </c>
      <c r="S495">
        <v>0.1</v>
      </c>
      <c r="U495">
        <v>-2</v>
      </c>
      <c r="V495" t="s">
        <v>86</v>
      </c>
      <c r="W495" t="s">
        <v>87</v>
      </c>
      <c r="X495">
        <v>2.8</v>
      </c>
      <c r="Z495" t="b">
        <v>1</v>
      </c>
      <c r="AA495" t="b">
        <v>1</v>
      </c>
      <c r="CB495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96A3-8FC1-45CA-AE18-6F469C01E001}">
  <sheetPr codeName="Sheet3"/>
  <dimension ref="A1:P116"/>
  <sheetViews>
    <sheetView zoomScale="111" workbookViewId="0">
      <selection activeCell="D4" sqref="D4"/>
    </sheetView>
  </sheetViews>
  <sheetFormatPr baseColWidth="10" defaultColWidth="12.5" defaultRowHeight="16"/>
  <cols>
    <col min="1" max="16384" width="12.5" style="2"/>
  </cols>
  <sheetData>
    <row r="1" spans="1:13" ht="23">
      <c r="A1" s="2" t="s">
        <v>247</v>
      </c>
      <c r="E1" s="98" t="s">
        <v>248</v>
      </c>
      <c r="F1" s="98"/>
      <c r="G1" s="98"/>
      <c r="H1" s="98"/>
      <c r="K1" s="3"/>
    </row>
    <row r="2" spans="1:13">
      <c r="E2" s="4"/>
      <c r="F2" s="5"/>
    </row>
    <row r="3" spans="1:13">
      <c r="E3" s="4"/>
      <c r="F3" s="5"/>
    </row>
    <row r="4" spans="1:13" ht="17" thickBot="1">
      <c r="A4" s="6" t="s">
        <v>249</v>
      </c>
      <c r="B4" s="6"/>
      <c r="C4" s="6"/>
      <c r="D4" s="7">
        <v>3550</v>
      </c>
      <c r="E4" s="8"/>
      <c r="F4" s="9"/>
      <c r="G4" s="7" t="s">
        <v>250</v>
      </c>
      <c r="H4" s="6"/>
      <c r="I4" s="6"/>
      <c r="J4" s="7">
        <f>D4/L4</f>
        <v>6.4545454545454541</v>
      </c>
      <c r="K4" s="10" t="s">
        <v>251</v>
      </c>
      <c r="L4" s="2">
        <v>550</v>
      </c>
    </row>
    <row r="5" spans="1:13" ht="18" thickTop="1" thickBot="1">
      <c r="A5" s="11" t="s">
        <v>252</v>
      </c>
      <c r="B5" s="11"/>
      <c r="C5" s="11"/>
      <c r="D5" s="12">
        <v>41</v>
      </c>
      <c r="E5" s="8"/>
      <c r="F5" s="13" t="s">
        <v>253</v>
      </c>
      <c r="G5" s="12" t="s">
        <v>254</v>
      </c>
      <c r="H5" s="11"/>
      <c r="I5" s="11"/>
      <c r="J5" s="12">
        <f>D5/L5</f>
        <v>25.153374233128837</v>
      </c>
      <c r="K5" s="14" t="s">
        <v>255</v>
      </c>
      <c r="L5" s="2">
        <v>1.63</v>
      </c>
    </row>
    <row r="6" spans="1:13" ht="18" thickTop="1" thickBot="1">
      <c r="A6" s="11" t="s">
        <v>256</v>
      </c>
      <c r="B6" s="11"/>
      <c r="C6" s="11"/>
      <c r="D6" s="12">
        <v>1450</v>
      </c>
      <c r="E6" s="8"/>
      <c r="F6" s="9"/>
      <c r="G6" s="15"/>
      <c r="H6" s="16"/>
      <c r="I6" s="16"/>
      <c r="J6" s="16"/>
      <c r="K6" s="17"/>
    </row>
    <row r="7" spans="1:13" ht="18" thickTop="1" thickBot="1">
      <c r="A7" s="11" t="s">
        <v>257</v>
      </c>
      <c r="B7" s="11"/>
      <c r="C7" s="11"/>
      <c r="D7" s="12">
        <v>1200</v>
      </c>
      <c r="E7" s="8"/>
      <c r="F7" s="9"/>
      <c r="G7" s="7"/>
      <c r="H7" s="18"/>
      <c r="I7" s="18"/>
      <c r="J7" s="18"/>
      <c r="K7" s="18"/>
      <c r="L7" s="2" t="s">
        <v>258</v>
      </c>
      <c r="M7" s="2" t="s">
        <v>259</v>
      </c>
    </row>
    <row r="8" spans="1:13" ht="18" thickTop="1" thickBot="1">
      <c r="A8" s="11"/>
      <c r="B8" s="11"/>
      <c r="C8" s="11"/>
      <c r="D8" s="11"/>
      <c r="E8" s="8"/>
      <c r="F8" s="9"/>
      <c r="G8" s="15" t="s">
        <v>260</v>
      </c>
      <c r="H8" s="4"/>
      <c r="I8" s="4"/>
      <c r="J8" s="19">
        <f>D6/L8</f>
        <v>104.31654676258992</v>
      </c>
      <c r="K8" s="20" t="s">
        <v>251</v>
      </c>
      <c r="L8" s="2">
        <f>556/40</f>
        <v>13.9</v>
      </c>
      <c r="M8" s="2">
        <f>319.7/371</f>
        <v>0.86172506738544474</v>
      </c>
    </row>
    <row r="9" spans="1:13" ht="18" thickTop="1" thickBot="1">
      <c r="A9" s="16" t="s">
        <v>261</v>
      </c>
      <c r="B9" s="16"/>
      <c r="C9" s="16"/>
      <c r="D9" s="15">
        <f>D4*102%</f>
        <v>3621</v>
      </c>
      <c r="E9" s="8"/>
      <c r="F9" s="15"/>
      <c r="G9" s="6" t="s">
        <v>262</v>
      </c>
      <c r="H9" s="6"/>
      <c r="I9" s="7"/>
      <c r="J9" s="21">
        <f>D6/L9</f>
        <v>97.31543624161074</v>
      </c>
      <c r="K9" s="10" t="s">
        <v>251</v>
      </c>
      <c r="L9" s="2">
        <v>14.9</v>
      </c>
      <c r="M9" s="2">
        <v>16.52196</v>
      </c>
    </row>
    <row r="10" spans="1:13" ht="18" thickTop="1" thickBot="1">
      <c r="A10" s="6"/>
      <c r="B10" s="6" t="s">
        <v>263</v>
      </c>
      <c r="C10" s="6"/>
      <c r="D10" s="7">
        <f>(D4+40)/20</f>
        <v>179.5</v>
      </c>
      <c r="E10" s="8" t="s">
        <v>253</v>
      </c>
      <c r="F10" s="9"/>
      <c r="G10" s="12" t="s">
        <v>264</v>
      </c>
      <c r="H10" s="22"/>
      <c r="I10" s="22"/>
      <c r="J10" s="21">
        <f>D7/L11</f>
        <v>78.75</v>
      </c>
      <c r="K10" s="10" t="s">
        <v>251</v>
      </c>
      <c r="L10" s="2">
        <f>556/36</f>
        <v>15.444444444444445</v>
      </c>
      <c r="M10" s="23" t="s">
        <v>265</v>
      </c>
    </row>
    <row r="11" spans="1:13" ht="17" thickTop="1">
      <c r="A11" s="16"/>
      <c r="B11" s="16"/>
      <c r="C11" s="16"/>
      <c r="D11" s="15"/>
      <c r="E11" s="8" t="s">
        <v>266</v>
      </c>
      <c r="F11" s="9"/>
      <c r="G11" s="8"/>
      <c r="H11" s="8"/>
      <c r="I11" s="8"/>
      <c r="J11" s="8"/>
      <c r="K11" s="8"/>
      <c r="L11" s="24">
        <f>320/21</f>
        <v>15.238095238095237</v>
      </c>
    </row>
    <row r="12" spans="1:13" ht="18">
      <c r="B12" s="25"/>
      <c r="C12" s="25"/>
      <c r="D12" s="25" t="s">
        <v>267</v>
      </c>
      <c r="E12" s="25" t="s">
        <v>267</v>
      </c>
      <c r="F12" s="26"/>
      <c r="G12" s="25"/>
      <c r="H12" s="25"/>
      <c r="I12" s="25"/>
      <c r="J12" s="27" t="s">
        <v>268</v>
      </c>
      <c r="K12" s="28" t="s">
        <v>269</v>
      </c>
    </row>
    <row r="13" spans="1:13" ht="18">
      <c r="B13" s="29" t="s">
        <v>270</v>
      </c>
      <c r="C13" s="29"/>
      <c r="D13" s="29"/>
      <c r="E13" s="29"/>
      <c r="F13" s="29"/>
      <c r="G13" s="29"/>
      <c r="H13" s="29"/>
      <c r="I13" s="29"/>
      <c r="J13" s="30">
        <f>D4/L13</f>
        <v>142</v>
      </c>
      <c r="K13" s="31">
        <f>J13/1.55517</f>
        <v>91.30834571140133</v>
      </c>
      <c r="L13" s="2">
        <v>25</v>
      </c>
    </row>
    <row r="14" spans="1:13" ht="18">
      <c r="B14" s="32"/>
      <c r="C14" s="32"/>
      <c r="D14" s="32"/>
      <c r="E14" s="32"/>
      <c r="F14" s="32"/>
      <c r="G14" s="32"/>
      <c r="H14" s="32"/>
      <c r="I14" s="32"/>
      <c r="J14" s="33"/>
      <c r="K14" s="34"/>
    </row>
    <row r="15" spans="1:13" ht="18">
      <c r="B15" s="29" t="s">
        <v>271</v>
      </c>
      <c r="C15" s="29"/>
      <c r="D15" s="29"/>
      <c r="E15" s="29"/>
      <c r="F15" s="29"/>
      <c r="G15" s="29"/>
      <c r="H15" s="29"/>
      <c r="I15" s="29"/>
      <c r="J15" s="30">
        <f>D4/L15</f>
        <v>143.43434343434345</v>
      </c>
      <c r="K15" s="31">
        <f>J15/1.555517</f>
        <v>92.210077700432365</v>
      </c>
      <c r="L15" s="2">
        <v>24.75</v>
      </c>
    </row>
    <row r="16" spans="1:13" ht="18">
      <c r="B16" s="32"/>
      <c r="C16" s="32"/>
      <c r="D16" s="32"/>
      <c r="E16" s="32"/>
      <c r="F16" s="32"/>
      <c r="G16" s="32"/>
      <c r="H16" s="32"/>
      <c r="I16" s="32"/>
      <c r="J16" s="33"/>
      <c r="K16" s="34"/>
    </row>
    <row r="17" spans="2:12" ht="18">
      <c r="B17" s="29" t="s">
        <v>272</v>
      </c>
      <c r="C17" s="29"/>
      <c r="D17" s="29"/>
      <c r="E17" s="29"/>
      <c r="F17" s="29"/>
      <c r="G17" s="29"/>
      <c r="H17" s="29"/>
      <c r="I17" s="29"/>
      <c r="J17" s="30">
        <f>D4/L17</f>
        <v>144.3089430894309</v>
      </c>
      <c r="K17" s="31">
        <f>J17/1.55517</f>
        <v>92.793034259554204</v>
      </c>
      <c r="L17" s="2">
        <v>24.6</v>
      </c>
    </row>
    <row r="18" spans="2:12" ht="18">
      <c r="B18" s="32"/>
      <c r="C18" s="32"/>
      <c r="D18" s="32"/>
      <c r="E18" s="32"/>
      <c r="F18" s="32"/>
      <c r="G18" s="32"/>
      <c r="H18" s="32"/>
      <c r="I18" s="32"/>
      <c r="J18" s="33"/>
      <c r="K18" s="34"/>
    </row>
    <row r="19" spans="2:12" ht="18">
      <c r="B19" s="29" t="s">
        <v>273</v>
      </c>
      <c r="C19" s="35"/>
      <c r="D19" s="35"/>
      <c r="E19" s="35"/>
      <c r="F19" s="36"/>
      <c r="G19" s="35"/>
      <c r="H19" s="35" t="s">
        <v>267</v>
      </c>
      <c r="I19" s="29"/>
      <c r="J19" s="30">
        <f>D4/L19</f>
        <v>146.69421487603307</v>
      </c>
      <c r="K19" s="31">
        <f>J19/1.55517</f>
        <v>94.326803420869155</v>
      </c>
      <c r="L19" s="2">
        <v>24.2</v>
      </c>
    </row>
    <row r="20" spans="2:12" ht="18">
      <c r="B20" s="32"/>
      <c r="C20" s="25"/>
      <c r="D20" s="25"/>
      <c r="E20" s="25"/>
      <c r="F20" s="26"/>
      <c r="G20" s="25"/>
      <c r="H20" s="25"/>
      <c r="I20" s="32"/>
      <c r="J20" s="33"/>
      <c r="K20" s="34"/>
    </row>
    <row r="21" spans="2:12" ht="18">
      <c r="B21" s="29" t="s">
        <v>274</v>
      </c>
      <c r="C21" s="29"/>
      <c r="D21" s="29"/>
      <c r="E21" s="29"/>
      <c r="F21" s="29"/>
      <c r="G21" s="29"/>
      <c r="H21" s="29"/>
      <c r="I21" s="29"/>
      <c r="J21" s="30">
        <f>D4/L21</f>
        <v>147.91666666666666</v>
      </c>
      <c r="K21" s="31">
        <f>J21/1.55517</f>
        <v>95.112860116043052</v>
      </c>
      <c r="L21" s="2">
        <v>24</v>
      </c>
    </row>
    <row r="22" spans="2:12" ht="18">
      <c r="B22" s="32"/>
      <c r="C22" s="32"/>
      <c r="D22" s="32"/>
      <c r="E22" s="32"/>
      <c r="F22" s="32"/>
      <c r="G22" s="32"/>
      <c r="H22" s="32"/>
      <c r="I22" s="32"/>
      <c r="J22" s="33"/>
      <c r="K22" s="34"/>
    </row>
    <row r="23" spans="2:12" ht="18">
      <c r="B23" s="29" t="s">
        <v>275</v>
      </c>
      <c r="C23" s="29"/>
      <c r="D23" s="29"/>
      <c r="E23" s="29"/>
      <c r="F23" s="29"/>
      <c r="G23" s="29"/>
      <c r="H23" s="29"/>
      <c r="I23" s="29"/>
      <c r="J23" s="30">
        <f>D4/L23</f>
        <v>151.06382978723406</v>
      </c>
      <c r="K23" s="31">
        <f>J23/1.55517</f>
        <v>97.136537990852489</v>
      </c>
      <c r="L23" s="2">
        <v>23.5</v>
      </c>
    </row>
    <row r="24" spans="2:12" ht="18">
      <c r="B24" s="32"/>
      <c r="C24" s="32"/>
      <c r="D24" s="32"/>
      <c r="E24" s="32"/>
      <c r="F24" s="32"/>
      <c r="G24" s="32"/>
      <c r="H24" s="32"/>
      <c r="I24" s="32"/>
      <c r="J24" s="33"/>
      <c r="K24" s="34"/>
    </row>
    <row r="25" spans="2:12" ht="18">
      <c r="B25" s="29" t="s">
        <v>276</v>
      </c>
      <c r="C25" s="29"/>
      <c r="D25" s="29"/>
      <c r="E25" s="29"/>
      <c r="F25" s="29"/>
      <c r="G25" s="29"/>
      <c r="H25" s="29"/>
      <c r="I25" s="29"/>
      <c r="J25" s="30">
        <f>D4/L25</f>
        <v>161.36363636363637</v>
      </c>
      <c r="K25" s="31">
        <f>J25/1.55517</f>
        <v>103.75948376295607</v>
      </c>
      <c r="L25" s="2">
        <v>22</v>
      </c>
    </row>
    <row r="26" spans="2:12" ht="18">
      <c r="B26" s="32"/>
      <c r="C26" s="32"/>
      <c r="D26" s="32"/>
      <c r="E26" s="32"/>
      <c r="F26" s="32"/>
      <c r="G26" s="32"/>
      <c r="H26" s="32"/>
      <c r="I26" s="32"/>
      <c r="J26" s="33"/>
      <c r="K26" s="34"/>
    </row>
    <row r="27" spans="2:12" ht="18">
      <c r="B27" s="29" t="s">
        <v>277</v>
      </c>
      <c r="C27" s="29"/>
      <c r="D27" s="29"/>
      <c r="E27" s="29"/>
      <c r="F27" s="29"/>
      <c r="G27" s="29"/>
      <c r="H27" s="29"/>
      <c r="I27" s="29"/>
      <c r="J27" s="30">
        <f>D4/L27</f>
        <v>186.84210526315789</v>
      </c>
      <c r="K27" s="31">
        <f>J27/1.55517</f>
        <v>120.14256014658069</v>
      </c>
      <c r="L27" s="2">
        <v>19</v>
      </c>
    </row>
    <row r="28" spans="2:12" ht="18">
      <c r="B28" s="32"/>
      <c r="C28" s="32"/>
      <c r="D28" s="32"/>
      <c r="E28" s="32"/>
      <c r="F28" s="32"/>
      <c r="G28" s="32"/>
      <c r="H28" s="32"/>
      <c r="I28" s="32"/>
      <c r="J28" s="33"/>
      <c r="K28" s="34"/>
    </row>
    <row r="29" spans="2:12" ht="18">
      <c r="B29" s="29" t="s">
        <v>278</v>
      </c>
      <c r="C29" s="29"/>
      <c r="D29" s="29"/>
      <c r="E29" s="29"/>
      <c r="F29" s="29"/>
      <c r="G29" s="29"/>
      <c r="H29" s="29"/>
      <c r="I29" s="29"/>
      <c r="J29" s="30">
        <f>D4/L29</f>
        <v>197.22222222222223</v>
      </c>
      <c r="K29" s="31">
        <f>J29/1.55517</f>
        <v>126.81714682139074</v>
      </c>
      <c r="L29" s="2">
        <v>18</v>
      </c>
    </row>
    <row r="30" spans="2:12" ht="18">
      <c r="B30" s="32"/>
      <c r="C30" s="32"/>
      <c r="D30" s="32"/>
      <c r="E30" s="32"/>
      <c r="F30" s="32"/>
      <c r="G30" s="32"/>
      <c r="H30" s="32"/>
      <c r="I30" s="32"/>
      <c r="J30" s="33"/>
      <c r="K30" s="34"/>
    </row>
    <row r="31" spans="2:12" ht="18">
      <c r="B31" s="32"/>
      <c r="C31" s="32"/>
      <c r="D31" s="32"/>
      <c r="E31" s="32"/>
      <c r="F31" s="32"/>
      <c r="G31" s="32"/>
      <c r="H31" s="32"/>
      <c r="I31" s="32"/>
      <c r="J31" s="33"/>
      <c r="K31" s="34"/>
    </row>
    <row r="32" spans="2:12" ht="18">
      <c r="B32" s="32"/>
      <c r="C32" s="32"/>
      <c r="D32" s="32"/>
      <c r="E32" s="32"/>
      <c r="F32" s="32"/>
      <c r="G32" s="32"/>
      <c r="H32" s="32"/>
      <c r="I32" s="32"/>
      <c r="J32" s="33"/>
      <c r="K32" s="34"/>
    </row>
    <row r="33" spans="2:12" ht="18">
      <c r="B33" s="29" t="s">
        <v>279</v>
      </c>
      <c r="C33" s="29"/>
      <c r="D33" s="29"/>
      <c r="E33" s="29"/>
      <c r="F33" s="29"/>
      <c r="G33" s="29"/>
      <c r="H33" s="29"/>
      <c r="I33" s="29"/>
      <c r="J33" s="30">
        <f>D4/L33</f>
        <v>177.5</v>
      </c>
      <c r="K33" s="31">
        <f>J33/1.55517</f>
        <v>114.13543213925166</v>
      </c>
      <c r="L33" s="2">
        <v>20</v>
      </c>
    </row>
    <row r="34" spans="2:12" ht="18">
      <c r="B34" s="32"/>
      <c r="C34" s="32"/>
      <c r="D34" s="32"/>
      <c r="E34" s="32"/>
      <c r="F34" s="32"/>
      <c r="G34" s="32"/>
      <c r="H34" s="32"/>
      <c r="I34" s="32"/>
      <c r="J34" s="33"/>
      <c r="K34" s="34"/>
    </row>
    <row r="35" spans="2:12" ht="18">
      <c r="B35" s="29" t="s">
        <v>280</v>
      </c>
      <c r="C35" s="29"/>
      <c r="D35" s="29"/>
      <c r="E35" s="29"/>
      <c r="F35" s="29"/>
      <c r="G35" s="29"/>
      <c r="H35" s="29"/>
      <c r="I35" s="29"/>
      <c r="J35" s="30">
        <f>D4/L35</f>
        <v>178.39195979899498</v>
      </c>
      <c r="K35" s="31">
        <f>J35/1.55517</f>
        <v>114.70897702437352</v>
      </c>
      <c r="L35" s="2">
        <v>19.899999999999999</v>
      </c>
    </row>
    <row r="36" spans="2:12" ht="18">
      <c r="B36" s="32"/>
      <c r="C36" s="32"/>
      <c r="D36" s="32"/>
      <c r="E36" s="32"/>
      <c r="F36" s="32"/>
      <c r="G36" s="32"/>
      <c r="H36" s="32"/>
      <c r="I36" s="32"/>
      <c r="J36" s="33"/>
      <c r="K36" s="34"/>
    </row>
    <row r="37" spans="2:12" ht="18">
      <c r="B37" s="29" t="s">
        <v>281</v>
      </c>
      <c r="C37" s="29"/>
      <c r="D37" s="29"/>
      <c r="E37" s="29"/>
      <c r="F37" s="29"/>
      <c r="G37" s="29"/>
      <c r="H37" s="29"/>
      <c r="I37" s="29"/>
      <c r="J37" s="30">
        <f>D4/L37</f>
        <v>179.29292929292927</v>
      </c>
      <c r="K37" s="31">
        <f>J37/1.55517</f>
        <v>115.28831529217338</v>
      </c>
      <c r="L37" s="2">
        <v>19.8</v>
      </c>
    </row>
    <row r="38" spans="2:12" ht="18">
      <c r="B38" s="32"/>
      <c r="C38" s="32"/>
      <c r="D38" s="32"/>
      <c r="E38" s="32"/>
      <c r="F38" s="32"/>
      <c r="G38" s="32"/>
      <c r="H38" s="32"/>
      <c r="I38" s="32"/>
      <c r="J38" s="33"/>
      <c r="K38" s="34"/>
    </row>
    <row r="39" spans="2:12" ht="18">
      <c r="B39" s="29" t="s">
        <v>282</v>
      </c>
      <c r="C39" s="29"/>
      <c r="D39" s="29"/>
      <c r="E39" s="29"/>
      <c r="F39" s="29"/>
      <c r="G39" s="29"/>
      <c r="H39" s="29"/>
      <c r="I39" s="35"/>
      <c r="J39" s="30">
        <f>D4/L39</f>
        <v>189.83957219251337</v>
      </c>
      <c r="K39" s="31">
        <f>J39/1.55517</f>
        <v>122.06998089759536</v>
      </c>
      <c r="L39" s="4">
        <v>18.7</v>
      </c>
    </row>
    <row r="40" spans="2:12" ht="18">
      <c r="B40" s="32"/>
      <c r="C40" s="32"/>
      <c r="D40" s="32"/>
      <c r="E40" s="32"/>
      <c r="F40" s="32"/>
      <c r="G40" s="32"/>
      <c r="H40" s="32"/>
      <c r="I40" s="25"/>
      <c r="J40" s="33"/>
      <c r="K40" s="34"/>
      <c r="L40" s="4"/>
    </row>
    <row r="41" spans="2:12" ht="18">
      <c r="B41" s="32"/>
      <c r="C41" s="32"/>
      <c r="D41" s="32"/>
      <c r="E41" s="32"/>
      <c r="F41" s="32"/>
      <c r="G41" s="32"/>
      <c r="H41" s="32"/>
      <c r="I41" s="32"/>
      <c r="J41" s="33"/>
      <c r="K41" s="34"/>
      <c r="L41" s="4"/>
    </row>
    <row r="42" spans="2:12" ht="18">
      <c r="B42" s="32"/>
      <c r="C42" s="32"/>
      <c r="D42" s="32"/>
      <c r="E42" s="32"/>
      <c r="F42" s="32"/>
      <c r="G42" s="32"/>
      <c r="H42" s="32"/>
      <c r="I42" s="32"/>
      <c r="J42" s="33"/>
      <c r="K42" s="34"/>
      <c r="L42" s="4"/>
    </row>
    <row r="43" spans="2:12" ht="18">
      <c r="B43" s="29" t="s">
        <v>283</v>
      </c>
      <c r="C43" s="29"/>
      <c r="D43" s="29"/>
      <c r="E43" s="29"/>
      <c r="F43" s="29"/>
      <c r="G43" s="29"/>
      <c r="H43" s="29"/>
      <c r="I43" s="29"/>
      <c r="J43" s="30">
        <f>D4/L43</f>
        <v>200.56497175141243</v>
      </c>
      <c r="K43" s="31">
        <f>J43/1.55517</f>
        <v>128.96658998785497</v>
      </c>
      <c r="L43" s="2">
        <v>17.7</v>
      </c>
    </row>
    <row r="44" spans="2:12" ht="18">
      <c r="B44" s="32"/>
      <c r="C44" s="32"/>
      <c r="D44" s="32"/>
      <c r="E44" s="32"/>
      <c r="F44" s="32"/>
      <c r="G44" s="32"/>
      <c r="H44" s="32"/>
      <c r="I44" s="32"/>
      <c r="J44" s="33"/>
      <c r="K44" s="34"/>
    </row>
    <row r="45" spans="2:12" ht="18">
      <c r="B45" s="29" t="s">
        <v>284</v>
      </c>
      <c r="C45" s="29"/>
      <c r="D45" s="29"/>
      <c r="E45" s="29"/>
      <c r="F45" s="29"/>
      <c r="G45" s="29"/>
      <c r="H45" s="29"/>
      <c r="I45" s="29"/>
      <c r="J45" s="30">
        <f>D4/L45</f>
        <v>236.66666666666666</v>
      </c>
      <c r="K45" s="31">
        <f>J45/1.55517</f>
        <v>152.18057618566888</v>
      </c>
      <c r="L45" s="2">
        <v>15</v>
      </c>
    </row>
    <row r="46" spans="2:12" ht="18">
      <c r="B46" s="32"/>
      <c r="C46" s="32"/>
      <c r="D46" s="32"/>
      <c r="E46" s="32"/>
      <c r="F46" s="32"/>
      <c r="G46" s="32"/>
      <c r="H46" s="32"/>
      <c r="I46" s="32"/>
      <c r="J46" s="33"/>
    </row>
    <row r="47" spans="2:12" ht="18">
      <c r="B47" s="32"/>
      <c r="C47" s="32"/>
      <c r="D47" s="32"/>
      <c r="E47" s="32"/>
      <c r="F47" s="32"/>
      <c r="G47" s="32"/>
      <c r="H47" s="32"/>
      <c r="I47" s="32"/>
      <c r="J47" s="33"/>
    </row>
    <row r="48" spans="2:12" ht="18">
      <c r="B48" s="32"/>
      <c r="C48" s="32"/>
      <c r="D48" s="32"/>
      <c r="E48" s="32"/>
      <c r="F48" s="32"/>
      <c r="G48" s="32"/>
      <c r="H48" s="32"/>
      <c r="I48" s="32"/>
      <c r="J48" s="33"/>
    </row>
    <row r="49" spans="2:13" ht="17" thickBot="1">
      <c r="B49" s="37"/>
      <c r="C49" s="38"/>
      <c r="D49" s="39"/>
      <c r="E49" s="39"/>
      <c r="F49" s="39"/>
      <c r="G49" s="39"/>
      <c r="H49" s="39"/>
      <c r="I49" s="40"/>
      <c r="J49" s="41"/>
    </row>
    <row r="50" spans="2:13" ht="18">
      <c r="B50" s="42" t="s">
        <v>285</v>
      </c>
      <c r="C50" s="42"/>
      <c r="D50" s="42"/>
      <c r="E50" s="43" t="s">
        <v>269</v>
      </c>
      <c r="F50" s="26"/>
      <c r="G50" s="25"/>
      <c r="H50" s="44" t="s">
        <v>286</v>
      </c>
      <c r="I50" s="44"/>
      <c r="J50" s="45"/>
      <c r="K50" s="46" t="s">
        <v>269</v>
      </c>
      <c r="L50" s="2">
        <v>14</v>
      </c>
      <c r="M50" s="2">
        <v>18</v>
      </c>
    </row>
    <row r="51" spans="2:13" ht="18">
      <c r="B51" s="29" t="s">
        <v>287</v>
      </c>
      <c r="C51" s="29"/>
      <c r="D51" s="30">
        <f>D4/L51</f>
        <v>142</v>
      </c>
      <c r="E51" s="47">
        <f>D51/1.55517</f>
        <v>91.30834571140133</v>
      </c>
      <c r="F51" s="26"/>
      <c r="G51" s="25"/>
      <c r="H51" s="29" t="s">
        <v>287</v>
      </c>
      <c r="I51" s="29"/>
      <c r="J51" s="30">
        <f>D4/M51</f>
        <v>177.5</v>
      </c>
      <c r="K51" s="31">
        <f>J51/1.55517</f>
        <v>114.13543213925166</v>
      </c>
      <c r="L51" s="2">
        <v>25</v>
      </c>
      <c r="M51" s="2">
        <v>20</v>
      </c>
    </row>
    <row r="52" spans="2:13" ht="18">
      <c r="B52" s="48" t="s">
        <v>288</v>
      </c>
      <c r="C52" s="48"/>
      <c r="D52" s="49">
        <f>D4/L52</f>
        <v>136.53846153846155</v>
      </c>
      <c r="E52" s="47">
        <f>D52/1.55517</f>
        <v>87.796486260962823</v>
      </c>
      <c r="F52" s="26"/>
      <c r="G52" s="25"/>
      <c r="H52" s="48" t="s">
        <v>288</v>
      </c>
      <c r="I52" s="48"/>
      <c r="J52" s="49">
        <f>D4/M52</f>
        <v>173.17073170731706</v>
      </c>
      <c r="K52" s="31">
        <f>J52/1.55517</f>
        <v>111.35164111146503</v>
      </c>
      <c r="L52" s="2">
        <v>26</v>
      </c>
      <c r="M52" s="2">
        <v>20.5</v>
      </c>
    </row>
    <row r="53" spans="2:13" ht="18">
      <c r="B53" s="29" t="s">
        <v>289</v>
      </c>
      <c r="C53" s="29"/>
      <c r="D53" s="30">
        <f>D4/L53</f>
        <v>133.96226415094338</v>
      </c>
      <c r="E53" s="47">
        <f>D53/1.55517</f>
        <v>86.139948784340874</v>
      </c>
      <c r="F53" s="26"/>
      <c r="G53" s="25"/>
      <c r="H53" s="48" t="s">
        <v>289</v>
      </c>
      <c r="I53" s="48"/>
      <c r="J53" s="49">
        <f>D4/M53</f>
        <v>169.04761904761904</v>
      </c>
      <c r="K53" s="31">
        <f>J53/1.55517</f>
        <v>108.70041156119206</v>
      </c>
      <c r="L53" s="2">
        <v>26.5</v>
      </c>
      <c r="M53" s="2">
        <v>21</v>
      </c>
    </row>
    <row r="54" spans="2:13" ht="19" thickBot="1">
      <c r="B54" s="50" t="s">
        <v>290</v>
      </c>
      <c r="C54" s="51"/>
      <c r="D54" s="52">
        <f>D4/L54</f>
        <v>131.4814814814815</v>
      </c>
      <c r="E54" s="53">
        <f>D54/1.55517</f>
        <v>84.544764547593829</v>
      </c>
      <c r="F54" s="51" t="s">
        <v>291</v>
      </c>
      <c r="G54" s="51"/>
      <c r="H54" s="51"/>
      <c r="I54" s="51"/>
      <c r="J54" s="54">
        <f>D4/M54</f>
        <v>161.36363636363637</v>
      </c>
      <c r="K54" s="31">
        <f>J54/1.55517</f>
        <v>103.75948376295607</v>
      </c>
      <c r="L54" s="2">
        <v>27</v>
      </c>
      <c r="M54" s="2">
        <v>22</v>
      </c>
    </row>
    <row r="55" spans="2:13" ht="17" thickBot="1">
      <c r="B55" s="55"/>
      <c r="C55" s="55"/>
      <c r="D55" s="55"/>
      <c r="E55" s="56"/>
      <c r="F55" s="57"/>
      <c r="G55" s="55"/>
      <c r="H55" s="55"/>
      <c r="I55" s="55"/>
      <c r="J55" s="55"/>
      <c r="K55" s="34"/>
    </row>
    <row r="56" spans="2:13" ht="18">
      <c r="B56" s="42" t="s">
        <v>292</v>
      </c>
      <c r="C56" s="42"/>
      <c r="D56" s="42"/>
      <c r="E56" s="58"/>
      <c r="F56" s="26"/>
      <c r="G56" s="25"/>
      <c r="H56" s="44" t="s">
        <v>293</v>
      </c>
      <c r="I56" s="44"/>
      <c r="J56" s="45"/>
      <c r="K56" s="34"/>
      <c r="L56" s="2">
        <v>10</v>
      </c>
      <c r="M56" s="2">
        <v>22</v>
      </c>
    </row>
    <row r="57" spans="2:13" ht="18">
      <c r="B57" s="29" t="s">
        <v>287</v>
      </c>
      <c r="C57" s="29"/>
      <c r="D57" s="30">
        <f>D4/L57</f>
        <v>110.9375</v>
      </c>
      <c r="E57" s="47">
        <f>D57/1.77717</f>
        <v>62.423684847257157</v>
      </c>
      <c r="F57" s="26"/>
      <c r="G57" s="25"/>
      <c r="H57" s="29" t="s">
        <v>287</v>
      </c>
      <c r="I57" s="29"/>
      <c r="J57" s="30">
        <f>D4/M57</f>
        <v>200.56497175141243</v>
      </c>
      <c r="K57" s="31">
        <f>J57/1.55517</f>
        <v>128.96658998785497</v>
      </c>
      <c r="L57" s="2">
        <v>32</v>
      </c>
      <c r="M57" s="2">
        <v>17.7</v>
      </c>
    </row>
    <row r="58" spans="2:13" ht="18">
      <c r="B58" s="48" t="s">
        <v>288</v>
      </c>
      <c r="C58" s="48"/>
      <c r="D58" s="49">
        <f>D4/L58</f>
        <v>109.23076923076923</v>
      </c>
      <c r="E58" s="47">
        <f>D58/1.55517</f>
        <v>70.237189008770244</v>
      </c>
      <c r="F58" s="26"/>
      <c r="G58" s="25"/>
      <c r="H58" s="48" t="s">
        <v>288</v>
      </c>
      <c r="I58" s="48"/>
      <c r="J58" s="30">
        <f>D4/M58</f>
        <v>197.22222222222223</v>
      </c>
      <c r="K58" s="31">
        <f>J58/1.55517</f>
        <v>126.81714682139074</v>
      </c>
      <c r="L58" s="2">
        <v>32.5</v>
      </c>
      <c r="M58" s="2">
        <v>18</v>
      </c>
    </row>
    <row r="59" spans="2:13" ht="19" thickBot="1">
      <c r="B59" s="51" t="s">
        <v>289</v>
      </c>
      <c r="C59" s="51"/>
      <c r="D59" s="54">
        <f>D4/L59</f>
        <v>100.70921985815603</v>
      </c>
      <c r="E59" s="59">
        <f>D59/1.55517</f>
        <v>64.757691993901659</v>
      </c>
      <c r="F59" s="60"/>
      <c r="G59" s="61"/>
      <c r="H59" s="62" t="s">
        <v>289</v>
      </c>
      <c r="I59" s="62"/>
      <c r="J59" s="63">
        <f>D4/M59</f>
        <v>186.84210526315789</v>
      </c>
      <c r="K59" s="31">
        <f>J59/1.55517</f>
        <v>120.14256014658069</v>
      </c>
      <c r="L59" s="2">
        <v>35.25</v>
      </c>
      <c r="M59" s="2">
        <v>19</v>
      </c>
    </row>
    <row r="60" spans="2:13" ht="18">
      <c r="B60" s="44" t="s">
        <v>294</v>
      </c>
      <c r="C60" s="32"/>
      <c r="D60" s="64">
        <f>D4/L60</f>
        <v>98.611111111111114</v>
      </c>
      <c r="E60" s="65">
        <f>D60/1.55517</f>
        <v>63.408573410695368</v>
      </c>
      <c r="F60" s="32" t="s">
        <v>295</v>
      </c>
      <c r="G60" s="32"/>
      <c r="H60" s="32"/>
      <c r="I60" s="32"/>
      <c r="J60" s="66">
        <f>D4/M60</f>
        <v>182.05128205128204</v>
      </c>
      <c r="K60" s="67">
        <f>J60/1.55517</f>
        <v>117.06198168128375</v>
      </c>
      <c r="L60" s="2">
        <v>36</v>
      </c>
      <c r="M60" s="2">
        <v>19.5</v>
      </c>
    </row>
    <row r="61" spans="2:13">
      <c r="B61" s="4"/>
      <c r="C61" s="4"/>
      <c r="D61" s="4"/>
      <c r="E61" s="4"/>
      <c r="F61" s="5"/>
      <c r="G61" s="4"/>
      <c r="H61" s="4"/>
      <c r="I61" s="4"/>
      <c r="J61" s="4"/>
    </row>
    <row r="62" spans="2:13">
      <c r="F62" s="5"/>
    </row>
    <row r="63" spans="2:13">
      <c r="B63" s="68" t="s">
        <v>249</v>
      </c>
      <c r="C63" s="69">
        <f>D4</f>
        <v>3550</v>
      </c>
      <c r="D63" s="68"/>
      <c r="E63" s="68"/>
      <c r="F63" s="68" t="s">
        <v>296</v>
      </c>
      <c r="G63" s="69">
        <f>C63/H63</f>
        <v>59.166666666666664</v>
      </c>
      <c r="H63" s="70">
        <v>60</v>
      </c>
      <c r="I63" s="71"/>
    </row>
    <row r="64" spans="2:13">
      <c r="B64" s="68" t="s">
        <v>252</v>
      </c>
      <c r="C64" s="69">
        <f>D5</f>
        <v>41</v>
      </c>
      <c r="D64" s="68" t="s">
        <v>253</v>
      </c>
      <c r="E64" s="68" t="s">
        <v>267</v>
      </c>
      <c r="F64" s="68" t="s">
        <v>254</v>
      </c>
      <c r="G64" s="69">
        <f>C64/H64</f>
        <v>25.153374233128837</v>
      </c>
      <c r="H64" s="70">
        <v>1.63</v>
      </c>
      <c r="I64" s="71"/>
    </row>
    <row r="65" spans="2:16">
      <c r="B65" s="68"/>
      <c r="C65" s="69" t="s">
        <v>267</v>
      </c>
      <c r="D65" s="68" t="s">
        <v>267</v>
      </c>
      <c r="E65" s="68" t="s">
        <v>267</v>
      </c>
      <c r="F65" s="68" t="s">
        <v>267</v>
      </c>
      <c r="G65" s="72" t="s">
        <v>267</v>
      </c>
      <c r="H65" s="73" t="s">
        <v>267</v>
      </c>
      <c r="I65" s="71" t="s">
        <v>267</v>
      </c>
    </row>
    <row r="66" spans="2:16">
      <c r="C66" s="74" t="s">
        <v>267</v>
      </c>
      <c r="G66" s="75"/>
      <c r="H66" s="70"/>
    </row>
    <row r="67" spans="2:16" ht="18">
      <c r="B67" s="76"/>
      <c r="C67" s="77"/>
      <c r="D67" s="77"/>
      <c r="E67" s="76"/>
      <c r="F67" s="76"/>
      <c r="G67" s="78"/>
      <c r="H67" s="79"/>
    </row>
    <row r="68" spans="2:16" ht="18">
      <c r="B68" s="76" t="s">
        <v>297</v>
      </c>
      <c r="C68" s="77"/>
      <c r="D68" s="77"/>
      <c r="E68" s="76"/>
      <c r="F68" s="76" t="s">
        <v>298</v>
      </c>
      <c r="G68" s="78"/>
      <c r="H68" s="79"/>
      <c r="M68" s="76" t="s">
        <v>299</v>
      </c>
      <c r="N68" s="78">
        <f>D4/P68</f>
        <v>169.94671811344782</v>
      </c>
      <c r="O68" s="79">
        <v>0.52</v>
      </c>
      <c r="P68" s="2">
        <v>20.8889</v>
      </c>
    </row>
    <row r="69" spans="2:16" ht="18">
      <c r="B69" s="76" t="s">
        <v>300</v>
      </c>
      <c r="C69" s="77"/>
      <c r="D69" s="77">
        <f>D5/H69</f>
        <v>62.121212121212118</v>
      </c>
      <c r="E69" s="76"/>
      <c r="F69" s="76" t="s">
        <v>301</v>
      </c>
      <c r="G69" s="78">
        <f>D5/I69</f>
        <v>66.129032258064512</v>
      </c>
      <c r="H69" s="79">
        <v>0.66</v>
      </c>
      <c r="I69" s="2">
        <v>0.62</v>
      </c>
      <c r="M69" s="76" t="s">
        <v>302</v>
      </c>
      <c r="N69" s="78">
        <f>D4/P69</f>
        <v>158.3026389718801</v>
      </c>
      <c r="O69" s="79">
        <v>0.54</v>
      </c>
      <c r="P69" s="2">
        <v>22.4254</v>
      </c>
    </row>
    <row r="70" spans="2:16" ht="18">
      <c r="B70" s="76" t="s">
        <v>303</v>
      </c>
      <c r="C70" s="77"/>
      <c r="D70" s="77">
        <f>C64/H70</f>
        <v>55.646036916395225</v>
      </c>
      <c r="E70" s="76"/>
      <c r="F70" s="76" t="s">
        <v>304</v>
      </c>
      <c r="G70" s="78">
        <f>C64/I70</f>
        <v>61.111939186167831</v>
      </c>
      <c r="H70" s="79">
        <v>0.73680000000000001</v>
      </c>
      <c r="I70" s="2">
        <v>0.67090000000000005</v>
      </c>
    </row>
    <row r="71" spans="2:16" ht="18">
      <c r="B71" s="76" t="s">
        <v>305</v>
      </c>
      <c r="C71" s="77"/>
      <c r="D71" s="77">
        <f>C64/H71</f>
        <v>55.405405405405403</v>
      </c>
      <c r="E71" s="76"/>
      <c r="F71" s="76" t="s">
        <v>306</v>
      </c>
      <c r="G71" s="78">
        <f>C64/I71</f>
        <v>60.311856428361288</v>
      </c>
      <c r="H71" s="79">
        <v>0.74</v>
      </c>
      <c r="I71" s="2">
        <v>0.67979999999999996</v>
      </c>
    </row>
    <row r="72" spans="2:16" ht="18">
      <c r="B72" s="76" t="s">
        <v>307</v>
      </c>
      <c r="C72" s="77"/>
      <c r="D72" s="77">
        <f>C64/H72</f>
        <v>54.018445322793148</v>
      </c>
      <c r="E72" s="76"/>
      <c r="F72" s="76" t="s">
        <v>307</v>
      </c>
      <c r="G72" s="78">
        <f>C64/I72</f>
        <v>56.164383561643838</v>
      </c>
      <c r="H72" s="79">
        <v>0.75900000000000001</v>
      </c>
      <c r="I72" s="2">
        <v>0.73</v>
      </c>
    </row>
    <row r="73" spans="2:16">
      <c r="C73" s="80"/>
      <c r="G73" s="75"/>
      <c r="H73" s="70"/>
    </row>
    <row r="74" spans="2:16" ht="18">
      <c r="B74" s="76" t="s">
        <v>308</v>
      </c>
      <c r="C74" s="80"/>
      <c r="D74" s="76" t="s">
        <v>309</v>
      </c>
      <c r="G74" s="75"/>
      <c r="H74" s="70"/>
    </row>
    <row r="76" spans="2:16">
      <c r="B76"/>
      <c r="C76" s="81"/>
      <c r="D76" t="s">
        <v>267</v>
      </c>
      <c r="E76"/>
      <c r="F76"/>
      <c r="G76" s="82"/>
      <c r="H76" s="83"/>
      <c r="I76"/>
    </row>
    <row r="77" spans="2:16">
      <c r="B77" s="84" t="s">
        <v>249</v>
      </c>
      <c r="C77" s="85">
        <f>D4</f>
        <v>3550</v>
      </c>
      <c r="D77" s="84"/>
      <c r="E77" s="84"/>
      <c r="F77" s="84" t="s">
        <v>296</v>
      </c>
      <c r="G77" s="85">
        <f>C77/H77</f>
        <v>59.166666666666664</v>
      </c>
      <c r="H77" s="83">
        <v>60</v>
      </c>
      <c r="I77" s="86"/>
    </row>
    <row r="78" spans="2:16">
      <c r="B78" s="84" t="s">
        <v>252</v>
      </c>
      <c r="C78" s="85">
        <f>D5</f>
        <v>41</v>
      </c>
      <c r="D78" s="84"/>
      <c r="E78" s="84" t="s">
        <v>267</v>
      </c>
      <c r="F78" s="84" t="s">
        <v>254</v>
      </c>
      <c r="G78" s="85">
        <f>C78/H78</f>
        <v>25.153374233128837</v>
      </c>
      <c r="H78" s="83">
        <v>1.63</v>
      </c>
      <c r="I78" s="86"/>
    </row>
    <row r="79" spans="2:16">
      <c r="B79" s="84"/>
      <c r="C79" s="87"/>
      <c r="D79" s="84"/>
      <c r="E79" s="84"/>
      <c r="F79" s="84" t="s">
        <v>267</v>
      </c>
      <c r="G79" s="88" t="s">
        <v>267</v>
      </c>
      <c r="H79" s="89" t="s">
        <v>267</v>
      </c>
      <c r="I79" s="86" t="s">
        <v>267</v>
      </c>
    </row>
    <row r="80" spans="2:16">
      <c r="B80"/>
      <c r="C80" s="90"/>
      <c r="D80"/>
      <c r="E80"/>
      <c r="F80"/>
      <c r="G80" s="82"/>
      <c r="H80" s="83"/>
      <c r="I80"/>
    </row>
    <row r="81" spans="2:9" ht="18">
      <c r="B81" s="91" t="s">
        <v>310</v>
      </c>
      <c r="C81" s="92"/>
      <c r="D81" s="92">
        <f>C78/H81</f>
        <v>78.84615384615384</v>
      </c>
      <c r="E81" s="92"/>
      <c r="F81" s="91" t="s">
        <v>299</v>
      </c>
      <c r="G81" s="93">
        <f>C77/I81</f>
        <v>167.45283018867926</v>
      </c>
      <c r="H81" s="94">
        <v>0.52</v>
      </c>
      <c r="I81">
        <v>21.2</v>
      </c>
    </row>
    <row r="82" spans="2:9" ht="18">
      <c r="B82" s="91" t="s">
        <v>311</v>
      </c>
      <c r="C82" s="92"/>
      <c r="D82" s="92">
        <f>C78/H82</f>
        <v>75.925925925925924</v>
      </c>
      <c r="E82" s="91"/>
      <c r="F82" s="91" t="s">
        <v>302</v>
      </c>
      <c r="G82" s="93">
        <f>C77/I82</f>
        <v>162.8440366972477</v>
      </c>
      <c r="H82" s="94">
        <v>0.54</v>
      </c>
      <c r="I82">
        <v>21.8</v>
      </c>
    </row>
    <row r="83" spans="2:9" ht="18">
      <c r="B83" s="91" t="s">
        <v>312</v>
      </c>
      <c r="C83" s="92"/>
      <c r="D83" s="92">
        <f>C78/H83</f>
        <v>77.35849056603773</v>
      </c>
      <c r="E83" s="91"/>
      <c r="F83" s="91" t="s">
        <v>313</v>
      </c>
      <c r="G83" s="93">
        <f>C77/I83</f>
        <v>179.74683544303798</v>
      </c>
      <c r="H83" s="94">
        <v>0.53</v>
      </c>
      <c r="I83">
        <v>19.75</v>
      </c>
    </row>
    <row r="84" spans="2:9" ht="18">
      <c r="B84" s="91" t="s">
        <v>314</v>
      </c>
      <c r="C84" s="92"/>
      <c r="D84" s="92">
        <f>C78/H84</f>
        <v>78.84615384615384</v>
      </c>
      <c r="E84" s="91"/>
      <c r="F84" s="91" t="s">
        <v>315</v>
      </c>
      <c r="G84" s="93">
        <f>C77/I84</f>
        <v>177.81473207577412</v>
      </c>
      <c r="H84" s="94">
        <v>0.52</v>
      </c>
      <c r="I84">
        <v>19.964600000000001</v>
      </c>
    </row>
    <row r="85" spans="2:9" ht="18">
      <c r="B85" s="91" t="s">
        <v>316</v>
      </c>
      <c r="C85" s="92"/>
      <c r="D85" s="92">
        <f>C78/H85</f>
        <v>95.348837209302332</v>
      </c>
      <c r="E85" s="91"/>
      <c r="F85" s="91" t="s">
        <v>317</v>
      </c>
      <c r="G85" s="93">
        <f>C77/I85</f>
        <v>177.81473207577412</v>
      </c>
      <c r="H85" s="94">
        <v>0.43</v>
      </c>
      <c r="I85">
        <v>19.964600000000001</v>
      </c>
    </row>
    <row r="86" spans="2:9" ht="18">
      <c r="B86" s="91" t="s">
        <v>318</v>
      </c>
      <c r="C86" s="92"/>
      <c r="D86" s="92">
        <f>C78/H86</f>
        <v>78.84615384615384</v>
      </c>
      <c r="E86" s="91"/>
      <c r="F86" s="91"/>
      <c r="G86" s="93"/>
      <c r="H86" s="94">
        <v>0.52</v>
      </c>
      <c r="I86"/>
    </row>
    <row r="87" spans="2:9" ht="18">
      <c r="B87" s="91" t="s">
        <v>319</v>
      </c>
      <c r="C87" s="92"/>
      <c r="D87" s="92">
        <f>C78/H87</f>
        <v>117.14285714285715</v>
      </c>
      <c r="E87" s="91"/>
      <c r="F87" s="91"/>
      <c r="G87" s="93"/>
      <c r="H87" s="94">
        <v>0.35</v>
      </c>
      <c r="I87"/>
    </row>
    <row r="88" spans="2:9" ht="18">
      <c r="B88" s="91" t="s">
        <v>320</v>
      </c>
      <c r="C88" s="92"/>
      <c r="D88" s="92">
        <f>C78/H88</f>
        <v>120.58823529411764</v>
      </c>
      <c r="E88" s="91"/>
      <c r="F88" s="91"/>
      <c r="G88" s="93"/>
      <c r="H88" s="94">
        <v>0.34</v>
      </c>
      <c r="I88"/>
    </row>
    <row r="89" spans="2:9" ht="18">
      <c r="B89" s="91"/>
      <c r="C89" s="92"/>
      <c r="D89" s="92"/>
      <c r="E89" s="91"/>
      <c r="F89" s="91"/>
      <c r="G89" s="93"/>
      <c r="H89" s="94"/>
      <c r="I89"/>
    </row>
    <row r="90" spans="2:9" ht="18">
      <c r="B90" s="91"/>
      <c r="C90" s="92"/>
      <c r="D90" s="92"/>
      <c r="E90" s="91"/>
      <c r="F90" s="91" t="s">
        <v>321</v>
      </c>
      <c r="G90" s="93"/>
      <c r="H90" s="94"/>
      <c r="I90"/>
    </row>
    <row r="91" spans="2:9" ht="18">
      <c r="B91" s="91" t="s">
        <v>322</v>
      </c>
      <c r="C91" s="92"/>
      <c r="D91" s="92">
        <f>C78/H91</f>
        <v>70.689655172413794</v>
      </c>
      <c r="E91" s="91"/>
      <c r="F91" s="91" t="s">
        <v>323</v>
      </c>
      <c r="G91" s="93">
        <f>C78/I91</f>
        <v>49.787492410443228</v>
      </c>
      <c r="H91" s="94">
        <v>0.57999999999999996</v>
      </c>
      <c r="I91">
        <v>0.82350000000000001</v>
      </c>
    </row>
    <row r="92" spans="2:9" ht="18">
      <c r="B92" s="91" t="s">
        <v>324</v>
      </c>
      <c r="C92" s="92"/>
      <c r="D92" s="92">
        <v>2</v>
      </c>
      <c r="E92" s="91"/>
      <c r="F92" s="91" t="s">
        <v>325</v>
      </c>
      <c r="G92" s="93">
        <f>C78/I92</f>
        <v>48.606994665085949</v>
      </c>
      <c r="H92" s="94"/>
      <c r="I92">
        <v>0.84350000000000003</v>
      </c>
    </row>
    <row r="93" spans="2:9" ht="18">
      <c r="B93" s="91" t="s">
        <v>326</v>
      </c>
      <c r="C93" s="92"/>
      <c r="D93" s="92">
        <v>1.5</v>
      </c>
      <c r="E93" s="91"/>
      <c r="F93" s="91" t="s">
        <v>327</v>
      </c>
      <c r="G93" s="93">
        <f>C78/I93</f>
        <v>45.687541787385783</v>
      </c>
      <c r="H93" s="94"/>
      <c r="I93">
        <v>0.89739999999999998</v>
      </c>
    </row>
    <row r="94" spans="2:9" ht="18">
      <c r="B94" s="91"/>
      <c r="C94" s="92"/>
      <c r="D94" s="92"/>
      <c r="E94" s="91"/>
      <c r="F94" s="91"/>
      <c r="G94" s="93"/>
      <c r="H94" s="94"/>
      <c r="I94"/>
    </row>
    <row r="95" spans="2:9" ht="18">
      <c r="B95" s="91"/>
      <c r="C95" s="92"/>
      <c r="D95" s="92"/>
      <c r="E95" s="91"/>
      <c r="F95" s="91"/>
      <c r="G95" s="93"/>
      <c r="H95" s="94"/>
      <c r="I95"/>
    </row>
    <row r="96" spans="2:9" ht="18">
      <c r="B96" s="91" t="s">
        <v>328</v>
      </c>
      <c r="C96" s="92"/>
      <c r="D96" s="92"/>
      <c r="E96" s="91"/>
      <c r="F96" s="91" t="s">
        <v>329</v>
      </c>
      <c r="G96" s="93"/>
      <c r="H96" s="94"/>
      <c r="I96"/>
    </row>
    <row r="97" spans="2:9" ht="18">
      <c r="B97" s="91" t="s">
        <v>330</v>
      </c>
      <c r="C97" s="92"/>
      <c r="D97" s="92">
        <v>46.75</v>
      </c>
      <c r="E97" s="91"/>
      <c r="F97" s="91" t="s">
        <v>323</v>
      </c>
      <c r="G97" s="93">
        <f>C78/I97</f>
        <v>52.564102564102562</v>
      </c>
      <c r="H97" s="94">
        <v>0.53500000000000003</v>
      </c>
      <c r="I97">
        <v>0.78</v>
      </c>
    </row>
    <row r="98" spans="2:9" ht="18">
      <c r="B98" s="91" t="s">
        <v>331</v>
      </c>
      <c r="C98" s="92"/>
      <c r="D98" s="92">
        <v>47</v>
      </c>
      <c r="E98" s="91"/>
      <c r="F98" s="91" t="s">
        <v>332</v>
      </c>
      <c r="G98" s="93">
        <f>C78/I98</f>
        <v>50.177456859625501</v>
      </c>
      <c r="H98" s="94">
        <v>0.53500000000000003</v>
      </c>
      <c r="I98">
        <v>0.81710000000000005</v>
      </c>
    </row>
    <row r="99" spans="2:9" ht="18">
      <c r="B99" s="91" t="s">
        <v>333</v>
      </c>
      <c r="C99" s="92"/>
      <c r="D99" s="92">
        <v>49</v>
      </c>
      <c r="E99" s="91"/>
      <c r="F99" s="91" t="s">
        <v>334</v>
      </c>
      <c r="G99" s="93">
        <f>C78*108%</f>
        <v>44.28</v>
      </c>
      <c r="H99" s="94">
        <v>0.23499999999999999</v>
      </c>
      <c r="I99">
        <v>0.23499999999999999</v>
      </c>
    </row>
    <row r="100" spans="2:9" ht="18">
      <c r="B100" s="91" t="s">
        <v>335</v>
      </c>
      <c r="C100" s="92"/>
      <c r="D100" s="93">
        <v>12.5</v>
      </c>
      <c r="E100" s="91"/>
      <c r="F100" s="91"/>
      <c r="G100" s="93"/>
      <c r="H100" s="94"/>
      <c r="I100"/>
    </row>
    <row r="101" spans="2:9" ht="18">
      <c r="B101" s="91"/>
      <c r="C101" s="92"/>
      <c r="D101" s="92"/>
      <c r="E101" s="91"/>
      <c r="F101" s="91" t="s">
        <v>336</v>
      </c>
      <c r="G101" s="93">
        <f>C78/I101</f>
        <v>68.333333333333343</v>
      </c>
      <c r="H101" s="94"/>
      <c r="I101" s="94">
        <v>0.6</v>
      </c>
    </row>
    <row r="102" spans="2:9" ht="18">
      <c r="B102" s="91" t="s">
        <v>337</v>
      </c>
      <c r="C102" s="92"/>
      <c r="D102" s="92"/>
      <c r="E102" s="91"/>
      <c r="F102" s="91"/>
      <c r="G102" s="93"/>
      <c r="H102" s="94"/>
      <c r="I102"/>
    </row>
    <row r="103" spans="2:9" ht="18">
      <c r="B103" s="91" t="s">
        <v>300</v>
      </c>
      <c r="C103" s="92"/>
      <c r="D103" s="92">
        <f>C78/H103</f>
        <v>68.333333333333343</v>
      </c>
      <c r="E103" s="91"/>
      <c r="F103" s="91" t="s">
        <v>338</v>
      </c>
      <c r="G103" s="93">
        <f>C78/I103</f>
        <v>68.333333333333343</v>
      </c>
      <c r="H103" s="94">
        <v>0.6</v>
      </c>
      <c r="I103">
        <v>0.6</v>
      </c>
    </row>
    <row r="104" spans="2:9" ht="18">
      <c r="B104" s="91" t="s">
        <v>303</v>
      </c>
      <c r="C104" s="92"/>
      <c r="D104" s="92">
        <f>C78/H104</f>
        <v>66.129032258064512</v>
      </c>
      <c r="E104" s="91"/>
      <c r="F104" s="91"/>
      <c r="G104" s="93"/>
      <c r="H104" s="94">
        <v>0.62</v>
      </c>
      <c r="I104"/>
    </row>
    <row r="105" spans="2:9" ht="18">
      <c r="B105" s="91" t="s">
        <v>305</v>
      </c>
      <c r="C105" s="92"/>
      <c r="D105" s="92">
        <f>C78/H105</f>
        <v>63.076923076923073</v>
      </c>
      <c r="E105" s="91"/>
      <c r="F105" s="91" t="s">
        <v>339</v>
      </c>
      <c r="G105" s="93">
        <v>3</v>
      </c>
      <c r="H105" s="94">
        <v>0.65</v>
      </c>
      <c r="I105"/>
    </row>
    <row r="106" spans="2:9" ht="18">
      <c r="B106" s="91" t="s">
        <v>340</v>
      </c>
      <c r="C106" s="92"/>
      <c r="D106" s="92">
        <f>C78/H106</f>
        <v>59.85401459854014</v>
      </c>
      <c r="E106" s="91"/>
      <c r="F106" s="91" t="s">
        <v>341</v>
      </c>
      <c r="G106" s="93">
        <v>2</v>
      </c>
      <c r="H106" s="94">
        <v>0.68500000000000005</v>
      </c>
      <c r="I106"/>
    </row>
    <row r="107" spans="2:9" ht="18">
      <c r="B107" s="91"/>
      <c r="C107" s="92"/>
      <c r="D107" s="92"/>
      <c r="E107" s="91"/>
      <c r="F107" s="91"/>
      <c r="G107" s="93"/>
      <c r="H107" s="94"/>
      <c r="I107"/>
    </row>
    <row r="108" spans="2:9" ht="18">
      <c r="B108" s="91" t="s">
        <v>297</v>
      </c>
      <c r="C108" s="92"/>
      <c r="D108" s="92"/>
      <c r="E108" s="91"/>
      <c r="F108" s="91" t="s">
        <v>298</v>
      </c>
      <c r="G108" s="93"/>
      <c r="H108" s="94"/>
      <c r="I108"/>
    </row>
    <row r="109" spans="2:9" ht="18">
      <c r="B109" s="91" t="s">
        <v>300</v>
      </c>
      <c r="C109" s="92"/>
      <c r="D109" s="92">
        <f>C78/H109</f>
        <v>63.271604938271601</v>
      </c>
      <c r="E109" s="91"/>
      <c r="F109" s="91" t="s">
        <v>301</v>
      </c>
      <c r="G109" s="93">
        <f>C78/I109</f>
        <v>67.434210526315795</v>
      </c>
      <c r="H109" s="94">
        <v>0.64800000000000002</v>
      </c>
      <c r="I109">
        <v>0.60799999999999998</v>
      </c>
    </row>
    <row r="110" spans="2:9" ht="18">
      <c r="B110" s="91" t="s">
        <v>303</v>
      </c>
      <c r="C110" s="92"/>
      <c r="D110" s="92">
        <f>C78/H110</f>
        <v>61.194029850746269</v>
      </c>
      <c r="E110" s="91"/>
      <c r="F110" s="91" t="s">
        <v>304</v>
      </c>
      <c r="G110" s="93">
        <f>C78/I110</f>
        <v>67.213114754098356</v>
      </c>
      <c r="H110" s="94">
        <v>0.67</v>
      </c>
      <c r="I110">
        <v>0.61</v>
      </c>
    </row>
    <row r="111" spans="2:9" ht="18">
      <c r="B111" s="91" t="s">
        <v>305</v>
      </c>
      <c r="C111" s="92"/>
      <c r="D111" s="92">
        <f>C78/H111</f>
        <v>59.85401459854014</v>
      </c>
      <c r="E111" s="91"/>
      <c r="F111" s="91" t="s">
        <v>306</v>
      </c>
      <c r="G111" s="93">
        <f>C78/I111</f>
        <v>63.271604938271601</v>
      </c>
      <c r="H111" s="94">
        <v>0.68500000000000005</v>
      </c>
      <c r="I111">
        <v>0.64800000000000002</v>
      </c>
    </row>
    <row r="112" spans="2:9" ht="18">
      <c r="B112" s="91" t="s">
        <v>307</v>
      </c>
      <c r="C112" s="92"/>
      <c r="D112" s="92">
        <f>C78/H112</f>
        <v>59.420289855072468</v>
      </c>
      <c r="E112" s="91"/>
      <c r="F112" s="91" t="s">
        <v>307</v>
      </c>
      <c r="G112" s="93">
        <f>C78/I112</f>
        <v>61.194029850746269</v>
      </c>
      <c r="H112" s="94">
        <v>0.69</v>
      </c>
      <c r="I112">
        <v>0.67</v>
      </c>
    </row>
    <row r="113" spans="2:9">
      <c r="B113"/>
      <c r="C113" s="81"/>
      <c r="D113"/>
      <c r="E113"/>
      <c r="F113"/>
      <c r="G113" s="82"/>
      <c r="H113" s="83"/>
      <c r="I113"/>
    </row>
    <row r="114" spans="2:9" ht="18">
      <c r="B114" s="91" t="s">
        <v>308</v>
      </c>
      <c r="C114" s="81"/>
      <c r="D114" s="91" t="s">
        <v>309</v>
      </c>
      <c r="E114"/>
      <c r="F114"/>
      <c r="G114" s="82"/>
      <c r="H114" s="83"/>
      <c r="I114"/>
    </row>
    <row r="115" spans="2:9" ht="18">
      <c r="B115" s="91"/>
      <c r="C115" s="81"/>
      <c r="D115" s="95"/>
      <c r="E115"/>
      <c r="F115"/>
      <c r="G115" s="82"/>
      <c r="H115" s="83"/>
      <c r="I115"/>
    </row>
    <row r="116" spans="2:9" ht="18">
      <c r="B116" s="91"/>
      <c r="C116" s="81"/>
      <c r="D116" s="95"/>
      <c r="E116"/>
      <c r="F116"/>
      <c r="G116" s="82"/>
      <c r="H116" s="83"/>
      <c r="I116"/>
    </row>
  </sheetData>
  <mergeCells count="1"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4B6E-3A65-4631-8D16-B5F15758372C}">
  <sheetPr codeName="Sheet4"/>
  <dimension ref="A1:H37"/>
  <sheetViews>
    <sheetView topLeftCell="A7" workbookViewId="0">
      <selection activeCell="A38" sqref="A38"/>
    </sheetView>
  </sheetViews>
  <sheetFormatPr baseColWidth="10" defaultColWidth="8.83203125" defaultRowHeight="15"/>
  <cols>
    <col min="1" max="1" width="14.1640625" bestFit="1" customWidth="1"/>
  </cols>
  <sheetData>
    <row r="1" spans="1:8">
      <c r="A1" t="s">
        <v>1</v>
      </c>
      <c r="B1" t="s">
        <v>246</v>
      </c>
    </row>
    <row r="2" spans="1:8">
      <c r="A2" t="s">
        <v>171</v>
      </c>
      <c r="B2">
        <v>0.16</v>
      </c>
    </row>
    <row r="3" spans="1:8">
      <c r="A3" t="s">
        <v>173</v>
      </c>
      <c r="B3">
        <v>0.125</v>
      </c>
    </row>
    <row r="4" spans="1:8">
      <c r="A4" t="s">
        <v>174</v>
      </c>
      <c r="B4">
        <v>0.1</v>
      </c>
    </row>
    <row r="5" spans="1:8">
      <c r="A5" t="s">
        <v>175</v>
      </c>
      <c r="B5">
        <v>0.09</v>
      </c>
    </row>
    <row r="6" spans="1:8">
      <c r="A6" t="s">
        <v>167</v>
      </c>
      <c r="B6">
        <v>0.08</v>
      </c>
    </row>
    <row r="7" spans="1:8">
      <c r="A7" t="s">
        <v>342</v>
      </c>
      <c r="B7">
        <v>7.4999999999999997E-2</v>
      </c>
    </row>
    <row r="8" spans="1:8">
      <c r="A8" t="s">
        <v>198</v>
      </c>
      <c r="B8">
        <v>7.0000000000000007E-2</v>
      </c>
    </row>
    <row r="9" spans="1:8">
      <c r="A9" t="s">
        <v>186</v>
      </c>
      <c r="B9">
        <v>0.06</v>
      </c>
    </row>
    <row r="10" spans="1:8">
      <c r="A10" t="s">
        <v>98</v>
      </c>
      <c r="B10">
        <v>0.05</v>
      </c>
    </row>
    <row r="11" spans="1:8">
      <c r="A11" t="s">
        <v>176</v>
      </c>
      <c r="B11">
        <v>4.4999999999999998E-2</v>
      </c>
    </row>
    <row r="12" spans="1:8">
      <c r="A12" t="s">
        <v>97</v>
      </c>
      <c r="B12">
        <v>0.04</v>
      </c>
      <c r="H12" t="s">
        <v>342</v>
      </c>
    </row>
    <row r="13" spans="1:8">
      <c r="A13" t="s">
        <v>177</v>
      </c>
      <c r="B13">
        <v>3.5000000000000003E-2</v>
      </c>
    </row>
    <row r="14" spans="1:8">
      <c r="A14" t="s">
        <v>96</v>
      </c>
      <c r="B14">
        <v>0.03</v>
      </c>
    </row>
    <row r="15" spans="1:8">
      <c r="A15" t="s">
        <v>94</v>
      </c>
      <c r="B15">
        <v>2.5000000000000001E-2</v>
      </c>
    </row>
    <row r="16" spans="1:8">
      <c r="A16" t="s">
        <v>93</v>
      </c>
      <c r="B16">
        <v>0.02</v>
      </c>
    </row>
    <row r="17" spans="1:2">
      <c r="A17" t="s">
        <v>92</v>
      </c>
      <c r="B17">
        <v>1.7999999999999999E-2</v>
      </c>
    </row>
    <row r="18" spans="1:2">
      <c r="A18" t="s">
        <v>91</v>
      </c>
      <c r="B18">
        <v>1.4999999999999999E-2</v>
      </c>
    </row>
    <row r="19" spans="1:2">
      <c r="A19" t="s">
        <v>178</v>
      </c>
      <c r="B19">
        <v>1.4E-2</v>
      </c>
    </row>
    <row r="20" spans="1:2">
      <c r="A20" t="s">
        <v>90</v>
      </c>
      <c r="B20">
        <v>1.2E-2</v>
      </c>
    </row>
    <row r="21" spans="1:2">
      <c r="A21" t="s">
        <v>83</v>
      </c>
      <c r="B21">
        <v>0.01</v>
      </c>
    </row>
    <row r="22" spans="1:2">
      <c r="A22" t="s">
        <v>185</v>
      </c>
      <c r="B22">
        <v>8.0000000000000002E-3</v>
      </c>
    </row>
    <row r="23" spans="1:2">
      <c r="A23" t="s">
        <v>183</v>
      </c>
      <c r="B23">
        <v>6.0000000000000001E-3</v>
      </c>
    </row>
    <row r="25" spans="1:2">
      <c r="A25" t="s">
        <v>105</v>
      </c>
      <c r="B25">
        <f>1/8</f>
        <v>0.125</v>
      </c>
    </row>
    <row r="26" spans="1:2">
      <c r="A26" t="s">
        <v>108</v>
      </c>
      <c r="B26">
        <f>1/4</f>
        <v>0.25</v>
      </c>
    </row>
    <row r="27" spans="1:2">
      <c r="A27" t="s">
        <v>142</v>
      </c>
      <c r="B27">
        <f>1/2</f>
        <v>0.5</v>
      </c>
    </row>
    <row r="28" spans="1:2">
      <c r="A28" t="s">
        <v>107</v>
      </c>
      <c r="B28">
        <f>3/16</f>
        <v>0.1875</v>
      </c>
    </row>
    <row r="29" spans="1:2">
      <c r="A29" t="s">
        <v>109</v>
      </c>
      <c r="B29">
        <f>3/8</f>
        <v>0.375</v>
      </c>
    </row>
    <row r="31" spans="1:2">
      <c r="A31" t="s">
        <v>124</v>
      </c>
      <c r="B31">
        <v>0.06</v>
      </c>
    </row>
    <row r="32" spans="1:2">
      <c r="A32" t="s">
        <v>125</v>
      </c>
      <c r="B32">
        <v>0.08</v>
      </c>
    </row>
    <row r="33" spans="1:2">
      <c r="A33" t="s">
        <v>126</v>
      </c>
      <c r="B33">
        <v>0.1</v>
      </c>
    </row>
    <row r="34" spans="1:2">
      <c r="A34" t="s">
        <v>127</v>
      </c>
      <c r="B34">
        <v>0.12</v>
      </c>
    </row>
    <row r="35" spans="1:2">
      <c r="A35" t="s">
        <v>128</v>
      </c>
      <c r="B35">
        <v>0.16</v>
      </c>
    </row>
    <row r="36" spans="1:2">
      <c r="A36" t="s">
        <v>343</v>
      </c>
      <c r="B36">
        <v>0.2</v>
      </c>
    </row>
    <row r="37" spans="1:2">
      <c r="A37" t="s">
        <v>344</v>
      </c>
      <c r="B37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</vt:lpstr>
      <vt:lpstr>Prices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david@myrontoback.com</cp:lastModifiedBy>
  <dcterms:created xsi:type="dcterms:W3CDTF">2025-04-09T17:09:16Z</dcterms:created>
  <dcterms:modified xsi:type="dcterms:W3CDTF">2025-09-25T16:17:48Z</dcterms:modified>
</cp:coreProperties>
</file>