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-my.sharepoint.com/personal/dhardy4_students_towson_edu/Documents/"/>
    </mc:Choice>
  </mc:AlternateContent>
  <xr:revisionPtr revIDLastSave="0" documentId="8_{8E41B13D-63C5-4C9F-99D9-2EC751348F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aluations &amp; Assumptions" sheetId="4" r:id="rId1"/>
    <sheet name="DDM" sheetId="1" r:id="rId2"/>
    <sheet name="PE" sheetId="2" r:id="rId3"/>
    <sheet name="DCF" sheetId="3" r:id="rId4"/>
  </sheets>
  <definedNames>
    <definedName name="k">DDM!$B$1</definedName>
    <definedName name="wacc">DCF!$B$1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" l="1"/>
  <c r="D4" i="2"/>
  <c r="C6" i="4"/>
  <c r="J9" i="4"/>
  <c r="H9" i="4"/>
  <c r="F4" i="2"/>
  <c r="E4" i="2"/>
  <c r="C4" i="2"/>
  <c r="F2" i="2"/>
  <c r="E2" i="2"/>
  <c r="D2" i="2"/>
  <c r="C2" i="2"/>
  <c r="F9" i="2"/>
  <c r="F20" i="2"/>
  <c r="F17" i="2"/>
  <c r="F14" i="2"/>
  <c r="F8" i="2"/>
  <c r="F30" i="2"/>
  <c r="F12" i="2"/>
  <c r="F15" i="2"/>
  <c r="F16" i="2"/>
  <c r="F18" i="2"/>
  <c r="F11" i="2"/>
  <c r="F10" i="2"/>
  <c r="C3" i="2" l="1"/>
  <c r="B16" i="3"/>
  <c r="B14" i="3"/>
  <c r="B13" i="3"/>
  <c r="E5" i="3"/>
  <c r="B6" i="3"/>
  <c r="B1" i="3"/>
  <c r="E6" i="2"/>
  <c r="F6" i="2" s="1"/>
  <c r="N5" i="1"/>
  <c r="E5" i="1"/>
  <c r="D8" i="1"/>
  <c r="C8" i="1"/>
  <c r="B8" i="1"/>
  <c r="D6" i="1"/>
  <c r="C6" i="1"/>
  <c r="B6" i="1"/>
  <c r="B1" i="1"/>
  <c r="D3" i="2"/>
  <c r="E3" i="2"/>
  <c r="F19" i="2"/>
  <c r="O9" i="1"/>
  <c r="P9" i="1"/>
  <c r="Q9" i="1"/>
  <c r="C9" i="1"/>
  <c r="D9" i="1"/>
  <c r="E9" i="1"/>
  <c r="F9" i="1"/>
  <c r="G9" i="1"/>
  <c r="H9" i="1"/>
  <c r="I9" i="1"/>
  <c r="J9" i="1"/>
  <c r="K9" i="1"/>
  <c r="L9" i="1"/>
  <c r="M9" i="1"/>
  <c r="N9" i="1"/>
  <c r="B9" i="1"/>
  <c r="F3" i="2" l="1"/>
  <c r="D5" i="1"/>
  <c r="D5" i="3" s="1"/>
  <c r="C10" i="1"/>
  <c r="B10" i="1"/>
  <c r="C7" i="1"/>
  <c r="C5" i="1"/>
  <c r="C5" i="3" s="1"/>
  <c r="C6" i="3" s="1"/>
  <c r="D6" i="3" s="1"/>
  <c r="L7" i="3" l="1"/>
  <c r="B7" i="3"/>
  <c r="B8" i="3" s="1"/>
  <c r="N5" i="3"/>
  <c r="D7" i="1"/>
  <c r="E7" i="1" s="1"/>
  <c r="F7" i="1" s="1"/>
  <c r="G7" i="1" s="1"/>
  <c r="H7" i="1" s="1"/>
  <c r="I7" i="1" s="1"/>
  <c r="J7" i="1" s="1"/>
  <c r="K7" i="1" s="1"/>
  <c r="L7" i="1" s="1"/>
  <c r="M7" i="1" s="1"/>
  <c r="B7" i="1"/>
  <c r="C40" i="2" l="1"/>
  <c r="C37" i="2"/>
  <c r="C41" i="2"/>
  <c r="C38" i="2"/>
  <c r="F5" i="1"/>
  <c r="G5" i="1" s="1"/>
  <c r="H5" i="1" s="1"/>
  <c r="I5" i="1" s="1"/>
  <c r="J5" i="1" s="1"/>
  <c r="K5" i="1" s="1"/>
  <c r="L5" i="1" s="1"/>
  <c r="M5" i="1" s="1"/>
  <c r="E6" i="1"/>
  <c r="O5" i="1"/>
  <c r="O5" i="3" s="1"/>
  <c r="G5" i="3" l="1"/>
  <c r="F5" i="3"/>
  <c r="F6" i="1"/>
  <c r="E8" i="1"/>
  <c r="D10" i="1" s="1"/>
  <c r="P5" i="1"/>
  <c r="N7" i="3"/>
  <c r="M7" i="3"/>
  <c r="K7" i="3"/>
  <c r="J7" i="3"/>
  <c r="I7" i="3"/>
  <c r="H7" i="3"/>
  <c r="G7" i="3"/>
  <c r="F7" i="3"/>
  <c r="E7" i="3"/>
  <c r="D7" i="3"/>
  <c r="C7" i="3"/>
  <c r="H5" i="3" l="1"/>
  <c r="Q5" i="1"/>
  <c r="Q5" i="3" s="1"/>
  <c r="P5" i="3"/>
  <c r="G6" i="1"/>
  <c r="F8" i="1"/>
  <c r="E10" i="1" s="1"/>
  <c r="C8" i="3" l="1"/>
  <c r="I5" i="3"/>
  <c r="H6" i="1"/>
  <c r="G8" i="1"/>
  <c r="F10" i="1" s="1"/>
  <c r="J5" i="3" l="1"/>
  <c r="I6" i="1"/>
  <c r="I8" i="1" s="1"/>
  <c r="H10" i="1" s="1"/>
  <c r="H8" i="1"/>
  <c r="G10" i="1" s="1"/>
  <c r="K5" i="3" l="1"/>
  <c r="J6" i="1"/>
  <c r="J8" i="1" s="1"/>
  <c r="I10" i="1" s="1"/>
  <c r="M5" i="3" l="1"/>
  <c r="L5" i="3"/>
  <c r="K6" i="1"/>
  <c r="K8" i="1" s="1"/>
  <c r="J10" i="1" s="1"/>
  <c r="L6" i="1" l="1"/>
  <c r="M6" i="1" s="1"/>
  <c r="N6" i="1" s="1"/>
  <c r="M8" i="1" l="1"/>
  <c r="L10" i="1" s="1"/>
  <c r="L8" i="1"/>
  <c r="K10" i="1" s="1"/>
  <c r="O6" i="1"/>
  <c r="N8" i="1"/>
  <c r="M10" i="1" s="1"/>
  <c r="P6" i="1" l="1"/>
  <c r="O8" i="1"/>
  <c r="N11" i="1" l="1"/>
  <c r="N12" i="1" s="1"/>
  <c r="N10" i="1"/>
  <c r="Q6" i="1"/>
  <c r="Q8" i="1" s="1"/>
  <c r="P8" i="1"/>
  <c r="E6" i="3"/>
  <c r="B14" i="1" l="1"/>
  <c r="C4" i="4" s="1"/>
  <c r="F6" i="3"/>
  <c r="E8" i="3"/>
  <c r="D8" i="3"/>
  <c r="G6" i="3" l="1"/>
  <c r="F8" i="3"/>
  <c r="G8" i="3" l="1"/>
  <c r="H6" i="3"/>
  <c r="I6" i="3" l="1"/>
  <c r="H8" i="3"/>
  <c r="I8" i="3" l="1"/>
  <c r="J6" i="3"/>
  <c r="K6" i="3" l="1"/>
  <c r="J8" i="3"/>
  <c r="L6" i="3" l="1"/>
  <c r="L8" i="3" s="1"/>
  <c r="K8" i="3"/>
  <c r="M6" i="3" l="1"/>
  <c r="N6" i="3" l="1"/>
  <c r="M8" i="3"/>
  <c r="N9" i="3" l="1"/>
  <c r="N10" i="3" s="1"/>
  <c r="N8" i="3"/>
  <c r="B12" i="3" l="1"/>
  <c r="B15" i="3" l="1"/>
  <c r="B17" i="3" s="1"/>
  <c r="C10" i="4" s="1"/>
  <c r="C12" i="4"/>
  <c r="C13" i="4"/>
  <c r="C15" i="4" s="1"/>
</calcChain>
</file>

<file path=xl/sharedStrings.xml><?xml version="1.0" encoding="utf-8"?>
<sst xmlns="http://schemas.openxmlformats.org/spreadsheetml/2006/main" count="183" uniqueCount="125">
  <si>
    <t>Current Price</t>
  </si>
  <si>
    <t>CAPM</t>
  </si>
  <si>
    <t>Rf</t>
  </si>
  <si>
    <t>b</t>
  </si>
  <si>
    <t>MRP</t>
  </si>
  <si>
    <t>DDM</t>
  </si>
  <si>
    <t>P/E</t>
  </si>
  <si>
    <t>EPS</t>
  </si>
  <si>
    <t>FY1</t>
  </si>
  <si>
    <t>FY2</t>
  </si>
  <si>
    <t>FY3</t>
  </si>
  <si>
    <t>PEG</t>
  </si>
  <si>
    <t>DIV</t>
  </si>
  <si>
    <t>DCF</t>
  </si>
  <si>
    <t>GROWTH</t>
  </si>
  <si>
    <t>Short-term</t>
  </si>
  <si>
    <t>Long-term</t>
  </si>
  <si>
    <t>Mean</t>
  </si>
  <si>
    <t>Median</t>
  </si>
  <si>
    <t>DECISION</t>
  </si>
  <si>
    <t>WACC</t>
  </si>
  <si>
    <t>FCF</t>
  </si>
  <si>
    <t>STD + LTD</t>
  </si>
  <si>
    <t>Cash</t>
  </si>
  <si>
    <t># of shares outstanding</t>
  </si>
  <si>
    <t xml:space="preserve">. </t>
  </si>
  <si>
    <t>k</t>
  </si>
  <si>
    <t>Date</t>
  </si>
  <si>
    <t>FY 2024</t>
  </si>
  <si>
    <t>FY 2025</t>
  </si>
  <si>
    <t>FY 2026</t>
  </si>
  <si>
    <t>FY 2027</t>
  </si>
  <si>
    <t>FY 2028</t>
  </si>
  <si>
    <t>FY 2029</t>
  </si>
  <si>
    <t>FY 2030</t>
  </si>
  <si>
    <t>FY 2031</t>
  </si>
  <si>
    <t>FY 2032</t>
  </si>
  <si>
    <t>FY 2033</t>
  </si>
  <si>
    <t>FY 2034</t>
  </si>
  <si>
    <t>FY 2035</t>
  </si>
  <si>
    <t>FY 2036</t>
  </si>
  <si>
    <t>FY 2037</t>
  </si>
  <si>
    <t>FY 2038</t>
  </si>
  <si>
    <t>FY 2039</t>
  </si>
  <si>
    <t>Growth</t>
  </si>
  <si>
    <t>-</t>
  </si>
  <si>
    <t>Payout</t>
  </si>
  <si>
    <t>Dividends</t>
  </si>
  <si>
    <t>Discount Period</t>
  </si>
  <si>
    <t>PV of Div.</t>
  </si>
  <si>
    <t>TV</t>
  </si>
  <si>
    <t>PV of TV</t>
  </si>
  <si>
    <t xml:space="preserve">Vo = </t>
  </si>
  <si>
    <t>Stats</t>
  </si>
  <si>
    <t>Name</t>
  </si>
  <si>
    <t>Mkt Cap ($B)</t>
  </si>
  <si>
    <t>LTG</t>
  </si>
  <si>
    <t>Average</t>
  </si>
  <si>
    <t>All Industry</t>
  </si>
  <si>
    <t>Comparables in Size</t>
  </si>
  <si>
    <t>MKC</t>
  </si>
  <si>
    <t>McCormick</t>
  </si>
  <si>
    <t>MDLZ US Equity</t>
  </si>
  <si>
    <t>MONDELEZ INTERNATIONAL INC-A</t>
  </si>
  <si>
    <t>KHC US Equity</t>
  </si>
  <si>
    <t>KRAFT HEINZ CO/THE</t>
  </si>
  <si>
    <t>GIS US Equity</t>
  </si>
  <si>
    <t>GENERAL MILLS INC</t>
  </si>
  <si>
    <t>HSY US Equity</t>
  </si>
  <si>
    <t>HERSHEY CO/THE</t>
  </si>
  <si>
    <t>K US Equity</t>
  </si>
  <si>
    <t>KELLANOVA</t>
  </si>
  <si>
    <t>TSN US Equity</t>
  </si>
  <si>
    <t>TYSON FOODS INC-CL A</t>
  </si>
  <si>
    <t>.</t>
  </si>
  <si>
    <t>HRL US Equity</t>
  </si>
  <si>
    <t>HORMEL FOODS CORP</t>
  </si>
  <si>
    <t>CAG US Equity</t>
  </si>
  <si>
    <t>CONAGRA BRANDS INC</t>
  </si>
  <si>
    <t>CPB US Equity</t>
  </si>
  <si>
    <t>CAMPBELL SOUP CO</t>
  </si>
  <si>
    <t>SJM US Equity</t>
  </si>
  <si>
    <t>JM SMUCKER CO/THE</t>
  </si>
  <si>
    <t>PPC US Equity</t>
  </si>
  <si>
    <t>PILGRIM'S PRIDE CORP</t>
  </si>
  <si>
    <t>LW US Equity</t>
  </si>
  <si>
    <t>LAMB WESTON HOLDINGS INC</t>
  </si>
  <si>
    <t>POST US Equity</t>
  </si>
  <si>
    <t>POST HOLDINGS INC</t>
  </si>
  <si>
    <t>FLO US Equity</t>
  </si>
  <si>
    <t>FLOWERS FOODS INC</t>
  </si>
  <si>
    <t>LANC US Equity</t>
  </si>
  <si>
    <t>LANCASTER COLONY CORP</t>
  </si>
  <si>
    <t>CALM US Equity</t>
  </si>
  <si>
    <t>CAL-MAINE FOODS INC</t>
  </si>
  <si>
    <t>SMPL US Equity</t>
  </si>
  <si>
    <t>SIMPLY GOOD FOODS CO/THE</t>
  </si>
  <si>
    <t>JJSF US Equity</t>
  </si>
  <si>
    <t>J &amp; J SNACK FOODS CORP</t>
  </si>
  <si>
    <t>TR US Equity</t>
  </si>
  <si>
    <t>TOOTSIE ROLL INDS</t>
  </si>
  <si>
    <t>THS US Equity</t>
  </si>
  <si>
    <t>TREEHOUSE FOODS INC</t>
  </si>
  <si>
    <t>JBSS US Equity</t>
  </si>
  <si>
    <t>JOHN B. SANFILIPPO &amp; SON INC</t>
  </si>
  <si>
    <t>HAIN US Equity</t>
  </si>
  <si>
    <t>HAIN CELESTIAL GROUP INC</t>
  </si>
  <si>
    <t>HLF US Equity</t>
  </si>
  <si>
    <t>HERBALIFE LTD</t>
  </si>
  <si>
    <t>BGS US Equity</t>
  </si>
  <si>
    <t>B&amp;G FOODS INC</t>
  </si>
  <si>
    <t>SENEB US Equity</t>
  </si>
  <si>
    <t>SENECA FOODS CORP - CL B</t>
  </si>
  <si>
    <t>EPS FY 2024</t>
  </si>
  <si>
    <t>Valuation P/E Comps - Average</t>
  </si>
  <si>
    <t>Valuation P/E Industry - Median</t>
  </si>
  <si>
    <t>Valuation PEG Comps - Average</t>
  </si>
  <si>
    <t>Valuation PEG Industry - Median</t>
  </si>
  <si>
    <t>PV of FCF</t>
  </si>
  <si>
    <t xml:space="preserve">Total MV = </t>
  </si>
  <si>
    <r>
      <rPr>
        <b/>
        <sz val="11"/>
        <color rgb="FFFF0000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STD + LTD =</t>
    </r>
  </si>
  <si>
    <r>
      <t xml:space="preserve"> </t>
    </r>
    <r>
      <rPr>
        <b/>
        <sz val="11"/>
        <color rgb="FF00B050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$ CASH =</t>
    </r>
  </si>
  <si>
    <t>Total MVE =</t>
  </si>
  <si>
    <t># of Shares OUT =</t>
  </si>
  <si>
    <t>Value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</si>
</sst>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_(* #,##0.0_);_(* \(#,##0.0\);_(* &quot;-&quot;??_);_(@_)"/>
  </numFmts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Arial Unicode MS"/>
      <family val="2"/>
    </font>
    <font>
      <sz val="10"/>
      <name val="Arial"/>
      <family val="2"/>
    </font>
    <font>
      <b/>
      <sz val="9"/>
      <name val="Arial Unicode MS"/>
      <family val="2"/>
    </font>
    <font>
      <sz val="6"/>
      <name val="Arial Unicode MS"/>
      <family val="2"/>
    </font>
    <font>
      <sz val="11"/>
      <color theme="1"/>
      <name val="Symbol"/>
      <family val="1"/>
      <charset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8C2A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0" fontId="9" fillId="0" borderId="0"/>
    <xf numFmtId="0" fontId="9" fillId="0" borderId="0"/>
    <xf numFmtId="0" fontId="11" fillId="7" borderId="0">
      <alignment horizontal="center"/>
    </xf>
    <xf numFmtId="0" fontId="12" fillId="0" borderId="0">
      <alignment vertical="top" wrapText="1"/>
    </xf>
    <xf numFmtId="0" fontId="14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10" fontId="0" fillId="2" borderId="2" xfId="0" applyNumberFormat="1" applyFill="1" applyBorder="1" applyAlignment="1">
      <alignment horizontal="center" vertical="center"/>
    </xf>
    <xf numFmtId="8" fontId="0" fillId="2" borderId="1" xfId="0" applyNumberFormat="1" applyFill="1" applyBorder="1" applyAlignment="1">
      <alignment horizontal="center"/>
    </xf>
    <xf numFmtId="8" fontId="0" fillId="2" borderId="3" xfId="0" applyNumberFormat="1" applyFill="1" applyBorder="1" applyAlignment="1">
      <alignment horizontal="center"/>
    </xf>
    <xf numFmtId="8" fontId="0" fillId="2" borderId="2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8" fontId="0" fillId="4" borderId="2" xfId="0" applyNumberFormat="1" applyFill="1" applyBorder="1" applyAlignment="1">
      <alignment horizontal="center"/>
    </xf>
    <xf numFmtId="0" fontId="0" fillId="4" borderId="1" xfId="0" applyFill="1" applyBorder="1"/>
    <xf numFmtId="8" fontId="0" fillId="4" borderId="2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8" fontId="0" fillId="4" borderId="2" xfId="0" applyNumberFormat="1" applyFill="1" applyBorder="1"/>
    <xf numFmtId="0" fontId="0" fillId="5" borderId="0" xfId="0" applyFill="1"/>
    <xf numFmtId="8" fontId="0" fillId="2" borderId="2" xfId="0" applyNumberFormat="1" applyFill="1" applyBorder="1"/>
    <xf numFmtId="0" fontId="0" fillId="4" borderId="4" xfId="0" applyFill="1" applyBorder="1"/>
    <xf numFmtId="8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8" fontId="0" fillId="4" borderId="8" xfId="0" applyNumberFormat="1" applyFill="1" applyBorder="1"/>
    <xf numFmtId="0" fontId="0" fillId="4" borderId="9" xfId="0" applyFill="1" applyBorder="1"/>
    <xf numFmtId="8" fontId="0" fillId="4" borderId="11" xfId="0" applyNumberFormat="1" applyFill="1" applyBorder="1"/>
    <xf numFmtId="0" fontId="0" fillId="3" borderId="4" xfId="0" applyFill="1" applyBorder="1"/>
    <xf numFmtId="8" fontId="0" fillId="3" borderId="6" xfId="0" applyNumberFormat="1" applyFill="1" applyBorder="1"/>
    <xf numFmtId="0" fontId="0" fillId="3" borderId="9" xfId="0" applyFill="1" applyBorder="1"/>
    <xf numFmtId="8" fontId="0" fillId="3" borderId="11" xfId="0" applyNumberFormat="1" applyFill="1" applyBorder="1"/>
    <xf numFmtId="0" fontId="7" fillId="5" borderId="0" xfId="0" applyFont="1" applyFill="1"/>
    <xf numFmtId="0" fontId="1" fillId="6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4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8" fontId="0" fillId="5" borderId="0" xfId="0" applyNumberFormat="1" applyFill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4" fontId="0" fillId="5" borderId="0" xfId="0" applyNumberFormat="1" applyFill="1"/>
    <xf numFmtId="8" fontId="0" fillId="5" borderId="0" xfId="0" applyNumberFormat="1" applyFill="1"/>
    <xf numFmtId="0" fontId="6" fillId="5" borderId="0" xfId="0" applyFont="1" applyFill="1"/>
    <xf numFmtId="0" fontId="10" fillId="5" borderId="0" xfId="2" applyFont="1" applyFill="1" applyAlignment="1">
      <alignment horizontal="left"/>
    </xf>
    <xf numFmtId="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/>
    <xf numFmtId="4" fontId="0" fillId="5" borderId="3" xfId="0" applyNumberFormat="1" applyFill="1" applyBorder="1" applyAlignment="1">
      <alignment horizontal="center"/>
    </xf>
    <xf numFmtId="0" fontId="2" fillId="4" borderId="1" xfId="0" applyFont="1" applyFill="1" applyBorder="1"/>
    <xf numFmtId="0" fontId="2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0" fillId="4" borderId="0" xfId="0" applyFill="1"/>
    <xf numFmtId="4" fontId="0" fillId="4" borderId="0" xfId="0" applyNumberFormat="1" applyFill="1" applyAlignment="1">
      <alignment horizontal="center"/>
    </xf>
    <xf numFmtId="0" fontId="0" fillId="4" borderId="10" xfId="0" applyFill="1" applyBorder="1"/>
    <xf numFmtId="4" fontId="0" fillId="4" borderId="10" xfId="0" applyNumberFormat="1" applyFill="1" applyBorder="1" applyAlignment="1">
      <alignment horizontal="center"/>
    </xf>
    <xf numFmtId="4" fontId="0" fillId="2" borderId="12" xfId="0" applyNumberFormat="1" applyFill="1" applyBorder="1" applyAlignment="1">
      <alignment horizontal="center"/>
    </xf>
    <xf numFmtId="6" fontId="0" fillId="2" borderId="12" xfId="0" applyNumberFormat="1" applyFill="1" applyBorder="1" applyAlignment="1">
      <alignment horizontal="center"/>
    </xf>
    <xf numFmtId="6" fontId="0" fillId="5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/>
    </xf>
    <xf numFmtId="6" fontId="0" fillId="5" borderId="0" xfId="0" applyNumberFormat="1" applyFill="1"/>
    <xf numFmtId="6" fontId="0" fillId="5" borderId="0" xfId="0" applyNumberFormat="1" applyFill="1" applyAlignment="1">
      <alignment vertical="center"/>
    </xf>
    <xf numFmtId="0" fontId="0" fillId="5" borderId="0" xfId="0" quotePrefix="1" applyFill="1" applyAlignment="1">
      <alignment horizontal="center" vertical="center"/>
    </xf>
    <xf numFmtId="165" fontId="0" fillId="5" borderId="0" xfId="1" applyNumberFormat="1" applyFont="1" applyFill="1"/>
    <xf numFmtId="164" fontId="15" fillId="2" borderId="12" xfId="0" applyNumberFormat="1" applyFont="1" applyFill="1" applyBorder="1" applyAlignment="1">
      <alignment horizontal="center"/>
    </xf>
    <xf numFmtId="0" fontId="0" fillId="5" borderId="10" xfId="0" quotePrefix="1" applyFill="1" applyBorder="1" applyAlignment="1">
      <alignment horizontal="center" vertical="center"/>
    </xf>
    <xf numFmtId="6" fontId="0" fillId="5" borderId="10" xfId="0" applyNumberFormat="1" applyFill="1" applyBorder="1" applyAlignment="1">
      <alignment vertical="center"/>
    </xf>
    <xf numFmtId="0" fontId="10" fillId="5" borderId="3" xfId="2" applyFont="1" applyFill="1" applyBorder="1" applyAlignment="1">
      <alignment horizontal="left"/>
    </xf>
    <xf numFmtId="4" fontId="3" fillId="9" borderId="1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13" fillId="2" borderId="0" xfId="0" applyFont="1" applyFill="1" applyAlignment="1">
      <alignment horizontal="center"/>
    </xf>
    <xf numFmtId="4" fontId="0" fillId="2" borderId="0" xfId="0" applyNumberFormat="1" applyFill="1" applyAlignment="1">
      <alignment horizontal="center"/>
    </xf>
    <xf numFmtId="8" fontId="0" fillId="2" borderId="0" xfId="0" applyNumberFormat="1" applyFill="1" applyAlignment="1">
      <alignment horizontal="center"/>
    </xf>
    <xf numFmtId="0" fontId="15" fillId="2" borderId="0" xfId="6" applyFont="1" applyFill="1" applyAlignment="1">
      <alignment horizontal="center"/>
    </xf>
    <xf numFmtId="4" fontId="10" fillId="5" borderId="0" xfId="2" applyNumberFormat="1" applyFont="1" applyFill="1" applyAlignment="1">
      <alignment horizontal="center"/>
    </xf>
    <xf numFmtId="2" fontId="10" fillId="5" borderId="0" xfId="2" applyNumberFormat="1" applyFont="1" applyFill="1" applyAlignment="1">
      <alignment horizontal="center"/>
    </xf>
    <xf numFmtId="10" fontId="0" fillId="10" borderId="0" xfId="0" applyNumberFormat="1" applyFill="1" applyAlignment="1">
      <alignment horizontal="center"/>
    </xf>
    <xf numFmtId="6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5" xfId="0" applyFill="1" applyBorder="1" applyAlignment="1">
      <alignment horizontal="center"/>
    </xf>
  </cellXfs>
  <cellStyles count="7">
    <cellStyle name="Comma" xfId="1" builtinId="3"/>
    <cellStyle name="defaultsheetstyle" xfId="2" xr:uid="{00000000-0005-0000-0000-000001000000}"/>
    <cellStyle name="disclaimer" xfId="5" xr:uid="{CF17B147-FCB8-4688-9EAD-CD51F826DBAC}"/>
    <cellStyle name="Hyperlink" xfId="6" builtinId="8"/>
    <cellStyle name="Normal" xfId="0" builtinId="0"/>
    <cellStyle name="plainText" xfId="3" xr:uid="{BAA6969B-3CC3-4B1B-BC9B-DF7F0766B1E2}"/>
    <cellStyle name="tablesubHeader" xfId="4" xr:uid="{6644EA85-8EED-4BC9-88BF-C865A3ED87C7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FY@" TargetMode="External"/><Relationship Id="rId1" Type="http://schemas.openxmlformats.org/officeDocument/2006/relationships/hyperlink" Target="mailto:FY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9"/>
  <sheetViews>
    <sheetView tabSelected="1" zoomScale="220" zoomScaleNormal="220" workbookViewId="0">
      <selection activeCell="G19" sqref="G19"/>
    </sheetView>
  </sheetViews>
  <sheetFormatPr defaultRowHeight="15"/>
  <cols>
    <col min="1" max="1" width="5.42578125" style="13" customWidth="1"/>
    <col min="2" max="2" width="12.5703125" style="13" bestFit="1" customWidth="1"/>
    <col min="3" max="3" width="10" style="13" bestFit="1" customWidth="1"/>
    <col min="4" max="16384" width="9.140625" style="13"/>
  </cols>
  <sheetData>
    <row r="1" spans="2:10" ht="15" customHeight="1" thickBot="1"/>
    <row r="2" spans="2:10" ht="15" customHeight="1" thickBot="1">
      <c r="B2" s="2" t="s">
        <v>0</v>
      </c>
      <c r="C2" s="14">
        <v>202.125</v>
      </c>
      <c r="E2" s="74" t="s">
        <v>1</v>
      </c>
      <c r="F2" s="75"/>
      <c r="G2" s="75"/>
      <c r="H2" s="75"/>
      <c r="I2" s="75"/>
      <c r="J2" s="76"/>
    </row>
    <row r="3" spans="2:10" ht="15" customHeight="1" thickBot="1">
      <c r="E3" s="61" t="s">
        <v>2</v>
      </c>
      <c r="F3" s="62">
        <v>4.02E-2</v>
      </c>
      <c r="G3" s="63" t="s">
        <v>3</v>
      </c>
      <c r="H3" s="64">
        <v>1</v>
      </c>
      <c r="I3" s="61" t="s">
        <v>4</v>
      </c>
      <c r="J3" s="62">
        <v>0.06</v>
      </c>
    </row>
    <row r="4" spans="2:10" ht="15" customHeight="1" thickBot="1">
      <c r="B4" s="15" t="s">
        <v>5</v>
      </c>
      <c r="C4" s="16">
        <f ca="1">DDM!B14</f>
        <v>69.587858326975265</v>
      </c>
    </row>
    <row r="5" spans="2:10" ht="15" customHeight="1" thickBot="1">
      <c r="B5" s="17"/>
      <c r="C5" s="18"/>
      <c r="E5" s="74" t="s">
        <v>5</v>
      </c>
      <c r="F5" s="75"/>
      <c r="G5" s="75"/>
      <c r="H5" s="75"/>
      <c r="I5" s="75"/>
      <c r="J5" s="76"/>
    </row>
    <row r="6" spans="2:10" ht="15" customHeight="1" thickBot="1">
      <c r="B6" s="17" t="s">
        <v>6</v>
      </c>
      <c r="C6" s="19">
        <f>132</f>
        <v>132</v>
      </c>
      <c r="E6" s="77" t="s">
        <v>7</v>
      </c>
      <c r="F6" s="77"/>
      <c r="G6" s="77"/>
      <c r="H6" s="77"/>
      <c r="I6" s="77"/>
      <c r="J6" s="77"/>
    </row>
    <row r="7" spans="2:10" ht="15" customHeight="1">
      <c r="B7" s="17"/>
      <c r="C7" s="18"/>
      <c r="E7" s="61" t="s">
        <v>8</v>
      </c>
      <c r="F7" s="65">
        <v>5.2030000000000003</v>
      </c>
      <c r="G7" s="66" t="s">
        <v>9</v>
      </c>
      <c r="H7" s="65">
        <v>6.4050000000000002</v>
      </c>
      <c r="I7" s="61" t="s">
        <v>10</v>
      </c>
      <c r="J7" s="65">
        <v>7.96</v>
      </c>
    </row>
    <row r="8" spans="2:10" ht="15" customHeight="1" thickBot="1">
      <c r="B8" s="17" t="s">
        <v>11</v>
      </c>
      <c r="C8" s="19"/>
      <c r="E8" s="78" t="s">
        <v>12</v>
      </c>
      <c r="F8" s="78"/>
      <c r="G8" s="78"/>
      <c r="H8" s="78"/>
      <c r="I8" s="78"/>
      <c r="J8" s="78"/>
    </row>
    <row r="9" spans="2:10" ht="15" customHeight="1">
      <c r="B9" s="17"/>
      <c r="C9" s="18"/>
      <c r="E9" s="61" t="s">
        <v>8</v>
      </c>
      <c r="F9" s="65">
        <v>3.9020000000000001</v>
      </c>
      <c r="G9" s="66" t="s">
        <v>9</v>
      </c>
      <c r="H9" s="65">
        <f>4*1.36</f>
        <v>5.44</v>
      </c>
      <c r="I9" s="61" t="s">
        <v>10</v>
      </c>
      <c r="J9" s="65">
        <f>4*1.43</f>
        <v>5.72</v>
      </c>
    </row>
    <row r="10" spans="2:10" ht="15" customHeight="1" thickBot="1">
      <c r="B10" s="20" t="s">
        <v>13</v>
      </c>
      <c r="C10" s="21">
        <f ca="1">DCF!B17</f>
        <v>39.062888370488167</v>
      </c>
      <c r="E10" s="78" t="s">
        <v>14</v>
      </c>
      <c r="F10" s="78"/>
      <c r="G10" s="78"/>
      <c r="H10" s="78"/>
      <c r="I10" s="78"/>
      <c r="J10" s="78"/>
    </row>
    <row r="11" spans="2:10" ht="15" customHeight="1" thickBot="1">
      <c r="E11" s="77" t="s">
        <v>15</v>
      </c>
      <c r="F11" s="77"/>
      <c r="G11" s="77"/>
      <c r="H11" s="77" t="s">
        <v>16</v>
      </c>
      <c r="I11" s="77"/>
      <c r="J11" s="77"/>
    </row>
    <row r="12" spans="2:10" ht="15" customHeight="1">
      <c r="B12" s="22" t="s">
        <v>17</v>
      </c>
      <c r="C12" s="23">
        <f ca="1">AVERAGE(C4,C6,C8,C10)</f>
        <v>80.216915565821139</v>
      </c>
      <c r="F12" s="62">
        <v>-2.86E-2</v>
      </c>
      <c r="G12" s="62"/>
      <c r="H12" s="62"/>
      <c r="I12" s="62">
        <v>6.1400000000000003E-2</v>
      </c>
    </row>
    <row r="13" spans="2:10" ht="15" customHeight="1" thickBot="1">
      <c r="B13" s="24" t="s">
        <v>18</v>
      </c>
      <c r="C13" s="25">
        <f ca="1">MEDIAN(C4,C6,C8,C10)</f>
        <v>69.587858326975265</v>
      </c>
    </row>
    <row r="14" spans="2:10" ht="15" customHeight="1" thickBot="1">
      <c r="E14" s="74" t="s">
        <v>13</v>
      </c>
      <c r="F14" s="75"/>
      <c r="G14" s="75"/>
      <c r="H14" s="75"/>
      <c r="I14" s="75"/>
      <c r="J14" s="76"/>
    </row>
    <row r="15" spans="2:10" ht="15" customHeight="1">
      <c r="B15" s="26" t="s">
        <v>19</v>
      </c>
      <c r="C15" s="27" t="str">
        <f ca="1">IF(C13&gt;C2,"BUY","NO GO")</f>
        <v>NO GO</v>
      </c>
      <c r="E15" s="79" t="s">
        <v>20</v>
      </c>
      <c r="F15" s="79"/>
      <c r="G15" s="69">
        <v>0.10299999999999999</v>
      </c>
      <c r="H15" s="79" t="s">
        <v>21</v>
      </c>
      <c r="I15" s="79"/>
      <c r="J15" s="70">
        <v>1626.9</v>
      </c>
    </row>
    <row r="16" spans="2:10">
      <c r="E16" s="73" t="s">
        <v>22</v>
      </c>
      <c r="F16" s="73"/>
      <c r="G16" s="70">
        <v>13891</v>
      </c>
      <c r="H16" s="73" t="s">
        <v>23</v>
      </c>
      <c r="I16" s="73"/>
      <c r="J16" s="70">
        <v>9688</v>
      </c>
    </row>
    <row r="17" spans="5:10">
      <c r="E17" s="73" t="s">
        <v>24</v>
      </c>
      <c r="F17" s="73"/>
      <c r="G17" s="73"/>
      <c r="H17" s="73"/>
      <c r="I17" s="73"/>
      <c r="J17" s="71">
        <v>913</v>
      </c>
    </row>
    <row r="18" spans="5:10">
      <c r="E18" s="72"/>
      <c r="F18" s="72"/>
      <c r="G18" s="72"/>
      <c r="H18" s="72"/>
      <c r="I18" s="72"/>
      <c r="J18" s="72"/>
    </row>
    <row r="19" spans="5:10">
      <c r="G19" s="13" t="s">
        <v>25</v>
      </c>
    </row>
  </sheetData>
  <mergeCells count="13">
    <mergeCell ref="E17:I17"/>
    <mergeCell ref="E2:J2"/>
    <mergeCell ref="E5:J5"/>
    <mergeCell ref="E6:J6"/>
    <mergeCell ref="E8:J8"/>
    <mergeCell ref="E10:J10"/>
    <mergeCell ref="E11:G11"/>
    <mergeCell ref="H11:J11"/>
    <mergeCell ref="E14:J14"/>
    <mergeCell ref="H15:I15"/>
    <mergeCell ref="E15:F15"/>
    <mergeCell ref="E16:F16"/>
    <mergeCell ref="H16:I16"/>
  </mergeCells>
  <conditionalFormatting sqref="C15">
    <cfRule type="containsText" dxfId="0" priority="1" operator="containsText" text="NO GO">
      <formula>NOT(ISERROR(SEARCH("NO GO",C15)))</formula>
    </cfRule>
  </conditionalFormatting>
  <hyperlinks>
    <hyperlink ref="G7" r:id="rId1" display="FY@" xr:uid="{2A4F3BDE-CCBE-462A-B068-47825DFFE23F}"/>
    <hyperlink ref="G9" r:id="rId2" display="FY@" xr:uid="{D85B1896-5DA1-4785-AD5D-C7ACD574CBC5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345"/>
  <sheetViews>
    <sheetView zoomScale="160" zoomScaleNormal="160" workbookViewId="0">
      <selection activeCell="B14" sqref="B14"/>
    </sheetView>
  </sheetViews>
  <sheetFormatPr defaultRowHeight="15"/>
  <cols>
    <col min="1" max="1" width="15.140625" bestFit="1" customWidth="1"/>
    <col min="2" max="4" width="11" bestFit="1" customWidth="1"/>
    <col min="5" max="7" width="11" customWidth="1"/>
    <col min="8" max="18" width="11" bestFit="1" customWidth="1"/>
  </cols>
  <sheetData>
    <row r="1" spans="1:47" s="13" customFormat="1" ht="15.75" thickBot="1">
      <c r="A1" s="2" t="s">
        <v>26</v>
      </c>
      <c r="B1" s="3">
        <f>('Valuations &amp; Assumptions'!F3+'Valuations &amp; Assumptions'!H3*'Valuations &amp; Assumptions'!J3)</f>
        <v>0.1002</v>
      </c>
      <c r="C1" s="35"/>
    </row>
    <row r="2" spans="1:47" s="13" customFormat="1"/>
    <row r="3" spans="1:47" s="13" customFormat="1">
      <c r="A3" s="13" t="s">
        <v>27</v>
      </c>
      <c r="B3" s="33">
        <v>45657</v>
      </c>
      <c r="C3" s="33">
        <v>46022</v>
      </c>
      <c r="D3" s="33">
        <v>46387</v>
      </c>
      <c r="E3" s="33">
        <v>46752</v>
      </c>
      <c r="F3" s="33">
        <v>47118</v>
      </c>
      <c r="G3" s="33">
        <v>47483</v>
      </c>
      <c r="H3" s="33">
        <v>47848</v>
      </c>
      <c r="I3" s="33">
        <v>48213</v>
      </c>
      <c r="J3" s="33">
        <v>48579</v>
      </c>
      <c r="K3" s="33">
        <v>48944</v>
      </c>
      <c r="L3" s="33">
        <v>49309</v>
      </c>
      <c r="M3" s="33">
        <v>49674</v>
      </c>
      <c r="N3" s="33">
        <v>50040</v>
      </c>
      <c r="O3" s="33">
        <v>50405</v>
      </c>
      <c r="P3" s="33">
        <v>50770</v>
      </c>
      <c r="Q3" s="33">
        <v>51135</v>
      </c>
    </row>
    <row r="4" spans="1:47" s="13" customFormat="1" ht="15.75" thickBot="1">
      <c r="B4" s="28" t="s">
        <v>28</v>
      </c>
      <c r="C4" s="28" t="s">
        <v>29</v>
      </c>
      <c r="D4" s="28" t="s">
        <v>30</v>
      </c>
      <c r="E4" s="28" t="s">
        <v>31</v>
      </c>
      <c r="F4" s="28" t="s">
        <v>32</v>
      </c>
      <c r="G4" s="28" t="s">
        <v>33</v>
      </c>
      <c r="H4" s="28" t="s">
        <v>34</v>
      </c>
      <c r="I4" s="28" t="s">
        <v>35</v>
      </c>
      <c r="J4" s="28" t="s">
        <v>36</v>
      </c>
      <c r="K4" s="28" t="s">
        <v>37</v>
      </c>
      <c r="L4" s="28" t="s">
        <v>38</v>
      </c>
      <c r="M4" s="28" t="s">
        <v>39</v>
      </c>
      <c r="N4" s="28" t="s">
        <v>40</v>
      </c>
      <c r="O4" s="28" t="s">
        <v>41</v>
      </c>
      <c r="P4" s="28" t="s">
        <v>42</v>
      </c>
      <c r="Q4" s="28" t="s">
        <v>43</v>
      </c>
    </row>
    <row r="5" spans="1:47" ht="15.75" thickBot="1">
      <c r="A5" s="13" t="s">
        <v>44</v>
      </c>
      <c r="B5" s="30" t="s">
        <v>45</v>
      </c>
      <c r="C5" s="30">
        <f>(C6-B6)/B6</f>
        <v>0.23102056505862001</v>
      </c>
      <c r="D5" s="30">
        <f>(D6-C6)/C6</f>
        <v>0.24277907884465255</v>
      </c>
      <c r="E5" s="32">
        <f>'Valuations &amp; Assumptions'!F12</f>
        <v>-2.86E-2</v>
      </c>
      <c r="F5" s="30">
        <f>E5</f>
        <v>-2.86E-2</v>
      </c>
      <c r="G5" s="30">
        <f>F5</f>
        <v>-2.86E-2</v>
      </c>
      <c r="H5" s="30">
        <f>G5-($G$5-$N$5)/7</f>
        <v>-1.5742857142857142E-2</v>
      </c>
      <c r="I5" s="30">
        <f t="shared" ref="I5:M5" si="0">H5-($G$5-$N$5)/7</f>
        <v>-2.8857142857142849E-3</v>
      </c>
      <c r="J5" s="30">
        <f t="shared" si="0"/>
        <v>9.9714285714285721E-3</v>
      </c>
      <c r="K5" s="30">
        <f t="shared" si="0"/>
        <v>2.2828571428571427E-2</v>
      </c>
      <c r="L5" s="30">
        <f t="shared" si="0"/>
        <v>3.5685714285714286E-2</v>
      </c>
      <c r="M5" s="30">
        <f t="shared" si="0"/>
        <v>4.8542857142857145E-2</v>
      </c>
      <c r="N5" s="32">
        <f>'Valuations &amp; Assumptions'!I12</f>
        <v>6.1400000000000003E-2</v>
      </c>
      <c r="O5" s="30">
        <f>N5</f>
        <v>6.1400000000000003E-2</v>
      </c>
      <c r="P5" s="30">
        <f t="shared" ref="P5:Q5" si="1">O5</f>
        <v>6.1400000000000003E-2</v>
      </c>
      <c r="Q5" s="30">
        <f t="shared" si="1"/>
        <v>6.1400000000000003E-2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</row>
    <row r="6" spans="1:47" ht="15.75" thickBot="1">
      <c r="A6" t="s">
        <v>7</v>
      </c>
      <c r="B6" s="4">
        <f>'Valuations &amp; Assumptions'!F7</f>
        <v>5.2030000000000003</v>
      </c>
      <c r="C6" s="5">
        <f>'Valuations &amp; Assumptions'!H7</f>
        <v>6.4050000000000002</v>
      </c>
      <c r="D6" s="6">
        <f>'Valuations &amp; Assumptions'!J7</f>
        <v>7.96</v>
      </c>
      <c r="E6" s="31">
        <f t="shared" ref="E6:G6" si="2">D6*(1+E5)</f>
        <v>7.7323440000000003</v>
      </c>
      <c r="F6" s="31">
        <f t="shared" si="2"/>
        <v>7.5111989616000008</v>
      </c>
      <c r="G6" s="31">
        <f t="shared" si="2"/>
        <v>7.2963786712982408</v>
      </c>
      <c r="H6" s="31">
        <f>G6*(1+H5)</f>
        <v>7.1815128242158028</v>
      </c>
      <c r="I6" s="31">
        <f>H6*(1+I5)</f>
        <v>7.1607890300659234</v>
      </c>
      <c r="J6" s="31">
        <f t="shared" ref="J6:Q6" si="3">I6*(1+J5)</f>
        <v>7.2321923263942942</v>
      </c>
      <c r="K6" s="31">
        <f t="shared" si="3"/>
        <v>7.3972929455025529</v>
      </c>
      <c r="L6" s="31">
        <f t="shared" si="3"/>
        <v>7.6612706280434875</v>
      </c>
      <c r="M6" s="31">
        <f t="shared" si="3"/>
        <v>8.0331705936733702</v>
      </c>
      <c r="N6" s="31">
        <f t="shared" si="3"/>
        <v>8.526407268124915</v>
      </c>
      <c r="O6" s="31">
        <f t="shared" si="3"/>
        <v>9.0499286743877843</v>
      </c>
      <c r="P6" s="31">
        <f t="shared" si="3"/>
        <v>9.6055942949951927</v>
      </c>
      <c r="Q6" s="31">
        <f t="shared" si="3"/>
        <v>10.195377784707896</v>
      </c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</row>
    <row r="7" spans="1:47" s="13" customFormat="1" ht="15.75" thickBot="1">
      <c r="A7" s="13" t="s">
        <v>46</v>
      </c>
      <c r="B7" s="30">
        <f>B8/B6</f>
        <v>0.74995195079761678</v>
      </c>
      <c r="C7" s="30">
        <f>C8/C6</f>
        <v>0.849336455893833</v>
      </c>
      <c r="D7" s="30">
        <f>D8/D6</f>
        <v>0.71859296482412061</v>
      </c>
      <c r="E7" s="30">
        <f>D7+($N$7-$D$7)/10</f>
        <v>0.69173366834170857</v>
      </c>
      <c r="F7" s="30">
        <f t="shared" ref="F7:M7" si="4">E7+($N$7-$D$7)/10</f>
        <v>0.66487437185929654</v>
      </c>
      <c r="G7" s="30">
        <f t="shared" si="4"/>
        <v>0.63801507537688451</v>
      </c>
      <c r="H7" s="30">
        <f t="shared" si="4"/>
        <v>0.61115577889447248</v>
      </c>
      <c r="I7" s="30">
        <f t="shared" si="4"/>
        <v>0.58429648241206045</v>
      </c>
      <c r="J7" s="30">
        <f t="shared" si="4"/>
        <v>0.55743718592964842</v>
      </c>
      <c r="K7" s="30">
        <f t="shared" si="4"/>
        <v>0.53057788944723638</v>
      </c>
      <c r="L7" s="30">
        <f t="shared" si="4"/>
        <v>0.50371859296482435</v>
      </c>
      <c r="M7" s="30">
        <f t="shared" si="4"/>
        <v>0.47685929648241232</v>
      </c>
      <c r="N7" s="30">
        <v>0.45</v>
      </c>
      <c r="O7" s="30">
        <v>0.45</v>
      </c>
      <c r="P7" s="30">
        <v>0.45</v>
      </c>
      <c r="Q7" s="30">
        <v>0.45</v>
      </c>
    </row>
    <row r="8" spans="1:47" ht="15.75" thickBot="1">
      <c r="A8" t="s">
        <v>47</v>
      </c>
      <c r="B8" s="4">
        <f>'Valuations &amp; Assumptions'!F9</f>
        <v>3.9020000000000001</v>
      </c>
      <c r="C8" s="5">
        <f>'Valuations &amp; Assumptions'!H9</f>
        <v>5.44</v>
      </c>
      <c r="D8" s="6">
        <f>'Valuations &amp; Assumptions'!J9</f>
        <v>5.72</v>
      </c>
      <c r="E8" s="31">
        <f t="shared" ref="E8:G8" si="5">E6*E7</f>
        <v>5.3487226800000007</v>
      </c>
      <c r="F8" s="31">
        <f t="shared" si="5"/>
        <v>4.9940036915040009</v>
      </c>
      <c r="G8" s="31">
        <f t="shared" si="5"/>
        <v>4.6551995879466395</v>
      </c>
      <c r="H8" s="31">
        <f>H6*H7</f>
        <v>4.3890230637242515</v>
      </c>
      <c r="I8" s="31">
        <f t="shared" ref="I8:Q8" si="6">I6*I7</f>
        <v>4.1840238415623894</v>
      </c>
      <c r="J8" s="31">
        <f t="shared" si="6"/>
        <v>4.0314929385272329</v>
      </c>
      <c r="K8" s="31">
        <f t="shared" si="6"/>
        <v>3.9248400786476751</v>
      </c>
      <c r="L8" s="31">
        <f t="shared" si="6"/>
        <v>3.8591244610808015</v>
      </c>
      <c r="M8" s="31">
        <f t="shared" si="6"/>
        <v>3.8306920778222859</v>
      </c>
      <c r="N8" s="31">
        <f t="shared" si="6"/>
        <v>3.8368832706562119</v>
      </c>
      <c r="O8" s="31">
        <f t="shared" si="6"/>
        <v>4.0724679034745028</v>
      </c>
      <c r="P8" s="31">
        <f t="shared" si="6"/>
        <v>4.3225174327478371</v>
      </c>
      <c r="Q8" s="31">
        <f t="shared" si="6"/>
        <v>4.587920003118553</v>
      </c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 spans="1:47" s="13" customFormat="1">
      <c r="A9" s="13" t="s">
        <v>48</v>
      </c>
      <c r="B9" s="29">
        <f ca="1">(B3-TODAY())/365</f>
        <v>-0.44383561643835617</v>
      </c>
      <c r="C9" s="29">
        <f t="shared" ref="C9:Q9" ca="1" si="7">(C3-TODAY())/365</f>
        <v>0.55616438356164388</v>
      </c>
      <c r="D9" s="29">
        <f t="shared" ca="1" si="7"/>
        <v>1.5561643835616439</v>
      </c>
      <c r="E9" s="29">
        <f t="shared" ca="1" si="7"/>
        <v>2.5561643835616437</v>
      </c>
      <c r="F9" s="29">
        <f t="shared" ca="1" si="7"/>
        <v>3.558904109589041</v>
      </c>
      <c r="G9" s="29">
        <f t="shared" ca="1" si="7"/>
        <v>4.558904109589041</v>
      </c>
      <c r="H9" s="29">
        <f t="shared" ca="1" si="7"/>
        <v>5.558904109589041</v>
      </c>
      <c r="I9" s="29">
        <f t="shared" ca="1" si="7"/>
        <v>6.558904109589041</v>
      </c>
      <c r="J9" s="29">
        <f t="shared" ca="1" si="7"/>
        <v>7.5616438356164384</v>
      </c>
      <c r="K9" s="29">
        <f t="shared" ca="1" si="7"/>
        <v>8.5616438356164384</v>
      </c>
      <c r="L9" s="29">
        <f t="shared" ca="1" si="7"/>
        <v>9.5616438356164384</v>
      </c>
      <c r="M9" s="29">
        <f t="shared" ca="1" si="7"/>
        <v>10.561643835616438</v>
      </c>
      <c r="N9" s="29">
        <f t="shared" ca="1" si="7"/>
        <v>11.564383561643835</v>
      </c>
      <c r="O9" s="29">
        <f t="shared" ca="1" si="7"/>
        <v>12.564383561643835</v>
      </c>
      <c r="P9" s="29">
        <f t="shared" ca="1" si="7"/>
        <v>13.564383561643835</v>
      </c>
      <c r="Q9" s="29">
        <f t="shared" ca="1" si="7"/>
        <v>14.564383561643835</v>
      </c>
    </row>
    <row r="10" spans="1:47" s="13" customFormat="1">
      <c r="A10" s="13" t="s">
        <v>49</v>
      </c>
      <c r="B10" s="31">
        <f t="shared" ref="B10:N10" ca="1" si="8">C8/(1+k)^C9</f>
        <v>5.1586237142100568</v>
      </c>
      <c r="C10" s="31">
        <f t="shared" ca="1" si="8"/>
        <v>4.9301409846073305</v>
      </c>
      <c r="D10" s="31">
        <f t="shared" ca="1" si="8"/>
        <v>4.1902675196955226</v>
      </c>
      <c r="E10" s="31">
        <f t="shared" ca="1" si="8"/>
        <v>3.555128204648164</v>
      </c>
      <c r="F10" s="31">
        <f t="shared" ca="1" si="8"/>
        <v>3.0121255704902228</v>
      </c>
      <c r="G10" s="31">
        <f t="shared" ca="1" si="8"/>
        <v>2.5812554714591354</v>
      </c>
      <c r="H10" s="31">
        <f t="shared" ca="1" si="8"/>
        <v>2.2365861773602504</v>
      </c>
      <c r="I10" s="31">
        <f t="shared" ca="1" si="8"/>
        <v>1.958268002959876</v>
      </c>
      <c r="J10" s="31">
        <f t="shared" ca="1" si="8"/>
        <v>1.7328323593630945</v>
      </c>
      <c r="K10" s="31">
        <f t="shared" ca="1" si="8"/>
        <v>1.5486444785265316</v>
      </c>
      <c r="L10" s="31">
        <f t="shared" ca="1" si="8"/>
        <v>1.3972320727568508</v>
      </c>
      <c r="M10" s="31">
        <f t="shared" ca="1" si="8"/>
        <v>1.2716998729162994</v>
      </c>
      <c r="N10" s="31">
        <f t="shared" ca="1" si="8"/>
        <v>1.2268517043386293</v>
      </c>
    </row>
    <row r="11" spans="1:47" s="13" customFormat="1">
      <c r="A11" s="13" t="s">
        <v>50</v>
      </c>
      <c r="B11" s="34"/>
      <c r="N11" s="31">
        <f>(O8)/(k-O5)</f>
        <v>104.960512976147</v>
      </c>
    </row>
    <row r="12" spans="1:47" s="13" customFormat="1">
      <c r="A12" s="13" t="s">
        <v>51</v>
      </c>
      <c r="N12" s="31">
        <f ca="1">N11/(1+k)^N9</f>
        <v>34.788202193643308</v>
      </c>
    </row>
    <row r="13" spans="1:47" s="13" customFormat="1" ht="15.75" thickBot="1"/>
    <row r="14" spans="1:47" ht="15.75" thickBot="1">
      <c r="A14" s="7" t="s">
        <v>52</v>
      </c>
      <c r="B14" s="8">
        <f ca="1">SUM(B10:N10,N12)</f>
        <v>69.587858326975265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</row>
    <row r="15" spans="1:47" s="13" customFormat="1"/>
    <row r="16" spans="1:47" s="13" customFormat="1"/>
    <row r="17" s="13" customFormat="1"/>
    <row r="18" s="13" customFormat="1"/>
    <row r="19" s="13" customFormat="1"/>
    <row r="20" s="13" customFormat="1"/>
    <row r="21" s="13" customFormat="1"/>
    <row r="22" s="13" customFormat="1"/>
    <row r="23" s="13" customFormat="1"/>
    <row r="24" s="13" customFormat="1"/>
    <row r="25" s="13" customFormat="1"/>
    <row r="26" s="13" customFormat="1"/>
    <row r="27" s="13" customFormat="1"/>
    <row r="28" s="13" customFormat="1"/>
    <row r="29" s="13" customFormat="1"/>
    <row r="30" s="13" customFormat="1"/>
    <row r="31" s="13" customFormat="1"/>
    <row r="32" s="13" customFormat="1"/>
    <row r="33" s="13" customFormat="1"/>
    <row r="34" s="13" customFormat="1"/>
    <row r="35" s="13" customFormat="1"/>
    <row r="36" s="13" customFormat="1"/>
    <row r="37" s="13" customFormat="1"/>
    <row r="38" s="13" customFormat="1"/>
    <row r="39" s="13" customFormat="1"/>
    <row r="40" s="13" customFormat="1"/>
    <row r="41" s="13" customFormat="1"/>
    <row r="42" s="13" customFormat="1"/>
    <row r="43" s="13" customFormat="1"/>
    <row r="44" s="13" customFormat="1"/>
    <row r="45" s="13" customFormat="1"/>
    <row r="46" s="13" customFormat="1"/>
    <row r="47" s="13" customFormat="1"/>
    <row r="48" s="13" customFormat="1"/>
    <row r="49" s="13" customFormat="1"/>
    <row r="50" s="13" customFormat="1"/>
    <row r="51" s="13" customFormat="1"/>
    <row r="52" s="13" customFormat="1"/>
    <row r="53" s="13" customFormat="1"/>
    <row r="54" s="13" customFormat="1"/>
    <row r="55" s="13" customFormat="1"/>
    <row r="56" s="13" customFormat="1"/>
    <row r="57" s="13" customFormat="1"/>
    <row r="58" s="13" customFormat="1"/>
    <row r="59" s="13" customFormat="1"/>
    <row r="60" s="13" customFormat="1"/>
    <row r="61" s="13" customFormat="1"/>
    <row r="62" s="13" customFormat="1"/>
    <row r="63" s="13" customFormat="1"/>
    <row r="64" s="13" customFormat="1"/>
    <row r="65" s="13" customFormat="1"/>
    <row r="66" s="13" customFormat="1"/>
    <row r="67" s="13" customFormat="1"/>
    <row r="68" s="13" customFormat="1"/>
    <row r="69" s="13" customFormat="1"/>
    <row r="70" s="13" customFormat="1"/>
    <row r="71" s="13" customFormat="1"/>
    <row r="72" s="13" customFormat="1"/>
    <row r="73" s="13" customFormat="1"/>
    <row r="74" s="13" customFormat="1"/>
    <row r="75" s="13" customFormat="1"/>
    <row r="76" s="13" customFormat="1"/>
    <row r="77" s="13" customFormat="1"/>
    <row r="78" s="13" customFormat="1"/>
    <row r="79" s="13" customFormat="1"/>
    <row r="80" s="13" customFormat="1"/>
    <row r="81" s="13" customFormat="1"/>
    <row r="82" s="13" customFormat="1"/>
    <row r="83" s="13" customFormat="1"/>
    <row r="84" s="13" customFormat="1"/>
    <row r="85" s="13" customFormat="1"/>
    <row r="86" s="13" customFormat="1"/>
    <row r="87" s="13" customFormat="1"/>
    <row r="88" s="13" customFormat="1"/>
    <row r="89" s="13" customFormat="1"/>
    <row r="90" s="13" customFormat="1"/>
    <row r="91" s="13" customFormat="1"/>
    <row r="92" s="13" customFormat="1"/>
    <row r="93" s="13" customFormat="1"/>
    <row r="94" s="13" customFormat="1"/>
    <row r="95" s="13" customFormat="1"/>
    <row r="96" s="13" customFormat="1"/>
    <row r="97" s="13" customFormat="1"/>
    <row r="98" s="13" customFormat="1"/>
    <row r="99" s="13" customFormat="1"/>
    <row r="100" s="13" customFormat="1"/>
    <row r="101" s="13" customFormat="1"/>
    <row r="102" s="13" customFormat="1"/>
    <row r="103" s="13" customFormat="1"/>
    <row r="104" s="13" customFormat="1"/>
    <row r="105" s="13" customFormat="1"/>
    <row r="106" s="13" customFormat="1"/>
    <row r="107" s="13" customFormat="1"/>
    <row r="108" s="13" customFormat="1"/>
    <row r="109" s="13" customFormat="1"/>
    <row r="110" s="13" customFormat="1"/>
    <row r="111" s="13" customFormat="1"/>
    <row r="112" s="13" customFormat="1"/>
    <row r="113" s="13" customFormat="1"/>
    <row r="114" s="13" customFormat="1"/>
    <row r="115" s="13" customFormat="1"/>
    <row r="116" s="13" customFormat="1"/>
    <row r="117" s="13" customFormat="1"/>
    <row r="118" s="13" customFormat="1"/>
    <row r="119" s="13" customFormat="1"/>
    <row r="120" s="13" customFormat="1"/>
    <row r="121" s="13" customFormat="1"/>
    <row r="122" s="13" customFormat="1"/>
    <row r="123" s="13" customFormat="1"/>
    <row r="124" s="13" customFormat="1"/>
    <row r="125" s="13" customFormat="1"/>
    <row r="126" s="13" customFormat="1"/>
    <row r="127" s="13" customFormat="1"/>
    <row r="128" s="13" customFormat="1"/>
    <row r="129" s="13" customFormat="1"/>
    <row r="130" s="13" customFormat="1"/>
    <row r="131" s="13" customFormat="1"/>
    <row r="132" s="13" customFormat="1"/>
    <row r="133" s="13" customFormat="1"/>
    <row r="134" s="13" customFormat="1"/>
    <row r="135" s="13" customFormat="1"/>
    <row r="136" s="13" customFormat="1"/>
    <row r="137" s="13" customFormat="1"/>
    <row r="138" s="13" customFormat="1"/>
    <row r="139" s="13" customFormat="1"/>
    <row r="140" s="13" customFormat="1"/>
    <row r="141" s="13" customFormat="1"/>
    <row r="142" s="13" customFormat="1"/>
    <row r="143" s="13" customFormat="1"/>
    <row r="144" s="13" customFormat="1"/>
    <row r="145" s="13" customFormat="1"/>
    <row r="146" s="13" customFormat="1"/>
    <row r="147" s="13" customFormat="1"/>
    <row r="148" s="13" customFormat="1"/>
    <row r="149" s="13" customFormat="1"/>
    <row r="150" s="13" customFormat="1"/>
    <row r="151" s="13" customFormat="1"/>
    <row r="152" s="13" customFormat="1"/>
    <row r="153" s="13" customFormat="1"/>
    <row r="154" s="13" customFormat="1"/>
    <row r="155" s="13" customFormat="1"/>
    <row r="156" s="13" customFormat="1"/>
    <row r="157" s="13" customFormat="1"/>
    <row r="158" s="13" customFormat="1"/>
    <row r="159" s="13" customFormat="1"/>
    <row r="160" s="13" customFormat="1"/>
    <row r="161" s="13" customFormat="1"/>
    <row r="162" s="13" customFormat="1"/>
    <row r="163" s="13" customFormat="1"/>
    <row r="164" s="13" customFormat="1"/>
    <row r="165" s="13" customFormat="1"/>
    <row r="166" s="13" customFormat="1"/>
    <row r="167" s="13" customFormat="1"/>
    <row r="168" s="13" customFormat="1"/>
    <row r="169" s="13" customFormat="1"/>
    <row r="170" s="13" customFormat="1"/>
    <row r="171" s="13" customFormat="1"/>
    <row r="172" s="13" customFormat="1"/>
    <row r="173" s="13" customFormat="1"/>
    <row r="174" s="13" customFormat="1"/>
    <row r="175" s="13" customFormat="1"/>
    <row r="176" s="13" customFormat="1"/>
    <row r="177" s="13" customFormat="1"/>
    <row r="178" s="13" customFormat="1"/>
    <row r="179" s="13" customFormat="1"/>
    <row r="180" s="13" customFormat="1"/>
    <row r="181" s="13" customFormat="1"/>
    <row r="182" s="13" customFormat="1"/>
    <row r="183" s="13" customFormat="1"/>
    <row r="184" s="13" customFormat="1"/>
    <row r="185" s="13" customFormat="1"/>
    <row r="186" s="13" customFormat="1"/>
    <row r="187" s="13" customFormat="1"/>
    <row r="188" s="13" customFormat="1"/>
    <row r="189" s="13" customFormat="1"/>
    <row r="190" s="13" customFormat="1"/>
    <row r="191" s="13" customFormat="1"/>
    <row r="192" s="13" customFormat="1"/>
    <row r="193" s="13" customFormat="1"/>
    <row r="194" s="13" customFormat="1"/>
    <row r="195" s="13" customFormat="1"/>
    <row r="196" s="13" customFormat="1"/>
    <row r="197" s="13" customFormat="1"/>
    <row r="198" s="13" customFormat="1"/>
    <row r="199" s="13" customFormat="1"/>
    <row r="200" s="13" customFormat="1"/>
    <row r="201" s="13" customFormat="1"/>
    <row r="202" s="13" customFormat="1"/>
    <row r="203" s="13" customFormat="1"/>
    <row r="204" s="13" customFormat="1"/>
    <row r="205" s="13" customFormat="1"/>
    <row r="206" s="13" customFormat="1"/>
    <row r="207" s="13" customFormat="1"/>
    <row r="208" s="13" customFormat="1"/>
    <row r="209" s="13" customFormat="1"/>
    <row r="210" s="13" customFormat="1"/>
    <row r="211" s="13" customFormat="1"/>
    <row r="212" s="13" customFormat="1"/>
    <row r="213" s="13" customFormat="1"/>
    <row r="214" s="13" customFormat="1"/>
    <row r="215" s="13" customFormat="1"/>
    <row r="216" s="13" customFormat="1"/>
    <row r="217" s="13" customFormat="1"/>
    <row r="218" s="13" customFormat="1"/>
    <row r="219" s="13" customFormat="1"/>
    <row r="220" s="13" customFormat="1"/>
    <row r="221" s="13" customFormat="1"/>
    <row r="222" s="13" customFormat="1"/>
    <row r="223" s="13" customFormat="1"/>
    <row r="224" s="13" customFormat="1"/>
    <row r="225" s="13" customFormat="1"/>
    <row r="226" s="13" customFormat="1"/>
    <row r="227" s="13" customFormat="1"/>
    <row r="228" s="13" customFormat="1"/>
    <row r="229" s="13" customFormat="1"/>
    <row r="230" s="13" customFormat="1"/>
    <row r="231" s="13" customFormat="1"/>
    <row r="232" s="13" customFormat="1"/>
    <row r="233" s="13" customFormat="1"/>
    <row r="234" s="13" customFormat="1"/>
    <row r="235" s="13" customFormat="1"/>
    <row r="236" s="13" customFormat="1"/>
    <row r="237" s="13" customFormat="1"/>
    <row r="238" s="13" customFormat="1"/>
    <row r="239" s="13" customFormat="1"/>
    <row r="240" s="13" customFormat="1"/>
    <row r="241" s="13" customFormat="1"/>
    <row r="242" s="13" customFormat="1"/>
    <row r="243" s="13" customFormat="1"/>
    <row r="244" s="13" customFormat="1"/>
    <row r="245" s="13" customFormat="1"/>
    <row r="246" s="13" customFormat="1"/>
    <row r="247" s="13" customFormat="1"/>
    <row r="248" s="13" customFormat="1"/>
    <row r="249" s="13" customFormat="1"/>
    <row r="250" s="13" customFormat="1"/>
    <row r="251" s="13" customFormat="1"/>
    <row r="252" s="13" customFormat="1"/>
    <row r="253" s="13" customFormat="1"/>
    <row r="254" s="13" customFormat="1"/>
    <row r="255" s="13" customFormat="1"/>
    <row r="256" s="13" customFormat="1"/>
    <row r="257" s="13" customFormat="1"/>
    <row r="258" s="13" customFormat="1"/>
    <row r="259" s="13" customFormat="1"/>
    <row r="260" s="13" customFormat="1"/>
    <row r="261" s="13" customFormat="1"/>
    <row r="262" s="13" customFormat="1"/>
    <row r="263" s="13" customFormat="1"/>
    <row r="264" s="13" customFormat="1"/>
    <row r="265" s="13" customFormat="1"/>
    <row r="266" s="13" customFormat="1"/>
    <row r="267" s="13" customFormat="1"/>
    <row r="268" s="13" customFormat="1"/>
    <row r="269" s="13" customFormat="1"/>
    <row r="270" s="13" customFormat="1"/>
    <row r="271" s="13" customFormat="1"/>
    <row r="272" s="13" customFormat="1"/>
    <row r="273" s="13" customFormat="1"/>
    <row r="274" s="13" customFormat="1"/>
    <row r="275" s="13" customFormat="1"/>
    <row r="276" s="13" customFormat="1"/>
    <row r="277" s="13" customFormat="1"/>
    <row r="278" s="13" customFormat="1"/>
    <row r="279" s="13" customFormat="1"/>
    <row r="280" s="13" customFormat="1"/>
    <row r="281" s="13" customFormat="1"/>
    <row r="282" s="13" customFormat="1"/>
    <row r="283" s="13" customFormat="1"/>
    <row r="284" s="13" customFormat="1"/>
    <row r="285" s="13" customFormat="1"/>
    <row r="286" s="13" customFormat="1"/>
    <row r="287" s="13" customFormat="1"/>
    <row r="288" s="13" customFormat="1"/>
    <row r="289" s="13" customFormat="1"/>
    <row r="290" s="13" customFormat="1"/>
    <row r="291" s="13" customFormat="1"/>
    <row r="292" s="13" customFormat="1"/>
    <row r="293" s="13" customFormat="1"/>
    <row r="294" s="13" customFormat="1"/>
    <row r="295" s="13" customFormat="1"/>
    <row r="296" s="13" customFormat="1"/>
    <row r="297" s="13" customFormat="1"/>
    <row r="298" s="13" customFormat="1"/>
    <row r="299" s="13" customFormat="1"/>
    <row r="300" s="13" customFormat="1"/>
    <row r="301" s="13" customFormat="1"/>
    <row r="302" s="13" customFormat="1"/>
    <row r="303" s="13" customFormat="1"/>
    <row r="304" s="13" customFormat="1"/>
    <row r="305" s="13" customFormat="1"/>
    <row r="306" s="13" customFormat="1"/>
    <row r="307" s="13" customFormat="1"/>
    <row r="308" s="13" customFormat="1"/>
    <row r="309" s="13" customFormat="1"/>
    <row r="310" s="13" customFormat="1"/>
    <row r="311" s="13" customFormat="1"/>
    <row r="312" s="13" customFormat="1"/>
    <row r="313" s="13" customFormat="1"/>
    <row r="314" s="13" customFormat="1"/>
    <row r="315" s="13" customFormat="1"/>
    <row r="316" s="13" customFormat="1"/>
    <row r="317" s="13" customFormat="1"/>
    <row r="318" s="13" customFormat="1"/>
    <row r="319" s="13" customFormat="1"/>
    <row r="320" s="13" customFormat="1"/>
    <row r="321" s="13" customFormat="1"/>
    <row r="322" s="13" customFormat="1"/>
    <row r="323" s="13" customFormat="1"/>
    <row r="324" s="13" customFormat="1"/>
    <row r="325" s="13" customFormat="1"/>
    <row r="326" s="13" customFormat="1"/>
    <row r="327" s="13" customFormat="1"/>
    <row r="328" s="13" customFormat="1"/>
    <row r="329" s="13" customFormat="1"/>
    <row r="330" s="13" customFormat="1"/>
    <row r="331" s="13" customFormat="1"/>
    <row r="332" s="13" customFormat="1"/>
    <row r="333" s="13" customFormat="1"/>
    <row r="334" s="13" customFormat="1"/>
    <row r="335" s="13" customFormat="1"/>
    <row r="336" s="13" customFormat="1"/>
    <row r="337" s="13" customFormat="1"/>
    <row r="338" s="13" customFormat="1"/>
    <row r="339" s="13" customFormat="1"/>
    <row r="340" s="13" customFormat="1"/>
    <row r="341" s="13" customFormat="1"/>
    <row r="342" s="13" customFormat="1"/>
    <row r="343" s="13" customFormat="1"/>
    <row r="344" s="13" customFormat="1"/>
    <row r="345" s="13" customFormat="1"/>
  </sheetData>
  <phoneticPr fontId="8" type="noConversion"/>
  <pageMargins left="0.7" right="0.7" top="0.75" bottom="0.75" header="0.3" footer="0.3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T237"/>
  <sheetViews>
    <sheetView topLeftCell="A28" zoomScale="130" zoomScaleNormal="130" workbookViewId="0">
      <selection activeCell="E6" sqref="E6"/>
    </sheetView>
  </sheetViews>
  <sheetFormatPr defaultRowHeight="15"/>
  <cols>
    <col min="1" max="1" width="16.5703125" customWidth="1"/>
    <col min="2" max="2" width="32.85546875" bestFit="1" customWidth="1"/>
    <col min="3" max="3" width="12.85546875" customWidth="1"/>
    <col min="4" max="6" width="12.85546875" style="1" customWidth="1"/>
    <col min="7" max="72" width="9.140625" style="13"/>
  </cols>
  <sheetData>
    <row r="1" spans="1:8" ht="15.75" thickBot="1">
      <c r="A1" s="41" t="s">
        <v>53</v>
      </c>
      <c r="B1" s="42" t="s">
        <v>54</v>
      </c>
      <c r="C1" s="43" t="s">
        <v>55</v>
      </c>
      <c r="D1" s="43" t="s">
        <v>6</v>
      </c>
      <c r="E1" s="43" t="s">
        <v>56</v>
      </c>
      <c r="F1" s="43" t="s">
        <v>11</v>
      </c>
    </row>
    <row r="2" spans="1:8">
      <c r="A2" s="17" t="s">
        <v>57</v>
      </c>
      <c r="B2" s="44" t="s">
        <v>58</v>
      </c>
      <c r="C2" s="45">
        <f>AVERAGE(C8:C32)</f>
        <v>15.399910986858854</v>
      </c>
      <c r="D2" s="45">
        <f>AVERAGE(D8:D32)</f>
        <v>18.88248280651305</v>
      </c>
      <c r="E2" s="45">
        <f>AVERAGE(E8:E32)</f>
        <v>8.4676923935229969</v>
      </c>
      <c r="F2" s="45">
        <f>AVERAGE(F8:F32)</f>
        <v>4.0747938530676828</v>
      </c>
    </row>
    <row r="3" spans="1:8">
      <c r="A3" s="17" t="s">
        <v>18</v>
      </c>
      <c r="B3" s="44" t="s">
        <v>58</v>
      </c>
      <c r="C3" s="45">
        <f>MEDIAN(C8:C32)</f>
        <v>6.761817583980001</v>
      </c>
      <c r="D3" s="45">
        <f>MEDIAN(D8:D32)</f>
        <v>17.627553843490904</v>
      </c>
      <c r="E3" s="45">
        <f>MEDIAN(E8:E32)</f>
        <v>5.7100000381469727</v>
      </c>
      <c r="F3" s="45">
        <f>MEDIAN(F8:F32)</f>
        <v>3.3796448582498342</v>
      </c>
    </row>
    <row r="4" spans="1:8" ht="15.75" thickBot="1">
      <c r="A4" s="20" t="s">
        <v>57</v>
      </c>
      <c r="B4" s="46" t="s">
        <v>59</v>
      </c>
      <c r="C4" s="47">
        <f>AVERAGE(C9:C19)</f>
        <v>22.943417302236107</v>
      </c>
      <c r="D4" s="60">
        <f>AVERAGE(D9:D12,D14:D19)</f>
        <v>15.929362239939342</v>
      </c>
      <c r="E4" s="47">
        <f>AVERAGE(E9:E17,E19:E20)</f>
        <v>4.1430000066757202</v>
      </c>
      <c r="F4" s="60">
        <f>AVERAGE(F9:F19)</f>
        <v>4.4368603900994588</v>
      </c>
    </row>
    <row r="5" spans="1:8" s="13" customFormat="1" ht="15.75" thickBot="1">
      <c r="C5" s="29"/>
      <c r="D5" s="29"/>
      <c r="E5" s="29"/>
      <c r="F5" s="29"/>
    </row>
    <row r="6" spans="1:8" s="13" customFormat="1" ht="15.75" thickBot="1">
      <c r="A6" s="39" t="s">
        <v>60</v>
      </c>
      <c r="B6" s="59" t="s">
        <v>61</v>
      </c>
      <c r="C6" s="40">
        <v>22.32</v>
      </c>
      <c r="D6" s="40">
        <v>24.07</v>
      </c>
      <c r="E6" s="48">
        <f>'Valuations &amp; Assumptions'!F12*100</f>
        <v>-2.86</v>
      </c>
      <c r="F6" s="40">
        <f>D6/E6</f>
        <v>-8.4160839160839167</v>
      </c>
    </row>
    <row r="7" spans="1:8" s="13" customFormat="1">
      <c r="C7" s="29"/>
      <c r="D7" s="28"/>
      <c r="E7" s="29"/>
      <c r="F7" s="29"/>
    </row>
    <row r="8" spans="1:8" s="13" customFormat="1">
      <c r="A8" s="36" t="s">
        <v>62</v>
      </c>
      <c r="B8" s="36" t="s">
        <v>63</v>
      </c>
      <c r="C8" s="67">
        <v>97.513232537999983</v>
      </c>
      <c r="D8" s="68">
        <v>21.480948744374341</v>
      </c>
      <c r="E8" s="68">
        <v>6.929999828338623</v>
      </c>
      <c r="F8" s="29">
        <f>IF(E8&lt;0,".",D8/E8)</f>
        <v>3.0997040802992513</v>
      </c>
    </row>
    <row r="9" spans="1:8" s="13" customFormat="1">
      <c r="A9" s="36" t="s">
        <v>64</v>
      </c>
      <c r="B9" s="36" t="s">
        <v>65</v>
      </c>
      <c r="C9" s="67">
        <v>42.426578495729999</v>
      </c>
      <c r="D9" s="68">
        <v>12.495805727728625</v>
      </c>
      <c r="E9" s="68">
        <v>2.5099999904632568</v>
      </c>
      <c r="F9" s="29">
        <f>IF(E9&lt;0,".",D9/E9)</f>
        <v>4.9784086753810479</v>
      </c>
    </row>
    <row r="10" spans="1:8" s="13" customFormat="1">
      <c r="A10" s="36" t="s">
        <v>66</v>
      </c>
      <c r="B10" s="36" t="s">
        <v>67</v>
      </c>
      <c r="C10" s="67">
        <v>41.151819504927602</v>
      </c>
      <c r="D10" s="68">
        <v>15.094456378568081</v>
      </c>
      <c r="E10" s="68">
        <v>2.4500000476837158</v>
      </c>
      <c r="F10" s="29">
        <f>IF(E10&lt;0,".",D10/E10)</f>
        <v>6.1610024835871791</v>
      </c>
    </row>
    <row r="11" spans="1:8" s="13" customFormat="1">
      <c r="A11" s="36" t="s">
        <v>68</v>
      </c>
      <c r="B11" s="36" t="s">
        <v>69</v>
      </c>
      <c r="C11" s="67">
        <v>38.751765827689994</v>
      </c>
      <c r="D11" s="68">
        <v>17.932061302180816</v>
      </c>
      <c r="E11" s="68">
        <v>2.2100000381469731</v>
      </c>
      <c r="F11" s="29">
        <f>IF(E11&lt;0,".",D11/E11)</f>
        <v>8.1140547478073248</v>
      </c>
      <c r="H11" s="36"/>
    </row>
    <row r="12" spans="1:8" s="13" customFormat="1">
      <c r="A12" s="36" t="s">
        <v>70</v>
      </c>
      <c r="B12" s="36" t="s">
        <v>71</v>
      </c>
      <c r="C12" s="67">
        <v>27.786761685554996</v>
      </c>
      <c r="D12" s="68">
        <v>17.627553843490904</v>
      </c>
      <c r="E12" s="68">
        <v>9.2899999618530273</v>
      </c>
      <c r="F12" s="29">
        <f>IF(E12&lt;0,".",D12/E12)</f>
        <v>1.897476201923991</v>
      </c>
      <c r="H12" s="36"/>
    </row>
    <row r="13" spans="1:8" s="13" customFormat="1">
      <c r="A13" s="36" t="s">
        <v>72</v>
      </c>
      <c r="B13" s="36" t="s">
        <v>73</v>
      </c>
      <c r="C13" s="67">
        <v>21.3192872748814</v>
      </c>
      <c r="D13" s="68">
        <v>37.545062998964895</v>
      </c>
      <c r="E13" s="68" t="s">
        <v>74</v>
      </c>
      <c r="F13" s="29" t="s">
        <v>74</v>
      </c>
      <c r="H13" s="36"/>
    </row>
    <row r="14" spans="1:8" s="13" customFormat="1">
      <c r="A14" s="36" t="s">
        <v>75</v>
      </c>
      <c r="B14" s="36" t="s">
        <v>76</v>
      </c>
      <c r="C14" s="67">
        <v>17.394093994679999</v>
      </c>
      <c r="D14" s="68">
        <v>21.055187531358076</v>
      </c>
      <c r="E14" s="68">
        <v>6.2300000190734863</v>
      </c>
      <c r="F14" s="29">
        <f t="shared" ref="F14:F20" si="0">IF(E14&lt;0,".",D14/E14)</f>
        <v>3.3796448582498342</v>
      </c>
      <c r="H14" s="36"/>
    </row>
    <row r="15" spans="1:8" s="13" customFormat="1">
      <c r="A15" s="36" t="s">
        <v>77</v>
      </c>
      <c r="B15" s="36" t="s">
        <v>78</v>
      </c>
      <c r="C15" s="67">
        <v>15.667320111450003</v>
      </c>
      <c r="D15" s="68">
        <v>11.370100915278105</v>
      </c>
      <c r="E15" s="68">
        <v>1.809999942779541</v>
      </c>
      <c r="F15" s="29">
        <f t="shared" si="0"/>
        <v>6.2818239086889234</v>
      </c>
      <c r="H15" s="36"/>
    </row>
    <row r="16" spans="1:8" s="13" customFormat="1">
      <c r="A16" s="36" t="s">
        <v>79</v>
      </c>
      <c r="B16" s="36" t="s">
        <v>80</v>
      </c>
      <c r="C16" s="67">
        <v>14.431307393559999</v>
      </c>
      <c r="D16" s="68">
        <v>15.497235856659021</v>
      </c>
      <c r="E16" s="68">
        <v>5.7100000381469727</v>
      </c>
      <c r="F16" s="29">
        <f t="shared" si="0"/>
        <v>2.7140517956438113</v>
      </c>
      <c r="H16" s="36"/>
    </row>
    <row r="17" spans="1:8" s="13" customFormat="1">
      <c r="A17" s="36" t="s">
        <v>81</v>
      </c>
      <c r="B17" s="36" t="s">
        <v>82</v>
      </c>
      <c r="C17" s="67">
        <v>12.85280755538</v>
      </c>
      <c r="D17" s="68">
        <v>13.401944443018223</v>
      </c>
      <c r="E17" s="68">
        <v>6.065000057220459</v>
      </c>
      <c r="F17" s="29">
        <f t="shared" si="0"/>
        <v>2.2097187661297775</v>
      </c>
      <c r="H17" s="36"/>
    </row>
    <row r="18" spans="1:8" s="13" customFormat="1">
      <c r="A18" s="36" t="s">
        <v>83</v>
      </c>
      <c r="B18" s="36" t="s">
        <v>84</v>
      </c>
      <c r="C18" s="67">
        <v>11.2830747499232</v>
      </c>
      <c r="D18" s="68">
        <v>17.091049072813679</v>
      </c>
      <c r="E18" s="68">
        <v>42.110000610351563</v>
      </c>
      <c r="F18" s="29">
        <f t="shared" si="0"/>
        <v>0.40586674958661301</v>
      </c>
      <c r="H18" s="36"/>
    </row>
    <row r="19" spans="1:8" s="13" customFormat="1">
      <c r="A19" s="36" t="s">
        <v>85</v>
      </c>
      <c r="B19" s="36" t="s">
        <v>86</v>
      </c>
      <c r="C19" s="67">
        <v>9.31277373082</v>
      </c>
      <c r="D19" s="68">
        <v>17.728227328297915</v>
      </c>
      <c r="E19" s="68">
        <v>2.154999971389771</v>
      </c>
      <c r="F19" s="29">
        <f t="shared" si="0"/>
        <v>8.226555713996083</v>
      </c>
      <c r="H19" s="36"/>
    </row>
    <row r="20" spans="1:8" s="13" customFormat="1">
      <c r="A20" s="36" t="s">
        <v>87</v>
      </c>
      <c r="B20" s="36" t="s">
        <v>88</v>
      </c>
      <c r="C20" s="67">
        <v>6.761817583980001</v>
      </c>
      <c r="D20" s="68">
        <v>15.457795207109935</v>
      </c>
      <c r="E20" s="68">
        <v>3</v>
      </c>
      <c r="F20" s="29">
        <f t="shared" si="0"/>
        <v>5.1525984023699785</v>
      </c>
      <c r="H20" s="36"/>
    </row>
    <row r="21" spans="1:8" s="13" customFormat="1">
      <c r="A21" s="36" t="s">
        <v>89</v>
      </c>
      <c r="B21" s="36" t="s">
        <v>90</v>
      </c>
      <c r="C21" s="67">
        <v>4.8489991024499997</v>
      </c>
      <c r="D21" s="68">
        <v>18.715334851511983</v>
      </c>
      <c r="E21" s="68" t="s">
        <v>74</v>
      </c>
      <c r="F21" s="29" t="s">
        <v>74</v>
      </c>
      <c r="H21" s="36"/>
    </row>
    <row r="22" spans="1:8" s="13" customFormat="1">
      <c r="A22" s="36" t="s">
        <v>91</v>
      </c>
      <c r="B22" s="36" t="s">
        <v>92</v>
      </c>
      <c r="C22" s="67">
        <v>4.8457154449999997</v>
      </c>
      <c r="D22" s="68">
        <v>30.541775903173988</v>
      </c>
      <c r="E22" s="68" t="s">
        <v>74</v>
      </c>
      <c r="F22" s="29" t="s">
        <v>74</v>
      </c>
      <c r="H22" s="36"/>
    </row>
    <row r="23" spans="1:8" s="13" customFormat="1">
      <c r="A23" s="36" t="s">
        <v>93</v>
      </c>
      <c r="B23" s="36" t="s">
        <v>94</v>
      </c>
      <c r="C23" s="67">
        <v>3.7466400477100001</v>
      </c>
      <c r="D23" s="68">
        <v>11.613846296102045</v>
      </c>
      <c r="E23" s="68" t="s">
        <v>74</v>
      </c>
      <c r="F23" s="29" t="s">
        <v>74</v>
      </c>
      <c r="H23" s="36"/>
    </row>
    <row r="24" spans="1:8" s="13" customFormat="1">
      <c r="A24" s="36" t="s">
        <v>95</v>
      </c>
      <c r="B24" s="36" t="s">
        <v>96</v>
      </c>
      <c r="C24" s="67">
        <v>3.46870598256</v>
      </c>
      <c r="D24" s="68">
        <v>25.591382996657376</v>
      </c>
      <c r="E24" s="68" t="s">
        <v>74</v>
      </c>
      <c r="F24" s="29" t="s">
        <v>74</v>
      </c>
      <c r="H24" s="36"/>
    </row>
    <row r="25" spans="1:8" s="13" customFormat="1">
      <c r="A25" s="36" t="s">
        <v>97</v>
      </c>
      <c r="B25" s="36" t="s">
        <v>98</v>
      </c>
      <c r="C25" s="67">
        <v>3.3344701840700002</v>
      </c>
      <c r="D25" s="68">
        <v>38.732536040311189</v>
      </c>
      <c r="E25" s="68" t="s">
        <v>74</v>
      </c>
      <c r="F25" s="29" t="s">
        <v>74</v>
      </c>
      <c r="H25" s="36"/>
    </row>
    <row r="26" spans="1:8" s="13" customFormat="1">
      <c r="A26" s="36" t="s">
        <v>99</v>
      </c>
      <c r="B26" s="36" t="s">
        <v>100</v>
      </c>
      <c r="C26" s="67">
        <v>2.22953773977</v>
      </c>
      <c r="D26" s="68">
        <v>25.181818181818183</v>
      </c>
      <c r="E26" s="68" t="s">
        <v>74</v>
      </c>
      <c r="F26" s="29" t="s">
        <v>74</v>
      </c>
      <c r="H26" s="36"/>
    </row>
    <row r="27" spans="1:8" s="13" customFormat="1">
      <c r="A27" s="36" t="s">
        <v>101</v>
      </c>
      <c r="B27" s="36" t="s">
        <v>102</v>
      </c>
      <c r="C27" s="67">
        <v>2.1421725</v>
      </c>
      <c r="D27" s="68">
        <v>16.641420153502548</v>
      </c>
      <c r="E27" s="68" t="s">
        <v>74</v>
      </c>
      <c r="F27" s="29" t="s">
        <v>74</v>
      </c>
      <c r="H27" s="36"/>
    </row>
    <row r="28" spans="1:8" s="13" customFormat="1">
      <c r="A28" s="36" t="s">
        <v>103</v>
      </c>
      <c r="B28" s="36" t="s">
        <v>104</v>
      </c>
      <c r="C28" s="67">
        <v>1.0917235139039998</v>
      </c>
      <c r="D28" s="68">
        <v>19.985254919752734</v>
      </c>
      <c r="E28" s="68" t="s">
        <v>74</v>
      </c>
      <c r="F28" s="29" t="s">
        <v>74</v>
      </c>
      <c r="H28" s="36"/>
    </row>
    <row r="29" spans="1:8" s="13" customFormat="1">
      <c r="A29" s="36" t="s">
        <v>105</v>
      </c>
      <c r="B29" s="36" t="s">
        <v>106</v>
      </c>
      <c r="C29" s="67">
        <v>0.80231195651999998</v>
      </c>
      <c r="D29" s="68">
        <v>22.395872158787057</v>
      </c>
      <c r="E29" s="68" t="s">
        <v>74</v>
      </c>
      <c r="F29" s="29" t="s">
        <v>74</v>
      </c>
      <c r="H29" s="36"/>
    </row>
    <row r="30" spans="1:8" s="13" customFormat="1">
      <c r="A30" s="36" t="s">
        <v>107</v>
      </c>
      <c r="B30" s="36" t="s">
        <v>108</v>
      </c>
      <c r="C30" s="67">
        <v>0.70502415900000004</v>
      </c>
      <c r="D30" s="68">
        <v>6.8912229933828897</v>
      </c>
      <c r="E30" s="68">
        <v>19.610000610351563</v>
      </c>
      <c r="F30" s="29">
        <f>IF(E30&lt;0,".",D30/E30)</f>
        <v>0.35141370621606249</v>
      </c>
      <c r="H30" s="36"/>
    </row>
    <row r="31" spans="1:8" s="13" customFormat="1">
      <c r="A31" s="36" t="s">
        <v>109</v>
      </c>
      <c r="B31" s="36" t="s">
        <v>110</v>
      </c>
      <c r="C31" s="67">
        <v>0.70139202995999994</v>
      </c>
      <c r="D31" s="68">
        <v>15.487844991747192</v>
      </c>
      <c r="E31" s="68" t="s">
        <v>74</v>
      </c>
      <c r="F31" s="29" t="s">
        <v>74</v>
      </c>
      <c r="H31" s="36"/>
    </row>
    <row r="32" spans="1:8" s="13" customFormat="1">
      <c r="A32" s="36" t="s">
        <v>111</v>
      </c>
      <c r="B32" s="36" t="s">
        <v>112</v>
      </c>
      <c r="C32" s="67">
        <v>0.42844156394999994</v>
      </c>
      <c r="D32" s="68">
        <v>6.5063313262364479</v>
      </c>
      <c r="E32" s="68" t="s">
        <v>74</v>
      </c>
      <c r="F32" s="29" t="s">
        <v>74</v>
      </c>
      <c r="H32" s="36"/>
    </row>
    <row r="33" spans="1:8" s="13" customFormat="1">
      <c r="B33" s="36"/>
      <c r="D33" s="28"/>
      <c r="E33" s="28"/>
      <c r="F33" s="28"/>
      <c r="H33" s="36"/>
    </row>
    <row r="34" spans="1:8" s="13" customFormat="1" ht="15.75" thickBot="1">
      <c r="B34" s="36"/>
      <c r="D34" s="28"/>
      <c r="E34" s="28"/>
      <c r="F34" s="28"/>
      <c r="H34" s="36"/>
    </row>
    <row r="35" spans="1:8" ht="15.75" thickBot="1">
      <c r="A35" s="13"/>
      <c r="B35" s="2" t="s">
        <v>113</v>
      </c>
      <c r="C35" s="6">
        <f>DDM!B6</f>
        <v>5.2030000000000003</v>
      </c>
      <c r="D35" s="28"/>
      <c r="E35" s="28"/>
      <c r="F35" s="28"/>
    </row>
    <row r="36" spans="1:8" ht="15.75" thickBot="1">
      <c r="A36" s="13"/>
      <c r="B36" s="13"/>
      <c r="C36" s="13"/>
      <c r="D36" s="28"/>
      <c r="E36" s="28"/>
      <c r="F36" s="28"/>
    </row>
    <row r="37" spans="1:8" ht="15.75" thickBot="1">
      <c r="A37" s="13"/>
      <c r="B37" s="9" t="s">
        <v>114</v>
      </c>
      <c r="C37" s="10">
        <f>C35*D4</f>
        <v>82.880471734404409</v>
      </c>
      <c r="D37" s="28"/>
      <c r="E37" s="28"/>
      <c r="F37" s="28"/>
    </row>
    <row r="38" spans="1:8">
      <c r="A38" s="13"/>
      <c r="B38" s="13" t="s">
        <v>115</v>
      </c>
      <c r="C38" s="37">
        <f>C35*D3</f>
        <v>91.716162647683177</v>
      </c>
      <c r="D38" s="28"/>
      <c r="E38" s="28"/>
      <c r="F38" s="28"/>
    </row>
    <row r="39" spans="1:8" ht="15.75" thickBot="1">
      <c r="A39" s="13"/>
      <c r="B39" s="13"/>
      <c r="C39" s="38"/>
      <c r="D39" s="28"/>
      <c r="E39" s="28"/>
      <c r="F39" s="28"/>
    </row>
    <row r="40" spans="1:8" ht="15.75" thickBot="1">
      <c r="A40" s="13"/>
      <c r="B40" s="9" t="s">
        <v>116</v>
      </c>
      <c r="C40" s="10">
        <f>F4*E6*C35</f>
        <v>-66.023055983706215</v>
      </c>
      <c r="D40" s="28"/>
      <c r="E40" s="28"/>
      <c r="F40" s="28"/>
    </row>
    <row r="41" spans="1:8">
      <c r="A41" s="13"/>
      <c r="B41" s="13" t="s">
        <v>117</v>
      </c>
      <c r="C41" s="37">
        <f>C35*F3*E6</f>
        <v>-50.291075684775322</v>
      </c>
      <c r="D41" s="28"/>
      <c r="E41" s="28"/>
      <c r="F41" s="28"/>
    </row>
    <row r="42" spans="1:8">
      <c r="A42" s="13"/>
      <c r="B42" s="13"/>
      <c r="C42" s="13"/>
      <c r="D42" s="28"/>
      <c r="E42" s="28"/>
      <c r="F42" s="28"/>
    </row>
    <row r="43" spans="1:8">
      <c r="A43" s="13"/>
      <c r="B43" s="13"/>
      <c r="C43" s="13"/>
      <c r="D43" s="28"/>
      <c r="E43" s="28"/>
      <c r="F43" s="28"/>
    </row>
    <row r="44" spans="1:8">
      <c r="A44" s="13"/>
      <c r="B44" s="13"/>
      <c r="C44" s="13"/>
      <c r="D44" s="28"/>
      <c r="E44" s="28"/>
      <c r="F44" s="28"/>
    </row>
    <row r="45" spans="1:8">
      <c r="A45" s="13"/>
      <c r="B45" s="13"/>
      <c r="C45" s="13"/>
      <c r="D45" s="28"/>
      <c r="E45" s="28"/>
      <c r="F45" s="28"/>
    </row>
    <row r="46" spans="1:8">
      <c r="A46" s="13"/>
      <c r="B46" s="13"/>
      <c r="C46" s="13"/>
      <c r="D46" s="28"/>
      <c r="E46" s="28"/>
      <c r="F46" s="28"/>
    </row>
    <row r="47" spans="1:8">
      <c r="A47" s="13"/>
      <c r="B47" s="13"/>
      <c r="C47" s="13"/>
      <c r="D47" s="28"/>
      <c r="E47" s="28"/>
      <c r="F47" s="28"/>
    </row>
    <row r="48" spans="1:8">
      <c r="A48" s="13"/>
      <c r="B48" s="13"/>
      <c r="C48" s="13"/>
      <c r="D48" s="28"/>
      <c r="E48" s="28"/>
      <c r="F48" s="28"/>
    </row>
    <row r="49" spans="1:6">
      <c r="A49" s="13"/>
      <c r="B49" s="13"/>
      <c r="C49" s="13"/>
      <c r="D49" s="28"/>
      <c r="E49" s="28"/>
      <c r="F49" s="28"/>
    </row>
    <row r="50" spans="1:6">
      <c r="A50" s="13"/>
      <c r="B50" s="13"/>
      <c r="C50" s="13"/>
      <c r="D50" s="28"/>
      <c r="E50" s="28"/>
      <c r="F50" s="28"/>
    </row>
    <row r="51" spans="1:6">
      <c r="A51" s="13"/>
      <c r="B51" s="13"/>
      <c r="C51" s="13"/>
      <c r="D51" s="28"/>
      <c r="E51" s="28"/>
      <c r="F51" s="28"/>
    </row>
    <row r="52" spans="1:6">
      <c r="A52" s="13"/>
      <c r="B52" s="13"/>
      <c r="C52" s="13"/>
      <c r="D52" s="28"/>
      <c r="E52" s="28"/>
      <c r="F52" s="28"/>
    </row>
    <row r="53" spans="1:6">
      <c r="A53" s="13"/>
      <c r="B53" s="13"/>
      <c r="C53" s="13"/>
      <c r="D53" s="28"/>
      <c r="E53" s="28"/>
      <c r="F53" s="28"/>
    </row>
    <row r="54" spans="1:6">
      <c r="A54" s="13"/>
      <c r="B54" s="13"/>
      <c r="C54" s="13"/>
      <c r="D54" s="28"/>
      <c r="E54" s="28"/>
      <c r="F54" s="28"/>
    </row>
    <row r="55" spans="1:6">
      <c r="A55" s="13"/>
      <c r="B55" s="13"/>
      <c r="C55" s="13"/>
      <c r="D55" s="28"/>
      <c r="E55" s="28"/>
      <c r="F55" s="28"/>
    </row>
    <row r="56" spans="1:6">
      <c r="A56" s="13"/>
      <c r="B56" s="13"/>
      <c r="C56" s="13"/>
      <c r="D56" s="28"/>
      <c r="E56" s="28"/>
      <c r="F56" s="28"/>
    </row>
    <row r="57" spans="1:6">
      <c r="A57" s="13"/>
      <c r="B57" s="13"/>
      <c r="C57" s="13"/>
      <c r="D57" s="28"/>
      <c r="E57" s="28"/>
      <c r="F57" s="28"/>
    </row>
    <row r="58" spans="1:6">
      <c r="A58" s="13"/>
      <c r="B58" s="13"/>
      <c r="C58" s="13"/>
      <c r="D58" s="28"/>
      <c r="E58" s="28"/>
      <c r="F58" s="28"/>
    </row>
    <row r="59" spans="1:6">
      <c r="A59" s="13"/>
      <c r="B59" s="13"/>
      <c r="C59" s="13"/>
      <c r="D59" s="28"/>
      <c r="E59" s="28"/>
      <c r="F59" s="28"/>
    </row>
    <row r="60" spans="1:6">
      <c r="A60" s="13"/>
      <c r="B60" s="13"/>
      <c r="C60" s="13"/>
      <c r="D60" s="28"/>
      <c r="E60" s="28"/>
      <c r="F60" s="28"/>
    </row>
    <row r="61" spans="1:6">
      <c r="A61" s="13"/>
      <c r="B61" s="13"/>
      <c r="C61" s="13"/>
      <c r="D61" s="28"/>
      <c r="E61" s="28"/>
      <c r="F61" s="28"/>
    </row>
    <row r="62" spans="1:6">
      <c r="A62" s="13"/>
      <c r="B62" s="13"/>
      <c r="C62" s="13"/>
      <c r="D62" s="28"/>
      <c r="E62" s="28"/>
      <c r="F62" s="28"/>
    </row>
    <row r="63" spans="1:6">
      <c r="A63" s="13"/>
      <c r="B63" s="13"/>
      <c r="C63" s="13"/>
      <c r="D63" s="28"/>
      <c r="E63" s="28"/>
      <c r="F63" s="28"/>
    </row>
    <row r="64" spans="1:6">
      <c r="A64" s="13"/>
      <c r="B64" s="13"/>
      <c r="C64" s="13"/>
      <c r="D64" s="28"/>
      <c r="E64" s="28"/>
      <c r="F64" s="28"/>
    </row>
    <row r="65" spans="1:6">
      <c r="A65" s="13"/>
      <c r="B65" s="13"/>
      <c r="C65" s="13"/>
      <c r="D65" s="28"/>
      <c r="E65" s="28"/>
      <c r="F65" s="28"/>
    </row>
    <row r="66" spans="1:6">
      <c r="A66" s="13"/>
      <c r="B66" s="13"/>
      <c r="C66" s="13"/>
      <c r="D66" s="28"/>
      <c r="E66" s="28"/>
      <c r="F66" s="28"/>
    </row>
    <row r="67" spans="1:6">
      <c r="A67" s="13"/>
      <c r="B67" s="13"/>
      <c r="C67" s="13"/>
      <c r="D67" s="28"/>
      <c r="E67" s="28"/>
      <c r="F67" s="28"/>
    </row>
    <row r="68" spans="1:6">
      <c r="A68" s="13"/>
      <c r="B68" s="13"/>
      <c r="C68" s="13"/>
      <c r="D68" s="28"/>
      <c r="E68" s="28"/>
      <c r="F68" s="28"/>
    </row>
    <row r="69" spans="1:6">
      <c r="A69" s="13"/>
      <c r="B69" s="13"/>
      <c r="C69" s="13"/>
      <c r="D69" s="28"/>
      <c r="E69" s="28"/>
      <c r="F69" s="28"/>
    </row>
    <row r="70" spans="1:6">
      <c r="A70" s="13"/>
      <c r="B70" s="13"/>
      <c r="C70" s="13"/>
      <c r="D70" s="28"/>
      <c r="E70" s="28"/>
      <c r="F70" s="28"/>
    </row>
    <row r="71" spans="1:6">
      <c r="A71" s="13"/>
      <c r="B71" s="13"/>
      <c r="C71" s="13"/>
      <c r="D71" s="28"/>
      <c r="E71" s="28"/>
      <c r="F71" s="28"/>
    </row>
    <row r="72" spans="1:6">
      <c r="A72" s="13"/>
      <c r="B72" s="13"/>
      <c r="C72" s="13"/>
      <c r="D72" s="28"/>
      <c r="E72" s="28"/>
      <c r="F72" s="28"/>
    </row>
    <row r="73" spans="1:6">
      <c r="A73" s="13"/>
      <c r="B73" s="13"/>
      <c r="C73" s="13"/>
      <c r="D73" s="28"/>
      <c r="E73" s="28"/>
      <c r="F73" s="28"/>
    </row>
    <row r="74" spans="1:6">
      <c r="A74" s="13"/>
      <c r="B74" s="13"/>
      <c r="C74" s="13"/>
      <c r="D74" s="28"/>
      <c r="E74" s="28"/>
      <c r="F74" s="28"/>
    </row>
    <row r="75" spans="1:6">
      <c r="A75" s="13"/>
      <c r="B75" s="13"/>
      <c r="C75" s="13"/>
      <c r="D75" s="28"/>
      <c r="E75" s="28"/>
      <c r="F75" s="28"/>
    </row>
    <row r="76" spans="1:6">
      <c r="A76" s="13"/>
      <c r="B76" s="13"/>
      <c r="C76" s="13"/>
      <c r="D76" s="28"/>
      <c r="E76" s="28"/>
      <c r="F76" s="28"/>
    </row>
    <row r="77" spans="1:6">
      <c r="A77" s="13"/>
      <c r="B77" s="13"/>
      <c r="C77" s="13"/>
      <c r="D77" s="28"/>
      <c r="E77" s="28"/>
      <c r="F77" s="28"/>
    </row>
    <row r="78" spans="1:6">
      <c r="A78" s="13"/>
      <c r="B78" s="13"/>
      <c r="C78" s="13"/>
      <c r="D78" s="28"/>
      <c r="E78" s="28"/>
      <c r="F78" s="28"/>
    </row>
    <row r="79" spans="1:6">
      <c r="A79" s="13"/>
      <c r="B79" s="13"/>
      <c r="C79" s="13"/>
      <c r="D79" s="28"/>
      <c r="E79" s="28"/>
      <c r="F79" s="28"/>
    </row>
    <row r="80" spans="1:6">
      <c r="A80" s="13"/>
      <c r="B80" s="13"/>
      <c r="C80" s="13"/>
      <c r="D80" s="28"/>
      <c r="E80" s="28"/>
      <c r="F80" s="28"/>
    </row>
    <row r="81" spans="1:6">
      <c r="A81" s="13"/>
      <c r="B81" s="13"/>
      <c r="C81" s="13"/>
      <c r="D81" s="28"/>
      <c r="E81" s="28"/>
      <c r="F81" s="28"/>
    </row>
    <row r="82" spans="1:6">
      <c r="A82" s="13"/>
      <c r="B82" s="13"/>
      <c r="C82" s="13"/>
      <c r="D82" s="28"/>
      <c r="E82" s="28"/>
      <c r="F82" s="28"/>
    </row>
    <row r="83" spans="1:6">
      <c r="A83" s="13"/>
      <c r="B83" s="13"/>
      <c r="C83" s="13"/>
      <c r="D83" s="28"/>
      <c r="E83" s="28"/>
      <c r="F83" s="28"/>
    </row>
    <row r="84" spans="1:6">
      <c r="A84" s="13"/>
      <c r="B84" s="13"/>
      <c r="C84" s="13"/>
      <c r="D84" s="28"/>
      <c r="E84" s="28"/>
      <c r="F84" s="28"/>
    </row>
    <row r="85" spans="1:6">
      <c r="A85" s="13"/>
      <c r="B85" s="13"/>
      <c r="C85" s="13"/>
      <c r="D85" s="28"/>
      <c r="E85" s="28"/>
      <c r="F85" s="28"/>
    </row>
    <row r="86" spans="1:6">
      <c r="A86" s="13"/>
      <c r="B86" s="13"/>
      <c r="C86" s="13"/>
      <c r="D86" s="28"/>
      <c r="E86" s="28"/>
      <c r="F86" s="28"/>
    </row>
    <row r="87" spans="1:6">
      <c r="A87" s="13"/>
      <c r="B87" s="13"/>
      <c r="C87" s="13"/>
      <c r="D87" s="28"/>
      <c r="E87" s="28"/>
      <c r="F87" s="28"/>
    </row>
    <row r="88" spans="1:6">
      <c r="A88" s="13"/>
      <c r="B88" s="13"/>
      <c r="C88" s="13"/>
      <c r="D88" s="28"/>
      <c r="E88" s="28"/>
      <c r="F88" s="28"/>
    </row>
    <row r="89" spans="1:6">
      <c r="A89" s="13"/>
      <c r="B89" s="13"/>
      <c r="C89" s="13"/>
      <c r="D89" s="28"/>
      <c r="E89" s="28"/>
      <c r="F89" s="28"/>
    </row>
    <row r="90" spans="1:6">
      <c r="A90" s="13"/>
      <c r="B90" s="13"/>
      <c r="C90" s="13"/>
      <c r="D90" s="28"/>
      <c r="E90" s="28"/>
      <c r="F90" s="28"/>
    </row>
    <row r="91" spans="1:6">
      <c r="A91" s="13"/>
      <c r="B91" s="13"/>
      <c r="C91" s="13"/>
      <c r="D91" s="28"/>
      <c r="E91" s="28"/>
      <c r="F91" s="28"/>
    </row>
    <row r="92" spans="1:6">
      <c r="A92" s="13"/>
      <c r="B92" s="13"/>
      <c r="C92" s="13"/>
      <c r="D92" s="28"/>
      <c r="E92" s="28"/>
      <c r="F92" s="28"/>
    </row>
    <row r="93" spans="1:6">
      <c r="A93" s="13"/>
      <c r="B93" s="13"/>
      <c r="C93" s="13"/>
      <c r="D93" s="28"/>
      <c r="E93" s="28"/>
      <c r="F93" s="28"/>
    </row>
    <row r="94" spans="1:6">
      <c r="A94" s="13"/>
      <c r="B94" s="13"/>
      <c r="C94" s="13"/>
      <c r="D94" s="28"/>
      <c r="E94" s="28"/>
      <c r="F94" s="28"/>
    </row>
    <row r="95" spans="1:6">
      <c r="A95" s="13"/>
      <c r="B95" s="13"/>
      <c r="C95" s="13"/>
      <c r="D95" s="28"/>
      <c r="E95" s="28"/>
      <c r="F95" s="28"/>
    </row>
    <row r="96" spans="1:6">
      <c r="A96" s="13"/>
      <c r="B96" s="13"/>
      <c r="C96" s="13"/>
      <c r="D96" s="28"/>
      <c r="E96" s="28"/>
      <c r="F96" s="28"/>
    </row>
    <row r="97" spans="1:6">
      <c r="A97" s="13"/>
      <c r="B97" s="13"/>
      <c r="C97" s="13"/>
      <c r="D97" s="28"/>
      <c r="E97" s="28"/>
      <c r="F97" s="28"/>
    </row>
    <row r="98" spans="1:6">
      <c r="A98" s="13"/>
      <c r="B98" s="13"/>
      <c r="C98" s="13"/>
      <c r="D98" s="28"/>
      <c r="E98" s="28"/>
      <c r="F98" s="28"/>
    </row>
    <row r="99" spans="1:6">
      <c r="A99" s="13"/>
      <c r="B99" s="13"/>
      <c r="C99" s="13"/>
      <c r="D99" s="28"/>
      <c r="E99" s="28"/>
      <c r="F99" s="28"/>
    </row>
    <row r="100" spans="1:6">
      <c r="A100" s="13"/>
      <c r="B100" s="13"/>
      <c r="C100" s="13"/>
      <c r="D100" s="28"/>
      <c r="E100" s="28"/>
      <c r="F100" s="28"/>
    </row>
    <row r="101" spans="1:6">
      <c r="A101" s="13"/>
      <c r="B101" s="13"/>
      <c r="C101" s="13"/>
      <c r="D101" s="28"/>
      <c r="E101" s="28"/>
      <c r="F101" s="28"/>
    </row>
    <row r="102" spans="1:6">
      <c r="A102" s="13"/>
      <c r="B102" s="13"/>
      <c r="C102" s="13"/>
      <c r="D102" s="28"/>
      <c r="E102" s="28"/>
      <c r="F102" s="28"/>
    </row>
    <row r="103" spans="1:6">
      <c r="A103" s="13"/>
      <c r="B103" s="13"/>
      <c r="C103" s="13"/>
      <c r="D103" s="28"/>
      <c r="E103" s="28"/>
      <c r="F103" s="28"/>
    </row>
    <row r="104" spans="1:6">
      <c r="A104" s="13"/>
      <c r="B104" s="13"/>
      <c r="C104" s="13"/>
      <c r="D104" s="28"/>
      <c r="E104" s="28"/>
      <c r="F104" s="28"/>
    </row>
    <row r="105" spans="1:6">
      <c r="A105" s="13"/>
      <c r="B105" s="13"/>
      <c r="C105" s="13"/>
      <c r="D105" s="28"/>
      <c r="E105" s="28"/>
      <c r="F105" s="28"/>
    </row>
    <row r="106" spans="1:6">
      <c r="A106" s="13"/>
      <c r="B106" s="13"/>
      <c r="C106" s="13"/>
      <c r="D106" s="28"/>
      <c r="E106" s="28"/>
      <c r="F106" s="28"/>
    </row>
    <row r="107" spans="1:6">
      <c r="A107" s="13"/>
      <c r="B107" s="13"/>
      <c r="C107" s="13"/>
      <c r="D107" s="28"/>
      <c r="E107" s="28"/>
      <c r="F107" s="28"/>
    </row>
    <row r="108" spans="1:6">
      <c r="A108" s="13"/>
      <c r="B108" s="13"/>
      <c r="C108" s="13"/>
      <c r="D108" s="28"/>
      <c r="E108" s="28"/>
      <c r="F108" s="28"/>
    </row>
    <row r="109" spans="1:6">
      <c r="A109" s="13"/>
      <c r="B109" s="13"/>
      <c r="C109" s="13"/>
      <c r="D109" s="28"/>
      <c r="E109" s="28"/>
      <c r="F109" s="28"/>
    </row>
    <row r="110" spans="1:6">
      <c r="A110" s="13"/>
      <c r="B110" s="13"/>
      <c r="C110" s="13"/>
      <c r="D110" s="28"/>
      <c r="E110" s="28"/>
      <c r="F110" s="28"/>
    </row>
    <row r="111" spans="1:6">
      <c r="A111" s="13"/>
      <c r="B111" s="13"/>
      <c r="C111" s="13"/>
      <c r="D111" s="28"/>
      <c r="E111" s="28"/>
      <c r="F111" s="28"/>
    </row>
    <row r="112" spans="1:6">
      <c r="A112" s="13"/>
      <c r="B112" s="13"/>
      <c r="C112" s="13"/>
      <c r="D112" s="28"/>
      <c r="E112" s="28"/>
      <c r="F112" s="28"/>
    </row>
    <row r="113" spans="1:6">
      <c r="A113" s="13"/>
      <c r="B113" s="13"/>
      <c r="C113" s="13"/>
      <c r="D113" s="28"/>
      <c r="E113" s="28"/>
      <c r="F113" s="28"/>
    </row>
    <row r="114" spans="1:6">
      <c r="A114" s="13"/>
      <c r="B114" s="13"/>
      <c r="C114" s="13"/>
      <c r="D114" s="28"/>
      <c r="E114" s="28"/>
      <c r="F114" s="28"/>
    </row>
    <row r="115" spans="1:6">
      <c r="A115" s="13"/>
      <c r="B115" s="13"/>
      <c r="C115" s="13"/>
      <c r="D115" s="28"/>
      <c r="E115" s="28"/>
      <c r="F115" s="28"/>
    </row>
    <row r="116" spans="1:6">
      <c r="A116" s="13"/>
      <c r="B116" s="13"/>
      <c r="C116" s="13"/>
      <c r="D116" s="28"/>
      <c r="E116" s="28"/>
      <c r="F116" s="28"/>
    </row>
    <row r="117" spans="1:6">
      <c r="A117" s="13"/>
      <c r="B117" s="13"/>
      <c r="C117" s="13"/>
      <c r="D117" s="28"/>
      <c r="E117" s="28"/>
      <c r="F117" s="28"/>
    </row>
    <row r="118" spans="1:6">
      <c r="A118" s="13"/>
      <c r="B118" s="13"/>
      <c r="C118" s="13"/>
      <c r="D118" s="28"/>
      <c r="E118" s="28"/>
      <c r="F118" s="28"/>
    </row>
    <row r="119" spans="1:6">
      <c r="A119" s="13"/>
      <c r="B119" s="13"/>
      <c r="C119" s="13"/>
      <c r="D119" s="28"/>
      <c r="E119" s="28"/>
      <c r="F119" s="28"/>
    </row>
    <row r="120" spans="1:6">
      <c r="A120" s="13"/>
      <c r="B120" s="13"/>
      <c r="C120" s="13"/>
      <c r="D120" s="28"/>
      <c r="E120" s="28"/>
      <c r="F120" s="28"/>
    </row>
    <row r="121" spans="1:6">
      <c r="A121" s="13"/>
      <c r="B121" s="13"/>
      <c r="C121" s="13"/>
      <c r="D121" s="28"/>
      <c r="E121" s="28"/>
      <c r="F121" s="28"/>
    </row>
    <row r="122" spans="1:6">
      <c r="A122" s="13"/>
      <c r="B122" s="13"/>
      <c r="C122" s="13"/>
      <c r="D122" s="28"/>
      <c r="E122" s="28"/>
      <c r="F122" s="28"/>
    </row>
    <row r="123" spans="1:6">
      <c r="A123" s="13"/>
      <c r="B123" s="13"/>
      <c r="C123" s="13"/>
      <c r="D123" s="28"/>
      <c r="E123" s="28"/>
      <c r="F123" s="28"/>
    </row>
    <row r="124" spans="1:6">
      <c r="A124" s="13"/>
      <c r="B124" s="13"/>
      <c r="C124" s="13"/>
      <c r="D124" s="28"/>
      <c r="E124" s="28"/>
      <c r="F124" s="28"/>
    </row>
    <row r="125" spans="1:6">
      <c r="A125" s="13"/>
      <c r="B125" s="13"/>
      <c r="C125" s="13"/>
      <c r="D125" s="28"/>
      <c r="E125" s="28"/>
      <c r="F125" s="28"/>
    </row>
    <row r="126" spans="1:6">
      <c r="A126" s="13"/>
      <c r="B126" s="13"/>
      <c r="C126" s="13"/>
      <c r="D126" s="28"/>
      <c r="E126" s="28"/>
      <c r="F126" s="28"/>
    </row>
    <row r="127" spans="1:6">
      <c r="A127" s="13"/>
      <c r="B127" s="13"/>
      <c r="C127" s="13"/>
      <c r="D127" s="28"/>
      <c r="E127" s="28"/>
      <c r="F127" s="28"/>
    </row>
    <row r="128" spans="1:6">
      <c r="A128" s="13"/>
      <c r="B128" s="13"/>
      <c r="C128" s="13"/>
      <c r="D128" s="28"/>
      <c r="E128" s="28"/>
      <c r="F128" s="28"/>
    </row>
    <row r="129" spans="1:6">
      <c r="A129" s="13"/>
      <c r="B129" s="13"/>
      <c r="C129" s="13"/>
      <c r="D129" s="28"/>
      <c r="E129" s="28"/>
      <c r="F129" s="28"/>
    </row>
    <row r="130" spans="1:6">
      <c r="A130" s="13"/>
      <c r="B130" s="13"/>
      <c r="C130" s="13"/>
      <c r="D130" s="28"/>
      <c r="E130" s="28"/>
      <c r="F130" s="28"/>
    </row>
    <row r="131" spans="1:6">
      <c r="A131" s="13"/>
      <c r="B131" s="13"/>
      <c r="C131" s="13"/>
      <c r="D131" s="28"/>
      <c r="E131" s="28"/>
      <c r="F131" s="28"/>
    </row>
    <row r="132" spans="1:6">
      <c r="A132" s="13"/>
      <c r="B132" s="13"/>
      <c r="C132" s="13"/>
      <c r="D132" s="28"/>
      <c r="E132" s="28"/>
      <c r="F132" s="28"/>
    </row>
    <row r="133" spans="1:6">
      <c r="A133" s="13"/>
      <c r="B133" s="13"/>
      <c r="C133" s="13"/>
      <c r="D133" s="28"/>
      <c r="E133" s="28"/>
      <c r="F133" s="28"/>
    </row>
    <row r="134" spans="1:6">
      <c r="A134" s="13"/>
      <c r="B134" s="13"/>
      <c r="C134" s="13"/>
      <c r="D134" s="28"/>
      <c r="E134" s="28"/>
      <c r="F134" s="28"/>
    </row>
    <row r="135" spans="1:6">
      <c r="A135" s="13"/>
      <c r="B135" s="13"/>
      <c r="C135" s="13"/>
      <c r="D135" s="28"/>
      <c r="E135" s="28"/>
      <c r="F135" s="28"/>
    </row>
    <row r="136" spans="1:6">
      <c r="A136" s="13"/>
      <c r="B136" s="13"/>
      <c r="C136" s="13"/>
      <c r="D136" s="28"/>
      <c r="E136" s="28"/>
      <c r="F136" s="28"/>
    </row>
    <row r="137" spans="1:6">
      <c r="A137" s="13"/>
      <c r="B137" s="13"/>
      <c r="C137" s="13"/>
      <c r="D137" s="28"/>
      <c r="E137" s="28"/>
      <c r="F137" s="28"/>
    </row>
    <row r="138" spans="1:6">
      <c r="A138" s="13"/>
      <c r="B138" s="13"/>
      <c r="C138" s="13"/>
      <c r="D138" s="28"/>
      <c r="E138" s="28"/>
      <c r="F138" s="28"/>
    </row>
    <row r="139" spans="1:6">
      <c r="A139" s="13"/>
      <c r="B139" s="13"/>
      <c r="C139" s="13"/>
      <c r="D139" s="28"/>
      <c r="E139" s="28"/>
      <c r="F139" s="28"/>
    </row>
    <row r="140" spans="1:6">
      <c r="A140" s="13"/>
      <c r="B140" s="13"/>
      <c r="C140" s="13"/>
      <c r="D140" s="28"/>
      <c r="E140" s="28"/>
      <c r="F140" s="28"/>
    </row>
    <row r="141" spans="1:6">
      <c r="A141" s="13"/>
      <c r="B141" s="13"/>
      <c r="C141" s="13"/>
      <c r="D141" s="28"/>
      <c r="E141" s="28"/>
      <c r="F141" s="28"/>
    </row>
    <row r="142" spans="1:6">
      <c r="A142" s="13"/>
      <c r="B142" s="13"/>
      <c r="C142" s="13"/>
      <c r="D142" s="28"/>
      <c r="E142" s="28"/>
      <c r="F142" s="28"/>
    </row>
    <row r="143" spans="1:6">
      <c r="A143" s="13"/>
      <c r="B143" s="13"/>
      <c r="C143" s="13"/>
      <c r="D143" s="28"/>
      <c r="E143" s="28"/>
      <c r="F143" s="28"/>
    </row>
    <row r="144" spans="1:6">
      <c r="A144" s="13"/>
      <c r="B144" s="13"/>
      <c r="C144" s="13"/>
      <c r="D144" s="28"/>
      <c r="E144" s="28"/>
      <c r="F144" s="28"/>
    </row>
    <row r="145" spans="1:6">
      <c r="A145" s="13"/>
      <c r="B145" s="13"/>
      <c r="C145" s="13"/>
      <c r="D145" s="28"/>
      <c r="E145" s="28"/>
      <c r="F145" s="28"/>
    </row>
    <row r="146" spans="1:6">
      <c r="A146" s="13"/>
      <c r="B146" s="13"/>
      <c r="C146" s="13"/>
      <c r="D146" s="28"/>
      <c r="E146" s="28"/>
      <c r="F146" s="28"/>
    </row>
    <row r="147" spans="1:6">
      <c r="A147" s="13"/>
      <c r="B147" s="13"/>
      <c r="C147" s="13"/>
      <c r="D147" s="28"/>
      <c r="E147" s="28"/>
      <c r="F147" s="28"/>
    </row>
    <row r="148" spans="1:6">
      <c r="A148" s="13"/>
      <c r="B148" s="13"/>
      <c r="C148" s="13"/>
      <c r="D148" s="28"/>
      <c r="E148" s="28"/>
      <c r="F148" s="28"/>
    </row>
    <row r="149" spans="1:6">
      <c r="A149" s="13"/>
      <c r="B149" s="13"/>
      <c r="C149" s="13"/>
      <c r="D149" s="28"/>
      <c r="E149" s="28"/>
      <c r="F149" s="28"/>
    </row>
    <row r="150" spans="1:6">
      <c r="A150" s="13"/>
      <c r="B150" s="13"/>
      <c r="C150" s="13"/>
      <c r="D150" s="28"/>
      <c r="E150" s="28"/>
      <c r="F150" s="28"/>
    </row>
    <row r="151" spans="1:6">
      <c r="A151" s="13"/>
      <c r="B151" s="13"/>
      <c r="C151" s="13"/>
      <c r="D151" s="28"/>
      <c r="E151" s="28"/>
      <c r="F151" s="28"/>
    </row>
    <row r="152" spans="1:6">
      <c r="A152" s="13"/>
      <c r="B152" s="13"/>
      <c r="C152" s="13"/>
      <c r="D152" s="28"/>
      <c r="E152" s="28"/>
      <c r="F152" s="28"/>
    </row>
    <row r="153" spans="1:6">
      <c r="A153" s="13"/>
      <c r="B153" s="13"/>
      <c r="C153" s="13"/>
      <c r="D153" s="28"/>
      <c r="E153" s="28"/>
      <c r="F153" s="28"/>
    </row>
    <row r="154" spans="1:6">
      <c r="A154" s="13"/>
      <c r="B154" s="13"/>
      <c r="C154" s="13"/>
      <c r="D154" s="28"/>
      <c r="E154" s="28"/>
      <c r="F154" s="28"/>
    </row>
    <row r="155" spans="1:6">
      <c r="A155" s="13"/>
      <c r="B155" s="13"/>
      <c r="C155" s="13"/>
      <c r="D155" s="28"/>
      <c r="E155" s="28"/>
      <c r="F155" s="28"/>
    </row>
    <row r="156" spans="1:6">
      <c r="A156" s="13"/>
      <c r="B156" s="13"/>
      <c r="C156" s="13"/>
      <c r="D156" s="28"/>
      <c r="E156" s="28"/>
      <c r="F156" s="28"/>
    </row>
    <row r="157" spans="1:6">
      <c r="A157" s="13"/>
      <c r="B157" s="13"/>
      <c r="C157" s="13"/>
      <c r="D157" s="28"/>
      <c r="E157" s="28"/>
      <c r="F157" s="28"/>
    </row>
    <row r="158" spans="1:6">
      <c r="A158" s="13"/>
      <c r="B158" s="13"/>
      <c r="C158" s="13"/>
      <c r="D158" s="28"/>
      <c r="E158" s="28"/>
      <c r="F158" s="28"/>
    </row>
    <row r="159" spans="1:6">
      <c r="A159" s="13"/>
      <c r="B159" s="13"/>
      <c r="C159" s="13"/>
      <c r="D159" s="28"/>
      <c r="E159" s="28"/>
      <c r="F159" s="28"/>
    </row>
    <row r="160" spans="1:6">
      <c r="A160" s="13"/>
      <c r="B160" s="13"/>
      <c r="C160" s="13"/>
      <c r="D160" s="28"/>
      <c r="E160" s="28"/>
      <c r="F160" s="28"/>
    </row>
    <row r="161" spans="1:6">
      <c r="A161" s="13"/>
      <c r="B161" s="13"/>
      <c r="C161" s="13"/>
      <c r="D161" s="28"/>
      <c r="E161" s="28"/>
      <c r="F161" s="28"/>
    </row>
    <row r="162" spans="1:6">
      <c r="A162" s="13"/>
      <c r="B162" s="13"/>
      <c r="C162" s="13"/>
      <c r="D162" s="28"/>
      <c r="E162" s="28"/>
      <c r="F162" s="28"/>
    </row>
    <row r="163" spans="1:6">
      <c r="A163" s="13"/>
      <c r="B163" s="13"/>
      <c r="C163" s="13"/>
      <c r="D163" s="28"/>
      <c r="E163" s="28"/>
      <c r="F163" s="28"/>
    </row>
    <row r="164" spans="1:6">
      <c r="A164" s="13"/>
      <c r="B164" s="13"/>
      <c r="C164" s="13"/>
      <c r="D164" s="28"/>
      <c r="E164" s="28"/>
      <c r="F164" s="28"/>
    </row>
    <row r="165" spans="1:6">
      <c r="A165" s="13"/>
      <c r="B165" s="13"/>
      <c r="C165" s="13"/>
      <c r="D165" s="28"/>
      <c r="E165" s="28"/>
      <c r="F165" s="28"/>
    </row>
    <row r="166" spans="1:6">
      <c r="A166" s="13"/>
      <c r="B166" s="13"/>
      <c r="C166" s="13"/>
      <c r="D166" s="28"/>
      <c r="E166" s="28"/>
      <c r="F166" s="28"/>
    </row>
    <row r="167" spans="1:6">
      <c r="A167" s="13"/>
      <c r="B167" s="13"/>
      <c r="C167" s="13"/>
      <c r="D167" s="28"/>
      <c r="E167" s="28"/>
      <c r="F167" s="28"/>
    </row>
    <row r="168" spans="1:6">
      <c r="A168" s="13"/>
      <c r="B168" s="13"/>
      <c r="C168" s="13"/>
      <c r="D168" s="28"/>
      <c r="E168" s="28"/>
      <c r="F168" s="28"/>
    </row>
    <row r="169" spans="1:6">
      <c r="A169" s="13"/>
      <c r="B169" s="13"/>
      <c r="C169" s="13"/>
      <c r="D169" s="28"/>
      <c r="E169" s="28"/>
      <c r="F169" s="28"/>
    </row>
    <row r="170" spans="1:6">
      <c r="A170" s="13"/>
      <c r="B170" s="13"/>
      <c r="C170" s="13"/>
      <c r="D170" s="28"/>
      <c r="E170" s="28"/>
      <c r="F170" s="28"/>
    </row>
    <row r="171" spans="1:6">
      <c r="A171" s="13"/>
      <c r="B171" s="13"/>
      <c r="C171" s="13"/>
      <c r="D171" s="28"/>
      <c r="E171" s="28"/>
      <c r="F171" s="28"/>
    </row>
    <row r="172" spans="1:6">
      <c r="A172" s="13"/>
      <c r="B172" s="13"/>
      <c r="C172" s="13"/>
      <c r="D172" s="28"/>
      <c r="E172" s="28"/>
      <c r="F172" s="28"/>
    </row>
    <row r="173" spans="1:6">
      <c r="A173" s="13"/>
      <c r="B173" s="13"/>
      <c r="C173" s="13"/>
      <c r="D173" s="28"/>
      <c r="E173" s="28"/>
      <c r="F173" s="28"/>
    </row>
    <row r="174" spans="1:6">
      <c r="A174" s="13"/>
      <c r="B174" s="13"/>
      <c r="C174" s="13"/>
      <c r="D174" s="28"/>
      <c r="E174" s="28"/>
      <c r="F174" s="28"/>
    </row>
    <row r="175" spans="1:6">
      <c r="A175" s="13"/>
      <c r="B175" s="13"/>
      <c r="C175" s="13"/>
      <c r="D175" s="28"/>
      <c r="E175" s="28"/>
      <c r="F175" s="28"/>
    </row>
    <row r="176" spans="1:6">
      <c r="A176" s="13"/>
      <c r="B176" s="13"/>
      <c r="C176" s="13"/>
      <c r="D176" s="28"/>
      <c r="E176" s="28"/>
      <c r="F176" s="28"/>
    </row>
    <row r="177" spans="1:6">
      <c r="A177" s="13"/>
      <c r="B177" s="13"/>
      <c r="C177" s="13"/>
      <c r="D177" s="28"/>
      <c r="E177" s="28"/>
      <c r="F177" s="28"/>
    </row>
    <row r="178" spans="1:6">
      <c r="A178" s="13"/>
      <c r="B178" s="13"/>
      <c r="C178" s="13"/>
      <c r="D178" s="28"/>
      <c r="E178" s="28"/>
      <c r="F178" s="28"/>
    </row>
    <row r="179" spans="1:6">
      <c r="A179" s="13"/>
      <c r="B179" s="13"/>
      <c r="C179" s="13"/>
      <c r="D179" s="28"/>
      <c r="E179" s="28"/>
      <c r="F179" s="28"/>
    </row>
    <row r="180" spans="1:6">
      <c r="A180" s="13"/>
      <c r="B180" s="13"/>
      <c r="C180" s="13"/>
      <c r="D180" s="28"/>
      <c r="E180" s="28"/>
      <c r="F180" s="28"/>
    </row>
    <row r="181" spans="1:6">
      <c r="A181" s="13"/>
      <c r="B181" s="13"/>
      <c r="C181" s="13"/>
      <c r="D181" s="28"/>
      <c r="E181" s="28"/>
      <c r="F181" s="28"/>
    </row>
    <row r="182" spans="1:6">
      <c r="A182" s="13"/>
      <c r="B182" s="13"/>
      <c r="C182" s="13"/>
      <c r="D182" s="28"/>
      <c r="E182" s="28"/>
      <c r="F182" s="28"/>
    </row>
    <row r="183" spans="1:6">
      <c r="A183" s="13"/>
      <c r="B183" s="13"/>
      <c r="C183" s="13"/>
      <c r="D183" s="28"/>
      <c r="E183" s="28"/>
      <c r="F183" s="28"/>
    </row>
    <row r="184" spans="1:6">
      <c r="A184" s="13"/>
      <c r="B184" s="13"/>
      <c r="C184" s="13"/>
      <c r="D184" s="28"/>
      <c r="E184" s="28"/>
      <c r="F184" s="28"/>
    </row>
    <row r="185" spans="1:6">
      <c r="A185" s="13"/>
      <c r="B185" s="13"/>
      <c r="C185" s="13"/>
      <c r="D185" s="28"/>
      <c r="E185" s="28"/>
      <c r="F185" s="28"/>
    </row>
    <row r="186" spans="1:6">
      <c r="A186" s="13"/>
      <c r="B186" s="13"/>
      <c r="C186" s="13"/>
      <c r="D186" s="28"/>
      <c r="E186" s="28"/>
      <c r="F186" s="28"/>
    </row>
    <row r="187" spans="1:6">
      <c r="A187" s="13"/>
      <c r="B187" s="13"/>
      <c r="C187" s="13"/>
      <c r="D187" s="28"/>
      <c r="E187" s="28"/>
      <c r="F187" s="28"/>
    </row>
    <row r="188" spans="1:6">
      <c r="A188" s="13"/>
      <c r="B188" s="13"/>
      <c r="C188" s="13"/>
      <c r="D188" s="28"/>
      <c r="E188" s="28"/>
      <c r="F188" s="28"/>
    </row>
    <row r="189" spans="1:6">
      <c r="A189" s="13"/>
      <c r="B189" s="13"/>
      <c r="C189" s="13"/>
      <c r="D189" s="28"/>
      <c r="E189" s="28"/>
      <c r="F189" s="28"/>
    </row>
    <row r="190" spans="1:6">
      <c r="A190" s="13"/>
      <c r="B190" s="13"/>
      <c r="C190" s="13"/>
      <c r="D190" s="28"/>
      <c r="E190" s="28"/>
      <c r="F190" s="28"/>
    </row>
    <row r="191" spans="1:6">
      <c r="A191" s="13"/>
      <c r="B191" s="13"/>
      <c r="C191" s="13"/>
      <c r="D191" s="28"/>
      <c r="E191" s="28"/>
      <c r="F191" s="28"/>
    </row>
    <row r="192" spans="1:6">
      <c r="A192" s="13"/>
      <c r="B192" s="13"/>
      <c r="C192" s="13"/>
      <c r="D192" s="28"/>
      <c r="E192" s="28"/>
      <c r="F192" s="28"/>
    </row>
    <row r="193" spans="1:6">
      <c r="A193" s="13"/>
      <c r="B193" s="13"/>
      <c r="C193" s="13"/>
      <c r="D193" s="28"/>
      <c r="E193" s="28"/>
      <c r="F193" s="28"/>
    </row>
    <row r="194" spans="1:6">
      <c r="A194" s="13"/>
      <c r="B194" s="13"/>
      <c r="C194" s="13"/>
      <c r="D194" s="28"/>
      <c r="E194" s="28"/>
      <c r="F194" s="28"/>
    </row>
    <row r="195" spans="1:6">
      <c r="A195" s="13"/>
      <c r="B195" s="13"/>
      <c r="C195" s="13"/>
      <c r="D195" s="28"/>
      <c r="E195" s="28"/>
      <c r="F195" s="28"/>
    </row>
    <row r="196" spans="1:6">
      <c r="A196" s="13"/>
      <c r="B196" s="13"/>
      <c r="C196" s="13"/>
      <c r="D196" s="28"/>
      <c r="E196" s="28"/>
      <c r="F196" s="28"/>
    </row>
    <row r="197" spans="1:6">
      <c r="A197" s="13"/>
      <c r="B197" s="13"/>
      <c r="C197" s="13"/>
      <c r="D197" s="28"/>
      <c r="E197" s="28"/>
      <c r="F197" s="28"/>
    </row>
    <row r="198" spans="1:6">
      <c r="A198" s="13"/>
      <c r="B198" s="13"/>
      <c r="C198" s="13"/>
      <c r="D198" s="28"/>
      <c r="E198" s="28"/>
      <c r="F198" s="28"/>
    </row>
    <row r="199" spans="1:6">
      <c r="A199" s="13"/>
      <c r="B199" s="13"/>
      <c r="C199" s="13"/>
      <c r="D199" s="28"/>
      <c r="E199" s="28"/>
      <c r="F199" s="28"/>
    </row>
    <row r="200" spans="1:6">
      <c r="A200" s="13"/>
      <c r="B200" s="13"/>
      <c r="C200" s="13"/>
      <c r="D200" s="28"/>
      <c r="E200" s="28"/>
      <c r="F200" s="28"/>
    </row>
    <row r="201" spans="1:6">
      <c r="A201" s="13"/>
      <c r="B201" s="13"/>
      <c r="C201" s="13"/>
      <c r="D201" s="28"/>
      <c r="E201" s="28"/>
      <c r="F201" s="28"/>
    </row>
    <row r="202" spans="1:6">
      <c r="A202" s="13"/>
      <c r="B202" s="13"/>
      <c r="C202" s="13"/>
      <c r="D202" s="28"/>
      <c r="E202" s="28"/>
      <c r="F202" s="28"/>
    </row>
    <row r="203" spans="1:6">
      <c r="A203" s="13"/>
      <c r="B203" s="13"/>
      <c r="C203" s="13"/>
      <c r="D203" s="28"/>
      <c r="E203" s="28"/>
      <c r="F203" s="28"/>
    </row>
    <row r="204" spans="1:6">
      <c r="A204" s="13"/>
      <c r="B204" s="13"/>
      <c r="C204" s="13"/>
      <c r="D204" s="28"/>
      <c r="E204" s="28"/>
      <c r="F204" s="28"/>
    </row>
    <row r="205" spans="1:6">
      <c r="A205" s="13"/>
      <c r="B205" s="13"/>
      <c r="C205" s="13"/>
      <c r="D205" s="28"/>
      <c r="E205" s="28"/>
      <c r="F205" s="28"/>
    </row>
    <row r="206" spans="1:6">
      <c r="A206" s="13"/>
      <c r="B206" s="13"/>
      <c r="C206" s="13"/>
      <c r="D206" s="28"/>
      <c r="E206" s="28"/>
      <c r="F206" s="28"/>
    </row>
    <row r="207" spans="1:6">
      <c r="A207" s="13"/>
      <c r="B207" s="13"/>
      <c r="C207" s="13"/>
      <c r="D207" s="28"/>
      <c r="E207" s="28"/>
      <c r="F207" s="28"/>
    </row>
    <row r="208" spans="1:6">
      <c r="A208" s="13"/>
      <c r="B208" s="13"/>
      <c r="C208" s="13"/>
      <c r="D208" s="28"/>
      <c r="E208" s="28"/>
      <c r="F208" s="28"/>
    </row>
    <row r="209" spans="1:6">
      <c r="A209" s="13"/>
      <c r="B209" s="13"/>
      <c r="C209" s="13"/>
      <c r="D209" s="28"/>
      <c r="E209" s="28"/>
      <c r="F209" s="28"/>
    </row>
    <row r="210" spans="1:6">
      <c r="A210" s="13"/>
      <c r="B210" s="13"/>
      <c r="C210" s="13"/>
      <c r="D210" s="28"/>
      <c r="E210" s="28"/>
      <c r="F210" s="28"/>
    </row>
    <row r="211" spans="1:6">
      <c r="A211" s="13"/>
      <c r="B211" s="13"/>
      <c r="C211" s="13"/>
      <c r="D211" s="28"/>
      <c r="E211" s="28"/>
      <c r="F211" s="28"/>
    </row>
    <row r="212" spans="1:6">
      <c r="A212" s="13"/>
      <c r="B212" s="13"/>
      <c r="C212" s="13"/>
      <c r="D212" s="28"/>
      <c r="E212" s="28"/>
      <c r="F212" s="28"/>
    </row>
    <row r="213" spans="1:6">
      <c r="A213" s="13"/>
      <c r="B213" s="13"/>
      <c r="C213" s="13"/>
      <c r="D213" s="28"/>
      <c r="E213" s="28"/>
      <c r="F213" s="28"/>
    </row>
    <row r="214" spans="1:6">
      <c r="A214" s="13"/>
      <c r="B214" s="13"/>
      <c r="C214" s="13"/>
      <c r="D214" s="28"/>
      <c r="E214" s="28"/>
      <c r="F214" s="28"/>
    </row>
    <row r="215" spans="1:6">
      <c r="A215" s="13"/>
      <c r="B215" s="13"/>
      <c r="C215" s="13"/>
      <c r="D215" s="28"/>
      <c r="E215" s="28"/>
      <c r="F215" s="28"/>
    </row>
    <row r="216" spans="1:6">
      <c r="A216" s="13"/>
      <c r="B216" s="13"/>
      <c r="C216" s="13"/>
      <c r="D216" s="28"/>
      <c r="E216" s="28"/>
      <c r="F216" s="28"/>
    </row>
    <row r="217" spans="1:6">
      <c r="A217" s="13"/>
      <c r="B217" s="13"/>
      <c r="C217" s="13"/>
      <c r="D217" s="28"/>
      <c r="E217" s="28"/>
      <c r="F217" s="28"/>
    </row>
    <row r="218" spans="1:6">
      <c r="A218" s="13"/>
      <c r="B218" s="13"/>
      <c r="C218" s="13"/>
      <c r="D218" s="28"/>
      <c r="E218" s="28"/>
      <c r="F218" s="28"/>
    </row>
    <row r="219" spans="1:6">
      <c r="A219" s="13"/>
      <c r="B219" s="13"/>
      <c r="C219" s="13"/>
      <c r="D219" s="28"/>
      <c r="E219" s="28"/>
      <c r="F219" s="28"/>
    </row>
    <row r="220" spans="1:6">
      <c r="A220" s="13"/>
      <c r="B220" s="13"/>
      <c r="C220" s="13"/>
      <c r="D220" s="28"/>
      <c r="E220" s="28"/>
      <c r="F220" s="28"/>
    </row>
    <row r="221" spans="1:6">
      <c r="A221" s="13"/>
      <c r="B221" s="13"/>
      <c r="C221" s="13"/>
      <c r="D221" s="28"/>
      <c r="E221" s="28"/>
      <c r="F221" s="28"/>
    </row>
    <row r="222" spans="1:6">
      <c r="A222" s="13"/>
      <c r="B222" s="13"/>
      <c r="C222" s="13"/>
      <c r="D222" s="28"/>
      <c r="E222" s="28"/>
      <c r="F222" s="28"/>
    </row>
    <row r="223" spans="1:6">
      <c r="A223" s="13"/>
      <c r="B223" s="13"/>
      <c r="C223" s="13"/>
      <c r="D223" s="28"/>
      <c r="E223" s="28"/>
      <c r="F223" s="28"/>
    </row>
    <row r="224" spans="1:6">
      <c r="A224" s="13"/>
      <c r="B224" s="13"/>
      <c r="C224" s="13"/>
      <c r="D224" s="28"/>
      <c r="E224" s="28"/>
      <c r="F224" s="28"/>
    </row>
    <row r="225" spans="1:6">
      <c r="A225" s="13"/>
      <c r="B225" s="13"/>
      <c r="C225" s="13"/>
      <c r="D225" s="28"/>
      <c r="E225" s="28"/>
      <c r="F225" s="28"/>
    </row>
    <row r="226" spans="1:6">
      <c r="A226" s="13"/>
      <c r="B226" s="13"/>
      <c r="C226" s="13"/>
      <c r="D226" s="28"/>
      <c r="E226" s="28"/>
      <c r="F226" s="28"/>
    </row>
    <row r="227" spans="1:6">
      <c r="A227" s="13"/>
      <c r="B227" s="13"/>
      <c r="C227" s="13"/>
      <c r="D227" s="28"/>
      <c r="E227" s="28"/>
      <c r="F227" s="28"/>
    </row>
    <row r="228" spans="1:6">
      <c r="A228" s="13"/>
      <c r="B228" s="13"/>
      <c r="C228" s="13"/>
      <c r="D228" s="28"/>
      <c r="E228" s="28"/>
      <c r="F228" s="28"/>
    </row>
    <row r="229" spans="1:6">
      <c r="A229" s="13"/>
      <c r="B229" s="13"/>
      <c r="C229" s="13"/>
      <c r="D229" s="28"/>
      <c r="E229" s="28"/>
      <c r="F229" s="28"/>
    </row>
    <row r="230" spans="1:6">
      <c r="A230" s="13"/>
      <c r="B230" s="13"/>
      <c r="C230" s="13"/>
      <c r="D230" s="28"/>
      <c r="E230" s="28"/>
      <c r="F230" s="28"/>
    </row>
    <row r="231" spans="1:6">
      <c r="A231" s="13"/>
      <c r="B231" s="13"/>
      <c r="C231" s="13"/>
      <c r="D231" s="28"/>
      <c r="E231" s="28"/>
      <c r="F231" s="28"/>
    </row>
    <row r="232" spans="1:6">
      <c r="A232" s="13"/>
      <c r="B232" s="13"/>
      <c r="C232" s="13"/>
    </row>
    <row r="233" spans="1:6">
      <c r="A233" s="13"/>
      <c r="B233" s="13"/>
      <c r="C233" s="13"/>
    </row>
    <row r="234" spans="1:6">
      <c r="A234" s="13"/>
      <c r="B234" s="13"/>
      <c r="C234" s="13"/>
    </row>
    <row r="235" spans="1:6">
      <c r="A235" s="13"/>
      <c r="B235" s="13"/>
      <c r="C235" s="13"/>
    </row>
    <row r="236" spans="1:6">
      <c r="A236" s="13"/>
      <c r="B236" s="13"/>
      <c r="C236" s="13"/>
    </row>
    <row r="237" spans="1:6">
      <c r="A237" s="13"/>
      <c r="B237" s="13"/>
      <c r="C237" s="13"/>
    </row>
  </sheetData>
  <sortState xmlns:xlrd2="http://schemas.microsoft.com/office/spreadsheetml/2017/richdata2" ref="A8:F32">
    <sortCondition descending="1" ref="C8:C32"/>
  </sortState>
  <pageMargins left="0.7" right="0.7" top="0.75" bottom="0.75" header="0.3" footer="0.3"/>
  <pageSetup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R40"/>
  <sheetViews>
    <sheetView topLeftCell="A2" zoomScale="160" zoomScaleNormal="160" workbookViewId="0">
      <selection activeCell="I6" sqref="I6"/>
    </sheetView>
  </sheetViews>
  <sheetFormatPr defaultRowHeight="15"/>
  <cols>
    <col min="1" max="1" width="16.28515625" bestFit="1" customWidth="1"/>
    <col min="2" max="2" width="14.42578125" bestFit="1" customWidth="1"/>
    <col min="3" max="10" width="11.28515625" bestFit="1" customWidth="1"/>
    <col min="11" max="11" width="14.42578125" bestFit="1" customWidth="1"/>
    <col min="12" max="14" width="11.28515625" bestFit="1" customWidth="1"/>
    <col min="15" max="17" width="11" bestFit="1" customWidth="1"/>
  </cols>
  <sheetData>
    <row r="1" spans="1:44" ht="15.75" thickBot="1">
      <c r="A1" s="2" t="s">
        <v>20</v>
      </c>
      <c r="B1" s="3">
        <f>'Valuations &amp; Assumptions'!G15</f>
        <v>0.10299999999999999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44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>
      <c r="A3" s="13" t="s">
        <v>27</v>
      </c>
      <c r="B3" s="51">
        <v>45657</v>
      </c>
      <c r="C3" s="51">
        <v>46022</v>
      </c>
      <c r="D3" s="33">
        <v>46387</v>
      </c>
      <c r="E3" s="33">
        <v>46752</v>
      </c>
      <c r="F3" s="33">
        <v>47118</v>
      </c>
      <c r="G3" s="33">
        <v>47483</v>
      </c>
      <c r="H3" s="33">
        <v>47848</v>
      </c>
      <c r="I3" s="33">
        <v>48213</v>
      </c>
      <c r="J3" s="33">
        <v>48579</v>
      </c>
      <c r="K3" s="33">
        <v>48944</v>
      </c>
      <c r="L3" s="33">
        <v>49309</v>
      </c>
      <c r="M3" s="33">
        <v>49674</v>
      </c>
      <c r="N3" s="33">
        <v>50040</v>
      </c>
      <c r="O3" s="33">
        <v>50405</v>
      </c>
      <c r="P3" s="33">
        <v>50770</v>
      </c>
      <c r="Q3" s="33">
        <v>51135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spans="1:44" ht="15.75" thickBot="1">
      <c r="A4" s="13"/>
      <c r="B4" s="28" t="s">
        <v>28</v>
      </c>
      <c r="C4" s="28" t="s">
        <v>29</v>
      </c>
      <c r="D4" s="28" t="s">
        <v>30</v>
      </c>
      <c r="E4" s="28" t="s">
        <v>31</v>
      </c>
      <c r="F4" s="28" t="s">
        <v>32</v>
      </c>
      <c r="G4" s="28" t="s">
        <v>33</v>
      </c>
      <c r="H4" s="28" t="s">
        <v>34</v>
      </c>
      <c r="I4" s="28" t="s">
        <v>35</v>
      </c>
      <c r="J4" s="28" t="s">
        <v>36</v>
      </c>
      <c r="K4" s="28" t="s">
        <v>37</v>
      </c>
      <c r="L4" s="28" t="s">
        <v>38</v>
      </c>
      <c r="M4" s="28" t="s">
        <v>39</v>
      </c>
      <c r="N4" s="28" t="s">
        <v>40</v>
      </c>
      <c r="O4" s="28" t="s">
        <v>41</v>
      </c>
      <c r="P4" s="28" t="s">
        <v>42</v>
      </c>
      <c r="Q4" s="28" t="s">
        <v>43</v>
      </c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spans="1:44" ht="15.75" thickBot="1">
      <c r="A5" s="13" t="s">
        <v>44</v>
      </c>
      <c r="B5" s="30" t="s">
        <v>45</v>
      </c>
      <c r="C5" s="30">
        <f>DDM!C5</f>
        <v>0.23102056505862001</v>
      </c>
      <c r="D5" s="30">
        <f>DDM!D5</f>
        <v>0.24277907884465255</v>
      </c>
      <c r="E5" s="56">
        <f>'Valuations &amp; Assumptions'!F12</f>
        <v>-2.86E-2</v>
      </c>
      <c r="F5" s="30">
        <f>DDM!F5</f>
        <v>-2.86E-2</v>
      </c>
      <c r="G5" s="30">
        <f>DDM!G5</f>
        <v>-2.86E-2</v>
      </c>
      <c r="H5" s="30">
        <f>DDM!H5</f>
        <v>-1.5742857142857142E-2</v>
      </c>
      <c r="I5" s="30">
        <f>DDM!I5</f>
        <v>-2.8857142857142849E-3</v>
      </c>
      <c r="J5" s="30">
        <f>DDM!J5</f>
        <v>9.9714285714285721E-3</v>
      </c>
      <c r="K5" s="30">
        <f>DDM!K5</f>
        <v>2.2828571428571427E-2</v>
      </c>
      <c r="L5" s="30">
        <f>DDM!L5</f>
        <v>3.5685714285714286E-2</v>
      </c>
      <c r="M5" s="30">
        <f>DDM!M5</f>
        <v>4.8542857142857145E-2</v>
      </c>
      <c r="N5" s="32">
        <f>DDM!N5</f>
        <v>6.1400000000000003E-2</v>
      </c>
      <c r="O5" s="30">
        <f>DDM!O5</f>
        <v>6.1400000000000003E-2</v>
      </c>
      <c r="P5" s="30">
        <f>DDM!P5</f>
        <v>6.1400000000000003E-2</v>
      </c>
      <c r="Q5" s="30">
        <f>DDM!Q5</f>
        <v>6.1400000000000003E-2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spans="1:44" ht="15.75" thickBot="1">
      <c r="A6" t="s">
        <v>21</v>
      </c>
      <c r="B6" s="49">
        <f>'Valuations &amp; Assumptions'!J15</f>
        <v>1626.9</v>
      </c>
      <c r="C6" s="50">
        <f>B6*(1+C5)</f>
        <v>2002.7473572938688</v>
      </c>
      <c r="D6" s="50">
        <f>C6*(1+D5)</f>
        <v>2488.9725158562369</v>
      </c>
      <c r="E6" s="50">
        <f>D6*(1+E5)</f>
        <v>2417.7879019027487</v>
      </c>
      <c r="F6" s="50">
        <f t="shared" ref="F6:N6" si="0">E6*(1+F5)</f>
        <v>2348.6391679083304</v>
      </c>
      <c r="G6" s="50">
        <f t="shared" si="0"/>
        <v>2281.4680877061523</v>
      </c>
      <c r="H6" s="50">
        <f t="shared" si="0"/>
        <v>2245.551261525407</v>
      </c>
      <c r="I6" s="50">
        <f t="shared" si="0"/>
        <v>2239.0712421707194</v>
      </c>
      <c r="J6" s="50">
        <f t="shared" si="0"/>
        <v>2261.3979811283643</v>
      </c>
      <c r="K6" s="50">
        <f t="shared" si="0"/>
        <v>2313.0224664689804</v>
      </c>
      <c r="L6" s="50">
        <f t="shared" si="0"/>
        <v>2395.5643253438307</v>
      </c>
      <c r="M6" s="50">
        <f t="shared" si="0"/>
        <v>2511.8518621655212</v>
      </c>
      <c r="N6" s="50">
        <f t="shared" si="0"/>
        <v>2666.0795665024839</v>
      </c>
      <c r="O6" s="31"/>
      <c r="P6" s="31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44" s="13" customFormat="1">
      <c r="A7" s="13" t="s">
        <v>48</v>
      </c>
      <c r="B7" s="29">
        <f t="shared" ref="B7:N7" ca="1" si="1">(B3-TODAY())/365</f>
        <v>-0.44383561643835617</v>
      </c>
      <c r="C7" s="29">
        <f t="shared" ca="1" si="1"/>
        <v>0.55616438356164388</v>
      </c>
      <c r="D7" s="29">
        <f t="shared" ca="1" si="1"/>
        <v>1.5561643835616439</v>
      </c>
      <c r="E7" s="29">
        <f t="shared" ca="1" si="1"/>
        <v>2.5561643835616437</v>
      </c>
      <c r="F7" s="29">
        <f t="shared" ca="1" si="1"/>
        <v>3.558904109589041</v>
      </c>
      <c r="G7" s="29">
        <f t="shared" ca="1" si="1"/>
        <v>4.558904109589041</v>
      </c>
      <c r="H7" s="29">
        <f t="shared" ca="1" si="1"/>
        <v>5.558904109589041</v>
      </c>
      <c r="I7" s="29">
        <f t="shared" ca="1" si="1"/>
        <v>6.558904109589041</v>
      </c>
      <c r="J7" s="29">
        <f t="shared" ca="1" si="1"/>
        <v>7.5616438356164384</v>
      </c>
      <c r="K7" s="29">
        <f t="shared" ca="1" si="1"/>
        <v>8.5616438356164384</v>
      </c>
      <c r="L7" s="29">
        <f ca="1">(L3-TODAY())/365</f>
        <v>9.5616438356164384</v>
      </c>
      <c r="M7" s="29">
        <f t="shared" ca="1" si="1"/>
        <v>10.561643835616438</v>
      </c>
      <c r="N7" s="29">
        <f t="shared" ca="1" si="1"/>
        <v>11.564383561643835</v>
      </c>
    </row>
    <row r="8" spans="1:44" s="13" customFormat="1">
      <c r="A8" s="13" t="s">
        <v>118</v>
      </c>
      <c r="B8" s="50">
        <f ca="1">B6/(1+wacc)^B7</f>
        <v>1699.2504279280886</v>
      </c>
      <c r="C8" s="50">
        <f ca="1">C6/(1+wacc)^C7</f>
        <v>1896.4752692331253</v>
      </c>
      <c r="D8" s="50">
        <f t="shared" ref="D8:N8" ca="1" si="2">D6/(1+wacc)^D7</f>
        <v>2136.8085114680039</v>
      </c>
      <c r="E8" s="50">
        <f t="shared" ca="1" si="2"/>
        <v>1881.8638150861459</v>
      </c>
      <c r="F8" s="50">
        <f t="shared" ca="1" si="2"/>
        <v>1656.8917407334113</v>
      </c>
      <c r="G8" s="50">
        <f t="shared" ca="1" si="2"/>
        <v>1459.2063798263246</v>
      </c>
      <c r="H8" s="50">
        <f t="shared" ca="1" si="2"/>
        <v>1302.1163211666119</v>
      </c>
      <c r="I8" s="50">
        <f t="shared" ca="1" si="2"/>
        <v>1177.1158526717675</v>
      </c>
      <c r="J8" s="50">
        <f t="shared" ca="1" si="2"/>
        <v>1077.5467935702384</v>
      </c>
      <c r="K8" s="50">
        <f t="shared" ca="1" si="2"/>
        <v>999.22542839064806</v>
      </c>
      <c r="L8" s="50">
        <f t="shared" ca="1" si="2"/>
        <v>938.24433502739555</v>
      </c>
      <c r="M8" s="50">
        <f t="shared" ca="1" si="2"/>
        <v>891.92148299884457</v>
      </c>
      <c r="N8" s="50">
        <f t="shared" ca="1" si="2"/>
        <v>858.05188587928535</v>
      </c>
    </row>
    <row r="9" spans="1:44" s="13" customFormat="1">
      <c r="A9" s="13" t="s">
        <v>50</v>
      </c>
      <c r="B9" s="34"/>
      <c r="C9" s="52"/>
      <c r="D9" s="52"/>
      <c r="E9" s="52"/>
      <c r="F9" s="52"/>
      <c r="G9" s="52"/>
      <c r="H9" s="52"/>
      <c r="I9" s="52"/>
      <c r="J9" s="52"/>
      <c r="N9" s="50">
        <f>(N6*(1+O5))/(wacc-N5)</f>
        <v>68023.482016484049</v>
      </c>
    </row>
    <row r="10" spans="1:44" s="13" customFormat="1">
      <c r="A10" s="13" t="s">
        <v>51</v>
      </c>
      <c r="C10" s="52"/>
      <c r="D10" s="52"/>
      <c r="E10" s="52"/>
      <c r="F10" s="52"/>
      <c r="G10" s="52"/>
      <c r="H10" s="52"/>
      <c r="I10" s="52"/>
      <c r="J10" s="52"/>
      <c r="N10" s="50">
        <f ca="1">N9/(1+wacc)^N7</f>
        <v>21892.698838275806</v>
      </c>
    </row>
    <row r="11" spans="1:44" s="13" customFormat="1"/>
    <row r="12" spans="1:44" s="13" customFormat="1">
      <c r="A12" s="38" t="s">
        <v>119</v>
      </c>
      <c r="B12" s="53">
        <f ca="1">SUM(B8:N8,N10)</f>
        <v>39867.417082255699</v>
      </c>
    </row>
    <row r="13" spans="1:44" s="13" customFormat="1">
      <c r="A13" s="54" t="s">
        <v>120</v>
      </c>
      <c r="B13" s="53">
        <f>'Valuations &amp; Assumptions'!G16</f>
        <v>13891</v>
      </c>
    </row>
    <row r="14" spans="1:44" s="13" customFormat="1" ht="15.75" thickBot="1">
      <c r="A14" s="57" t="s">
        <v>121</v>
      </c>
      <c r="B14" s="58">
        <f>'Valuations &amp; Assumptions'!J16</f>
        <v>9688</v>
      </c>
    </row>
    <row r="15" spans="1:44" s="13" customFormat="1">
      <c r="A15" s="38" t="s">
        <v>122</v>
      </c>
      <c r="B15" s="52">
        <f ca="1">B12-B13+B14</f>
        <v>35664.417082255699</v>
      </c>
    </row>
    <row r="16" spans="1:44" s="13" customFormat="1" ht="15.75" thickBot="1">
      <c r="A16" s="38" t="s">
        <v>123</v>
      </c>
      <c r="B16" s="55">
        <f>'Valuations &amp; Assumptions'!J17</f>
        <v>913</v>
      </c>
    </row>
    <row r="17" spans="1:36" ht="15.75" thickBot="1">
      <c r="A17" s="11" t="s">
        <v>124</v>
      </c>
      <c r="B17" s="12">
        <f ca="1">B15/B16</f>
        <v>39.062888370488167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13" customFormat="1"/>
    <row r="19" spans="1:36" s="13" customFormat="1"/>
    <row r="20" spans="1:36" s="13" customFormat="1"/>
    <row r="21" spans="1:36" s="13" customFormat="1"/>
    <row r="22" spans="1:36" s="13" customFormat="1"/>
    <row r="23" spans="1:36" s="13" customFormat="1"/>
    <row r="24" spans="1:36" s="13" customFormat="1"/>
    <row r="25" spans="1:36" s="13" customFormat="1"/>
    <row r="26" spans="1:36" s="13" customFormat="1"/>
    <row r="27" spans="1:36" s="13" customFormat="1"/>
    <row r="28" spans="1:36" s="13" customFormat="1"/>
    <row r="29" spans="1:36" s="13" customFormat="1"/>
    <row r="30" spans="1:36" s="13" customFormat="1"/>
    <row r="31" spans="1:36" s="13" customFormat="1"/>
    <row r="32" spans="1:36" s="13" customFormat="1"/>
    <row r="33" s="13" customFormat="1"/>
    <row r="34" s="13" customFormat="1"/>
    <row r="35" s="13" customFormat="1"/>
    <row r="36" s="13" customFormat="1"/>
    <row r="37" s="13" customFormat="1"/>
    <row r="38" s="13" customFormat="1"/>
    <row r="39" s="13" customFormat="1"/>
    <row r="40" s="13" customFormat="1"/>
  </sheetData>
  <pageMargins left="0.7" right="0.7" top="0.75" bottom="0.75" header="0.3" footer="0.3"/>
  <pageSetup scale="7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DA5516C063F2458C45E26B26899E47" ma:contentTypeVersion="15" ma:contentTypeDescription="Create a new document." ma:contentTypeScope="" ma:versionID="1e266efa565a39030e6f5d56ff180eac">
  <xsd:schema xmlns:xsd="http://www.w3.org/2001/XMLSchema" xmlns:xs="http://www.w3.org/2001/XMLSchema" xmlns:p="http://schemas.microsoft.com/office/2006/metadata/properties" xmlns:ns3="947cbd31-26ac-4af1-9b86-ea747d76967e" xmlns:ns4="093620da-94f7-48e0-85ca-7233c5cb3ce5" targetNamespace="http://schemas.microsoft.com/office/2006/metadata/properties" ma:root="true" ma:fieldsID="7b181d08a30474df05285c6298c32519" ns3:_="" ns4:_="">
    <xsd:import namespace="947cbd31-26ac-4af1-9b86-ea747d76967e"/>
    <xsd:import namespace="093620da-94f7-48e0-85ca-7233c5cb3c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7cbd31-26ac-4af1-9b86-ea747d769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620da-94f7-48e0-85ca-7233c5cb3ce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47cbd31-26ac-4af1-9b86-ea747d76967e" xsi:nil="true"/>
  </documentManagement>
</p:properties>
</file>

<file path=customXml/itemProps1.xml><?xml version="1.0" encoding="utf-8"?>
<ds:datastoreItem xmlns:ds="http://schemas.openxmlformats.org/officeDocument/2006/customXml" ds:itemID="{462A7B7C-716C-456F-B771-6E22625EB851}"/>
</file>

<file path=customXml/itemProps2.xml><?xml version="1.0" encoding="utf-8"?>
<ds:datastoreItem xmlns:ds="http://schemas.openxmlformats.org/officeDocument/2006/customXml" ds:itemID="{9E6587BB-B192-491E-AB10-8D470D2BB7BD}"/>
</file>

<file path=customXml/itemProps3.xml><?xml version="1.0" encoding="utf-8"?>
<ds:datastoreItem xmlns:ds="http://schemas.openxmlformats.org/officeDocument/2006/customXml" ds:itemID="{1BEDABB7-6E39-4BC5-AA62-2F3D1D1A85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Towson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/>
  <cp:revision/>
  <dcterms:created xsi:type="dcterms:W3CDTF">2013-02-27T19:58:34Z</dcterms:created>
  <dcterms:modified xsi:type="dcterms:W3CDTF">2025-06-11T12:57:14Z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0x0101002FDA5516C063F2458C45E26B26899E47</vt:lpwstr>
  </property>
</Properties>
</file>