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kd\OneDrive - Cambridge Econometrics\Projects\minor_personal\mihalyi\"/>
    </mc:Choice>
  </mc:AlternateContent>
  <xr:revisionPtr revIDLastSave="31" documentId="11_BC3EF1E745D03B0BC986D14C8245471FE555E6C1" xr6:coauthVersionLast="45" xr6:coauthVersionMax="45" xr10:uidLastSave="{AC560823-E109-4745-AA17-D270A5F26834}"/>
  <bookViews>
    <workbookView xWindow="-110" yWindow="-110" windowWidth="22780" windowHeight="14660" firstSheet="2" activeTab="10" xr2:uid="{00000000-000D-0000-FFFF-FFFF00000000}"/>
  </bookViews>
  <sheets>
    <sheet name="readme" sheetId="8" r:id="rId1"/>
    <sheet name="Table1" sheetId="1" r:id="rId2"/>
    <sheet name="Fig1" sheetId="38" r:id="rId3"/>
    <sheet name="Chart1" sheetId="41" r:id="rId4"/>
    <sheet name="graph" sheetId="2" r:id="rId5"/>
    <sheet name="regressions" sheetId="3" r:id="rId6"/>
    <sheet name="regressions2" sheetId="40" r:id="rId7"/>
    <sheet name="regions" sheetId="23" r:id="rId8"/>
    <sheet name="Fig2-ImpvInc" sheetId="35" r:id="rId9"/>
    <sheet name="Fig2-ImpvTemp" sheetId="37" r:id="rId10"/>
    <sheet name="country" sheetId="31" r:id="rId11"/>
    <sheet name="Sheet1" sheetId="42" r:id="rId12"/>
    <sheet name="Mendelsohn" sheetId="26" r:id="rId13"/>
    <sheet name="Roson" sheetId="25" r:id="rId14"/>
    <sheet name="Bosello" sheetId="24" r:id="rId15"/>
    <sheet name="NordhausBoyer" sheetId="19" r:id="rId16"/>
    <sheet name="Tol1995" sheetId="20" r:id="rId17"/>
    <sheet name="Tol2002" sheetId="21" r:id="rId18"/>
    <sheet name="NordhausYang" sheetId="10" r:id="rId19"/>
    <sheet name="PlambeckHope" sheetId="11" r:id="rId20"/>
    <sheet name="Hope" sheetId="15" r:id="rId21"/>
    <sheet name="Maddison" sheetId="12" r:id="rId22"/>
    <sheet name="RehdanzMaddison" sheetId="13" r:id="rId23"/>
    <sheet name="MaddisonRehdanz" sheetId="14" r:id="rId24"/>
    <sheet name="Fankhauser" sheetId="17" r:id="rId25"/>
    <sheet name="Berz" sheetId="18" r:id="rId26"/>
    <sheet name="dArge" sheetId="39" r:id="rId27"/>
  </sheets>
  <externalReferences>
    <externalReference r:id="rId28"/>
    <externalReference r:id="rId29"/>
  </externalReferences>
  <definedNames>
    <definedName name="solver_adj" localSheetId="5" hidden="1">regressions!$T$1:$T$3</definedName>
    <definedName name="solver_adj" localSheetId="6" hidden="1">regressions2!$AD$2</definedName>
    <definedName name="solver_cvg" localSheetId="5" hidden="1">0.0001</definedName>
    <definedName name="solver_cvg" localSheetId="6" hidden="1">0.0001</definedName>
    <definedName name="solver_drv" localSheetId="5" hidden="1">1</definedName>
    <definedName name="solver_drv" localSheetId="6" hidden="1">1</definedName>
    <definedName name="solver_eng" localSheetId="5" hidden="1">1</definedName>
    <definedName name="solver_eng" localSheetId="6" hidden="1">1</definedName>
    <definedName name="solver_eng" localSheetId="13" hidden="1">1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2</definedName>
    <definedName name="solver_neg" localSheetId="6" hidden="1">2</definedName>
    <definedName name="solver_neg" localSheetId="13" hidden="1">1</definedName>
    <definedName name="solver_nod" localSheetId="5" hidden="1">2147483647</definedName>
    <definedName name="solver_nod" localSheetId="6" hidden="1">2147483647</definedName>
    <definedName name="solver_num" localSheetId="5" hidden="1">0</definedName>
    <definedName name="solver_num" localSheetId="6" hidden="1">0</definedName>
    <definedName name="solver_num" localSheetId="13" hidden="1">0</definedName>
    <definedName name="solver_nwt" localSheetId="5" hidden="1">1</definedName>
    <definedName name="solver_nwt" localSheetId="6" hidden="1">1</definedName>
    <definedName name="solver_opt" localSheetId="5" hidden="1">regressions!$U$9</definedName>
    <definedName name="solver_opt" localSheetId="6" hidden="1">regressions2!$AE$9</definedName>
    <definedName name="solver_opt" localSheetId="13" hidden="1">Roson!$X$1</definedName>
    <definedName name="solver_pre" localSheetId="5" hidden="1">0.000001</definedName>
    <definedName name="solver_pre" localSheetId="6" hidden="1">0.000001</definedName>
    <definedName name="solver_rbv" localSheetId="5" hidden="1">1</definedName>
    <definedName name="solver_rbv" localSheetId="6" hidden="1">1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1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5" hidden="1">2</definedName>
    <definedName name="solver_typ" localSheetId="6" hidden="1">2</definedName>
    <definedName name="solver_typ" localSheetId="13" hidden="1">1</definedName>
    <definedName name="solver_val" localSheetId="5" hidden="1">0</definedName>
    <definedName name="solver_val" localSheetId="6" hidden="1">0</definedName>
    <definedName name="solver_val" localSheetId="13" hidden="1">0</definedName>
    <definedName name="solver_ver" localSheetId="5" hidden="1">3</definedName>
    <definedName name="solver_ver" localSheetId="6" hidden="1">3</definedName>
    <definedName name="solver_ver" localSheetId="1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3" l="1"/>
  <c r="T5" i="40" l="1"/>
  <c r="T5" i="3" l="1"/>
  <c r="N18" i="2" l="1"/>
  <c r="N3" i="2"/>
  <c r="P18" i="2"/>
  <c r="P3" i="2"/>
  <c r="O18" i="2"/>
  <c r="O3" i="2"/>
  <c r="F25" i="40" l="1"/>
  <c r="A25" i="40"/>
  <c r="F23" i="40"/>
  <c r="A23" i="40"/>
  <c r="A22" i="40"/>
  <c r="C22" i="40" s="1"/>
  <c r="F21" i="40"/>
  <c r="A21" i="40"/>
  <c r="C21" i="40" s="1"/>
  <c r="F20" i="40"/>
  <c r="A20" i="40"/>
  <c r="C20" i="40" s="1"/>
  <c r="F19" i="40"/>
  <c r="D19" i="40"/>
  <c r="E19" i="40" s="1"/>
  <c r="A19" i="40"/>
  <c r="T28" i="40" s="1"/>
  <c r="A18" i="40"/>
  <c r="C18" i="40" s="1"/>
  <c r="A17" i="40"/>
  <c r="C17" i="40" s="1"/>
  <c r="A16" i="40"/>
  <c r="D16" i="40" s="1"/>
  <c r="E16" i="40" s="1"/>
  <c r="D15" i="40"/>
  <c r="E15" i="40" s="1"/>
  <c r="A15" i="40"/>
  <c r="F14" i="40"/>
  <c r="A14" i="40"/>
  <c r="C14" i="40" s="1"/>
  <c r="F13" i="40"/>
  <c r="A13" i="40"/>
  <c r="B13" i="40" s="1"/>
  <c r="A12" i="40"/>
  <c r="T21" i="40" s="1"/>
  <c r="D11" i="40"/>
  <c r="E11" i="40" s="1"/>
  <c r="A11" i="40"/>
  <c r="A10" i="40"/>
  <c r="C10" i="40" s="1"/>
  <c r="A9" i="40"/>
  <c r="C9" i="40" s="1"/>
  <c r="F8" i="40"/>
  <c r="A8" i="40"/>
  <c r="F7" i="40"/>
  <c r="A7" i="40"/>
  <c r="F6" i="40"/>
  <c r="A6" i="40"/>
  <c r="AF15" i="40" s="1"/>
  <c r="F5" i="40"/>
  <c r="D5" i="40"/>
  <c r="E5" i="40" s="1"/>
  <c r="A5" i="40"/>
  <c r="C5" i="40" s="1"/>
  <c r="T4" i="40"/>
  <c r="F4" i="40"/>
  <c r="A4" i="40"/>
  <c r="F3" i="40"/>
  <c r="A3" i="40"/>
  <c r="C3" i="40" s="1"/>
  <c r="F2" i="40"/>
  <c r="A2" i="40"/>
  <c r="AD1" i="40"/>
  <c r="AB1" i="40"/>
  <c r="AB34" i="40" s="1"/>
  <c r="AC34" i="40" s="1"/>
  <c r="A1" i="40"/>
  <c r="C1" i="40" s="1"/>
  <c r="D18" i="40" l="1"/>
  <c r="E18" i="40" s="1"/>
  <c r="AG15" i="40"/>
  <c r="D12" i="40"/>
  <c r="E12" i="40" s="1"/>
  <c r="T18" i="40"/>
  <c r="B5" i="40"/>
  <c r="D6" i="40"/>
  <c r="E6" i="40" s="1"/>
  <c r="Z22" i="40"/>
  <c r="X22" i="40"/>
  <c r="Y22" i="40" s="1"/>
  <c r="V22" i="40"/>
  <c r="W22" i="40" s="1"/>
  <c r="T34" i="40"/>
  <c r="U34" i="40" s="1"/>
  <c r="C25" i="40"/>
  <c r="D3" i="40"/>
  <c r="E3" i="40" s="1"/>
  <c r="C7" i="40"/>
  <c r="T20" i="40"/>
  <c r="C11" i="40"/>
  <c r="T24" i="40"/>
  <c r="C15" i="40"/>
  <c r="C19" i="40"/>
  <c r="T32" i="40"/>
  <c r="C23" i="40"/>
  <c r="T29" i="40"/>
  <c r="T13" i="40"/>
  <c r="U13" i="40" s="1"/>
  <c r="C4" i="40"/>
  <c r="Z14" i="40"/>
  <c r="AA14" i="40" s="1"/>
  <c r="X14" i="40"/>
  <c r="Y14" i="40" s="1"/>
  <c r="V14" i="40"/>
  <c r="T17" i="40"/>
  <c r="U17" i="40" s="1"/>
  <c r="C8" i="40"/>
  <c r="T10" i="40"/>
  <c r="U28" i="40"/>
  <c r="T11" i="40"/>
  <c r="U11" i="40" s="1"/>
  <c r="C2" i="40"/>
  <c r="T15" i="40"/>
  <c r="U15" i="40" s="1"/>
  <c r="C6" i="40"/>
  <c r="B9" i="40"/>
  <c r="B11" i="40"/>
  <c r="R20" i="40" s="1"/>
  <c r="AF21" i="40"/>
  <c r="C12" i="40"/>
  <c r="T14" i="40"/>
  <c r="U14" i="40" s="1"/>
  <c r="B15" i="40"/>
  <c r="AF25" i="40"/>
  <c r="C16" i="40"/>
  <c r="B19" i="40"/>
  <c r="R28" i="40" s="1"/>
  <c r="S28" i="40" s="1"/>
  <c r="D20" i="40"/>
  <c r="E20" i="40" s="1"/>
  <c r="AF20" i="40"/>
  <c r="B23" i="40"/>
  <c r="R32" i="40" s="1"/>
  <c r="S32" i="40" s="1"/>
  <c r="AF24" i="40"/>
  <c r="T26" i="40"/>
  <c r="AF29" i="40"/>
  <c r="AG29" i="40" s="1"/>
  <c r="T22" i="40"/>
  <c r="U22" i="40" s="1"/>
  <c r="C13" i="40"/>
  <c r="D23" i="40"/>
  <c r="E23" i="40" s="1"/>
  <c r="T25" i="40"/>
  <c r="T27" i="40"/>
  <c r="AF32" i="40"/>
  <c r="AG32" i="40" s="1"/>
  <c r="AB22" i="40"/>
  <c r="AC22" i="40" s="1"/>
  <c r="AB18" i="40"/>
  <c r="AB17" i="40"/>
  <c r="AC17" i="40" s="1"/>
  <c r="AB14" i="40"/>
  <c r="AC14" i="40" s="1"/>
  <c r="AB29" i="40"/>
  <c r="AC29" i="40" s="1"/>
  <c r="U29" i="40"/>
  <c r="W14" i="40"/>
  <c r="R14" i="40"/>
  <c r="S14" i="40" s="1"/>
  <c r="T31" i="40"/>
  <c r="AF31" i="40"/>
  <c r="B22" i="40"/>
  <c r="D22" i="40"/>
  <c r="E22" i="40" s="1"/>
  <c r="AD32" i="40"/>
  <c r="AE32" i="40" s="1"/>
  <c r="AD24" i="40"/>
  <c r="AD20" i="40"/>
  <c r="AD16" i="40"/>
  <c r="AE16" i="40" s="1"/>
  <c r="AD13" i="40"/>
  <c r="AE13" i="40" s="1"/>
  <c r="AD25" i="40"/>
  <c r="AD21" i="40"/>
  <c r="AD17" i="40"/>
  <c r="AE17" i="40" s="1"/>
  <c r="AD14" i="40"/>
  <c r="AE14" i="40" s="1"/>
  <c r="AD10" i="40"/>
  <c r="AD34" i="40"/>
  <c r="AE34" i="40" s="1"/>
  <c r="AD26" i="40"/>
  <c r="AD15" i="40"/>
  <c r="AE15" i="40" s="1"/>
  <c r="AD11" i="40"/>
  <c r="AE11" i="40" s="1"/>
  <c r="AD28" i="40"/>
  <c r="AE28" i="40" s="1"/>
  <c r="AD19" i="40"/>
  <c r="AD29" i="40"/>
  <c r="AE29" i="40" s="1"/>
  <c r="AD23" i="40"/>
  <c r="AE23" i="40" s="1"/>
  <c r="AD31" i="40"/>
  <c r="AD22" i="40"/>
  <c r="AE22" i="40" s="1"/>
  <c r="AD12" i="40"/>
  <c r="AE12" i="40" s="1"/>
  <c r="AD30" i="40"/>
  <c r="AE30" i="40" s="1"/>
  <c r="AD18" i="40"/>
  <c r="AD27" i="40"/>
  <c r="AF11" i="40"/>
  <c r="AG11" i="40" s="1"/>
  <c r="D2" i="40"/>
  <c r="E2" i="40" s="1"/>
  <c r="B2" i="40"/>
  <c r="D17" i="40"/>
  <c r="E17" i="40" s="1"/>
  <c r="AF26" i="40"/>
  <c r="AF10" i="40"/>
  <c r="D1" i="40"/>
  <c r="E1" i="40" s="1"/>
  <c r="AF19" i="40"/>
  <c r="T30" i="40"/>
  <c r="U30" i="40" s="1"/>
  <c r="D21" i="40"/>
  <c r="E21" i="40" s="1"/>
  <c r="B1" i="40"/>
  <c r="T23" i="40"/>
  <c r="U23" i="40" s="1"/>
  <c r="R18" i="40"/>
  <c r="D9" i="40"/>
  <c r="E9" i="40" s="1"/>
  <c r="AF18" i="40"/>
  <c r="D10" i="40"/>
  <c r="E10" i="40" s="1"/>
  <c r="AB11" i="40"/>
  <c r="AC11" i="40" s="1"/>
  <c r="AF13" i="40"/>
  <c r="AG13" i="40" s="1"/>
  <c r="B14" i="40"/>
  <c r="AB21" i="40"/>
  <c r="AF23" i="40"/>
  <c r="AG23" i="40" s="1"/>
  <c r="D25" i="40"/>
  <c r="E25" i="40" s="1"/>
  <c r="AB26" i="40"/>
  <c r="B10" i="40"/>
  <c r="R19" i="40" s="1"/>
  <c r="B4" i="40"/>
  <c r="AF27" i="40"/>
  <c r="AF30" i="40"/>
  <c r="AG30" i="40" s="1"/>
  <c r="D7" i="40"/>
  <c r="E7" i="40" s="1"/>
  <c r="T16" i="40"/>
  <c r="U16" i="40" s="1"/>
  <c r="B7" i="40"/>
  <c r="T19" i="40"/>
  <c r="B17" i="40"/>
  <c r="AF34" i="40"/>
  <c r="AG34" i="40" s="1"/>
  <c r="B25" i="40"/>
  <c r="AF17" i="40"/>
  <c r="AG17" i="40" s="1"/>
  <c r="D8" i="40"/>
  <c r="E8" i="40" s="1"/>
  <c r="B8" i="40"/>
  <c r="B21" i="40"/>
  <c r="T12" i="40"/>
  <c r="U12" i="40" s="1"/>
  <c r="D4" i="40"/>
  <c r="E4" i="40" s="1"/>
  <c r="AB30" i="40"/>
  <c r="AC30" i="40" s="1"/>
  <c r="AB23" i="40"/>
  <c r="AC23" i="40" s="1"/>
  <c r="AB19" i="40"/>
  <c r="AB15" i="40"/>
  <c r="AC15" i="40" s="1"/>
  <c r="AB12" i="40"/>
  <c r="AC12" i="40" s="1"/>
  <c r="AB31" i="40"/>
  <c r="AB32" i="40"/>
  <c r="AC32" i="40" s="1"/>
  <c r="AB24" i="40"/>
  <c r="AB20" i="40"/>
  <c r="AB16" i="40"/>
  <c r="AC16" i="40" s="1"/>
  <c r="AB13" i="40"/>
  <c r="AC13" i="40" s="1"/>
  <c r="B3" i="40"/>
  <c r="AF14" i="40"/>
  <c r="AG14" i="40" s="1"/>
  <c r="AB10" i="40"/>
  <c r="AF12" i="40"/>
  <c r="AG12" i="40" s="1"/>
  <c r="AA22" i="40"/>
  <c r="R22" i="40"/>
  <c r="S22" i="40" s="1"/>
  <c r="D13" i="40"/>
  <c r="E13" i="40" s="1"/>
  <c r="AF22" i="40"/>
  <c r="AG22" i="40" s="1"/>
  <c r="D14" i="40"/>
  <c r="E14" i="40" s="1"/>
  <c r="R16" i="40"/>
  <c r="S16" i="40" s="1"/>
  <c r="AF16" i="40"/>
  <c r="AG16" i="40" s="1"/>
  <c r="B18" i="40"/>
  <c r="U32" i="40"/>
  <c r="AB25" i="40"/>
  <c r="AB27" i="40"/>
  <c r="AB28" i="40"/>
  <c r="AC28" i="40" s="1"/>
  <c r="AF28" i="40"/>
  <c r="AG28" i="40" s="1"/>
  <c r="B6" i="40"/>
  <c r="B12" i="40"/>
  <c r="B16" i="40"/>
  <c r="B20" i="40"/>
  <c r="Z30" i="40" l="1"/>
  <c r="AA30" i="40" s="1"/>
  <c r="X30" i="40"/>
  <c r="Y30" i="40" s="1"/>
  <c r="V30" i="40"/>
  <c r="W30" i="40" s="1"/>
  <c r="Z26" i="40"/>
  <c r="X26" i="40"/>
  <c r="V26" i="40"/>
  <c r="X31" i="40"/>
  <c r="V31" i="40"/>
  <c r="Z31" i="40"/>
  <c r="V24" i="40"/>
  <c r="X24" i="40"/>
  <c r="Z24" i="40"/>
  <c r="V20" i="40"/>
  <c r="Z20" i="40"/>
  <c r="X20" i="40"/>
  <c r="R24" i="40"/>
  <c r="Z25" i="40"/>
  <c r="V25" i="40"/>
  <c r="X25" i="40"/>
  <c r="V12" i="40"/>
  <c r="W12" i="40" s="1"/>
  <c r="Z12" i="40"/>
  <c r="AA12" i="40" s="1"/>
  <c r="X12" i="40"/>
  <c r="Y12" i="40" s="1"/>
  <c r="X23" i="40"/>
  <c r="Y23" i="40" s="1"/>
  <c r="V23" i="40"/>
  <c r="W23" i="40" s="1"/>
  <c r="Z23" i="40"/>
  <c r="AA23" i="40" s="1"/>
  <c r="Z21" i="40"/>
  <c r="X21" i="40"/>
  <c r="V21" i="40"/>
  <c r="W15" i="40"/>
  <c r="X15" i="40"/>
  <c r="Y15" i="40" s="1"/>
  <c r="V15" i="40"/>
  <c r="Z15" i="40"/>
  <c r="AA15" i="40" s="1"/>
  <c r="X27" i="40"/>
  <c r="V27" i="40"/>
  <c r="Z27" i="40"/>
  <c r="R12" i="40"/>
  <c r="S12" i="40" s="1"/>
  <c r="V17" i="40"/>
  <c r="W17" i="40" s="1"/>
  <c r="Z17" i="40"/>
  <c r="AA17" i="40" s="1"/>
  <c r="X17" i="40"/>
  <c r="Y17" i="40" s="1"/>
  <c r="Z34" i="40"/>
  <c r="AA34" i="40" s="1"/>
  <c r="X34" i="40"/>
  <c r="Y34" i="40" s="1"/>
  <c r="V34" i="40"/>
  <c r="Z13" i="40"/>
  <c r="AA13" i="40" s="1"/>
  <c r="V13" i="40"/>
  <c r="W13" i="40" s="1"/>
  <c r="X13" i="40"/>
  <c r="Y13" i="40" s="1"/>
  <c r="Z10" i="40"/>
  <c r="X10" i="40"/>
  <c r="V10" i="40"/>
  <c r="V28" i="40"/>
  <c r="W28" i="40" s="1"/>
  <c r="Z28" i="40"/>
  <c r="AA28" i="40" s="1"/>
  <c r="X28" i="40"/>
  <c r="Y28" i="40" s="1"/>
  <c r="Z18" i="40"/>
  <c r="X18" i="40"/>
  <c r="V18" i="40"/>
  <c r="V16" i="40"/>
  <c r="W16" i="40" s="1"/>
  <c r="X16" i="40"/>
  <c r="Y16" i="40" s="1"/>
  <c r="Z16" i="40"/>
  <c r="AA16" i="40" s="1"/>
  <c r="Z29" i="40"/>
  <c r="AA29" i="40" s="1"/>
  <c r="X29" i="40"/>
  <c r="Y29" i="40" s="1"/>
  <c r="V29" i="40"/>
  <c r="W29" i="40" s="1"/>
  <c r="X19" i="40"/>
  <c r="V19" i="40"/>
  <c r="Z19" i="40"/>
  <c r="W11" i="40"/>
  <c r="X11" i="40"/>
  <c r="Y11" i="40" s="1"/>
  <c r="V11" i="40"/>
  <c r="Z11" i="40"/>
  <c r="AA11" i="40" s="1"/>
  <c r="V32" i="40"/>
  <c r="W32" i="40" s="1"/>
  <c r="X32" i="40"/>
  <c r="Y32" i="40" s="1"/>
  <c r="Z32" i="40"/>
  <c r="AA32" i="40" s="1"/>
  <c r="R17" i="40"/>
  <c r="S17" i="40" s="1"/>
  <c r="R27" i="40"/>
  <c r="R13" i="40"/>
  <c r="S13" i="40" s="1"/>
  <c r="R25" i="40"/>
  <c r="R26" i="40"/>
  <c r="R29" i="40"/>
  <c r="S29" i="40" s="1"/>
  <c r="R11" i="40"/>
  <c r="S11" i="40" s="1"/>
  <c r="R23" i="40"/>
  <c r="S23" i="40" s="1"/>
  <c r="R10" i="40"/>
  <c r="R15" i="40"/>
  <c r="S15" i="40" s="1"/>
  <c r="R21" i="40"/>
  <c r="R31" i="40"/>
  <c r="W34" i="40"/>
  <c r="R34" i="40"/>
  <c r="S34" i="40" s="1"/>
  <c r="R30" i="40"/>
  <c r="S30" i="40" s="1"/>
  <c r="C28" i="1"/>
  <c r="C27" i="1"/>
  <c r="F24" i="40" s="1"/>
  <c r="E36" i="3" l="1"/>
  <c r="D36" i="3"/>
  <c r="C36" i="3"/>
  <c r="B36" i="3"/>
  <c r="A36" i="3"/>
  <c r="E35" i="3"/>
  <c r="D35" i="3"/>
  <c r="C35" i="3"/>
  <c r="G35" i="3" s="1"/>
  <c r="B35" i="3"/>
  <c r="A35" i="3"/>
  <c r="C34" i="3"/>
  <c r="A34" i="3"/>
  <c r="E33" i="3"/>
  <c r="D33" i="3"/>
  <c r="C33" i="3"/>
  <c r="F33" i="3" s="1"/>
  <c r="B33" i="3"/>
  <c r="A33" i="3"/>
  <c r="C32" i="3"/>
  <c r="A32" i="3"/>
  <c r="E31" i="3"/>
  <c r="D31" i="3"/>
  <c r="C31" i="3"/>
  <c r="B31" i="3"/>
  <c r="F31" i="3" s="1"/>
  <c r="A31" i="3"/>
  <c r="E30" i="3"/>
  <c r="D30" i="3"/>
  <c r="C30" i="3"/>
  <c r="B30" i="3"/>
  <c r="F30" i="3" s="1"/>
  <c r="A30" i="3"/>
  <c r="A27" i="3"/>
  <c r="C27" i="3" s="1"/>
  <c r="A24" i="3"/>
  <c r="T33" i="3" s="1"/>
  <c r="U33" i="3" s="1"/>
  <c r="A23" i="3"/>
  <c r="A22" i="3"/>
  <c r="C22" i="3" s="1"/>
  <c r="A21" i="3"/>
  <c r="A20" i="3"/>
  <c r="D20" i="3" s="1"/>
  <c r="E20" i="3" s="1"/>
  <c r="A19" i="3"/>
  <c r="C19" i="3" s="1"/>
  <c r="A18" i="3"/>
  <c r="C18" i="3" s="1"/>
  <c r="A17" i="3"/>
  <c r="A16" i="3"/>
  <c r="D16" i="3" s="1"/>
  <c r="E16" i="3" s="1"/>
  <c r="A15" i="3"/>
  <c r="C15" i="3" s="1"/>
  <c r="A14" i="3"/>
  <c r="C14" i="3" s="1"/>
  <c r="A13" i="3"/>
  <c r="C13" i="3" s="1"/>
  <c r="A12" i="3"/>
  <c r="D12" i="3" s="1"/>
  <c r="E12" i="3" s="1"/>
  <c r="A11" i="3"/>
  <c r="C11" i="3" s="1"/>
  <c r="A10" i="3"/>
  <c r="C10" i="3" s="1"/>
  <c r="A9" i="3"/>
  <c r="C9" i="3" s="1"/>
  <c r="A8" i="3"/>
  <c r="A7" i="3"/>
  <c r="C7" i="3" s="1"/>
  <c r="A6" i="3"/>
  <c r="C6" i="3" s="1"/>
  <c r="A5" i="3"/>
  <c r="A4" i="3"/>
  <c r="C4" i="3" s="1"/>
  <c r="A3" i="3"/>
  <c r="C3" i="3" s="1"/>
  <c r="A2" i="3"/>
  <c r="F27" i="3"/>
  <c r="F26" i="3"/>
  <c r="F25" i="3"/>
  <c r="F24" i="3"/>
  <c r="F22" i="3"/>
  <c r="F21" i="3"/>
  <c r="F20" i="3"/>
  <c r="F15" i="3"/>
  <c r="F14" i="3"/>
  <c r="F9" i="3"/>
  <c r="F8" i="3"/>
  <c r="F7" i="3"/>
  <c r="F6" i="3"/>
  <c r="F5" i="3"/>
  <c r="F4" i="3"/>
  <c r="F3" i="3"/>
  <c r="F2" i="3"/>
  <c r="A1" i="3"/>
  <c r="C1" i="3" s="1"/>
  <c r="T36" i="3"/>
  <c r="U36" i="3" s="1"/>
  <c r="G33" i="3"/>
  <c r="T30" i="3"/>
  <c r="T26" i="3"/>
  <c r="B24" i="3"/>
  <c r="T22" i="3"/>
  <c r="D21" i="3"/>
  <c r="E21" i="3" s="1"/>
  <c r="AF20" i="3"/>
  <c r="T18" i="3"/>
  <c r="AF17" i="3"/>
  <c r="AF26" i="3"/>
  <c r="T14" i="3"/>
  <c r="AF13" i="3"/>
  <c r="B12" i="3"/>
  <c r="D11" i="3"/>
  <c r="E11" i="3" s="1"/>
  <c r="D5" i="3"/>
  <c r="E5" i="3" s="1"/>
  <c r="AF14" i="3"/>
  <c r="AG14" i="3" s="1"/>
  <c r="T4" i="3"/>
  <c r="AD1" i="3"/>
  <c r="AD31" i="3" s="1"/>
  <c r="AB1" i="3"/>
  <c r="T25" i="3" l="1"/>
  <c r="U18" i="3"/>
  <c r="T28" i="3"/>
  <c r="F35" i="3"/>
  <c r="B4" i="3"/>
  <c r="AF18" i="3"/>
  <c r="AG18" i="3" s="1"/>
  <c r="D13" i="3"/>
  <c r="E13" i="3" s="1"/>
  <c r="X13" i="3"/>
  <c r="Y13" i="3" s="1"/>
  <c r="Z13" i="3"/>
  <c r="V13" i="3"/>
  <c r="W13" i="3" s="1"/>
  <c r="X21" i="3"/>
  <c r="Z21" i="3"/>
  <c r="V21" i="3"/>
  <c r="AF32" i="3"/>
  <c r="C23" i="3"/>
  <c r="D8" i="3"/>
  <c r="E8" i="3" s="1"/>
  <c r="C8" i="3"/>
  <c r="AF21" i="3"/>
  <c r="C12" i="3"/>
  <c r="AF25" i="3"/>
  <c r="C16" i="3"/>
  <c r="T29" i="3"/>
  <c r="U29" i="3" s="1"/>
  <c r="C20" i="3"/>
  <c r="C24" i="3"/>
  <c r="T11" i="3"/>
  <c r="U11" i="3" s="1"/>
  <c r="C2" i="3"/>
  <c r="B6" i="3"/>
  <c r="X33" i="3"/>
  <c r="Z33" i="3"/>
  <c r="AA33" i="3" s="1"/>
  <c r="V33" i="3"/>
  <c r="AB36" i="3"/>
  <c r="AC36" i="3" s="1"/>
  <c r="B11" i="3"/>
  <c r="R20" i="3" s="1"/>
  <c r="AF12" i="3"/>
  <c r="AG12" i="3" s="1"/>
  <c r="T27" i="3"/>
  <c r="C5" i="3"/>
  <c r="D17" i="3"/>
  <c r="E17" i="3" s="1"/>
  <c r="C17" i="3"/>
  <c r="AF30" i="3"/>
  <c r="C21" i="3"/>
  <c r="AB18" i="3"/>
  <c r="AC18" i="3" s="1"/>
  <c r="AB30" i="3"/>
  <c r="AC30" i="3" s="1"/>
  <c r="AB11" i="3"/>
  <c r="AC11" i="3" s="1"/>
  <c r="AB14" i="3"/>
  <c r="AC14" i="3" s="1"/>
  <c r="AB22" i="3"/>
  <c r="AB15" i="3"/>
  <c r="AC15" i="3" s="1"/>
  <c r="AD16" i="3"/>
  <c r="AD11" i="3"/>
  <c r="AE11" i="3" s="1"/>
  <c r="AD12" i="3"/>
  <c r="AE12" i="3" s="1"/>
  <c r="G31" i="3"/>
  <c r="AF33" i="3"/>
  <c r="AG33" i="3" s="1"/>
  <c r="B16" i="3"/>
  <c r="B2" i="3"/>
  <c r="D9" i="3"/>
  <c r="E9" i="3" s="1"/>
  <c r="T21" i="3"/>
  <c r="AF22" i="3"/>
  <c r="B20" i="3"/>
  <c r="R21" i="3"/>
  <c r="AB26" i="3"/>
  <c r="B15" i="3"/>
  <c r="AD32" i="3"/>
  <c r="D4" i="3"/>
  <c r="E4" i="3" s="1"/>
  <c r="B8" i="3"/>
  <c r="R13" i="3"/>
  <c r="S13" i="3" s="1"/>
  <c r="Y33" i="3"/>
  <c r="D15" i="3"/>
  <c r="E15" i="3" s="1"/>
  <c r="D24" i="3"/>
  <c r="E24" i="3" s="1"/>
  <c r="U30" i="3"/>
  <c r="AA13" i="3"/>
  <c r="AG13" i="3"/>
  <c r="AE16" i="3"/>
  <c r="AF10" i="3"/>
  <c r="D1" i="3"/>
  <c r="E1" i="3" s="1"/>
  <c r="T10" i="3"/>
  <c r="R10" i="3"/>
  <c r="AB10" i="3"/>
  <c r="T16" i="3"/>
  <c r="U16" i="3" s="1"/>
  <c r="D7" i="3"/>
  <c r="E7" i="3" s="1"/>
  <c r="AF16" i="3"/>
  <c r="AG16" i="3" s="1"/>
  <c r="D10" i="3"/>
  <c r="E10" i="3" s="1"/>
  <c r="AF19" i="3"/>
  <c r="AB19" i="3"/>
  <c r="T19" i="3"/>
  <c r="W33" i="3"/>
  <c r="R33" i="3"/>
  <c r="S33" i="3" s="1"/>
  <c r="B7" i="3"/>
  <c r="B10" i="3"/>
  <c r="U14" i="3"/>
  <c r="B1" i="3"/>
  <c r="D14" i="3"/>
  <c r="E14" i="3" s="1"/>
  <c r="AF23" i="3"/>
  <c r="AG23" i="3" s="1"/>
  <c r="B14" i="3"/>
  <c r="T23" i="3"/>
  <c r="U23" i="3" s="1"/>
  <c r="AG17" i="3"/>
  <c r="AF28" i="3"/>
  <c r="B19" i="3"/>
  <c r="D19" i="3"/>
  <c r="E19" i="3" s="1"/>
  <c r="AE31" i="3"/>
  <c r="T12" i="3"/>
  <c r="U12" i="3" s="1"/>
  <c r="AD33" i="3"/>
  <c r="AE33" i="3" s="1"/>
  <c r="AD25" i="3"/>
  <c r="AD21" i="3"/>
  <c r="AD17" i="3"/>
  <c r="AE17" i="3" s="1"/>
  <c r="AD13" i="3"/>
  <c r="AE13" i="3" s="1"/>
  <c r="AD36" i="3"/>
  <c r="AE36" i="3" s="1"/>
  <c r="AD26" i="3"/>
  <c r="AD22" i="3"/>
  <c r="AD18" i="3"/>
  <c r="AE18" i="3" s="1"/>
  <c r="AD14" i="3"/>
  <c r="AE14" i="3" s="1"/>
  <c r="AD10" i="3"/>
  <c r="D3" i="3"/>
  <c r="E3" i="3" s="1"/>
  <c r="AD19" i="3"/>
  <c r="T31" i="3"/>
  <c r="U31" i="3" s="1"/>
  <c r="D22" i="3"/>
  <c r="E22" i="3" s="1"/>
  <c r="D23" i="3"/>
  <c r="E23" i="3" s="1"/>
  <c r="AG30" i="3"/>
  <c r="AF11" i="3"/>
  <c r="AG11" i="3" s="1"/>
  <c r="D2" i="3"/>
  <c r="E2" i="3" s="1"/>
  <c r="T24" i="3"/>
  <c r="U24" i="3" s="1"/>
  <c r="B22" i="3"/>
  <c r="AD23" i="3"/>
  <c r="AE23" i="3" s="1"/>
  <c r="AD27" i="3"/>
  <c r="AD28" i="3"/>
  <c r="AD29" i="3"/>
  <c r="AE29" i="3" s="1"/>
  <c r="G36" i="3"/>
  <c r="F36" i="3"/>
  <c r="B3" i="3"/>
  <c r="G30" i="3"/>
  <c r="AD30" i="3"/>
  <c r="AE30" i="3" s="1"/>
  <c r="AF31" i="3"/>
  <c r="AG31" i="3" s="1"/>
  <c r="T32" i="3"/>
  <c r="AD24" i="3"/>
  <c r="AE24" i="3" s="1"/>
  <c r="AD15" i="3"/>
  <c r="AE15" i="3" s="1"/>
  <c r="D18" i="3"/>
  <c r="E18" i="3" s="1"/>
  <c r="AF27" i="3"/>
  <c r="AD20" i="3"/>
  <c r="B23" i="3"/>
  <c r="D27" i="3"/>
  <c r="E27" i="3" s="1"/>
  <c r="AF36" i="3"/>
  <c r="AG36" i="3" s="1"/>
  <c r="AB31" i="3"/>
  <c r="AC31" i="3" s="1"/>
  <c r="AB24" i="3"/>
  <c r="AC24" i="3" s="1"/>
  <c r="AB20" i="3"/>
  <c r="AB16" i="3"/>
  <c r="AC16" i="3" s="1"/>
  <c r="AB12" i="3"/>
  <c r="AC12" i="3" s="1"/>
  <c r="AB32" i="3"/>
  <c r="AB33" i="3"/>
  <c r="AC33" i="3" s="1"/>
  <c r="AB25" i="3"/>
  <c r="AB21" i="3"/>
  <c r="AB17" i="3"/>
  <c r="AC17" i="3" s="1"/>
  <c r="AB13" i="3"/>
  <c r="AC13" i="3" s="1"/>
  <c r="R15" i="3"/>
  <c r="S15" i="3" s="1"/>
  <c r="AF15" i="3"/>
  <c r="AG15" i="3" s="1"/>
  <c r="D6" i="3"/>
  <c r="E6" i="3" s="1"/>
  <c r="T20" i="3"/>
  <c r="T15" i="3"/>
  <c r="U15" i="3" s="1"/>
  <c r="B18" i="3"/>
  <c r="AB23" i="3"/>
  <c r="AC23" i="3" s="1"/>
  <c r="AF24" i="3"/>
  <c r="AG24" i="3" s="1"/>
  <c r="B27" i="3"/>
  <c r="AB27" i="3"/>
  <c r="AB28" i="3"/>
  <c r="AB29" i="3"/>
  <c r="AC29" i="3" s="1"/>
  <c r="T13" i="3"/>
  <c r="U13" i="3" s="1"/>
  <c r="T17" i="3"/>
  <c r="U17" i="3" s="1"/>
  <c r="AF29" i="3"/>
  <c r="AG29" i="3" s="1"/>
  <c r="B5" i="3"/>
  <c r="B9" i="3"/>
  <c r="B13" i="3"/>
  <c r="B17" i="3"/>
  <c r="B21" i="3"/>
  <c r="R29" i="3"/>
  <c r="S29" i="3" s="1"/>
  <c r="G85" i="14"/>
  <c r="C25" i="1" s="1"/>
  <c r="F22" i="40" l="1"/>
  <c r="F23" i="3"/>
  <c r="AG32" i="3" s="1"/>
  <c r="Z26" i="3"/>
  <c r="X26" i="3"/>
  <c r="V26" i="3"/>
  <c r="U32" i="3"/>
  <c r="X25" i="3"/>
  <c r="Z25" i="3"/>
  <c r="V25" i="3"/>
  <c r="W12" i="3"/>
  <c r="X12" i="3"/>
  <c r="Y12" i="3" s="1"/>
  <c r="Z12" i="3"/>
  <c r="AA12" i="3" s="1"/>
  <c r="V12" i="3"/>
  <c r="Z36" i="3"/>
  <c r="AA36" i="3" s="1"/>
  <c r="X36" i="3"/>
  <c r="Y36" i="3" s="1"/>
  <c r="V36" i="3"/>
  <c r="W36" i="3" s="1"/>
  <c r="X32" i="3"/>
  <c r="Y32" i="3" s="1"/>
  <c r="Z32" i="3"/>
  <c r="AA32" i="3" s="1"/>
  <c r="V32" i="3"/>
  <c r="W32" i="3" s="1"/>
  <c r="AE32" i="3"/>
  <c r="Z22" i="3"/>
  <c r="X22" i="3"/>
  <c r="V22" i="3"/>
  <c r="W31" i="3"/>
  <c r="X31" i="3"/>
  <c r="Y31" i="3" s="1"/>
  <c r="Z31" i="3"/>
  <c r="AA31" i="3" s="1"/>
  <c r="V31" i="3"/>
  <c r="Z10" i="3"/>
  <c r="X10" i="3"/>
  <c r="V10" i="3"/>
  <c r="X19" i="3"/>
  <c r="Z19" i="3"/>
  <c r="V19" i="3"/>
  <c r="X17" i="3"/>
  <c r="Y17" i="3" s="1"/>
  <c r="Z17" i="3"/>
  <c r="AA17" i="3" s="1"/>
  <c r="V17" i="3"/>
  <c r="W17" i="3" s="1"/>
  <c r="X24" i="3"/>
  <c r="Y24" i="3" s="1"/>
  <c r="Z24" i="3"/>
  <c r="AA24" i="3" s="1"/>
  <c r="V24" i="3"/>
  <c r="W24" i="3" s="1"/>
  <c r="Z18" i="3"/>
  <c r="AA18" i="3" s="1"/>
  <c r="X18" i="3"/>
  <c r="Y18" i="3" s="1"/>
  <c r="V18" i="3"/>
  <c r="AC32" i="3"/>
  <c r="R24" i="3"/>
  <c r="S24" i="3" s="1"/>
  <c r="X16" i="3"/>
  <c r="Y16" i="3" s="1"/>
  <c r="Z16" i="3"/>
  <c r="AA16" i="3" s="1"/>
  <c r="V16" i="3"/>
  <c r="W16" i="3" s="1"/>
  <c r="X29" i="3"/>
  <c r="Y29" i="3" s="1"/>
  <c r="Z29" i="3"/>
  <c r="AA29" i="3" s="1"/>
  <c r="V29" i="3"/>
  <c r="W29" i="3" s="1"/>
  <c r="X20" i="3"/>
  <c r="Z20" i="3"/>
  <c r="V20" i="3"/>
  <c r="Z30" i="3"/>
  <c r="AA30" i="3" s="1"/>
  <c r="X30" i="3"/>
  <c r="Y30" i="3" s="1"/>
  <c r="V30" i="3"/>
  <c r="W30" i="3" s="1"/>
  <c r="Z14" i="3"/>
  <c r="AA14" i="3" s="1"/>
  <c r="X14" i="3"/>
  <c r="Y14" i="3" s="1"/>
  <c r="V14" i="3"/>
  <c r="X27" i="3"/>
  <c r="Z27" i="3"/>
  <c r="V27" i="3"/>
  <c r="R31" i="3"/>
  <c r="S31" i="3" s="1"/>
  <c r="X28" i="3"/>
  <c r="Z28" i="3"/>
  <c r="V28" i="3"/>
  <c r="X23" i="3"/>
  <c r="Y23" i="3" s="1"/>
  <c r="Z23" i="3"/>
  <c r="AA23" i="3" s="1"/>
  <c r="V23" i="3"/>
  <c r="W23" i="3" s="1"/>
  <c r="R23" i="3"/>
  <c r="S23" i="3" s="1"/>
  <c r="X11" i="3"/>
  <c r="Y11" i="3" s="1"/>
  <c r="Z11" i="3"/>
  <c r="AA11" i="3" s="1"/>
  <c r="V11" i="3"/>
  <c r="W11" i="3" s="1"/>
  <c r="R17" i="3"/>
  <c r="S17" i="3" s="1"/>
  <c r="X15" i="3"/>
  <c r="Y15" i="3" s="1"/>
  <c r="Z15" i="3"/>
  <c r="AA15" i="3" s="1"/>
  <c r="V15" i="3"/>
  <c r="W15" i="3" s="1"/>
  <c r="R11" i="3"/>
  <c r="S11" i="3" s="1"/>
  <c r="R32" i="3"/>
  <c r="S32" i="3" s="1"/>
  <c r="R28" i="3"/>
  <c r="R25" i="3"/>
  <c r="R36" i="3"/>
  <c r="S36" i="3" s="1"/>
  <c r="R30" i="3"/>
  <c r="S30" i="3" s="1"/>
  <c r="R12" i="3"/>
  <c r="S12" i="3" s="1"/>
  <c r="R16" i="3"/>
  <c r="S16" i="3" s="1"/>
  <c r="R26" i="3"/>
  <c r="R22" i="3"/>
  <c r="R27" i="3"/>
  <c r="W18" i="3"/>
  <c r="R18" i="3"/>
  <c r="S18" i="3" s="1"/>
  <c r="W14" i="3"/>
  <c r="R14" i="3"/>
  <c r="S14" i="3" s="1"/>
  <c r="R19" i="3"/>
  <c r="K3" i="2"/>
  <c r="D3" i="2" s="1"/>
  <c r="J3" i="2"/>
  <c r="C3" i="2" s="1"/>
  <c r="I3" i="2"/>
  <c r="B3" i="2"/>
  <c r="K4" i="2"/>
  <c r="D4" i="2" s="1"/>
  <c r="J4" i="2"/>
  <c r="C4" i="2" s="1"/>
  <c r="A4" i="2"/>
  <c r="B4" i="2" s="1"/>
  <c r="O4" i="2" l="1"/>
  <c r="N4" i="2"/>
  <c r="P4" i="2"/>
  <c r="A5" i="2"/>
  <c r="I4" i="2"/>
  <c r="M4" i="2" s="1"/>
  <c r="AC31" i="40"/>
  <c r="W31" i="40"/>
  <c r="AE31" i="40"/>
  <c r="AG31" i="40"/>
  <c r="U31" i="40"/>
  <c r="Y31" i="40"/>
  <c r="AA31" i="40"/>
  <c r="S31" i="40"/>
  <c r="M3" i="2"/>
  <c r="E3" i="2"/>
  <c r="F3" i="2"/>
  <c r="L3" i="2"/>
  <c r="E4" i="2"/>
  <c r="F4" i="2"/>
  <c r="L4" i="2"/>
  <c r="D28" i="39"/>
  <c r="D29" i="39" s="1"/>
  <c r="G10" i="39"/>
  <c r="N11" i="39"/>
  <c r="N4" i="39"/>
  <c r="N3" i="39"/>
  <c r="G13" i="39"/>
  <c r="G7" i="39"/>
  <c r="G6" i="39"/>
  <c r="N6" i="39" s="1"/>
  <c r="G5" i="39"/>
  <c r="D24" i="39"/>
  <c r="D25" i="39" s="1"/>
  <c r="P20" i="39"/>
  <c r="O20" i="39"/>
  <c r="M20" i="39"/>
  <c r="L20" i="39"/>
  <c r="I20" i="39"/>
  <c r="H20" i="39"/>
  <c r="F20" i="39"/>
  <c r="E20" i="39"/>
  <c r="D20" i="39"/>
  <c r="D21" i="39" s="1"/>
  <c r="K11" i="39"/>
  <c r="C7" i="39"/>
  <c r="C18" i="39" s="1"/>
  <c r="K18" i="39" s="1"/>
  <c r="K6" i="39"/>
  <c r="K5" i="39"/>
  <c r="K28" i="39" s="1"/>
  <c r="K4" i="39"/>
  <c r="S3" i="39"/>
  <c r="S4" i="39" s="1"/>
  <c r="K3" i="39"/>
  <c r="P2" i="39"/>
  <c r="O2" i="39"/>
  <c r="N2" i="39"/>
  <c r="M2" i="39"/>
  <c r="L2" i="39"/>
  <c r="K2" i="39"/>
  <c r="P1" i="39"/>
  <c r="O1" i="39"/>
  <c r="N1" i="39"/>
  <c r="M1" i="39"/>
  <c r="L1" i="39"/>
  <c r="K1" i="39"/>
  <c r="K29" i="39" l="1"/>
  <c r="G28" i="39"/>
  <c r="G20" i="39"/>
  <c r="G21" i="39" s="1"/>
  <c r="G24" i="39"/>
  <c r="G25" i="39" s="1"/>
  <c r="A6" i="2"/>
  <c r="N5" i="2"/>
  <c r="P5" i="2"/>
  <c r="O5" i="2"/>
  <c r="I5" i="2"/>
  <c r="K5" i="2"/>
  <c r="D5" i="2" s="1"/>
  <c r="J5" i="2"/>
  <c r="C5" i="2" s="1"/>
  <c r="B5" i="2"/>
  <c r="N7" i="39"/>
  <c r="K7" i="39"/>
  <c r="C15" i="39"/>
  <c r="K15" i="39" s="1"/>
  <c r="N5" i="39"/>
  <c r="N28" i="39" s="1"/>
  <c r="C10" i="39"/>
  <c r="C13" i="39"/>
  <c r="C17" i="39"/>
  <c r="N18" i="39"/>
  <c r="S5" i="39"/>
  <c r="S6" i="39" s="1"/>
  <c r="S7" i="39" s="1"/>
  <c r="S8" i="39" s="1"/>
  <c r="S9" i="39" s="1"/>
  <c r="S10" i="39" s="1"/>
  <c r="S11" i="39" s="1"/>
  <c r="S12" i="39" s="1"/>
  <c r="S13" i="39" s="1"/>
  <c r="S14" i="39" s="1"/>
  <c r="S15" i="39" s="1"/>
  <c r="S16" i="39" s="1"/>
  <c r="S17" i="39" s="1"/>
  <c r="S18" i="39" s="1"/>
  <c r="S19" i="39" s="1"/>
  <c r="S20" i="39" s="1"/>
  <c r="S21" i="39" s="1"/>
  <c r="S22" i="39" s="1"/>
  <c r="S23" i="39" s="1"/>
  <c r="S24" i="39" s="1"/>
  <c r="S25" i="39" s="1"/>
  <c r="S26" i="39" s="1"/>
  <c r="S30" i="39" s="1"/>
  <c r="S32" i="39" s="1"/>
  <c r="S33" i="39" s="1"/>
  <c r="S34" i="39" s="1"/>
  <c r="S35" i="39" s="1"/>
  <c r="C12" i="39"/>
  <c r="C14" i="39"/>
  <c r="C16" i="39"/>
  <c r="N15" i="39" l="1"/>
  <c r="N29" i="39"/>
  <c r="P6" i="2"/>
  <c r="O6" i="2"/>
  <c r="N6" i="2"/>
  <c r="I6" i="2"/>
  <c r="J6" i="2"/>
  <c r="C6" i="2" s="1"/>
  <c r="B6" i="2"/>
  <c r="K6" i="2"/>
  <c r="D6" i="2" s="1"/>
  <c r="A7" i="2"/>
  <c r="E5" i="2"/>
  <c r="F5" i="2"/>
  <c r="M5" i="2"/>
  <c r="L5" i="2"/>
  <c r="G30" i="39"/>
  <c r="G29" i="39"/>
  <c r="K14" i="39"/>
  <c r="N14" i="39"/>
  <c r="K17" i="39"/>
  <c r="N17" i="39"/>
  <c r="K10" i="39"/>
  <c r="K24" i="39" s="1"/>
  <c r="K25" i="39" s="1"/>
  <c r="N10" i="39"/>
  <c r="K16" i="39"/>
  <c r="N16" i="39"/>
  <c r="K12" i="39"/>
  <c r="N12" i="39"/>
  <c r="K13" i="39"/>
  <c r="N13" i="39"/>
  <c r="S1" i="39"/>
  <c r="N7" i="2" l="1"/>
  <c r="P7" i="2"/>
  <c r="O7" i="2"/>
  <c r="I7" i="2"/>
  <c r="K7" i="2"/>
  <c r="D7" i="2" s="1"/>
  <c r="J7" i="2"/>
  <c r="C7" i="2" s="1"/>
  <c r="B7" i="2"/>
  <c r="A8" i="2"/>
  <c r="M6" i="2"/>
  <c r="L6" i="2"/>
  <c r="F6" i="2"/>
  <c r="E6" i="2"/>
  <c r="K30" i="39"/>
  <c r="D30" i="39"/>
  <c r="N30" i="39"/>
  <c r="G22" i="39"/>
  <c r="G32" i="39" s="1"/>
  <c r="G26" i="39"/>
  <c r="N24" i="39"/>
  <c r="N20" i="39"/>
  <c r="K20" i="39"/>
  <c r="K26" i="39"/>
  <c r="D26" i="39"/>
  <c r="D22" i="39"/>
  <c r="D32" i="39" s="1"/>
  <c r="AB190" i="31"/>
  <c r="Z190" i="31" s="1"/>
  <c r="AB189" i="31"/>
  <c r="Z189" i="31" s="1"/>
  <c r="AB151" i="31"/>
  <c r="Z151" i="31" s="1"/>
  <c r="AB186" i="31"/>
  <c r="Z186" i="31" s="1"/>
  <c r="AB183" i="31"/>
  <c r="Z183" i="31" s="1"/>
  <c r="AB182" i="31"/>
  <c r="Z182" i="31" s="1"/>
  <c r="AB181" i="31"/>
  <c r="Z181" i="31" s="1"/>
  <c r="AB175" i="31"/>
  <c r="Z175" i="31" s="1"/>
  <c r="AB174" i="31"/>
  <c r="Z174" i="31" s="1"/>
  <c r="AB173" i="31"/>
  <c r="Z173" i="31" s="1"/>
  <c r="AB169" i="31"/>
  <c r="Z169" i="31" s="1"/>
  <c r="AB168" i="31"/>
  <c r="Z168" i="31" s="1"/>
  <c r="AB166" i="31"/>
  <c r="Z166" i="31" s="1"/>
  <c r="AB165" i="31"/>
  <c r="Z165" i="31" s="1"/>
  <c r="AB164" i="31"/>
  <c r="Z164" i="31" s="1"/>
  <c r="AB163" i="31"/>
  <c r="Z163" i="31" s="1"/>
  <c r="AB161" i="31"/>
  <c r="Z161" i="31" s="1"/>
  <c r="AB160" i="31"/>
  <c r="Z160" i="31" s="1"/>
  <c r="AB159" i="31"/>
  <c r="Z159" i="31" s="1"/>
  <c r="AB153" i="31"/>
  <c r="Z153" i="31" s="1"/>
  <c r="AB150" i="31"/>
  <c r="Z150" i="31" s="1"/>
  <c r="AB146" i="31"/>
  <c r="Z146" i="31" s="1"/>
  <c r="AB143" i="31"/>
  <c r="Z143" i="31" s="1"/>
  <c r="AB141" i="31"/>
  <c r="Z141" i="31" s="1"/>
  <c r="AB138" i="31"/>
  <c r="Z138" i="31" s="1"/>
  <c r="AB137" i="31"/>
  <c r="Z137" i="31" s="1"/>
  <c r="AB136" i="31"/>
  <c r="Z136" i="31" s="1"/>
  <c r="AB135" i="31"/>
  <c r="Z135" i="31" s="1"/>
  <c r="AB134" i="31"/>
  <c r="Z134" i="31" s="1"/>
  <c r="AB132" i="31"/>
  <c r="Z132" i="31" s="1"/>
  <c r="AB129" i="31"/>
  <c r="Z129" i="31" s="1"/>
  <c r="AB127" i="31"/>
  <c r="Z127" i="31" s="1"/>
  <c r="AB126" i="31"/>
  <c r="Z126" i="31" s="1"/>
  <c r="AB123" i="31"/>
  <c r="Z123" i="31" s="1"/>
  <c r="AB122" i="31"/>
  <c r="Z122" i="31" s="1"/>
  <c r="AB121" i="31"/>
  <c r="Z121" i="31" s="1"/>
  <c r="AB118" i="31"/>
  <c r="Z118" i="31" s="1"/>
  <c r="AB113" i="31"/>
  <c r="Z113" i="31" s="1"/>
  <c r="AB112" i="31"/>
  <c r="Z112" i="31" s="1"/>
  <c r="AB108" i="31"/>
  <c r="Z108" i="31" s="1"/>
  <c r="AB106" i="31"/>
  <c r="Z106" i="31" s="1"/>
  <c r="AB105" i="31"/>
  <c r="Z105" i="31" s="1"/>
  <c r="AB104" i="31"/>
  <c r="Z104" i="31" s="1"/>
  <c r="AB101" i="31"/>
  <c r="Z101" i="31" s="1"/>
  <c r="AB89" i="31"/>
  <c r="Z89" i="31" s="1"/>
  <c r="AB86" i="31"/>
  <c r="Z86" i="31" s="1"/>
  <c r="AB31" i="31"/>
  <c r="Z31" i="31" s="1"/>
  <c r="AB85" i="31"/>
  <c r="Z85" i="31" s="1"/>
  <c r="AB84" i="31"/>
  <c r="Z84" i="31" s="1"/>
  <c r="AB83" i="31"/>
  <c r="Z83" i="31" s="1"/>
  <c r="AB81" i="31"/>
  <c r="Z81" i="31" s="1"/>
  <c r="AB80" i="31"/>
  <c r="Z80" i="31" s="1"/>
  <c r="AB79" i="31"/>
  <c r="Z79" i="31" s="1"/>
  <c r="AB78" i="31"/>
  <c r="Z78" i="31" s="1"/>
  <c r="AB77" i="31"/>
  <c r="Z77" i="31" s="1"/>
  <c r="AB76" i="31"/>
  <c r="Z76" i="31" s="1"/>
  <c r="AB75" i="31"/>
  <c r="Z75" i="31" s="1"/>
  <c r="AB70" i="31"/>
  <c r="Z70" i="31" s="1"/>
  <c r="AB69" i="31"/>
  <c r="Z69" i="31" s="1"/>
  <c r="AB68" i="31"/>
  <c r="Z68" i="31" s="1"/>
  <c r="AB66" i="31"/>
  <c r="Z66" i="31" s="1"/>
  <c r="AB62" i="31"/>
  <c r="Z62" i="31" s="1"/>
  <c r="AB61" i="31"/>
  <c r="Z61" i="31" s="1"/>
  <c r="AB55" i="31"/>
  <c r="Z55" i="31" s="1"/>
  <c r="AB54" i="31"/>
  <c r="Z54" i="31" s="1"/>
  <c r="AB53" i="31"/>
  <c r="Z53" i="31" s="1"/>
  <c r="AB51" i="31"/>
  <c r="Z51" i="31" s="1"/>
  <c r="AB49" i="31"/>
  <c r="Z49" i="31" s="1"/>
  <c r="AB44" i="31"/>
  <c r="Z44" i="31" s="1"/>
  <c r="AB43" i="31"/>
  <c r="Z43" i="31" s="1"/>
  <c r="AB38" i="31"/>
  <c r="Z38" i="31" s="1"/>
  <c r="AB34" i="31"/>
  <c r="Z34" i="31" s="1"/>
  <c r="AB33" i="31"/>
  <c r="Z33" i="31" s="1"/>
  <c r="AB26" i="31"/>
  <c r="Z26" i="31" s="1"/>
  <c r="AB25" i="31"/>
  <c r="Z25" i="31" s="1"/>
  <c r="AB20" i="31"/>
  <c r="Z20" i="31" s="1"/>
  <c r="AB18" i="31"/>
  <c r="Z18" i="31" s="1"/>
  <c r="AB16" i="31"/>
  <c r="Z16" i="31" s="1"/>
  <c r="AB15" i="31"/>
  <c r="Z15" i="31" s="1"/>
  <c r="AB13" i="31"/>
  <c r="Z13" i="31" s="1"/>
  <c r="AB11" i="31"/>
  <c r="Z11" i="31" s="1"/>
  <c r="AB10" i="31"/>
  <c r="Z10" i="31" s="1"/>
  <c r="AB8" i="31"/>
  <c r="Z8" i="31" s="1"/>
  <c r="AA190" i="31"/>
  <c r="AA189" i="31"/>
  <c r="AA151" i="31"/>
  <c r="AA186" i="31"/>
  <c r="AA183" i="31"/>
  <c r="AA182" i="31"/>
  <c r="AA181" i="31"/>
  <c r="AA175" i="31"/>
  <c r="AA174" i="31"/>
  <c r="AA173" i="31"/>
  <c r="AA169" i="31"/>
  <c r="AA168" i="31"/>
  <c r="AA166" i="31"/>
  <c r="AA165" i="31"/>
  <c r="AA164" i="31"/>
  <c r="AA163" i="31"/>
  <c r="AA161" i="31"/>
  <c r="AA160" i="31"/>
  <c r="AA159" i="31"/>
  <c r="AA153" i="31"/>
  <c r="AA150" i="31"/>
  <c r="AA146" i="31"/>
  <c r="AA143" i="31"/>
  <c r="AA141" i="31"/>
  <c r="AA138" i="31"/>
  <c r="AA137" i="31"/>
  <c r="AA136" i="31"/>
  <c r="AA135" i="31"/>
  <c r="AA134" i="31"/>
  <c r="AA132" i="31"/>
  <c r="AA129" i="31"/>
  <c r="AA127" i="31"/>
  <c r="AA126" i="31"/>
  <c r="AA123" i="31"/>
  <c r="AA122" i="31"/>
  <c r="AA121" i="31"/>
  <c r="AA118" i="31"/>
  <c r="AA113" i="31"/>
  <c r="AA112" i="31"/>
  <c r="AA108" i="31"/>
  <c r="AA106" i="31"/>
  <c r="AA105" i="31"/>
  <c r="AA104" i="31"/>
  <c r="AA101" i="31"/>
  <c r="AA89" i="31"/>
  <c r="AA86" i="31"/>
  <c r="AA31" i="31"/>
  <c r="AA85" i="31"/>
  <c r="AA84" i="31"/>
  <c r="AA83" i="31"/>
  <c r="AA81" i="31"/>
  <c r="AA80" i="31"/>
  <c r="AA79" i="31"/>
  <c r="AA78" i="31"/>
  <c r="AA77" i="31"/>
  <c r="AA76" i="31"/>
  <c r="AA75" i="31"/>
  <c r="AA70" i="31"/>
  <c r="AA69" i="31"/>
  <c r="AA68" i="31"/>
  <c r="AA66" i="31"/>
  <c r="AA62" i="31"/>
  <c r="AA61" i="31"/>
  <c r="AA55" i="31"/>
  <c r="AA54" i="31"/>
  <c r="AA53" i="31"/>
  <c r="AA51" i="31"/>
  <c r="AA49" i="31"/>
  <c r="AA44" i="31"/>
  <c r="AA43" i="31"/>
  <c r="AA38" i="31"/>
  <c r="AA34" i="31"/>
  <c r="AA33" i="31"/>
  <c r="AA26" i="31"/>
  <c r="AA25" i="31"/>
  <c r="AA20" i="31"/>
  <c r="AA18" i="31"/>
  <c r="AA16" i="31"/>
  <c r="AA15" i="31"/>
  <c r="AA13" i="31"/>
  <c r="AA11" i="31"/>
  <c r="AA10" i="31"/>
  <c r="AA8" i="31"/>
  <c r="ED2" i="23"/>
  <c r="EC2" i="23"/>
  <c r="EA2" i="23"/>
  <c r="DZ2" i="23"/>
  <c r="ED190" i="23"/>
  <c r="EC190" i="23"/>
  <c r="EB190" i="23"/>
  <c r="EA190" i="23"/>
  <c r="DZ190" i="23"/>
  <c r="ED189" i="23"/>
  <c r="EC189" i="23"/>
  <c r="EB189" i="23"/>
  <c r="EA189" i="23"/>
  <c r="DZ189" i="23"/>
  <c r="ED188" i="23"/>
  <c r="EC188" i="23"/>
  <c r="EB188" i="23"/>
  <c r="EA188" i="23"/>
  <c r="DZ188" i="23"/>
  <c r="ED187" i="23"/>
  <c r="EC187" i="23"/>
  <c r="EB187" i="23"/>
  <c r="EA187" i="23"/>
  <c r="DZ187" i="23"/>
  <c r="ED186" i="23"/>
  <c r="EC186" i="23"/>
  <c r="EB186" i="23"/>
  <c r="EA186" i="23"/>
  <c r="DZ186" i="23"/>
  <c r="ED185" i="23"/>
  <c r="EC185" i="23"/>
  <c r="EB185" i="23"/>
  <c r="EA185" i="23"/>
  <c r="DZ185" i="23"/>
  <c r="ED184" i="23"/>
  <c r="EC184" i="23"/>
  <c r="EB184" i="23"/>
  <c r="EA184" i="23"/>
  <c r="DZ184" i="23"/>
  <c r="ED183" i="23"/>
  <c r="EC183" i="23"/>
  <c r="EB183" i="23"/>
  <c r="EA183" i="23"/>
  <c r="DZ183" i="23"/>
  <c r="ED182" i="23"/>
  <c r="EC182" i="23"/>
  <c r="EB182" i="23"/>
  <c r="EA182" i="23"/>
  <c r="DZ182" i="23"/>
  <c r="ED181" i="23"/>
  <c r="EC181" i="23"/>
  <c r="EB181" i="23"/>
  <c r="EA181" i="23"/>
  <c r="DZ181" i="23"/>
  <c r="ED180" i="23"/>
  <c r="EC180" i="23"/>
  <c r="EB180" i="23"/>
  <c r="EA180" i="23"/>
  <c r="DZ180" i="23"/>
  <c r="ED179" i="23"/>
  <c r="EC179" i="23"/>
  <c r="EB179" i="23"/>
  <c r="EA179" i="23"/>
  <c r="DZ179" i="23"/>
  <c r="ED178" i="23"/>
  <c r="EC178" i="23"/>
  <c r="EB178" i="23"/>
  <c r="EA178" i="23"/>
  <c r="DZ178" i="23"/>
  <c r="ED177" i="23"/>
  <c r="EC177" i="23"/>
  <c r="EB177" i="23"/>
  <c r="EA177" i="23"/>
  <c r="DZ177" i="23"/>
  <c r="ED176" i="23"/>
  <c r="EC176" i="23"/>
  <c r="EB176" i="23"/>
  <c r="EA176" i="23"/>
  <c r="DZ176" i="23"/>
  <c r="ED175" i="23"/>
  <c r="EC175" i="23"/>
  <c r="EB175" i="23"/>
  <c r="EA175" i="23"/>
  <c r="DZ175" i="23"/>
  <c r="ED174" i="23"/>
  <c r="EC174" i="23"/>
  <c r="EB174" i="23"/>
  <c r="EA174" i="23"/>
  <c r="DZ174" i="23"/>
  <c r="ED173" i="23"/>
  <c r="EC173" i="23"/>
  <c r="EB173" i="23"/>
  <c r="EA173" i="23"/>
  <c r="DZ173" i="23"/>
  <c r="ED172" i="23"/>
  <c r="EC172" i="23"/>
  <c r="EB172" i="23"/>
  <c r="EA172" i="23"/>
  <c r="DZ172" i="23"/>
  <c r="ED171" i="23"/>
  <c r="EC171" i="23"/>
  <c r="EB171" i="23"/>
  <c r="EA171" i="23"/>
  <c r="DZ171" i="23"/>
  <c r="ED170" i="23"/>
  <c r="EC170" i="23"/>
  <c r="EB170" i="23"/>
  <c r="EA170" i="23"/>
  <c r="DZ170" i="23"/>
  <c r="ED169" i="23"/>
  <c r="EC169" i="23"/>
  <c r="EB169" i="23"/>
  <c r="EA169" i="23"/>
  <c r="DZ169" i="23"/>
  <c r="ED168" i="23"/>
  <c r="EC168" i="23"/>
  <c r="EB168" i="23"/>
  <c r="EA168" i="23"/>
  <c r="DZ168" i="23"/>
  <c r="ED167" i="23"/>
  <c r="EC167" i="23"/>
  <c r="EB167" i="23"/>
  <c r="EA167" i="23"/>
  <c r="DZ167" i="23"/>
  <c r="ED166" i="23"/>
  <c r="EC166" i="23"/>
  <c r="EB166" i="23"/>
  <c r="EA166" i="23"/>
  <c r="DZ166" i="23"/>
  <c r="ED165" i="23"/>
  <c r="EC165" i="23"/>
  <c r="EB165" i="23"/>
  <c r="EA165" i="23"/>
  <c r="DZ165" i="23"/>
  <c r="ED164" i="23"/>
  <c r="EC164" i="23"/>
  <c r="EB164" i="23"/>
  <c r="EA164" i="23"/>
  <c r="DZ164" i="23"/>
  <c r="ED163" i="23"/>
  <c r="EC163" i="23"/>
  <c r="EB163" i="23"/>
  <c r="EA163" i="23"/>
  <c r="DZ163" i="23"/>
  <c r="ED162" i="23"/>
  <c r="EC162" i="23"/>
  <c r="EB162" i="23"/>
  <c r="EA162" i="23"/>
  <c r="DZ162" i="23"/>
  <c r="ED161" i="23"/>
  <c r="EC161" i="23"/>
  <c r="EB161" i="23"/>
  <c r="EA161" i="23"/>
  <c r="DZ161" i="23"/>
  <c r="ED160" i="23"/>
  <c r="EC160" i="23"/>
  <c r="EB160" i="23"/>
  <c r="EA160" i="23"/>
  <c r="DZ160" i="23"/>
  <c r="ED159" i="23"/>
  <c r="EC159" i="23"/>
  <c r="EB159" i="23"/>
  <c r="EA159" i="23"/>
  <c r="DZ159" i="23"/>
  <c r="ED158" i="23"/>
  <c r="EC158" i="23"/>
  <c r="EB158" i="23"/>
  <c r="EA158" i="23"/>
  <c r="DZ158" i="23"/>
  <c r="ED157" i="23"/>
  <c r="EC157" i="23"/>
  <c r="EB157" i="23"/>
  <c r="EA157" i="23"/>
  <c r="DZ157" i="23"/>
  <c r="ED156" i="23"/>
  <c r="EC156" i="23"/>
  <c r="EB156" i="23"/>
  <c r="EA156" i="23"/>
  <c r="DZ156" i="23"/>
  <c r="ED155" i="23"/>
  <c r="EC155" i="23"/>
  <c r="EB155" i="23"/>
  <c r="EA155" i="23"/>
  <c r="DZ155" i="23"/>
  <c r="ED154" i="23"/>
  <c r="EC154" i="23"/>
  <c r="EB154" i="23"/>
  <c r="EA154" i="23"/>
  <c r="DZ154" i="23"/>
  <c r="ED153" i="23"/>
  <c r="EC153" i="23"/>
  <c r="EB153" i="23"/>
  <c r="EA153" i="23"/>
  <c r="DZ153" i="23"/>
  <c r="ED152" i="23"/>
  <c r="EC152" i="23"/>
  <c r="EB152" i="23"/>
  <c r="EA152" i="23"/>
  <c r="DZ152" i="23"/>
  <c r="ED151" i="23"/>
  <c r="EC151" i="23"/>
  <c r="EB151" i="23"/>
  <c r="EA151" i="23"/>
  <c r="DZ151" i="23"/>
  <c r="ED150" i="23"/>
  <c r="EC150" i="23"/>
  <c r="EB150" i="23"/>
  <c r="EA150" i="23"/>
  <c r="DZ150" i="23"/>
  <c r="ED149" i="23"/>
  <c r="EC149" i="23"/>
  <c r="EB149" i="23"/>
  <c r="EA149" i="23"/>
  <c r="DZ149" i="23"/>
  <c r="ED148" i="23"/>
  <c r="EC148" i="23"/>
  <c r="EB148" i="23"/>
  <c r="EA148" i="23"/>
  <c r="DZ148" i="23"/>
  <c r="ED147" i="23"/>
  <c r="EC147" i="23"/>
  <c r="EB147" i="23"/>
  <c r="EA147" i="23"/>
  <c r="DZ147" i="23"/>
  <c r="ED146" i="23"/>
  <c r="EC146" i="23"/>
  <c r="EB146" i="23"/>
  <c r="EA146" i="23"/>
  <c r="DZ146" i="23"/>
  <c r="ED145" i="23"/>
  <c r="EC145" i="23"/>
  <c r="EB145" i="23"/>
  <c r="EA145" i="23"/>
  <c r="DZ145" i="23"/>
  <c r="ED144" i="23"/>
  <c r="EC144" i="23"/>
  <c r="EB144" i="23"/>
  <c r="EA144" i="23"/>
  <c r="DZ144" i="23"/>
  <c r="ED143" i="23"/>
  <c r="EC143" i="23"/>
  <c r="EB143" i="23"/>
  <c r="EA143" i="23"/>
  <c r="DZ143" i="23"/>
  <c r="ED142" i="23"/>
  <c r="EC142" i="23"/>
  <c r="EB142" i="23"/>
  <c r="EA142" i="23"/>
  <c r="DZ142" i="23"/>
  <c r="ED141" i="23"/>
  <c r="EC141" i="23"/>
  <c r="EB141" i="23"/>
  <c r="EA141" i="23"/>
  <c r="DZ141" i="23"/>
  <c r="ED140" i="23"/>
  <c r="EC140" i="23"/>
  <c r="EB140" i="23"/>
  <c r="EA140" i="23"/>
  <c r="DZ140" i="23"/>
  <c r="ED139" i="23"/>
  <c r="EC139" i="23"/>
  <c r="EB139" i="23"/>
  <c r="EA139" i="23"/>
  <c r="DZ139" i="23"/>
  <c r="ED138" i="23"/>
  <c r="EC138" i="23"/>
  <c r="EB138" i="23"/>
  <c r="EA138" i="23"/>
  <c r="DZ138" i="23"/>
  <c r="ED137" i="23"/>
  <c r="EC137" i="23"/>
  <c r="EB137" i="23"/>
  <c r="EA137" i="23"/>
  <c r="DZ137" i="23"/>
  <c r="ED136" i="23"/>
  <c r="EC136" i="23"/>
  <c r="EB136" i="23"/>
  <c r="EA136" i="23"/>
  <c r="DZ136" i="23"/>
  <c r="ED135" i="23"/>
  <c r="EC135" i="23"/>
  <c r="EB135" i="23"/>
  <c r="EA135" i="23"/>
  <c r="DZ135" i="23"/>
  <c r="ED134" i="23"/>
  <c r="EC134" i="23"/>
  <c r="EB134" i="23"/>
  <c r="EA134" i="23"/>
  <c r="DZ134" i="23"/>
  <c r="ED133" i="23"/>
  <c r="EC133" i="23"/>
  <c r="EB133" i="23"/>
  <c r="EA133" i="23"/>
  <c r="DZ133" i="23"/>
  <c r="ED132" i="23"/>
  <c r="EC132" i="23"/>
  <c r="EB132" i="23"/>
  <c r="EA132" i="23"/>
  <c r="DZ132" i="23"/>
  <c r="ED131" i="23"/>
  <c r="EC131" i="23"/>
  <c r="EB131" i="23"/>
  <c r="EA131" i="23"/>
  <c r="DZ131" i="23"/>
  <c r="ED130" i="23"/>
  <c r="EC130" i="23"/>
  <c r="EB130" i="23"/>
  <c r="EA130" i="23"/>
  <c r="DZ130" i="23"/>
  <c r="ED129" i="23"/>
  <c r="EC129" i="23"/>
  <c r="EB129" i="23"/>
  <c r="EA129" i="23"/>
  <c r="DZ129" i="23"/>
  <c r="ED128" i="23"/>
  <c r="EC128" i="23"/>
  <c r="EB128" i="23"/>
  <c r="EA128" i="23"/>
  <c r="DZ128" i="23"/>
  <c r="ED127" i="23"/>
  <c r="EC127" i="23"/>
  <c r="EB127" i="23"/>
  <c r="EA127" i="23"/>
  <c r="DZ127" i="23"/>
  <c r="ED126" i="23"/>
  <c r="EC126" i="23"/>
  <c r="EB126" i="23"/>
  <c r="EA126" i="23"/>
  <c r="DZ126" i="23"/>
  <c r="ED125" i="23"/>
  <c r="EC125" i="23"/>
  <c r="EB125" i="23"/>
  <c r="EA125" i="23"/>
  <c r="DZ125" i="23"/>
  <c r="ED124" i="23"/>
  <c r="EC124" i="23"/>
  <c r="EB124" i="23"/>
  <c r="EA124" i="23"/>
  <c r="DZ124" i="23"/>
  <c r="ED123" i="23"/>
  <c r="EC123" i="23"/>
  <c r="EB123" i="23"/>
  <c r="EA123" i="23"/>
  <c r="DZ123" i="23"/>
  <c r="ED122" i="23"/>
  <c r="EC122" i="23"/>
  <c r="EB122" i="23"/>
  <c r="EA122" i="23"/>
  <c r="DZ122" i="23"/>
  <c r="ED121" i="23"/>
  <c r="EC121" i="23"/>
  <c r="EB121" i="23"/>
  <c r="EA121" i="23"/>
  <c r="DZ121" i="23"/>
  <c r="ED120" i="23"/>
  <c r="EC120" i="23"/>
  <c r="EB120" i="23"/>
  <c r="EA120" i="23"/>
  <c r="DZ120" i="23"/>
  <c r="ED119" i="23"/>
  <c r="EC119" i="23"/>
  <c r="EB119" i="23"/>
  <c r="EA119" i="23"/>
  <c r="DZ119" i="23"/>
  <c r="ED118" i="23"/>
  <c r="EC118" i="23"/>
  <c r="EB118" i="23"/>
  <c r="EA118" i="23"/>
  <c r="DZ118" i="23"/>
  <c r="ED117" i="23"/>
  <c r="EC117" i="23"/>
  <c r="EB117" i="23"/>
  <c r="EA117" i="23"/>
  <c r="DZ117" i="23"/>
  <c r="ED116" i="23"/>
  <c r="EC116" i="23"/>
  <c r="EB116" i="23"/>
  <c r="EA116" i="23"/>
  <c r="DZ116" i="23"/>
  <c r="ED115" i="23"/>
  <c r="EC115" i="23"/>
  <c r="EB115" i="23"/>
  <c r="EA115" i="23"/>
  <c r="DZ115" i="23"/>
  <c r="ED114" i="23"/>
  <c r="EC114" i="23"/>
  <c r="EB114" i="23"/>
  <c r="EA114" i="23"/>
  <c r="DZ114" i="23"/>
  <c r="ED113" i="23"/>
  <c r="EC113" i="23"/>
  <c r="EB113" i="23"/>
  <c r="EA113" i="23"/>
  <c r="DZ113" i="23"/>
  <c r="ED112" i="23"/>
  <c r="EC112" i="23"/>
  <c r="EB112" i="23"/>
  <c r="EA112" i="23"/>
  <c r="DZ112" i="23"/>
  <c r="ED111" i="23"/>
  <c r="EC111" i="23"/>
  <c r="EB111" i="23"/>
  <c r="EA111" i="23"/>
  <c r="DZ111" i="23"/>
  <c r="ED110" i="23"/>
  <c r="EC110" i="23"/>
  <c r="EB110" i="23"/>
  <c r="EA110" i="23"/>
  <c r="DZ110" i="23"/>
  <c r="ED109" i="23"/>
  <c r="EC109" i="23"/>
  <c r="EB109" i="23"/>
  <c r="EA109" i="23"/>
  <c r="DZ109" i="23"/>
  <c r="ED108" i="23"/>
  <c r="EC108" i="23"/>
  <c r="EB108" i="23"/>
  <c r="EA108" i="23"/>
  <c r="DZ108" i="23"/>
  <c r="ED107" i="23"/>
  <c r="EC107" i="23"/>
  <c r="EB107" i="23"/>
  <c r="EA107" i="23"/>
  <c r="DZ107" i="23"/>
  <c r="ED106" i="23"/>
  <c r="EC106" i="23"/>
  <c r="EB106" i="23"/>
  <c r="EA106" i="23"/>
  <c r="DZ106" i="23"/>
  <c r="ED105" i="23"/>
  <c r="EC105" i="23"/>
  <c r="EB105" i="23"/>
  <c r="EA105" i="23"/>
  <c r="DZ105" i="23"/>
  <c r="ED104" i="23"/>
  <c r="EC104" i="23"/>
  <c r="EB104" i="23"/>
  <c r="EA104" i="23"/>
  <c r="DZ104" i="23"/>
  <c r="ED103" i="23"/>
  <c r="EC103" i="23"/>
  <c r="EB103" i="23"/>
  <c r="EA103" i="23"/>
  <c r="DZ103" i="23"/>
  <c r="ED102" i="23"/>
  <c r="EC102" i="23"/>
  <c r="EB102" i="23"/>
  <c r="EA102" i="23"/>
  <c r="DZ102" i="23"/>
  <c r="ED101" i="23"/>
  <c r="EC101" i="23"/>
  <c r="EB101" i="23"/>
  <c r="EA101" i="23"/>
  <c r="DZ101" i="23"/>
  <c r="ED100" i="23"/>
  <c r="EC100" i="23"/>
  <c r="EB100" i="23"/>
  <c r="EA100" i="23"/>
  <c r="DZ100" i="23"/>
  <c r="ED99" i="23"/>
  <c r="EC99" i="23"/>
  <c r="EB99" i="23"/>
  <c r="EA99" i="23"/>
  <c r="DZ99" i="23"/>
  <c r="ED98" i="23"/>
  <c r="EC98" i="23"/>
  <c r="EB98" i="23"/>
  <c r="EA98" i="23"/>
  <c r="DZ98" i="23"/>
  <c r="ED97" i="23"/>
  <c r="EC97" i="23"/>
  <c r="EB97" i="23"/>
  <c r="EA97" i="23"/>
  <c r="DZ97" i="23"/>
  <c r="ED96" i="23"/>
  <c r="EC96" i="23"/>
  <c r="EB96" i="23"/>
  <c r="EA96" i="23"/>
  <c r="DZ96" i="23"/>
  <c r="ED95" i="23"/>
  <c r="EC95" i="23"/>
  <c r="EB95" i="23"/>
  <c r="EA95" i="23"/>
  <c r="DZ95" i="23"/>
  <c r="ED94" i="23"/>
  <c r="EC94" i="23"/>
  <c r="EB94" i="23"/>
  <c r="EA94" i="23"/>
  <c r="DZ94" i="23"/>
  <c r="ED93" i="23"/>
  <c r="EC93" i="23"/>
  <c r="EB93" i="23"/>
  <c r="EA93" i="23"/>
  <c r="DZ93" i="23"/>
  <c r="ED92" i="23"/>
  <c r="EC92" i="23"/>
  <c r="EB92" i="23"/>
  <c r="EA92" i="23"/>
  <c r="DZ92" i="23"/>
  <c r="ED91" i="23"/>
  <c r="EC91" i="23"/>
  <c r="EB91" i="23"/>
  <c r="EA91" i="23"/>
  <c r="DZ91" i="23"/>
  <c r="ED90" i="23"/>
  <c r="EC90" i="23"/>
  <c r="EB90" i="23"/>
  <c r="EA90" i="23"/>
  <c r="DZ90" i="23"/>
  <c r="ED89" i="23"/>
  <c r="EC89" i="23"/>
  <c r="EB89" i="23"/>
  <c r="EA89" i="23"/>
  <c r="DZ89" i="23"/>
  <c r="ED88" i="23"/>
  <c r="EC88" i="23"/>
  <c r="EB88" i="23"/>
  <c r="EA88" i="23"/>
  <c r="DZ88" i="23"/>
  <c r="ED87" i="23"/>
  <c r="EC87" i="23"/>
  <c r="EB87" i="23"/>
  <c r="EA87" i="23"/>
  <c r="DZ87" i="23"/>
  <c r="ED86" i="23"/>
  <c r="EC86" i="23"/>
  <c r="EB86" i="23"/>
  <c r="EA86" i="23"/>
  <c r="DZ86" i="23"/>
  <c r="ED85" i="23"/>
  <c r="EC85" i="23"/>
  <c r="EB85" i="23"/>
  <c r="EA85" i="23"/>
  <c r="DZ85" i="23"/>
  <c r="ED84" i="23"/>
  <c r="EC84" i="23"/>
  <c r="EB84" i="23"/>
  <c r="EA84" i="23"/>
  <c r="DZ84" i="23"/>
  <c r="ED83" i="23"/>
  <c r="EC83" i="23"/>
  <c r="EB83" i="23"/>
  <c r="EA83" i="23"/>
  <c r="DZ83" i="23"/>
  <c r="ED82" i="23"/>
  <c r="EC82" i="23"/>
  <c r="EB82" i="23"/>
  <c r="EA82" i="23"/>
  <c r="DZ82" i="23"/>
  <c r="ED81" i="23"/>
  <c r="EC81" i="23"/>
  <c r="EB81" i="23"/>
  <c r="EA81" i="23"/>
  <c r="DZ81" i="23"/>
  <c r="ED80" i="23"/>
  <c r="EC80" i="23"/>
  <c r="EB80" i="23"/>
  <c r="EA80" i="23"/>
  <c r="DZ80" i="23"/>
  <c r="ED79" i="23"/>
  <c r="EC79" i="23"/>
  <c r="EB79" i="23"/>
  <c r="EA79" i="23"/>
  <c r="DZ79" i="23"/>
  <c r="ED78" i="23"/>
  <c r="EC78" i="23"/>
  <c r="EB78" i="23"/>
  <c r="EA78" i="23"/>
  <c r="DZ78" i="23"/>
  <c r="ED77" i="23"/>
  <c r="EC77" i="23"/>
  <c r="EB77" i="23"/>
  <c r="EA77" i="23"/>
  <c r="DZ77" i="23"/>
  <c r="ED76" i="23"/>
  <c r="EC76" i="23"/>
  <c r="EB76" i="23"/>
  <c r="EA76" i="23"/>
  <c r="DZ76" i="23"/>
  <c r="ED75" i="23"/>
  <c r="EC75" i="23"/>
  <c r="EB75" i="23"/>
  <c r="EA75" i="23"/>
  <c r="DZ75" i="23"/>
  <c r="ED74" i="23"/>
  <c r="EC74" i="23"/>
  <c r="EB74" i="23"/>
  <c r="EA74" i="23"/>
  <c r="DZ74" i="23"/>
  <c r="ED73" i="23"/>
  <c r="EC73" i="23"/>
  <c r="EB73" i="23"/>
  <c r="EA73" i="23"/>
  <c r="DZ73" i="23"/>
  <c r="ED72" i="23"/>
  <c r="EC72" i="23"/>
  <c r="EB72" i="23"/>
  <c r="EA72" i="23"/>
  <c r="DZ72" i="23"/>
  <c r="ED71" i="23"/>
  <c r="EC71" i="23"/>
  <c r="EB71" i="23"/>
  <c r="EA71" i="23"/>
  <c r="DZ71" i="23"/>
  <c r="ED70" i="23"/>
  <c r="EC70" i="23"/>
  <c r="EB70" i="23"/>
  <c r="EA70" i="23"/>
  <c r="DZ70" i="23"/>
  <c r="ED69" i="23"/>
  <c r="EC69" i="23"/>
  <c r="EB69" i="23"/>
  <c r="EA69" i="23"/>
  <c r="DZ69" i="23"/>
  <c r="ED68" i="23"/>
  <c r="EC68" i="23"/>
  <c r="EB68" i="23"/>
  <c r="EA68" i="23"/>
  <c r="DZ68" i="23"/>
  <c r="ED67" i="23"/>
  <c r="EC67" i="23"/>
  <c r="EB67" i="23"/>
  <c r="EA67" i="23"/>
  <c r="DZ67" i="23"/>
  <c r="ED66" i="23"/>
  <c r="EC66" i="23"/>
  <c r="EB66" i="23"/>
  <c r="EA66" i="23"/>
  <c r="DZ66" i="23"/>
  <c r="ED65" i="23"/>
  <c r="EC65" i="23"/>
  <c r="EB65" i="23"/>
  <c r="EA65" i="23"/>
  <c r="DZ65" i="23"/>
  <c r="ED64" i="23"/>
  <c r="EC64" i="23"/>
  <c r="EB64" i="23"/>
  <c r="EA64" i="23"/>
  <c r="DZ64" i="23"/>
  <c r="ED63" i="23"/>
  <c r="EC63" i="23"/>
  <c r="EB63" i="23"/>
  <c r="EA63" i="23"/>
  <c r="DZ63" i="23"/>
  <c r="ED62" i="23"/>
  <c r="EC62" i="23"/>
  <c r="EB62" i="23"/>
  <c r="EA62" i="23"/>
  <c r="DZ62" i="23"/>
  <c r="ED61" i="23"/>
  <c r="EC61" i="23"/>
  <c r="EB61" i="23"/>
  <c r="EA61" i="23"/>
  <c r="DZ61" i="23"/>
  <c r="ED60" i="23"/>
  <c r="EC60" i="23"/>
  <c r="EB60" i="23"/>
  <c r="EA60" i="23"/>
  <c r="DZ60" i="23"/>
  <c r="ED59" i="23"/>
  <c r="EC59" i="23"/>
  <c r="EB59" i="23"/>
  <c r="EA59" i="23"/>
  <c r="DZ59" i="23"/>
  <c r="ED58" i="23"/>
  <c r="EC58" i="23"/>
  <c r="EB58" i="23"/>
  <c r="EA58" i="23"/>
  <c r="DZ58" i="23"/>
  <c r="ED57" i="23"/>
  <c r="EC57" i="23"/>
  <c r="EB57" i="23"/>
  <c r="EA57" i="23"/>
  <c r="DZ57" i="23"/>
  <c r="ED56" i="23"/>
  <c r="EC56" i="23"/>
  <c r="EB56" i="23"/>
  <c r="EA56" i="23"/>
  <c r="DZ56" i="23"/>
  <c r="ED55" i="23"/>
  <c r="EC55" i="23"/>
  <c r="EB55" i="23"/>
  <c r="EA55" i="23"/>
  <c r="DZ55" i="23"/>
  <c r="ED54" i="23"/>
  <c r="EC54" i="23"/>
  <c r="EB54" i="23"/>
  <c r="EA54" i="23"/>
  <c r="DZ54" i="23"/>
  <c r="ED53" i="23"/>
  <c r="EC53" i="23"/>
  <c r="EB53" i="23"/>
  <c r="EA53" i="23"/>
  <c r="DZ53" i="23"/>
  <c r="ED52" i="23"/>
  <c r="EC52" i="23"/>
  <c r="EB52" i="23"/>
  <c r="EA52" i="23"/>
  <c r="DZ52" i="23"/>
  <c r="ED51" i="23"/>
  <c r="EC51" i="23"/>
  <c r="EB51" i="23"/>
  <c r="EA51" i="23"/>
  <c r="DZ51" i="23"/>
  <c r="ED50" i="23"/>
  <c r="EC50" i="23"/>
  <c r="EB50" i="23"/>
  <c r="EA50" i="23"/>
  <c r="DZ50" i="23"/>
  <c r="ED49" i="23"/>
  <c r="EC49" i="23"/>
  <c r="EB49" i="23"/>
  <c r="EA49" i="23"/>
  <c r="DZ49" i="23"/>
  <c r="ED48" i="23"/>
  <c r="EC48" i="23"/>
  <c r="EB48" i="23"/>
  <c r="EA48" i="23"/>
  <c r="DZ48" i="23"/>
  <c r="ED47" i="23"/>
  <c r="EC47" i="23"/>
  <c r="EB47" i="23"/>
  <c r="EA47" i="23"/>
  <c r="DZ47" i="23"/>
  <c r="ED46" i="23"/>
  <c r="EC46" i="23"/>
  <c r="EB46" i="23"/>
  <c r="EA46" i="23"/>
  <c r="DZ46" i="23"/>
  <c r="ED45" i="23"/>
  <c r="EC45" i="23"/>
  <c r="EB45" i="23"/>
  <c r="EA45" i="23"/>
  <c r="DZ45" i="23"/>
  <c r="ED44" i="23"/>
  <c r="EC44" i="23"/>
  <c r="EB44" i="23"/>
  <c r="EA44" i="23"/>
  <c r="DZ44" i="23"/>
  <c r="ED43" i="23"/>
  <c r="EC43" i="23"/>
  <c r="EB43" i="23"/>
  <c r="EA43" i="23"/>
  <c r="DZ43" i="23"/>
  <c r="ED42" i="23"/>
  <c r="EC42" i="23"/>
  <c r="EB42" i="23"/>
  <c r="EA42" i="23"/>
  <c r="DZ42" i="23"/>
  <c r="ED41" i="23"/>
  <c r="EC41" i="23"/>
  <c r="EB41" i="23"/>
  <c r="EA41" i="23"/>
  <c r="DZ41" i="23"/>
  <c r="ED40" i="23"/>
  <c r="EC40" i="23"/>
  <c r="EB40" i="23"/>
  <c r="EA40" i="23"/>
  <c r="DZ40" i="23"/>
  <c r="ED39" i="23"/>
  <c r="EC39" i="23"/>
  <c r="EB39" i="23"/>
  <c r="EA39" i="23"/>
  <c r="DZ39" i="23"/>
  <c r="ED38" i="23"/>
  <c r="EC38" i="23"/>
  <c r="EB38" i="23"/>
  <c r="EA38" i="23"/>
  <c r="DZ38" i="23"/>
  <c r="ED37" i="23"/>
  <c r="EC37" i="23"/>
  <c r="EB37" i="23"/>
  <c r="EA37" i="23"/>
  <c r="DZ37" i="23"/>
  <c r="ED36" i="23"/>
  <c r="EC36" i="23"/>
  <c r="EB36" i="23"/>
  <c r="EA36" i="23"/>
  <c r="DZ36" i="23"/>
  <c r="ED35" i="23"/>
  <c r="EC35" i="23"/>
  <c r="EB35" i="23"/>
  <c r="EA35" i="23"/>
  <c r="DZ35" i="23"/>
  <c r="ED34" i="23"/>
  <c r="EC34" i="23"/>
  <c r="EB34" i="23"/>
  <c r="EA34" i="23"/>
  <c r="DZ34" i="23"/>
  <c r="ED33" i="23"/>
  <c r="EC33" i="23"/>
  <c r="EB33" i="23"/>
  <c r="EA33" i="23"/>
  <c r="DZ33" i="23"/>
  <c r="ED32" i="23"/>
  <c r="EC32" i="23"/>
  <c r="EB32" i="23"/>
  <c r="EA32" i="23"/>
  <c r="DZ32" i="23"/>
  <c r="ED31" i="23"/>
  <c r="EC31" i="23"/>
  <c r="EB31" i="23"/>
  <c r="EA31" i="23"/>
  <c r="DZ31" i="23"/>
  <c r="ED30" i="23"/>
  <c r="EC30" i="23"/>
  <c r="EB30" i="23"/>
  <c r="EA30" i="23"/>
  <c r="DZ30" i="23"/>
  <c r="ED29" i="23"/>
  <c r="EC29" i="23"/>
  <c r="EB29" i="23"/>
  <c r="EA29" i="23"/>
  <c r="DZ29" i="23"/>
  <c r="ED28" i="23"/>
  <c r="EC28" i="23"/>
  <c r="EB28" i="23"/>
  <c r="EA28" i="23"/>
  <c r="DZ28" i="23"/>
  <c r="ED27" i="23"/>
  <c r="EC27" i="23"/>
  <c r="EB27" i="23"/>
  <c r="EA27" i="23"/>
  <c r="DZ27" i="23"/>
  <c r="ED26" i="23"/>
  <c r="EC26" i="23"/>
  <c r="EB26" i="23"/>
  <c r="EA26" i="23"/>
  <c r="DZ26" i="23"/>
  <c r="ED25" i="23"/>
  <c r="EC25" i="23"/>
  <c r="EB25" i="23"/>
  <c r="EA25" i="23"/>
  <c r="DZ25" i="23"/>
  <c r="ED24" i="23"/>
  <c r="EC24" i="23"/>
  <c r="EB24" i="23"/>
  <c r="EA24" i="23"/>
  <c r="DZ24" i="23"/>
  <c r="ED23" i="23"/>
  <c r="EC23" i="23"/>
  <c r="EB23" i="23"/>
  <c r="EA23" i="23"/>
  <c r="DZ23" i="23"/>
  <c r="ED22" i="23"/>
  <c r="EC22" i="23"/>
  <c r="EB22" i="23"/>
  <c r="EA22" i="23"/>
  <c r="DZ22" i="23"/>
  <c r="ED21" i="23"/>
  <c r="EC21" i="23"/>
  <c r="EB21" i="23"/>
  <c r="EA21" i="23"/>
  <c r="DZ21" i="23"/>
  <c r="ED20" i="23"/>
  <c r="EC20" i="23"/>
  <c r="EB20" i="23"/>
  <c r="EA20" i="23"/>
  <c r="DZ20" i="23"/>
  <c r="ED19" i="23"/>
  <c r="EC19" i="23"/>
  <c r="EB19" i="23"/>
  <c r="EA19" i="23"/>
  <c r="DZ19" i="23"/>
  <c r="ED18" i="23"/>
  <c r="EC18" i="23"/>
  <c r="EB18" i="23"/>
  <c r="EA18" i="23"/>
  <c r="DZ18" i="23"/>
  <c r="ED17" i="23"/>
  <c r="EC17" i="23"/>
  <c r="EB17" i="23"/>
  <c r="EA17" i="23"/>
  <c r="DZ17" i="23"/>
  <c r="ED16" i="23"/>
  <c r="EC16" i="23"/>
  <c r="EB16" i="23"/>
  <c r="EA16" i="23"/>
  <c r="DZ16" i="23"/>
  <c r="ED15" i="23"/>
  <c r="EC15" i="23"/>
  <c r="EB15" i="23"/>
  <c r="EA15" i="23"/>
  <c r="DZ15" i="23"/>
  <c r="ED14" i="23"/>
  <c r="EC14" i="23"/>
  <c r="EB14" i="23"/>
  <c r="EA14" i="23"/>
  <c r="DZ14" i="23"/>
  <c r="ED13" i="23"/>
  <c r="EC13" i="23"/>
  <c r="EB13" i="23"/>
  <c r="EA13" i="23"/>
  <c r="DZ13" i="23"/>
  <c r="ED12" i="23"/>
  <c r="EC12" i="23"/>
  <c r="EB12" i="23"/>
  <c r="EA12" i="23"/>
  <c r="DZ12" i="23"/>
  <c r="ED11" i="23"/>
  <c r="EC11" i="23"/>
  <c r="EB11" i="23"/>
  <c r="EA11" i="23"/>
  <c r="DZ11" i="23"/>
  <c r="ED10" i="23"/>
  <c r="EC10" i="23"/>
  <c r="EB10" i="23"/>
  <c r="EA10" i="23"/>
  <c r="DZ10" i="23"/>
  <c r="ED9" i="23"/>
  <c r="EC9" i="23"/>
  <c r="EB9" i="23"/>
  <c r="EA9" i="23"/>
  <c r="DZ9" i="23"/>
  <c r="ED8" i="23"/>
  <c r="EC8" i="23"/>
  <c r="EB8" i="23"/>
  <c r="EA8" i="23"/>
  <c r="DZ8" i="23"/>
  <c r="ED7" i="23"/>
  <c r="EC7" i="23"/>
  <c r="EB7" i="23"/>
  <c r="EA7" i="23"/>
  <c r="DZ7" i="23"/>
  <c r="ED6" i="23"/>
  <c r="EC6" i="23"/>
  <c r="EB6" i="23"/>
  <c r="EA6" i="23"/>
  <c r="DZ6" i="23"/>
  <c r="ED5" i="23"/>
  <c r="EC5" i="23"/>
  <c r="EB5" i="23"/>
  <c r="EA5" i="23"/>
  <c r="DZ5" i="23"/>
  <c r="ED4" i="23"/>
  <c r="EC4" i="23"/>
  <c r="EB4" i="23"/>
  <c r="EA4" i="23"/>
  <c r="DZ4" i="23"/>
  <c r="ED3" i="23"/>
  <c r="EC3" i="23"/>
  <c r="EB3" i="23"/>
  <c r="EA3" i="23"/>
  <c r="DZ3" i="23"/>
  <c r="DW2" i="23"/>
  <c r="DV2" i="23"/>
  <c r="DU2" i="23"/>
  <c r="DT2" i="23"/>
  <c r="DS2" i="23"/>
  <c r="DR2" i="23"/>
  <c r="DP190" i="23"/>
  <c r="DN190" i="23"/>
  <c r="DM190" i="23"/>
  <c r="DL190" i="23"/>
  <c r="DK190" i="23"/>
  <c r="DJ190" i="23"/>
  <c r="DI190" i="23"/>
  <c r="DP189" i="23"/>
  <c r="DN189" i="23"/>
  <c r="DM189" i="23"/>
  <c r="DL189" i="23"/>
  <c r="DK189" i="23"/>
  <c r="DJ189" i="23"/>
  <c r="DI189" i="23"/>
  <c r="DP188" i="23"/>
  <c r="DN188" i="23"/>
  <c r="DM188" i="23"/>
  <c r="DL188" i="23"/>
  <c r="DK188" i="23"/>
  <c r="DJ188" i="23"/>
  <c r="DI188" i="23"/>
  <c r="DP187" i="23"/>
  <c r="DN187" i="23"/>
  <c r="DM187" i="23"/>
  <c r="DL187" i="23"/>
  <c r="DK187" i="23"/>
  <c r="DJ187" i="23"/>
  <c r="DI187" i="23"/>
  <c r="DP186" i="23"/>
  <c r="DN186" i="23"/>
  <c r="DM186" i="23"/>
  <c r="DL186" i="23"/>
  <c r="DK186" i="23"/>
  <c r="DJ186" i="23"/>
  <c r="DI186" i="23"/>
  <c r="DP185" i="23"/>
  <c r="DN185" i="23"/>
  <c r="DM185" i="23"/>
  <c r="DL185" i="23"/>
  <c r="DK185" i="23"/>
  <c r="DJ185" i="23"/>
  <c r="DI185" i="23"/>
  <c r="DP184" i="23"/>
  <c r="DN184" i="23"/>
  <c r="DM184" i="23"/>
  <c r="DL184" i="23"/>
  <c r="DK184" i="23"/>
  <c r="DJ184" i="23"/>
  <c r="DI184" i="23"/>
  <c r="DP183" i="23"/>
  <c r="DN183" i="23"/>
  <c r="DM183" i="23"/>
  <c r="DL183" i="23"/>
  <c r="DK183" i="23"/>
  <c r="DJ183" i="23"/>
  <c r="DI183" i="23"/>
  <c r="DP182" i="23"/>
  <c r="DN182" i="23"/>
  <c r="DM182" i="23"/>
  <c r="DL182" i="23"/>
  <c r="DK182" i="23"/>
  <c r="DJ182" i="23"/>
  <c r="DI182" i="23"/>
  <c r="DP181" i="23"/>
  <c r="DN181" i="23"/>
  <c r="DM181" i="23"/>
  <c r="DL181" i="23"/>
  <c r="DK181" i="23"/>
  <c r="DJ181" i="23"/>
  <c r="DI181" i="23"/>
  <c r="DP180" i="23"/>
  <c r="DN180" i="23"/>
  <c r="DM180" i="23"/>
  <c r="DL180" i="23"/>
  <c r="DK180" i="23"/>
  <c r="DJ180" i="23"/>
  <c r="DI180" i="23"/>
  <c r="DP179" i="23"/>
  <c r="DN179" i="23"/>
  <c r="DM179" i="23"/>
  <c r="DL179" i="23"/>
  <c r="DK179" i="23"/>
  <c r="DJ179" i="23"/>
  <c r="DI179" i="23"/>
  <c r="DP178" i="23"/>
  <c r="DN178" i="23"/>
  <c r="DM178" i="23"/>
  <c r="DL178" i="23"/>
  <c r="DK178" i="23"/>
  <c r="DJ178" i="23"/>
  <c r="DI178" i="23"/>
  <c r="DP177" i="23"/>
  <c r="DN177" i="23"/>
  <c r="DM177" i="23"/>
  <c r="DL177" i="23"/>
  <c r="DK177" i="23"/>
  <c r="DJ177" i="23"/>
  <c r="DI177" i="23"/>
  <c r="DP176" i="23"/>
  <c r="DN176" i="23"/>
  <c r="DM176" i="23"/>
  <c r="DL176" i="23"/>
  <c r="DK176" i="23"/>
  <c r="DJ176" i="23"/>
  <c r="DI176" i="23"/>
  <c r="DP175" i="23"/>
  <c r="DN175" i="23"/>
  <c r="DM175" i="23"/>
  <c r="DL175" i="23"/>
  <c r="DK175" i="23"/>
  <c r="DJ175" i="23"/>
  <c r="DI175" i="23"/>
  <c r="DP174" i="23"/>
  <c r="DN174" i="23"/>
  <c r="DM174" i="23"/>
  <c r="DL174" i="23"/>
  <c r="DK174" i="23"/>
  <c r="DJ174" i="23"/>
  <c r="DI174" i="23"/>
  <c r="DP173" i="23"/>
  <c r="DN173" i="23"/>
  <c r="DM173" i="23"/>
  <c r="DL173" i="23"/>
  <c r="DK173" i="23"/>
  <c r="DJ173" i="23"/>
  <c r="DI173" i="23"/>
  <c r="DP172" i="23"/>
  <c r="DN172" i="23"/>
  <c r="DM172" i="23"/>
  <c r="DL172" i="23"/>
  <c r="DK172" i="23"/>
  <c r="DJ172" i="23"/>
  <c r="DI172" i="23"/>
  <c r="DP171" i="23"/>
  <c r="DN171" i="23"/>
  <c r="DM171" i="23"/>
  <c r="DL171" i="23"/>
  <c r="DK171" i="23"/>
  <c r="DJ171" i="23"/>
  <c r="DI171" i="23"/>
  <c r="DP170" i="23"/>
  <c r="DN170" i="23"/>
  <c r="DM170" i="23"/>
  <c r="DL170" i="23"/>
  <c r="DK170" i="23"/>
  <c r="DJ170" i="23"/>
  <c r="DI170" i="23"/>
  <c r="DP169" i="23"/>
  <c r="DN169" i="23"/>
  <c r="DM169" i="23"/>
  <c r="DL169" i="23"/>
  <c r="DK169" i="23"/>
  <c r="DJ169" i="23"/>
  <c r="DI169" i="23"/>
  <c r="DP168" i="23"/>
  <c r="DN168" i="23"/>
  <c r="DM168" i="23"/>
  <c r="DL168" i="23"/>
  <c r="DK168" i="23"/>
  <c r="DJ168" i="23"/>
  <c r="DI168" i="23"/>
  <c r="DP167" i="23"/>
  <c r="DN167" i="23"/>
  <c r="DM167" i="23"/>
  <c r="DL167" i="23"/>
  <c r="DK167" i="23"/>
  <c r="DJ167" i="23"/>
  <c r="DI167" i="23"/>
  <c r="DP166" i="23"/>
  <c r="DN166" i="23"/>
  <c r="DM166" i="23"/>
  <c r="DL166" i="23"/>
  <c r="DK166" i="23"/>
  <c r="DJ166" i="23"/>
  <c r="DI166" i="23"/>
  <c r="DP165" i="23"/>
  <c r="DN165" i="23"/>
  <c r="DM165" i="23"/>
  <c r="DL165" i="23"/>
  <c r="DK165" i="23"/>
  <c r="DJ165" i="23"/>
  <c r="DI165" i="23"/>
  <c r="DP164" i="23"/>
  <c r="DN164" i="23"/>
  <c r="DM164" i="23"/>
  <c r="DL164" i="23"/>
  <c r="DK164" i="23"/>
  <c r="DJ164" i="23"/>
  <c r="DI164" i="23"/>
  <c r="DP163" i="23"/>
  <c r="DN163" i="23"/>
  <c r="DM163" i="23"/>
  <c r="DL163" i="23"/>
  <c r="DK163" i="23"/>
  <c r="DJ163" i="23"/>
  <c r="DI163" i="23"/>
  <c r="DP162" i="23"/>
  <c r="DN162" i="23"/>
  <c r="DM162" i="23"/>
  <c r="DL162" i="23"/>
  <c r="DK162" i="23"/>
  <c r="DJ162" i="23"/>
  <c r="DI162" i="23"/>
  <c r="DP161" i="23"/>
  <c r="DN161" i="23"/>
  <c r="DM161" i="23"/>
  <c r="DL161" i="23"/>
  <c r="DK161" i="23"/>
  <c r="DJ161" i="23"/>
  <c r="DI161" i="23"/>
  <c r="DP160" i="23"/>
  <c r="DN160" i="23"/>
  <c r="DM160" i="23"/>
  <c r="DL160" i="23"/>
  <c r="DK160" i="23"/>
  <c r="DJ160" i="23"/>
  <c r="DI160" i="23"/>
  <c r="DP159" i="23"/>
  <c r="DN159" i="23"/>
  <c r="DM159" i="23"/>
  <c r="DL159" i="23"/>
  <c r="DK159" i="23"/>
  <c r="DJ159" i="23"/>
  <c r="DI159" i="23"/>
  <c r="DP158" i="23"/>
  <c r="DN158" i="23"/>
  <c r="DM158" i="23"/>
  <c r="DL158" i="23"/>
  <c r="DK158" i="23"/>
  <c r="DJ158" i="23"/>
  <c r="DI158" i="23"/>
  <c r="DP157" i="23"/>
  <c r="DN157" i="23"/>
  <c r="DM157" i="23"/>
  <c r="DL157" i="23"/>
  <c r="DK157" i="23"/>
  <c r="DJ157" i="23"/>
  <c r="DI157" i="23"/>
  <c r="DP156" i="23"/>
  <c r="DN156" i="23"/>
  <c r="DM156" i="23"/>
  <c r="DL156" i="23"/>
  <c r="DK156" i="23"/>
  <c r="DJ156" i="23"/>
  <c r="DI156" i="23"/>
  <c r="DP155" i="23"/>
  <c r="DN155" i="23"/>
  <c r="DM155" i="23"/>
  <c r="DL155" i="23"/>
  <c r="DK155" i="23"/>
  <c r="DJ155" i="23"/>
  <c r="DI155" i="23"/>
  <c r="DP154" i="23"/>
  <c r="DN154" i="23"/>
  <c r="DM154" i="23"/>
  <c r="DL154" i="23"/>
  <c r="DK154" i="23"/>
  <c r="DJ154" i="23"/>
  <c r="DI154" i="23"/>
  <c r="DP153" i="23"/>
  <c r="DN153" i="23"/>
  <c r="DM153" i="23"/>
  <c r="DL153" i="23"/>
  <c r="DK153" i="23"/>
  <c r="DJ153" i="23"/>
  <c r="DI153" i="23"/>
  <c r="DP152" i="23"/>
  <c r="DN152" i="23"/>
  <c r="DM152" i="23"/>
  <c r="DL152" i="23"/>
  <c r="DK152" i="23"/>
  <c r="DJ152" i="23"/>
  <c r="DI152" i="23"/>
  <c r="DP151" i="23"/>
  <c r="DN151" i="23"/>
  <c r="DM151" i="23"/>
  <c r="DL151" i="23"/>
  <c r="DK151" i="23"/>
  <c r="DJ151" i="23"/>
  <c r="DI151" i="23"/>
  <c r="DP150" i="23"/>
  <c r="DN150" i="23"/>
  <c r="DM150" i="23"/>
  <c r="DL150" i="23"/>
  <c r="DK150" i="23"/>
  <c r="DJ150" i="23"/>
  <c r="DI150" i="23"/>
  <c r="DP149" i="23"/>
  <c r="DN149" i="23"/>
  <c r="DM149" i="23"/>
  <c r="DL149" i="23"/>
  <c r="DK149" i="23"/>
  <c r="DJ149" i="23"/>
  <c r="DI149" i="23"/>
  <c r="DP148" i="23"/>
  <c r="DN148" i="23"/>
  <c r="DM148" i="23"/>
  <c r="DL148" i="23"/>
  <c r="DK148" i="23"/>
  <c r="DJ148" i="23"/>
  <c r="DI148" i="23"/>
  <c r="DP147" i="23"/>
  <c r="DN147" i="23"/>
  <c r="DM147" i="23"/>
  <c r="DL147" i="23"/>
  <c r="DK147" i="23"/>
  <c r="DJ147" i="23"/>
  <c r="DI147" i="23"/>
  <c r="DP146" i="23"/>
  <c r="DN146" i="23"/>
  <c r="DM146" i="23"/>
  <c r="DL146" i="23"/>
  <c r="DK146" i="23"/>
  <c r="DJ146" i="23"/>
  <c r="DI146" i="23"/>
  <c r="DP145" i="23"/>
  <c r="DN145" i="23"/>
  <c r="DM145" i="23"/>
  <c r="DL145" i="23"/>
  <c r="DK145" i="23"/>
  <c r="DJ145" i="23"/>
  <c r="DI145" i="23"/>
  <c r="DP144" i="23"/>
  <c r="DN144" i="23"/>
  <c r="DM144" i="23"/>
  <c r="DL144" i="23"/>
  <c r="DK144" i="23"/>
  <c r="DJ144" i="23"/>
  <c r="DI144" i="23"/>
  <c r="DP143" i="23"/>
  <c r="DN143" i="23"/>
  <c r="DM143" i="23"/>
  <c r="DL143" i="23"/>
  <c r="DK143" i="23"/>
  <c r="DJ143" i="23"/>
  <c r="DI143" i="23"/>
  <c r="DP142" i="23"/>
  <c r="DN142" i="23"/>
  <c r="DM142" i="23"/>
  <c r="DL142" i="23"/>
  <c r="DK142" i="23"/>
  <c r="DJ142" i="23"/>
  <c r="DI142" i="23"/>
  <c r="DP141" i="23"/>
  <c r="DN141" i="23"/>
  <c r="DM141" i="23"/>
  <c r="DL141" i="23"/>
  <c r="DK141" i="23"/>
  <c r="DJ141" i="23"/>
  <c r="DI141" i="23"/>
  <c r="DP140" i="23"/>
  <c r="DN140" i="23"/>
  <c r="DM140" i="23"/>
  <c r="DL140" i="23"/>
  <c r="DK140" i="23"/>
  <c r="DJ140" i="23"/>
  <c r="DI140" i="23"/>
  <c r="DP139" i="23"/>
  <c r="DN139" i="23"/>
  <c r="DM139" i="23"/>
  <c r="DL139" i="23"/>
  <c r="DK139" i="23"/>
  <c r="DJ139" i="23"/>
  <c r="DI139" i="23"/>
  <c r="DP138" i="23"/>
  <c r="DN138" i="23"/>
  <c r="DM138" i="23"/>
  <c r="DL138" i="23"/>
  <c r="DK138" i="23"/>
  <c r="DJ138" i="23"/>
  <c r="DI138" i="23"/>
  <c r="DP137" i="23"/>
  <c r="DN137" i="23"/>
  <c r="DM137" i="23"/>
  <c r="DL137" i="23"/>
  <c r="DK137" i="23"/>
  <c r="DJ137" i="23"/>
  <c r="DI137" i="23"/>
  <c r="DP136" i="23"/>
  <c r="DN136" i="23"/>
  <c r="DM136" i="23"/>
  <c r="DL136" i="23"/>
  <c r="DK136" i="23"/>
  <c r="DJ136" i="23"/>
  <c r="DI136" i="23"/>
  <c r="DP135" i="23"/>
  <c r="DN135" i="23"/>
  <c r="DM135" i="23"/>
  <c r="DL135" i="23"/>
  <c r="DK135" i="23"/>
  <c r="DJ135" i="23"/>
  <c r="DI135" i="23"/>
  <c r="DP134" i="23"/>
  <c r="DN134" i="23"/>
  <c r="DM134" i="23"/>
  <c r="DL134" i="23"/>
  <c r="DK134" i="23"/>
  <c r="DJ134" i="23"/>
  <c r="DI134" i="23"/>
  <c r="DP133" i="23"/>
  <c r="DN133" i="23"/>
  <c r="DM133" i="23"/>
  <c r="DL133" i="23"/>
  <c r="DK133" i="23"/>
  <c r="DJ133" i="23"/>
  <c r="DI133" i="23"/>
  <c r="DP132" i="23"/>
  <c r="DN132" i="23"/>
  <c r="DM132" i="23"/>
  <c r="DL132" i="23"/>
  <c r="DK132" i="23"/>
  <c r="DJ132" i="23"/>
  <c r="DI132" i="23"/>
  <c r="DP131" i="23"/>
  <c r="DN131" i="23"/>
  <c r="DM131" i="23"/>
  <c r="DL131" i="23"/>
  <c r="DK131" i="23"/>
  <c r="DJ131" i="23"/>
  <c r="DI131" i="23"/>
  <c r="DP130" i="23"/>
  <c r="DN130" i="23"/>
  <c r="DM130" i="23"/>
  <c r="DL130" i="23"/>
  <c r="DK130" i="23"/>
  <c r="DJ130" i="23"/>
  <c r="DI130" i="23"/>
  <c r="DP129" i="23"/>
  <c r="DN129" i="23"/>
  <c r="DM129" i="23"/>
  <c r="DL129" i="23"/>
  <c r="DK129" i="23"/>
  <c r="DJ129" i="23"/>
  <c r="DI129" i="23"/>
  <c r="DP128" i="23"/>
  <c r="DN128" i="23"/>
  <c r="DM128" i="23"/>
  <c r="DL128" i="23"/>
  <c r="DK128" i="23"/>
  <c r="DJ128" i="23"/>
  <c r="DI128" i="23"/>
  <c r="DP127" i="23"/>
  <c r="DN127" i="23"/>
  <c r="DM127" i="23"/>
  <c r="DL127" i="23"/>
  <c r="DK127" i="23"/>
  <c r="DJ127" i="23"/>
  <c r="DI127" i="23"/>
  <c r="DP126" i="23"/>
  <c r="DN126" i="23"/>
  <c r="DM126" i="23"/>
  <c r="DL126" i="23"/>
  <c r="DK126" i="23"/>
  <c r="DJ126" i="23"/>
  <c r="DI126" i="23"/>
  <c r="DP125" i="23"/>
  <c r="DN125" i="23"/>
  <c r="DM125" i="23"/>
  <c r="DL125" i="23"/>
  <c r="DK125" i="23"/>
  <c r="DJ125" i="23"/>
  <c r="DI125" i="23"/>
  <c r="DP124" i="23"/>
  <c r="DN124" i="23"/>
  <c r="DM124" i="23"/>
  <c r="DL124" i="23"/>
  <c r="DK124" i="23"/>
  <c r="DJ124" i="23"/>
  <c r="DI124" i="23"/>
  <c r="DP123" i="23"/>
  <c r="DN123" i="23"/>
  <c r="DM123" i="23"/>
  <c r="DL123" i="23"/>
  <c r="DK123" i="23"/>
  <c r="DJ123" i="23"/>
  <c r="DI123" i="23"/>
  <c r="DP122" i="23"/>
  <c r="DN122" i="23"/>
  <c r="DM122" i="23"/>
  <c r="DL122" i="23"/>
  <c r="DK122" i="23"/>
  <c r="DJ122" i="23"/>
  <c r="DI122" i="23"/>
  <c r="DP121" i="23"/>
  <c r="DN121" i="23"/>
  <c r="DM121" i="23"/>
  <c r="DL121" i="23"/>
  <c r="DK121" i="23"/>
  <c r="DJ121" i="23"/>
  <c r="DI121" i="23"/>
  <c r="DP120" i="23"/>
  <c r="DN120" i="23"/>
  <c r="DM120" i="23"/>
  <c r="DL120" i="23"/>
  <c r="DK120" i="23"/>
  <c r="DJ120" i="23"/>
  <c r="DI120" i="23"/>
  <c r="DP119" i="23"/>
  <c r="DN119" i="23"/>
  <c r="DM119" i="23"/>
  <c r="DL119" i="23"/>
  <c r="DK119" i="23"/>
  <c r="DJ119" i="23"/>
  <c r="DI119" i="23"/>
  <c r="DP118" i="23"/>
  <c r="DN118" i="23"/>
  <c r="DM118" i="23"/>
  <c r="DL118" i="23"/>
  <c r="DK118" i="23"/>
  <c r="DJ118" i="23"/>
  <c r="DI118" i="23"/>
  <c r="DP117" i="23"/>
  <c r="DN117" i="23"/>
  <c r="DM117" i="23"/>
  <c r="DL117" i="23"/>
  <c r="DK117" i="23"/>
  <c r="DJ117" i="23"/>
  <c r="DI117" i="23"/>
  <c r="DP116" i="23"/>
  <c r="DN116" i="23"/>
  <c r="DM116" i="23"/>
  <c r="DL116" i="23"/>
  <c r="DK116" i="23"/>
  <c r="DJ116" i="23"/>
  <c r="DI116" i="23"/>
  <c r="DP115" i="23"/>
  <c r="DN115" i="23"/>
  <c r="DM115" i="23"/>
  <c r="DL115" i="23"/>
  <c r="DK115" i="23"/>
  <c r="DJ115" i="23"/>
  <c r="DI115" i="23"/>
  <c r="DP114" i="23"/>
  <c r="DN114" i="23"/>
  <c r="DM114" i="23"/>
  <c r="DL114" i="23"/>
  <c r="DK114" i="23"/>
  <c r="DJ114" i="23"/>
  <c r="DI114" i="23"/>
  <c r="DP113" i="23"/>
  <c r="DN113" i="23"/>
  <c r="DM113" i="23"/>
  <c r="DL113" i="23"/>
  <c r="DK113" i="23"/>
  <c r="DJ113" i="23"/>
  <c r="DI113" i="23"/>
  <c r="DP112" i="23"/>
  <c r="DN112" i="23"/>
  <c r="DM112" i="23"/>
  <c r="DL112" i="23"/>
  <c r="DK112" i="23"/>
  <c r="DJ112" i="23"/>
  <c r="DI112" i="23"/>
  <c r="DP111" i="23"/>
  <c r="DN111" i="23"/>
  <c r="DM111" i="23"/>
  <c r="DL111" i="23"/>
  <c r="DK111" i="23"/>
  <c r="DJ111" i="23"/>
  <c r="DI111" i="23"/>
  <c r="DP110" i="23"/>
  <c r="DN110" i="23"/>
  <c r="DM110" i="23"/>
  <c r="DL110" i="23"/>
  <c r="DK110" i="23"/>
  <c r="DJ110" i="23"/>
  <c r="DI110" i="23"/>
  <c r="DP109" i="23"/>
  <c r="DN109" i="23"/>
  <c r="DM109" i="23"/>
  <c r="DL109" i="23"/>
  <c r="DK109" i="23"/>
  <c r="DJ109" i="23"/>
  <c r="DI109" i="23"/>
  <c r="DP108" i="23"/>
  <c r="DN108" i="23"/>
  <c r="DM108" i="23"/>
  <c r="DL108" i="23"/>
  <c r="DK108" i="23"/>
  <c r="DJ108" i="23"/>
  <c r="DI108" i="23"/>
  <c r="DP107" i="23"/>
  <c r="DN107" i="23"/>
  <c r="DM107" i="23"/>
  <c r="DL107" i="23"/>
  <c r="DK107" i="23"/>
  <c r="DJ107" i="23"/>
  <c r="DI107" i="23"/>
  <c r="DP106" i="23"/>
  <c r="DN106" i="23"/>
  <c r="DM106" i="23"/>
  <c r="DL106" i="23"/>
  <c r="DK106" i="23"/>
  <c r="DJ106" i="23"/>
  <c r="DI106" i="23"/>
  <c r="DP105" i="23"/>
  <c r="DN105" i="23"/>
  <c r="DM105" i="23"/>
  <c r="DL105" i="23"/>
  <c r="DK105" i="23"/>
  <c r="DJ105" i="23"/>
  <c r="DI105" i="23"/>
  <c r="DP104" i="23"/>
  <c r="DN104" i="23"/>
  <c r="DM104" i="23"/>
  <c r="DL104" i="23"/>
  <c r="DK104" i="23"/>
  <c r="DJ104" i="23"/>
  <c r="DI104" i="23"/>
  <c r="DP103" i="23"/>
  <c r="DN103" i="23"/>
  <c r="DM103" i="23"/>
  <c r="DL103" i="23"/>
  <c r="DK103" i="23"/>
  <c r="DJ103" i="23"/>
  <c r="DI103" i="23"/>
  <c r="DP102" i="23"/>
  <c r="DN102" i="23"/>
  <c r="DM102" i="23"/>
  <c r="DL102" i="23"/>
  <c r="DK102" i="23"/>
  <c r="DJ102" i="23"/>
  <c r="DI102" i="23"/>
  <c r="DP101" i="23"/>
  <c r="DN101" i="23"/>
  <c r="DM101" i="23"/>
  <c r="DL101" i="23"/>
  <c r="DK101" i="23"/>
  <c r="DJ101" i="23"/>
  <c r="DI101" i="23"/>
  <c r="DP100" i="23"/>
  <c r="DN100" i="23"/>
  <c r="DM100" i="23"/>
  <c r="DL100" i="23"/>
  <c r="DK100" i="23"/>
  <c r="DJ100" i="23"/>
  <c r="DI100" i="23"/>
  <c r="DP99" i="23"/>
  <c r="DN99" i="23"/>
  <c r="DM99" i="23"/>
  <c r="DL99" i="23"/>
  <c r="DK99" i="23"/>
  <c r="DJ99" i="23"/>
  <c r="DI99" i="23"/>
  <c r="DP98" i="23"/>
  <c r="DN98" i="23"/>
  <c r="DM98" i="23"/>
  <c r="DL98" i="23"/>
  <c r="DK98" i="23"/>
  <c r="DJ98" i="23"/>
  <c r="DI98" i="23"/>
  <c r="DP97" i="23"/>
  <c r="DN97" i="23"/>
  <c r="DM97" i="23"/>
  <c r="DL97" i="23"/>
  <c r="DK97" i="23"/>
  <c r="DJ97" i="23"/>
  <c r="DI97" i="23"/>
  <c r="DP96" i="23"/>
  <c r="DN96" i="23"/>
  <c r="DM96" i="23"/>
  <c r="DL96" i="23"/>
  <c r="DK96" i="23"/>
  <c r="DJ96" i="23"/>
  <c r="DI96" i="23"/>
  <c r="DP95" i="23"/>
  <c r="DN95" i="23"/>
  <c r="DM95" i="23"/>
  <c r="DL95" i="23"/>
  <c r="DK95" i="23"/>
  <c r="DJ95" i="23"/>
  <c r="DI95" i="23"/>
  <c r="DP94" i="23"/>
  <c r="DN94" i="23"/>
  <c r="DM94" i="23"/>
  <c r="DL94" i="23"/>
  <c r="DK94" i="23"/>
  <c r="DJ94" i="23"/>
  <c r="DI94" i="23"/>
  <c r="DP93" i="23"/>
  <c r="DN93" i="23"/>
  <c r="DM93" i="23"/>
  <c r="DL93" i="23"/>
  <c r="DK93" i="23"/>
  <c r="DJ93" i="23"/>
  <c r="DI93" i="23"/>
  <c r="DP92" i="23"/>
  <c r="DN92" i="23"/>
  <c r="DM92" i="23"/>
  <c r="DL92" i="23"/>
  <c r="DK92" i="23"/>
  <c r="DJ92" i="23"/>
  <c r="DI92" i="23"/>
  <c r="DP91" i="23"/>
  <c r="DN91" i="23"/>
  <c r="DM91" i="23"/>
  <c r="DL91" i="23"/>
  <c r="DK91" i="23"/>
  <c r="DJ91" i="23"/>
  <c r="DI91" i="23"/>
  <c r="DP90" i="23"/>
  <c r="DN90" i="23"/>
  <c r="DM90" i="23"/>
  <c r="DL90" i="23"/>
  <c r="DK90" i="23"/>
  <c r="DJ90" i="23"/>
  <c r="DI90" i="23"/>
  <c r="DP89" i="23"/>
  <c r="DN89" i="23"/>
  <c r="DM89" i="23"/>
  <c r="DL89" i="23"/>
  <c r="DK89" i="23"/>
  <c r="DJ89" i="23"/>
  <c r="DI89" i="23"/>
  <c r="DP88" i="23"/>
  <c r="DN88" i="23"/>
  <c r="DM88" i="23"/>
  <c r="DL88" i="23"/>
  <c r="DK88" i="23"/>
  <c r="DJ88" i="23"/>
  <c r="DI88" i="23"/>
  <c r="DP87" i="23"/>
  <c r="DN87" i="23"/>
  <c r="DM87" i="23"/>
  <c r="DL87" i="23"/>
  <c r="DK87" i="23"/>
  <c r="DJ87" i="23"/>
  <c r="DI87" i="23"/>
  <c r="DP86" i="23"/>
  <c r="DN86" i="23"/>
  <c r="DM86" i="23"/>
  <c r="DL86" i="23"/>
  <c r="DK86" i="23"/>
  <c r="DJ86" i="23"/>
  <c r="DI86" i="23"/>
  <c r="DP85" i="23"/>
  <c r="DN85" i="23"/>
  <c r="DM85" i="23"/>
  <c r="DL85" i="23"/>
  <c r="DK85" i="23"/>
  <c r="DJ85" i="23"/>
  <c r="DI85" i="23"/>
  <c r="DP84" i="23"/>
  <c r="DO84" i="23"/>
  <c r="DN84" i="23"/>
  <c r="DM84" i="23"/>
  <c r="DL84" i="23"/>
  <c r="DK84" i="23"/>
  <c r="DJ84" i="23"/>
  <c r="DI84" i="23"/>
  <c r="DP83" i="23"/>
  <c r="DN83" i="23"/>
  <c r="DM83" i="23"/>
  <c r="DL83" i="23"/>
  <c r="DK83" i="23"/>
  <c r="DJ83" i="23"/>
  <c r="DI83" i="23"/>
  <c r="DP82" i="23"/>
  <c r="DN82" i="23"/>
  <c r="DM82" i="23"/>
  <c r="DL82" i="23"/>
  <c r="DK82" i="23"/>
  <c r="DJ82" i="23"/>
  <c r="DI82" i="23"/>
  <c r="DP81" i="23"/>
  <c r="DN81" i="23"/>
  <c r="DM81" i="23"/>
  <c r="DL81" i="23"/>
  <c r="DK81" i="23"/>
  <c r="DJ81" i="23"/>
  <c r="DI81" i="23"/>
  <c r="DP80" i="23"/>
  <c r="DN80" i="23"/>
  <c r="DM80" i="23"/>
  <c r="DL80" i="23"/>
  <c r="DK80" i="23"/>
  <c r="DJ80" i="23"/>
  <c r="DI80" i="23"/>
  <c r="DP79" i="23"/>
  <c r="DN79" i="23"/>
  <c r="DM79" i="23"/>
  <c r="DL79" i="23"/>
  <c r="DK79" i="23"/>
  <c r="DJ79" i="23"/>
  <c r="DI79" i="23"/>
  <c r="DP78" i="23"/>
  <c r="DN78" i="23"/>
  <c r="DM78" i="23"/>
  <c r="DL78" i="23"/>
  <c r="DK78" i="23"/>
  <c r="DJ78" i="23"/>
  <c r="DI78" i="23"/>
  <c r="DP77" i="23"/>
  <c r="DN77" i="23"/>
  <c r="DM77" i="23"/>
  <c r="DL77" i="23"/>
  <c r="DK77" i="23"/>
  <c r="DJ77" i="23"/>
  <c r="DI77" i="23"/>
  <c r="DP76" i="23"/>
  <c r="DN76" i="23"/>
  <c r="DM76" i="23"/>
  <c r="DL76" i="23"/>
  <c r="DK76" i="23"/>
  <c r="DJ76" i="23"/>
  <c r="DI76" i="23"/>
  <c r="DP75" i="23"/>
  <c r="DN75" i="23"/>
  <c r="DM75" i="23"/>
  <c r="DL75" i="23"/>
  <c r="DK75" i="23"/>
  <c r="DJ75" i="23"/>
  <c r="DI75" i="23"/>
  <c r="DP74" i="23"/>
  <c r="DN74" i="23"/>
  <c r="DM74" i="23"/>
  <c r="DL74" i="23"/>
  <c r="DK74" i="23"/>
  <c r="DJ74" i="23"/>
  <c r="DI74" i="23"/>
  <c r="DP73" i="23"/>
  <c r="DN73" i="23"/>
  <c r="DM73" i="23"/>
  <c r="DL73" i="23"/>
  <c r="DK73" i="23"/>
  <c r="DJ73" i="23"/>
  <c r="DI73" i="23"/>
  <c r="DP72" i="23"/>
  <c r="DN72" i="23"/>
  <c r="DM72" i="23"/>
  <c r="DL72" i="23"/>
  <c r="DK72" i="23"/>
  <c r="DJ72" i="23"/>
  <c r="DI72" i="23"/>
  <c r="DP71" i="23"/>
  <c r="DN71" i="23"/>
  <c r="DM71" i="23"/>
  <c r="DL71" i="23"/>
  <c r="DK71" i="23"/>
  <c r="DJ71" i="23"/>
  <c r="DI71" i="23"/>
  <c r="DP70" i="23"/>
  <c r="DN70" i="23"/>
  <c r="DM70" i="23"/>
  <c r="DL70" i="23"/>
  <c r="DK70" i="23"/>
  <c r="DJ70" i="23"/>
  <c r="DI70" i="23"/>
  <c r="DP69" i="23"/>
  <c r="DN69" i="23"/>
  <c r="DM69" i="23"/>
  <c r="DL69" i="23"/>
  <c r="DK69" i="23"/>
  <c r="DJ69" i="23"/>
  <c r="DI69" i="23"/>
  <c r="DP68" i="23"/>
  <c r="DN68" i="23"/>
  <c r="DM68" i="23"/>
  <c r="DL68" i="23"/>
  <c r="DK68" i="23"/>
  <c r="DJ68" i="23"/>
  <c r="DI68" i="23"/>
  <c r="DP67" i="23"/>
  <c r="DN67" i="23"/>
  <c r="DM67" i="23"/>
  <c r="DL67" i="23"/>
  <c r="DK67" i="23"/>
  <c r="DJ67" i="23"/>
  <c r="DI67" i="23"/>
  <c r="DP66" i="23"/>
  <c r="DN66" i="23"/>
  <c r="DM66" i="23"/>
  <c r="DL66" i="23"/>
  <c r="DK66" i="23"/>
  <c r="DJ66" i="23"/>
  <c r="DI66" i="23"/>
  <c r="DP65" i="23"/>
  <c r="DN65" i="23"/>
  <c r="DM65" i="23"/>
  <c r="DL65" i="23"/>
  <c r="DK65" i="23"/>
  <c r="DJ65" i="23"/>
  <c r="DI65" i="23"/>
  <c r="DP64" i="23"/>
  <c r="DN64" i="23"/>
  <c r="DM64" i="23"/>
  <c r="DL64" i="23"/>
  <c r="DK64" i="23"/>
  <c r="DJ64" i="23"/>
  <c r="DI64" i="23"/>
  <c r="DP63" i="23"/>
  <c r="DN63" i="23"/>
  <c r="DM63" i="23"/>
  <c r="DL63" i="23"/>
  <c r="DK63" i="23"/>
  <c r="DJ63" i="23"/>
  <c r="DI63" i="23"/>
  <c r="DP62" i="23"/>
  <c r="DN62" i="23"/>
  <c r="DM62" i="23"/>
  <c r="DL62" i="23"/>
  <c r="DK62" i="23"/>
  <c r="DJ62" i="23"/>
  <c r="DI62" i="23"/>
  <c r="DP61" i="23"/>
  <c r="DN61" i="23"/>
  <c r="DM61" i="23"/>
  <c r="DL61" i="23"/>
  <c r="DK61" i="23"/>
  <c r="DJ61" i="23"/>
  <c r="DI61" i="23"/>
  <c r="DP60" i="23"/>
  <c r="DN60" i="23"/>
  <c r="DM60" i="23"/>
  <c r="DL60" i="23"/>
  <c r="DK60" i="23"/>
  <c r="DJ60" i="23"/>
  <c r="DI60" i="23"/>
  <c r="DP59" i="23"/>
  <c r="DN59" i="23"/>
  <c r="DM59" i="23"/>
  <c r="DL59" i="23"/>
  <c r="DK59" i="23"/>
  <c r="DJ59" i="23"/>
  <c r="DI59" i="23"/>
  <c r="DP58" i="23"/>
  <c r="DN58" i="23"/>
  <c r="DM58" i="23"/>
  <c r="DL58" i="23"/>
  <c r="DK58" i="23"/>
  <c r="DJ58" i="23"/>
  <c r="DI58" i="23"/>
  <c r="DP57" i="23"/>
  <c r="DN57" i="23"/>
  <c r="DM57" i="23"/>
  <c r="DL57" i="23"/>
  <c r="DK57" i="23"/>
  <c r="DJ57" i="23"/>
  <c r="DI57" i="23"/>
  <c r="DP56" i="23"/>
  <c r="DN56" i="23"/>
  <c r="DM56" i="23"/>
  <c r="DL56" i="23"/>
  <c r="DK56" i="23"/>
  <c r="DJ56" i="23"/>
  <c r="DI56" i="23"/>
  <c r="DP55" i="23"/>
  <c r="DN55" i="23"/>
  <c r="DM55" i="23"/>
  <c r="DL55" i="23"/>
  <c r="DK55" i="23"/>
  <c r="DJ55" i="23"/>
  <c r="DI55" i="23"/>
  <c r="DP54" i="23"/>
  <c r="DN54" i="23"/>
  <c r="DM54" i="23"/>
  <c r="DL54" i="23"/>
  <c r="DK54" i="23"/>
  <c r="DJ54" i="23"/>
  <c r="DI54" i="23"/>
  <c r="DP53" i="23"/>
  <c r="DN53" i="23"/>
  <c r="DM53" i="23"/>
  <c r="DL53" i="23"/>
  <c r="DK53" i="23"/>
  <c r="DJ53" i="23"/>
  <c r="DI53" i="23"/>
  <c r="DP52" i="23"/>
  <c r="DN52" i="23"/>
  <c r="DM52" i="23"/>
  <c r="DL52" i="23"/>
  <c r="DK52" i="23"/>
  <c r="DJ52" i="23"/>
  <c r="DI52" i="23"/>
  <c r="DP51" i="23"/>
  <c r="DN51" i="23"/>
  <c r="DM51" i="23"/>
  <c r="DL51" i="23"/>
  <c r="DK51" i="23"/>
  <c r="DJ51" i="23"/>
  <c r="DI51" i="23"/>
  <c r="DP50" i="23"/>
  <c r="DN50" i="23"/>
  <c r="DM50" i="23"/>
  <c r="DL50" i="23"/>
  <c r="DK50" i="23"/>
  <c r="DJ50" i="23"/>
  <c r="DI50" i="23"/>
  <c r="DP49" i="23"/>
  <c r="DN49" i="23"/>
  <c r="DM49" i="23"/>
  <c r="DL49" i="23"/>
  <c r="DK49" i="23"/>
  <c r="DJ49" i="23"/>
  <c r="DI49" i="23"/>
  <c r="DP48" i="23"/>
  <c r="DN48" i="23"/>
  <c r="DM48" i="23"/>
  <c r="DL48" i="23"/>
  <c r="DK48" i="23"/>
  <c r="DJ48" i="23"/>
  <c r="DI48" i="23"/>
  <c r="DP47" i="23"/>
  <c r="DN47" i="23"/>
  <c r="DM47" i="23"/>
  <c r="DL47" i="23"/>
  <c r="DK47" i="23"/>
  <c r="DJ47" i="23"/>
  <c r="DI47" i="23"/>
  <c r="DP46" i="23"/>
  <c r="DN46" i="23"/>
  <c r="DM46" i="23"/>
  <c r="DL46" i="23"/>
  <c r="DK46" i="23"/>
  <c r="DJ46" i="23"/>
  <c r="DI46" i="23"/>
  <c r="DP45" i="23"/>
  <c r="DN45" i="23"/>
  <c r="DM45" i="23"/>
  <c r="DL45" i="23"/>
  <c r="DK45" i="23"/>
  <c r="DJ45" i="23"/>
  <c r="DI45" i="23"/>
  <c r="DP44" i="23"/>
  <c r="DN44" i="23"/>
  <c r="DM44" i="23"/>
  <c r="DL44" i="23"/>
  <c r="DK44" i="23"/>
  <c r="DJ44" i="23"/>
  <c r="DI44" i="23"/>
  <c r="DP43" i="23"/>
  <c r="DN43" i="23"/>
  <c r="DM43" i="23"/>
  <c r="DL43" i="23"/>
  <c r="DK43" i="23"/>
  <c r="DJ43" i="23"/>
  <c r="DI43" i="23"/>
  <c r="DP42" i="23"/>
  <c r="DN42" i="23"/>
  <c r="DM42" i="23"/>
  <c r="DL42" i="23"/>
  <c r="DK42" i="23"/>
  <c r="DJ42" i="23"/>
  <c r="DI42" i="23"/>
  <c r="DP41" i="23"/>
  <c r="DN41" i="23"/>
  <c r="DM41" i="23"/>
  <c r="DL41" i="23"/>
  <c r="DK41" i="23"/>
  <c r="DJ41" i="23"/>
  <c r="DI41" i="23"/>
  <c r="DP40" i="23"/>
  <c r="DN40" i="23"/>
  <c r="DM40" i="23"/>
  <c r="DL40" i="23"/>
  <c r="DK40" i="23"/>
  <c r="DJ40" i="23"/>
  <c r="DI40" i="23"/>
  <c r="DP39" i="23"/>
  <c r="DN39" i="23"/>
  <c r="DM39" i="23"/>
  <c r="DL39" i="23"/>
  <c r="DK39" i="23"/>
  <c r="DJ39" i="23"/>
  <c r="DI39" i="23"/>
  <c r="DP38" i="23"/>
  <c r="DN38" i="23"/>
  <c r="DM38" i="23"/>
  <c r="DL38" i="23"/>
  <c r="DK38" i="23"/>
  <c r="DJ38" i="23"/>
  <c r="DI38" i="23"/>
  <c r="DP37" i="23"/>
  <c r="DN37" i="23"/>
  <c r="DM37" i="23"/>
  <c r="DL37" i="23"/>
  <c r="DK37" i="23"/>
  <c r="DJ37" i="23"/>
  <c r="DI37" i="23"/>
  <c r="DP36" i="23"/>
  <c r="DN36" i="23"/>
  <c r="DM36" i="23"/>
  <c r="DL36" i="23"/>
  <c r="DK36" i="23"/>
  <c r="DJ36" i="23"/>
  <c r="DI36" i="23"/>
  <c r="DP35" i="23"/>
  <c r="DN35" i="23"/>
  <c r="DM35" i="23"/>
  <c r="DL35" i="23"/>
  <c r="DK35" i="23"/>
  <c r="DJ35" i="23"/>
  <c r="DI35" i="23"/>
  <c r="DP34" i="23"/>
  <c r="DN34" i="23"/>
  <c r="DM34" i="23"/>
  <c r="DL34" i="23"/>
  <c r="DK34" i="23"/>
  <c r="DJ34" i="23"/>
  <c r="DI34" i="23"/>
  <c r="DP33" i="23"/>
  <c r="DN33" i="23"/>
  <c r="DM33" i="23"/>
  <c r="DL33" i="23"/>
  <c r="DK33" i="23"/>
  <c r="DJ33" i="23"/>
  <c r="DI33" i="23"/>
  <c r="DP32" i="23"/>
  <c r="DN32" i="23"/>
  <c r="DM32" i="23"/>
  <c r="DL32" i="23"/>
  <c r="DK32" i="23"/>
  <c r="DJ32" i="23"/>
  <c r="DI32" i="23"/>
  <c r="DP31" i="23"/>
  <c r="DN31" i="23"/>
  <c r="DM31" i="23"/>
  <c r="DL31" i="23"/>
  <c r="DK31" i="23"/>
  <c r="DJ31" i="23"/>
  <c r="DI31" i="23"/>
  <c r="DP30" i="23"/>
  <c r="DN30" i="23"/>
  <c r="DM30" i="23"/>
  <c r="DL30" i="23"/>
  <c r="DK30" i="23"/>
  <c r="DJ30" i="23"/>
  <c r="DI30" i="23"/>
  <c r="DP29" i="23"/>
  <c r="DN29" i="23"/>
  <c r="DM29" i="23"/>
  <c r="DL29" i="23"/>
  <c r="DK29" i="23"/>
  <c r="DJ29" i="23"/>
  <c r="DI29" i="23"/>
  <c r="DP28" i="23"/>
  <c r="DN28" i="23"/>
  <c r="DM28" i="23"/>
  <c r="DL28" i="23"/>
  <c r="DK28" i="23"/>
  <c r="DJ28" i="23"/>
  <c r="DI28" i="23"/>
  <c r="DP27" i="23"/>
  <c r="DN27" i="23"/>
  <c r="DM27" i="23"/>
  <c r="DL27" i="23"/>
  <c r="DK27" i="23"/>
  <c r="DJ27" i="23"/>
  <c r="DI27" i="23"/>
  <c r="DP26" i="23"/>
  <c r="DN26" i="23"/>
  <c r="DM26" i="23"/>
  <c r="DL26" i="23"/>
  <c r="DK26" i="23"/>
  <c r="DJ26" i="23"/>
  <c r="DI26" i="23"/>
  <c r="DP25" i="23"/>
  <c r="DN25" i="23"/>
  <c r="DM25" i="23"/>
  <c r="DL25" i="23"/>
  <c r="DK25" i="23"/>
  <c r="DJ25" i="23"/>
  <c r="DI25" i="23"/>
  <c r="DP24" i="23"/>
  <c r="DN24" i="23"/>
  <c r="DM24" i="23"/>
  <c r="DL24" i="23"/>
  <c r="DK24" i="23"/>
  <c r="DJ24" i="23"/>
  <c r="DI24" i="23"/>
  <c r="DP23" i="23"/>
  <c r="DN23" i="23"/>
  <c r="DM23" i="23"/>
  <c r="DL23" i="23"/>
  <c r="DK23" i="23"/>
  <c r="DJ23" i="23"/>
  <c r="DI23" i="23"/>
  <c r="DP22" i="23"/>
  <c r="DN22" i="23"/>
  <c r="DM22" i="23"/>
  <c r="DL22" i="23"/>
  <c r="DK22" i="23"/>
  <c r="DJ22" i="23"/>
  <c r="DI22" i="23"/>
  <c r="DP21" i="23"/>
  <c r="DN21" i="23"/>
  <c r="DM21" i="23"/>
  <c r="DL21" i="23"/>
  <c r="DK21" i="23"/>
  <c r="DJ21" i="23"/>
  <c r="DI21" i="23"/>
  <c r="DP20" i="23"/>
  <c r="DN20" i="23"/>
  <c r="DM20" i="23"/>
  <c r="DL20" i="23"/>
  <c r="DK20" i="23"/>
  <c r="DJ20" i="23"/>
  <c r="DI20" i="23"/>
  <c r="DP19" i="23"/>
  <c r="DN19" i="23"/>
  <c r="DM19" i="23"/>
  <c r="DL19" i="23"/>
  <c r="DK19" i="23"/>
  <c r="DJ19" i="23"/>
  <c r="DI19" i="23"/>
  <c r="DP18" i="23"/>
  <c r="DN18" i="23"/>
  <c r="DM18" i="23"/>
  <c r="DL18" i="23"/>
  <c r="DK18" i="23"/>
  <c r="DJ18" i="23"/>
  <c r="DI18" i="23"/>
  <c r="DP17" i="23"/>
  <c r="DN17" i="23"/>
  <c r="DM17" i="23"/>
  <c r="DL17" i="23"/>
  <c r="DK17" i="23"/>
  <c r="DJ17" i="23"/>
  <c r="DI17" i="23"/>
  <c r="DP16" i="23"/>
  <c r="DN16" i="23"/>
  <c r="DM16" i="23"/>
  <c r="DL16" i="23"/>
  <c r="DK16" i="23"/>
  <c r="DJ16" i="23"/>
  <c r="DI16" i="23"/>
  <c r="DP15" i="23"/>
  <c r="DN15" i="23"/>
  <c r="DM15" i="23"/>
  <c r="DL15" i="23"/>
  <c r="DK15" i="23"/>
  <c r="DJ15" i="23"/>
  <c r="DI15" i="23"/>
  <c r="DP14" i="23"/>
  <c r="DN14" i="23"/>
  <c r="DM14" i="23"/>
  <c r="DL14" i="23"/>
  <c r="DK14" i="23"/>
  <c r="DJ14" i="23"/>
  <c r="DI14" i="23"/>
  <c r="DP13" i="23"/>
  <c r="DN13" i="23"/>
  <c r="DM13" i="23"/>
  <c r="DL13" i="23"/>
  <c r="DK13" i="23"/>
  <c r="DJ13" i="23"/>
  <c r="DI13" i="23"/>
  <c r="DP12" i="23"/>
  <c r="DN12" i="23"/>
  <c r="DM12" i="23"/>
  <c r="DL12" i="23"/>
  <c r="DK12" i="23"/>
  <c r="DJ12" i="23"/>
  <c r="DI12" i="23"/>
  <c r="DP11" i="23"/>
  <c r="DN11" i="23"/>
  <c r="DM11" i="23"/>
  <c r="DL11" i="23"/>
  <c r="DK11" i="23"/>
  <c r="DJ11" i="23"/>
  <c r="DI11" i="23"/>
  <c r="DP10" i="23"/>
  <c r="DN10" i="23"/>
  <c r="DM10" i="23"/>
  <c r="DL10" i="23"/>
  <c r="DK10" i="23"/>
  <c r="DJ10" i="23"/>
  <c r="DI10" i="23"/>
  <c r="DP9" i="23"/>
  <c r="DN9" i="23"/>
  <c r="DM9" i="23"/>
  <c r="DL9" i="23"/>
  <c r="DK9" i="23"/>
  <c r="DJ9" i="23"/>
  <c r="DI9" i="23"/>
  <c r="DP8" i="23"/>
  <c r="DN8" i="23"/>
  <c r="DM8" i="23"/>
  <c r="DL8" i="23"/>
  <c r="DK8" i="23"/>
  <c r="DJ8" i="23"/>
  <c r="DI8" i="23"/>
  <c r="DP7" i="23"/>
  <c r="DN7" i="23"/>
  <c r="DM7" i="23"/>
  <c r="DL7" i="23"/>
  <c r="DK7" i="23"/>
  <c r="DJ7" i="23"/>
  <c r="DI7" i="23"/>
  <c r="DP6" i="23"/>
  <c r="DN6" i="23"/>
  <c r="DM6" i="23"/>
  <c r="DL6" i="23"/>
  <c r="DK6" i="23"/>
  <c r="DJ6" i="23"/>
  <c r="DI6" i="23"/>
  <c r="DP5" i="23"/>
  <c r="DN5" i="23"/>
  <c r="DM5" i="23"/>
  <c r="DL5" i="23"/>
  <c r="DK5" i="23"/>
  <c r="DJ5" i="23"/>
  <c r="DI5" i="23"/>
  <c r="DP4" i="23"/>
  <c r="DN4" i="23"/>
  <c r="DM4" i="23"/>
  <c r="DL4" i="23"/>
  <c r="DK4" i="23"/>
  <c r="DJ4" i="23"/>
  <c r="DI4" i="23"/>
  <c r="DP3" i="23"/>
  <c r="DN3" i="23"/>
  <c r="DM3" i="23"/>
  <c r="DL3" i="23"/>
  <c r="DK3" i="23"/>
  <c r="DJ3" i="23"/>
  <c r="DI3" i="23"/>
  <c r="CO2" i="23"/>
  <c r="CN2" i="23"/>
  <c r="CM2" i="23"/>
  <c r="CL2" i="23"/>
  <c r="CK2" i="23"/>
  <c r="CJ2" i="23"/>
  <c r="CI2" i="23"/>
  <c r="CH2" i="23"/>
  <c r="CG2" i="23"/>
  <c r="CO190" i="23"/>
  <c r="CN190" i="23"/>
  <c r="CM190" i="23"/>
  <c r="CL190" i="23"/>
  <c r="CK190" i="23"/>
  <c r="CJ190" i="23"/>
  <c r="CI190" i="23"/>
  <c r="CH190" i="23"/>
  <c r="CG190" i="23"/>
  <c r="CO189" i="23"/>
  <c r="CN189" i="23"/>
  <c r="CM189" i="23"/>
  <c r="CL189" i="23"/>
  <c r="CK189" i="23"/>
  <c r="CJ189" i="23"/>
  <c r="CI189" i="23"/>
  <c r="CH189" i="23"/>
  <c r="CG189" i="23"/>
  <c r="CO188" i="23"/>
  <c r="CN188" i="23"/>
  <c r="CM188" i="23"/>
  <c r="CL188" i="23"/>
  <c r="CK188" i="23"/>
  <c r="CJ188" i="23"/>
  <c r="CI188" i="23"/>
  <c r="CH188" i="23"/>
  <c r="CG188" i="23"/>
  <c r="CO187" i="23"/>
  <c r="CN187" i="23"/>
  <c r="CM187" i="23"/>
  <c r="CL187" i="23"/>
  <c r="CK187" i="23"/>
  <c r="CJ187" i="23"/>
  <c r="CI187" i="23"/>
  <c r="CH187" i="23"/>
  <c r="CG187" i="23"/>
  <c r="CO186" i="23"/>
  <c r="CN186" i="23"/>
  <c r="CM186" i="23"/>
  <c r="CL186" i="23"/>
  <c r="CK186" i="23"/>
  <c r="CJ186" i="23"/>
  <c r="CI186" i="23"/>
  <c r="CH186" i="23"/>
  <c r="CG186" i="23"/>
  <c r="CO185" i="23"/>
  <c r="CN185" i="23"/>
  <c r="CM185" i="23"/>
  <c r="CL185" i="23"/>
  <c r="CK185" i="23"/>
  <c r="CJ185" i="23"/>
  <c r="CI185" i="23"/>
  <c r="CH185" i="23"/>
  <c r="CG185" i="23"/>
  <c r="CO184" i="23"/>
  <c r="CN184" i="23"/>
  <c r="CM184" i="23"/>
  <c r="CL184" i="23"/>
  <c r="CK184" i="23"/>
  <c r="CJ184" i="23"/>
  <c r="CI184" i="23"/>
  <c r="CH184" i="23"/>
  <c r="CG184" i="23"/>
  <c r="CO183" i="23"/>
  <c r="CN183" i="23"/>
  <c r="CM183" i="23"/>
  <c r="CL183" i="23"/>
  <c r="CK183" i="23"/>
  <c r="CJ183" i="23"/>
  <c r="CI183" i="23"/>
  <c r="CH183" i="23"/>
  <c r="CG183" i="23"/>
  <c r="CO182" i="23"/>
  <c r="CN182" i="23"/>
  <c r="CM182" i="23"/>
  <c r="CL182" i="23"/>
  <c r="CK182" i="23"/>
  <c r="CJ182" i="23"/>
  <c r="CI182" i="23"/>
  <c r="CH182" i="23"/>
  <c r="CG182" i="23"/>
  <c r="CO181" i="23"/>
  <c r="CN181" i="23"/>
  <c r="CM181" i="23"/>
  <c r="CL181" i="23"/>
  <c r="CK181" i="23"/>
  <c r="CJ181" i="23"/>
  <c r="CI181" i="23"/>
  <c r="CH181" i="23"/>
  <c r="CG181" i="23"/>
  <c r="CO180" i="23"/>
  <c r="CN180" i="23"/>
  <c r="CM180" i="23"/>
  <c r="CL180" i="23"/>
  <c r="CK180" i="23"/>
  <c r="CJ180" i="23"/>
  <c r="CI180" i="23"/>
  <c r="CH180" i="23"/>
  <c r="CG180" i="23"/>
  <c r="CO179" i="23"/>
  <c r="CN179" i="23"/>
  <c r="CM179" i="23"/>
  <c r="CL179" i="23"/>
  <c r="CK179" i="23"/>
  <c r="CJ179" i="23"/>
  <c r="CI179" i="23"/>
  <c r="CH179" i="23"/>
  <c r="CG179" i="23"/>
  <c r="CO178" i="23"/>
  <c r="CN178" i="23"/>
  <c r="CM178" i="23"/>
  <c r="CL178" i="23"/>
  <c r="CK178" i="23"/>
  <c r="CJ178" i="23"/>
  <c r="CI178" i="23"/>
  <c r="CH178" i="23"/>
  <c r="CG178" i="23"/>
  <c r="CO177" i="23"/>
  <c r="CN177" i="23"/>
  <c r="CM177" i="23"/>
  <c r="CL177" i="23"/>
  <c r="CK177" i="23"/>
  <c r="CJ177" i="23"/>
  <c r="CI177" i="23"/>
  <c r="CH177" i="23"/>
  <c r="CG177" i="23"/>
  <c r="CO176" i="23"/>
  <c r="CN176" i="23"/>
  <c r="CM176" i="23"/>
  <c r="CL176" i="23"/>
  <c r="CK176" i="23"/>
  <c r="CJ176" i="23"/>
  <c r="CI176" i="23"/>
  <c r="CH176" i="23"/>
  <c r="CG176" i="23"/>
  <c r="CO175" i="23"/>
  <c r="CN175" i="23"/>
  <c r="CM175" i="23"/>
  <c r="CL175" i="23"/>
  <c r="CK175" i="23"/>
  <c r="CJ175" i="23"/>
  <c r="CI175" i="23"/>
  <c r="CH175" i="23"/>
  <c r="CG175" i="23"/>
  <c r="CO174" i="23"/>
  <c r="CN174" i="23"/>
  <c r="CM174" i="23"/>
  <c r="CL174" i="23"/>
  <c r="CK174" i="23"/>
  <c r="CJ174" i="23"/>
  <c r="CI174" i="23"/>
  <c r="CH174" i="23"/>
  <c r="CG174" i="23"/>
  <c r="CO173" i="23"/>
  <c r="CN173" i="23"/>
  <c r="CM173" i="23"/>
  <c r="CL173" i="23"/>
  <c r="CK173" i="23"/>
  <c r="CJ173" i="23"/>
  <c r="CI173" i="23"/>
  <c r="CH173" i="23"/>
  <c r="CG173" i="23"/>
  <c r="CO172" i="23"/>
  <c r="CN172" i="23"/>
  <c r="CM172" i="23"/>
  <c r="CL172" i="23"/>
  <c r="CK172" i="23"/>
  <c r="CJ172" i="23"/>
  <c r="CI172" i="23"/>
  <c r="CH172" i="23"/>
  <c r="CG172" i="23"/>
  <c r="CO171" i="23"/>
  <c r="CN171" i="23"/>
  <c r="CM171" i="23"/>
  <c r="CL171" i="23"/>
  <c r="CK171" i="23"/>
  <c r="CJ171" i="23"/>
  <c r="CI171" i="23"/>
  <c r="CH171" i="23"/>
  <c r="CG171" i="23"/>
  <c r="CO170" i="23"/>
  <c r="CN170" i="23"/>
  <c r="CM170" i="23"/>
  <c r="CL170" i="23"/>
  <c r="CK170" i="23"/>
  <c r="CJ170" i="23"/>
  <c r="CI170" i="23"/>
  <c r="CH170" i="23"/>
  <c r="CG170" i="23"/>
  <c r="CO169" i="23"/>
  <c r="CN169" i="23"/>
  <c r="CM169" i="23"/>
  <c r="CL169" i="23"/>
  <c r="CK169" i="23"/>
  <c r="CJ169" i="23"/>
  <c r="CI169" i="23"/>
  <c r="CH169" i="23"/>
  <c r="CG169" i="23"/>
  <c r="CO168" i="23"/>
  <c r="CN168" i="23"/>
  <c r="CM168" i="23"/>
  <c r="CL168" i="23"/>
  <c r="CK168" i="23"/>
  <c r="CJ168" i="23"/>
  <c r="CI168" i="23"/>
  <c r="CH168" i="23"/>
  <c r="CG168" i="23"/>
  <c r="CO167" i="23"/>
  <c r="CN167" i="23"/>
  <c r="CM167" i="23"/>
  <c r="CL167" i="23"/>
  <c r="CK167" i="23"/>
  <c r="CJ167" i="23"/>
  <c r="CI167" i="23"/>
  <c r="CH167" i="23"/>
  <c r="CG167" i="23"/>
  <c r="CO166" i="23"/>
  <c r="CN166" i="23"/>
  <c r="CM166" i="23"/>
  <c r="CL166" i="23"/>
  <c r="CK166" i="23"/>
  <c r="CJ166" i="23"/>
  <c r="CI166" i="23"/>
  <c r="CH166" i="23"/>
  <c r="CG166" i="23"/>
  <c r="CO165" i="23"/>
  <c r="CN165" i="23"/>
  <c r="CM165" i="23"/>
  <c r="CL165" i="23"/>
  <c r="CK165" i="23"/>
  <c r="CJ165" i="23"/>
  <c r="CI165" i="23"/>
  <c r="CH165" i="23"/>
  <c r="CG165" i="23"/>
  <c r="CO164" i="23"/>
  <c r="CN164" i="23"/>
  <c r="CM164" i="23"/>
  <c r="CL164" i="23"/>
  <c r="CK164" i="23"/>
  <c r="CJ164" i="23"/>
  <c r="CI164" i="23"/>
  <c r="CH164" i="23"/>
  <c r="CG164" i="23"/>
  <c r="CO163" i="23"/>
  <c r="CN163" i="23"/>
  <c r="CM163" i="23"/>
  <c r="CL163" i="23"/>
  <c r="CK163" i="23"/>
  <c r="CJ163" i="23"/>
  <c r="CI163" i="23"/>
  <c r="CH163" i="23"/>
  <c r="CG163" i="23"/>
  <c r="CO162" i="23"/>
  <c r="CN162" i="23"/>
  <c r="CM162" i="23"/>
  <c r="CL162" i="23"/>
  <c r="CK162" i="23"/>
  <c r="CJ162" i="23"/>
  <c r="CI162" i="23"/>
  <c r="CH162" i="23"/>
  <c r="CG162" i="23"/>
  <c r="CO161" i="23"/>
  <c r="CN161" i="23"/>
  <c r="CM161" i="23"/>
  <c r="CL161" i="23"/>
  <c r="CK161" i="23"/>
  <c r="CJ161" i="23"/>
  <c r="CI161" i="23"/>
  <c r="CH161" i="23"/>
  <c r="CG161" i="23"/>
  <c r="CO160" i="23"/>
  <c r="CN160" i="23"/>
  <c r="CM160" i="23"/>
  <c r="CL160" i="23"/>
  <c r="CK160" i="23"/>
  <c r="CJ160" i="23"/>
  <c r="CI160" i="23"/>
  <c r="CH160" i="23"/>
  <c r="CG160" i="23"/>
  <c r="CO159" i="23"/>
  <c r="CN159" i="23"/>
  <c r="CM159" i="23"/>
  <c r="CL159" i="23"/>
  <c r="CK159" i="23"/>
  <c r="CJ159" i="23"/>
  <c r="CI159" i="23"/>
  <c r="CH159" i="23"/>
  <c r="CG159" i="23"/>
  <c r="CO158" i="23"/>
  <c r="CN158" i="23"/>
  <c r="CM158" i="23"/>
  <c r="CL158" i="23"/>
  <c r="CK158" i="23"/>
  <c r="CJ158" i="23"/>
  <c r="CI158" i="23"/>
  <c r="CH158" i="23"/>
  <c r="CG158" i="23"/>
  <c r="CO157" i="23"/>
  <c r="CN157" i="23"/>
  <c r="CM157" i="23"/>
  <c r="CL157" i="23"/>
  <c r="CK157" i="23"/>
  <c r="CJ157" i="23"/>
  <c r="CI157" i="23"/>
  <c r="CH157" i="23"/>
  <c r="CG157" i="23"/>
  <c r="CO156" i="23"/>
  <c r="CN156" i="23"/>
  <c r="CM156" i="23"/>
  <c r="CL156" i="23"/>
  <c r="CK156" i="23"/>
  <c r="CJ156" i="23"/>
  <c r="CI156" i="23"/>
  <c r="CH156" i="23"/>
  <c r="CG156" i="23"/>
  <c r="CO155" i="23"/>
  <c r="CN155" i="23"/>
  <c r="CM155" i="23"/>
  <c r="CL155" i="23"/>
  <c r="CK155" i="23"/>
  <c r="CJ155" i="23"/>
  <c r="CI155" i="23"/>
  <c r="CH155" i="23"/>
  <c r="CG155" i="23"/>
  <c r="CO154" i="23"/>
  <c r="CN154" i="23"/>
  <c r="CM154" i="23"/>
  <c r="CL154" i="23"/>
  <c r="CK154" i="23"/>
  <c r="CJ154" i="23"/>
  <c r="CI154" i="23"/>
  <c r="CH154" i="23"/>
  <c r="CG154" i="23"/>
  <c r="CO153" i="23"/>
  <c r="CN153" i="23"/>
  <c r="CM153" i="23"/>
  <c r="CL153" i="23"/>
  <c r="CK153" i="23"/>
  <c r="CJ153" i="23"/>
  <c r="CI153" i="23"/>
  <c r="CH153" i="23"/>
  <c r="CG153" i="23"/>
  <c r="CO152" i="23"/>
  <c r="CN152" i="23"/>
  <c r="CM152" i="23"/>
  <c r="CL152" i="23"/>
  <c r="CK152" i="23"/>
  <c r="CJ152" i="23"/>
  <c r="CI152" i="23"/>
  <c r="CH152" i="23"/>
  <c r="CG152" i="23"/>
  <c r="CO151" i="23"/>
  <c r="CN151" i="23"/>
  <c r="CM151" i="23"/>
  <c r="CL151" i="23"/>
  <c r="CK151" i="23"/>
  <c r="CJ151" i="23"/>
  <c r="CI151" i="23"/>
  <c r="CH151" i="23"/>
  <c r="CG151" i="23"/>
  <c r="CO150" i="23"/>
  <c r="CN150" i="23"/>
  <c r="CM150" i="23"/>
  <c r="CL150" i="23"/>
  <c r="CK150" i="23"/>
  <c r="CJ150" i="23"/>
  <c r="CI150" i="23"/>
  <c r="CH150" i="23"/>
  <c r="CG150" i="23"/>
  <c r="CO149" i="23"/>
  <c r="CN149" i="23"/>
  <c r="CM149" i="23"/>
  <c r="CL149" i="23"/>
  <c r="CK149" i="23"/>
  <c r="CJ149" i="23"/>
  <c r="CI149" i="23"/>
  <c r="CH149" i="23"/>
  <c r="CG149" i="23"/>
  <c r="CO148" i="23"/>
  <c r="CN148" i="23"/>
  <c r="CM148" i="23"/>
  <c r="CL148" i="23"/>
  <c r="CK148" i="23"/>
  <c r="CJ148" i="23"/>
  <c r="CI148" i="23"/>
  <c r="CH148" i="23"/>
  <c r="CG148" i="23"/>
  <c r="CO147" i="23"/>
  <c r="CN147" i="23"/>
  <c r="CM147" i="23"/>
  <c r="CL147" i="23"/>
  <c r="CK147" i="23"/>
  <c r="CJ147" i="23"/>
  <c r="CI147" i="23"/>
  <c r="CH147" i="23"/>
  <c r="CG147" i="23"/>
  <c r="CO146" i="23"/>
  <c r="CN146" i="23"/>
  <c r="CM146" i="23"/>
  <c r="CL146" i="23"/>
  <c r="CK146" i="23"/>
  <c r="CJ146" i="23"/>
  <c r="CI146" i="23"/>
  <c r="CH146" i="23"/>
  <c r="CG146" i="23"/>
  <c r="CO145" i="23"/>
  <c r="CN145" i="23"/>
  <c r="CM145" i="23"/>
  <c r="CL145" i="23"/>
  <c r="CK145" i="23"/>
  <c r="CJ145" i="23"/>
  <c r="CI145" i="23"/>
  <c r="CH145" i="23"/>
  <c r="CG145" i="23"/>
  <c r="CO144" i="23"/>
  <c r="CN144" i="23"/>
  <c r="CM144" i="23"/>
  <c r="CL144" i="23"/>
  <c r="CK144" i="23"/>
  <c r="CJ144" i="23"/>
  <c r="CI144" i="23"/>
  <c r="CH144" i="23"/>
  <c r="CG144" i="23"/>
  <c r="CO143" i="23"/>
  <c r="CN143" i="23"/>
  <c r="CM143" i="23"/>
  <c r="CL143" i="23"/>
  <c r="CK143" i="23"/>
  <c r="CJ143" i="23"/>
  <c r="CI143" i="23"/>
  <c r="CH143" i="23"/>
  <c r="CG143" i="23"/>
  <c r="CO142" i="23"/>
  <c r="CN142" i="23"/>
  <c r="CM142" i="23"/>
  <c r="CL142" i="23"/>
  <c r="CK142" i="23"/>
  <c r="CJ142" i="23"/>
  <c r="CI142" i="23"/>
  <c r="CH142" i="23"/>
  <c r="CG142" i="23"/>
  <c r="CO141" i="23"/>
  <c r="CN141" i="23"/>
  <c r="CM141" i="23"/>
  <c r="CL141" i="23"/>
  <c r="CK141" i="23"/>
  <c r="CJ141" i="23"/>
  <c r="CI141" i="23"/>
  <c r="CH141" i="23"/>
  <c r="CG141" i="23"/>
  <c r="CO140" i="23"/>
  <c r="CN140" i="23"/>
  <c r="CM140" i="23"/>
  <c r="CL140" i="23"/>
  <c r="CK140" i="23"/>
  <c r="CJ140" i="23"/>
  <c r="CI140" i="23"/>
  <c r="CH140" i="23"/>
  <c r="CG140" i="23"/>
  <c r="CO139" i="23"/>
  <c r="CN139" i="23"/>
  <c r="CM139" i="23"/>
  <c r="CL139" i="23"/>
  <c r="CK139" i="23"/>
  <c r="CJ139" i="23"/>
  <c r="CI139" i="23"/>
  <c r="CH139" i="23"/>
  <c r="CG139" i="23"/>
  <c r="CO138" i="23"/>
  <c r="CN138" i="23"/>
  <c r="CM138" i="23"/>
  <c r="CL138" i="23"/>
  <c r="CK138" i="23"/>
  <c r="CJ138" i="23"/>
  <c r="CI138" i="23"/>
  <c r="CH138" i="23"/>
  <c r="CG138" i="23"/>
  <c r="CO137" i="23"/>
  <c r="CN137" i="23"/>
  <c r="CM137" i="23"/>
  <c r="CL137" i="23"/>
  <c r="CK137" i="23"/>
  <c r="CJ137" i="23"/>
  <c r="CI137" i="23"/>
  <c r="CH137" i="23"/>
  <c r="CG137" i="23"/>
  <c r="CO136" i="23"/>
  <c r="CN136" i="23"/>
  <c r="CM136" i="23"/>
  <c r="CL136" i="23"/>
  <c r="CK136" i="23"/>
  <c r="CJ136" i="23"/>
  <c r="CI136" i="23"/>
  <c r="CH136" i="23"/>
  <c r="CG136" i="23"/>
  <c r="CO135" i="23"/>
  <c r="CN135" i="23"/>
  <c r="CM135" i="23"/>
  <c r="CL135" i="23"/>
  <c r="CK135" i="23"/>
  <c r="CJ135" i="23"/>
  <c r="CI135" i="23"/>
  <c r="CH135" i="23"/>
  <c r="CG135" i="23"/>
  <c r="CO134" i="23"/>
  <c r="CN134" i="23"/>
  <c r="CM134" i="23"/>
  <c r="CL134" i="23"/>
  <c r="CK134" i="23"/>
  <c r="CJ134" i="23"/>
  <c r="CI134" i="23"/>
  <c r="CH134" i="23"/>
  <c r="CG134" i="23"/>
  <c r="CO133" i="23"/>
  <c r="CN133" i="23"/>
  <c r="CM133" i="23"/>
  <c r="CL133" i="23"/>
  <c r="CK133" i="23"/>
  <c r="CJ133" i="23"/>
  <c r="CI133" i="23"/>
  <c r="CH133" i="23"/>
  <c r="CG133" i="23"/>
  <c r="CO132" i="23"/>
  <c r="CN132" i="23"/>
  <c r="CM132" i="23"/>
  <c r="CL132" i="23"/>
  <c r="CK132" i="23"/>
  <c r="CJ132" i="23"/>
  <c r="CI132" i="23"/>
  <c r="CH132" i="23"/>
  <c r="CG132" i="23"/>
  <c r="CO131" i="23"/>
  <c r="CN131" i="23"/>
  <c r="CM131" i="23"/>
  <c r="CL131" i="23"/>
  <c r="CK131" i="23"/>
  <c r="CJ131" i="23"/>
  <c r="CI131" i="23"/>
  <c r="CH131" i="23"/>
  <c r="CG131" i="23"/>
  <c r="CO130" i="23"/>
  <c r="CN130" i="23"/>
  <c r="CM130" i="23"/>
  <c r="CL130" i="23"/>
  <c r="CK130" i="23"/>
  <c r="CJ130" i="23"/>
  <c r="CI130" i="23"/>
  <c r="CH130" i="23"/>
  <c r="CG130" i="23"/>
  <c r="CO129" i="23"/>
  <c r="CN129" i="23"/>
  <c r="CM129" i="23"/>
  <c r="CL129" i="23"/>
  <c r="CK129" i="23"/>
  <c r="CJ129" i="23"/>
  <c r="CI129" i="23"/>
  <c r="CH129" i="23"/>
  <c r="CG129" i="23"/>
  <c r="CO128" i="23"/>
  <c r="CN128" i="23"/>
  <c r="CM128" i="23"/>
  <c r="CL128" i="23"/>
  <c r="CK128" i="23"/>
  <c r="CJ128" i="23"/>
  <c r="CI128" i="23"/>
  <c r="CH128" i="23"/>
  <c r="CG128" i="23"/>
  <c r="CO127" i="23"/>
  <c r="CN127" i="23"/>
  <c r="CM127" i="23"/>
  <c r="CL127" i="23"/>
  <c r="CK127" i="23"/>
  <c r="CJ127" i="23"/>
  <c r="CI127" i="23"/>
  <c r="CH127" i="23"/>
  <c r="CG127" i="23"/>
  <c r="CO126" i="23"/>
  <c r="CN126" i="23"/>
  <c r="CM126" i="23"/>
  <c r="CL126" i="23"/>
  <c r="CK126" i="23"/>
  <c r="CJ126" i="23"/>
  <c r="CI126" i="23"/>
  <c r="CH126" i="23"/>
  <c r="CG126" i="23"/>
  <c r="CO125" i="23"/>
  <c r="CN125" i="23"/>
  <c r="CM125" i="23"/>
  <c r="CL125" i="23"/>
  <c r="CK125" i="23"/>
  <c r="CJ125" i="23"/>
  <c r="CI125" i="23"/>
  <c r="CH125" i="23"/>
  <c r="CG125" i="23"/>
  <c r="CO124" i="23"/>
  <c r="CN124" i="23"/>
  <c r="CM124" i="23"/>
  <c r="CL124" i="23"/>
  <c r="CK124" i="23"/>
  <c r="CJ124" i="23"/>
  <c r="CI124" i="23"/>
  <c r="CH124" i="23"/>
  <c r="CG124" i="23"/>
  <c r="CO123" i="23"/>
  <c r="CN123" i="23"/>
  <c r="CM123" i="23"/>
  <c r="CL123" i="23"/>
  <c r="CK123" i="23"/>
  <c r="CJ123" i="23"/>
  <c r="CI123" i="23"/>
  <c r="CH123" i="23"/>
  <c r="CG123" i="23"/>
  <c r="CO122" i="23"/>
  <c r="CN122" i="23"/>
  <c r="CM122" i="23"/>
  <c r="CL122" i="23"/>
  <c r="CK122" i="23"/>
  <c r="CJ122" i="23"/>
  <c r="CI122" i="23"/>
  <c r="CH122" i="23"/>
  <c r="CG122" i="23"/>
  <c r="CO121" i="23"/>
  <c r="CN121" i="23"/>
  <c r="CM121" i="23"/>
  <c r="CL121" i="23"/>
  <c r="CK121" i="23"/>
  <c r="CJ121" i="23"/>
  <c r="CI121" i="23"/>
  <c r="CH121" i="23"/>
  <c r="CG121" i="23"/>
  <c r="CO120" i="23"/>
  <c r="CN120" i="23"/>
  <c r="CM120" i="23"/>
  <c r="CL120" i="23"/>
  <c r="CK120" i="23"/>
  <c r="CJ120" i="23"/>
  <c r="CI120" i="23"/>
  <c r="CH120" i="23"/>
  <c r="CG120" i="23"/>
  <c r="CO119" i="23"/>
  <c r="CN119" i="23"/>
  <c r="CM119" i="23"/>
  <c r="CL119" i="23"/>
  <c r="CK119" i="23"/>
  <c r="CJ119" i="23"/>
  <c r="CI119" i="23"/>
  <c r="CH119" i="23"/>
  <c r="CG119" i="23"/>
  <c r="CO118" i="23"/>
  <c r="CN118" i="23"/>
  <c r="CM118" i="23"/>
  <c r="CL118" i="23"/>
  <c r="CK118" i="23"/>
  <c r="CJ118" i="23"/>
  <c r="CI118" i="23"/>
  <c r="CH118" i="23"/>
  <c r="CG118" i="23"/>
  <c r="CO117" i="23"/>
  <c r="CN117" i="23"/>
  <c r="CM117" i="23"/>
  <c r="CL117" i="23"/>
  <c r="CK117" i="23"/>
  <c r="CJ117" i="23"/>
  <c r="CI117" i="23"/>
  <c r="CH117" i="23"/>
  <c r="CG117" i="23"/>
  <c r="CO116" i="23"/>
  <c r="CN116" i="23"/>
  <c r="CM116" i="23"/>
  <c r="CL116" i="23"/>
  <c r="CK116" i="23"/>
  <c r="CJ116" i="23"/>
  <c r="CI116" i="23"/>
  <c r="CH116" i="23"/>
  <c r="CG116" i="23"/>
  <c r="CO115" i="23"/>
  <c r="CN115" i="23"/>
  <c r="CM115" i="23"/>
  <c r="CL115" i="23"/>
  <c r="CK115" i="23"/>
  <c r="CJ115" i="23"/>
  <c r="CI115" i="23"/>
  <c r="CH115" i="23"/>
  <c r="CG115" i="23"/>
  <c r="CO114" i="23"/>
  <c r="CN114" i="23"/>
  <c r="CM114" i="23"/>
  <c r="CL114" i="23"/>
  <c r="CK114" i="23"/>
  <c r="CJ114" i="23"/>
  <c r="CI114" i="23"/>
  <c r="CH114" i="23"/>
  <c r="CG114" i="23"/>
  <c r="CO113" i="23"/>
  <c r="CN113" i="23"/>
  <c r="CM113" i="23"/>
  <c r="CL113" i="23"/>
  <c r="CK113" i="23"/>
  <c r="CJ113" i="23"/>
  <c r="CI113" i="23"/>
  <c r="CH113" i="23"/>
  <c r="CG113" i="23"/>
  <c r="CO112" i="23"/>
  <c r="CN112" i="23"/>
  <c r="CM112" i="23"/>
  <c r="CL112" i="23"/>
  <c r="CK112" i="23"/>
  <c r="CJ112" i="23"/>
  <c r="CI112" i="23"/>
  <c r="CH112" i="23"/>
  <c r="CG112" i="23"/>
  <c r="CO111" i="23"/>
  <c r="CN111" i="23"/>
  <c r="CM111" i="23"/>
  <c r="CL111" i="23"/>
  <c r="CK111" i="23"/>
  <c r="CJ111" i="23"/>
  <c r="CI111" i="23"/>
  <c r="CH111" i="23"/>
  <c r="CG111" i="23"/>
  <c r="CO110" i="23"/>
  <c r="CN110" i="23"/>
  <c r="CM110" i="23"/>
  <c r="CL110" i="23"/>
  <c r="CK110" i="23"/>
  <c r="CJ110" i="23"/>
  <c r="CI110" i="23"/>
  <c r="CH110" i="23"/>
  <c r="CG110" i="23"/>
  <c r="CO109" i="23"/>
  <c r="CN109" i="23"/>
  <c r="CM109" i="23"/>
  <c r="CL109" i="23"/>
  <c r="CK109" i="23"/>
  <c r="CJ109" i="23"/>
  <c r="CI109" i="23"/>
  <c r="CH109" i="23"/>
  <c r="CG109" i="23"/>
  <c r="CO108" i="23"/>
  <c r="CN108" i="23"/>
  <c r="CM108" i="23"/>
  <c r="CL108" i="23"/>
  <c r="CK108" i="23"/>
  <c r="CJ108" i="23"/>
  <c r="CI108" i="23"/>
  <c r="CH108" i="23"/>
  <c r="CG108" i="23"/>
  <c r="CO107" i="23"/>
  <c r="CN107" i="23"/>
  <c r="CM107" i="23"/>
  <c r="CL107" i="23"/>
  <c r="CK107" i="23"/>
  <c r="CJ107" i="23"/>
  <c r="CI107" i="23"/>
  <c r="CH107" i="23"/>
  <c r="CG107" i="23"/>
  <c r="CO106" i="23"/>
  <c r="CN106" i="23"/>
  <c r="CM106" i="23"/>
  <c r="CL106" i="23"/>
  <c r="CK106" i="23"/>
  <c r="CJ106" i="23"/>
  <c r="CI106" i="23"/>
  <c r="CH106" i="23"/>
  <c r="CG106" i="23"/>
  <c r="CO105" i="23"/>
  <c r="CN105" i="23"/>
  <c r="CM105" i="23"/>
  <c r="CL105" i="23"/>
  <c r="CK105" i="23"/>
  <c r="CJ105" i="23"/>
  <c r="CI105" i="23"/>
  <c r="CH105" i="23"/>
  <c r="CG105" i="23"/>
  <c r="CO104" i="23"/>
  <c r="CN104" i="23"/>
  <c r="CM104" i="23"/>
  <c r="CL104" i="23"/>
  <c r="CK104" i="23"/>
  <c r="CJ104" i="23"/>
  <c r="CI104" i="23"/>
  <c r="CH104" i="23"/>
  <c r="CG104" i="23"/>
  <c r="CO103" i="23"/>
  <c r="CN103" i="23"/>
  <c r="CM103" i="23"/>
  <c r="CL103" i="23"/>
  <c r="CK103" i="23"/>
  <c r="CJ103" i="23"/>
  <c r="CI103" i="23"/>
  <c r="CH103" i="23"/>
  <c r="CG103" i="23"/>
  <c r="CO102" i="23"/>
  <c r="CN102" i="23"/>
  <c r="CM102" i="23"/>
  <c r="CL102" i="23"/>
  <c r="CK102" i="23"/>
  <c r="CJ102" i="23"/>
  <c r="CI102" i="23"/>
  <c r="CH102" i="23"/>
  <c r="CG102" i="23"/>
  <c r="CO101" i="23"/>
  <c r="CN101" i="23"/>
  <c r="CM101" i="23"/>
  <c r="CL101" i="23"/>
  <c r="CK101" i="23"/>
  <c r="CJ101" i="23"/>
  <c r="CI101" i="23"/>
  <c r="CH101" i="23"/>
  <c r="CG101" i="23"/>
  <c r="CO100" i="23"/>
  <c r="CN100" i="23"/>
  <c r="CM100" i="23"/>
  <c r="CL100" i="23"/>
  <c r="CK100" i="23"/>
  <c r="CJ100" i="23"/>
  <c r="CI100" i="23"/>
  <c r="CH100" i="23"/>
  <c r="CG100" i="23"/>
  <c r="CO99" i="23"/>
  <c r="CN99" i="23"/>
  <c r="CM99" i="23"/>
  <c r="CL99" i="23"/>
  <c r="CK99" i="23"/>
  <c r="CJ99" i="23"/>
  <c r="CI99" i="23"/>
  <c r="CH99" i="23"/>
  <c r="CG99" i="23"/>
  <c r="CO98" i="23"/>
  <c r="CN98" i="23"/>
  <c r="CM98" i="23"/>
  <c r="CL98" i="23"/>
  <c r="CK98" i="23"/>
  <c r="CJ98" i="23"/>
  <c r="CI98" i="23"/>
  <c r="CH98" i="23"/>
  <c r="CG98" i="23"/>
  <c r="CO97" i="23"/>
  <c r="CN97" i="23"/>
  <c r="CM97" i="23"/>
  <c r="CL97" i="23"/>
  <c r="CK97" i="23"/>
  <c r="CJ97" i="23"/>
  <c r="CI97" i="23"/>
  <c r="CH97" i="23"/>
  <c r="CG97" i="23"/>
  <c r="CO96" i="23"/>
  <c r="CN96" i="23"/>
  <c r="CM96" i="23"/>
  <c r="CL96" i="23"/>
  <c r="CK96" i="23"/>
  <c r="CJ96" i="23"/>
  <c r="CI96" i="23"/>
  <c r="CH96" i="23"/>
  <c r="CG96" i="23"/>
  <c r="CO95" i="23"/>
  <c r="CN95" i="23"/>
  <c r="CM95" i="23"/>
  <c r="CL95" i="23"/>
  <c r="CK95" i="23"/>
  <c r="CJ95" i="23"/>
  <c r="CI95" i="23"/>
  <c r="CH95" i="23"/>
  <c r="CG95" i="23"/>
  <c r="CO94" i="23"/>
  <c r="CN94" i="23"/>
  <c r="CM94" i="23"/>
  <c r="CL94" i="23"/>
  <c r="CK94" i="23"/>
  <c r="CJ94" i="23"/>
  <c r="CI94" i="23"/>
  <c r="CH94" i="23"/>
  <c r="CG94" i="23"/>
  <c r="CO93" i="23"/>
  <c r="CN93" i="23"/>
  <c r="CM93" i="23"/>
  <c r="CL93" i="23"/>
  <c r="CK93" i="23"/>
  <c r="CJ93" i="23"/>
  <c r="CI93" i="23"/>
  <c r="CH93" i="23"/>
  <c r="CG93" i="23"/>
  <c r="CO92" i="23"/>
  <c r="CN92" i="23"/>
  <c r="CM92" i="23"/>
  <c r="CL92" i="23"/>
  <c r="CK92" i="23"/>
  <c r="CJ92" i="23"/>
  <c r="CI92" i="23"/>
  <c r="CH92" i="23"/>
  <c r="CG92" i="23"/>
  <c r="CO91" i="23"/>
  <c r="CN91" i="23"/>
  <c r="CM91" i="23"/>
  <c r="CL91" i="23"/>
  <c r="CK91" i="23"/>
  <c r="CJ91" i="23"/>
  <c r="CI91" i="23"/>
  <c r="CH91" i="23"/>
  <c r="CG91" i="23"/>
  <c r="CO90" i="23"/>
  <c r="CN90" i="23"/>
  <c r="CM90" i="23"/>
  <c r="CL90" i="23"/>
  <c r="CK90" i="23"/>
  <c r="CJ90" i="23"/>
  <c r="CI90" i="23"/>
  <c r="CH90" i="23"/>
  <c r="CG90" i="23"/>
  <c r="CO89" i="23"/>
  <c r="CN89" i="23"/>
  <c r="CM89" i="23"/>
  <c r="CL89" i="23"/>
  <c r="CK89" i="23"/>
  <c r="CJ89" i="23"/>
  <c r="CI89" i="23"/>
  <c r="CH89" i="23"/>
  <c r="CG89" i="23"/>
  <c r="CO88" i="23"/>
  <c r="CN88" i="23"/>
  <c r="CM88" i="23"/>
  <c r="CL88" i="23"/>
  <c r="CK88" i="23"/>
  <c r="CJ88" i="23"/>
  <c r="CI88" i="23"/>
  <c r="CH88" i="23"/>
  <c r="CG88" i="23"/>
  <c r="CO87" i="23"/>
  <c r="CN87" i="23"/>
  <c r="CM87" i="23"/>
  <c r="CL87" i="23"/>
  <c r="CK87" i="23"/>
  <c r="CJ87" i="23"/>
  <c r="CI87" i="23"/>
  <c r="CH87" i="23"/>
  <c r="CG87" i="23"/>
  <c r="CO86" i="23"/>
  <c r="CN86" i="23"/>
  <c r="CM86" i="23"/>
  <c r="CL86" i="23"/>
  <c r="CK86" i="23"/>
  <c r="CJ86" i="23"/>
  <c r="CI86" i="23"/>
  <c r="CH86" i="23"/>
  <c r="CG86" i="23"/>
  <c r="CO85" i="23"/>
  <c r="CN85" i="23"/>
  <c r="CM85" i="23"/>
  <c r="CL85" i="23"/>
  <c r="CK85" i="23"/>
  <c r="CJ85" i="23"/>
  <c r="CI85" i="23"/>
  <c r="CH85" i="23"/>
  <c r="CG85" i="23"/>
  <c r="CO84" i="23"/>
  <c r="CN84" i="23"/>
  <c r="CM84" i="23"/>
  <c r="CL84" i="23"/>
  <c r="CK84" i="23"/>
  <c r="CJ84" i="23"/>
  <c r="CI84" i="23"/>
  <c r="CH84" i="23"/>
  <c r="CG84" i="23"/>
  <c r="CO83" i="23"/>
  <c r="CN83" i="23"/>
  <c r="CM83" i="23"/>
  <c r="CL83" i="23"/>
  <c r="CK83" i="23"/>
  <c r="CJ83" i="23"/>
  <c r="CI83" i="23"/>
  <c r="CH83" i="23"/>
  <c r="CG83" i="23"/>
  <c r="CO82" i="23"/>
  <c r="CN82" i="23"/>
  <c r="CM82" i="23"/>
  <c r="CL82" i="23"/>
  <c r="CK82" i="23"/>
  <c r="CJ82" i="23"/>
  <c r="CI82" i="23"/>
  <c r="CH82" i="23"/>
  <c r="CG82" i="23"/>
  <c r="CO81" i="23"/>
  <c r="CN81" i="23"/>
  <c r="CM81" i="23"/>
  <c r="CL81" i="23"/>
  <c r="CK81" i="23"/>
  <c r="CJ81" i="23"/>
  <c r="CI81" i="23"/>
  <c r="CH81" i="23"/>
  <c r="CG81" i="23"/>
  <c r="CO80" i="23"/>
  <c r="CN80" i="23"/>
  <c r="CM80" i="23"/>
  <c r="CL80" i="23"/>
  <c r="CK80" i="23"/>
  <c r="CJ80" i="23"/>
  <c r="CI80" i="23"/>
  <c r="CH80" i="23"/>
  <c r="CG80" i="23"/>
  <c r="CO79" i="23"/>
  <c r="CN79" i="23"/>
  <c r="CM79" i="23"/>
  <c r="CL79" i="23"/>
  <c r="CK79" i="23"/>
  <c r="CJ79" i="23"/>
  <c r="CI79" i="23"/>
  <c r="CH79" i="23"/>
  <c r="CG79" i="23"/>
  <c r="CO78" i="23"/>
  <c r="CN78" i="23"/>
  <c r="CM78" i="23"/>
  <c r="CL78" i="23"/>
  <c r="CK78" i="23"/>
  <c r="CJ78" i="23"/>
  <c r="CI78" i="23"/>
  <c r="CH78" i="23"/>
  <c r="CG78" i="23"/>
  <c r="CO77" i="23"/>
  <c r="CN77" i="23"/>
  <c r="CM77" i="23"/>
  <c r="CL77" i="23"/>
  <c r="CK77" i="23"/>
  <c r="CJ77" i="23"/>
  <c r="CI77" i="23"/>
  <c r="CH77" i="23"/>
  <c r="CG77" i="23"/>
  <c r="CO76" i="23"/>
  <c r="CN76" i="23"/>
  <c r="CM76" i="23"/>
  <c r="CL76" i="23"/>
  <c r="CK76" i="23"/>
  <c r="CJ76" i="23"/>
  <c r="CI76" i="23"/>
  <c r="CH76" i="23"/>
  <c r="CG76" i="23"/>
  <c r="CO75" i="23"/>
  <c r="CN75" i="23"/>
  <c r="CM75" i="23"/>
  <c r="CL75" i="23"/>
  <c r="CK75" i="23"/>
  <c r="CJ75" i="23"/>
  <c r="CI75" i="23"/>
  <c r="CH75" i="23"/>
  <c r="CG75" i="23"/>
  <c r="CO74" i="23"/>
  <c r="CN74" i="23"/>
  <c r="CM74" i="23"/>
  <c r="CL74" i="23"/>
  <c r="CK74" i="23"/>
  <c r="CJ74" i="23"/>
  <c r="CI74" i="23"/>
  <c r="CH74" i="23"/>
  <c r="CG74" i="23"/>
  <c r="CO73" i="23"/>
  <c r="CN73" i="23"/>
  <c r="CM73" i="23"/>
  <c r="CL73" i="23"/>
  <c r="CK73" i="23"/>
  <c r="CJ73" i="23"/>
  <c r="CI73" i="23"/>
  <c r="CH73" i="23"/>
  <c r="CG73" i="23"/>
  <c r="CO72" i="23"/>
  <c r="CN72" i="23"/>
  <c r="CM72" i="23"/>
  <c r="CL72" i="23"/>
  <c r="CK72" i="23"/>
  <c r="CJ72" i="23"/>
  <c r="CI72" i="23"/>
  <c r="CH72" i="23"/>
  <c r="CG72" i="23"/>
  <c r="CO71" i="23"/>
  <c r="CN71" i="23"/>
  <c r="CM71" i="23"/>
  <c r="CL71" i="23"/>
  <c r="CK71" i="23"/>
  <c r="CJ71" i="23"/>
  <c r="CI71" i="23"/>
  <c r="CH71" i="23"/>
  <c r="CG71" i="23"/>
  <c r="CO70" i="23"/>
  <c r="CN70" i="23"/>
  <c r="CM70" i="23"/>
  <c r="CL70" i="23"/>
  <c r="CK70" i="23"/>
  <c r="CJ70" i="23"/>
  <c r="CI70" i="23"/>
  <c r="CH70" i="23"/>
  <c r="CG70" i="23"/>
  <c r="CO69" i="23"/>
  <c r="CN69" i="23"/>
  <c r="CM69" i="23"/>
  <c r="CL69" i="23"/>
  <c r="CK69" i="23"/>
  <c r="CJ69" i="23"/>
  <c r="CI69" i="23"/>
  <c r="CH69" i="23"/>
  <c r="CG69" i="23"/>
  <c r="CO68" i="23"/>
  <c r="CN68" i="23"/>
  <c r="CM68" i="23"/>
  <c r="CL68" i="23"/>
  <c r="CK68" i="23"/>
  <c r="CJ68" i="23"/>
  <c r="CI68" i="23"/>
  <c r="CH68" i="23"/>
  <c r="CG68" i="23"/>
  <c r="CO67" i="23"/>
  <c r="CN67" i="23"/>
  <c r="CM67" i="23"/>
  <c r="CL67" i="23"/>
  <c r="CK67" i="23"/>
  <c r="CJ67" i="23"/>
  <c r="CI67" i="23"/>
  <c r="CH67" i="23"/>
  <c r="CG67" i="23"/>
  <c r="CO66" i="23"/>
  <c r="CN66" i="23"/>
  <c r="CM66" i="23"/>
  <c r="CL66" i="23"/>
  <c r="CK66" i="23"/>
  <c r="CJ66" i="23"/>
  <c r="CI66" i="23"/>
  <c r="CH66" i="23"/>
  <c r="CG66" i="23"/>
  <c r="CO65" i="23"/>
  <c r="CN65" i="23"/>
  <c r="CM65" i="23"/>
  <c r="CL65" i="23"/>
  <c r="CK65" i="23"/>
  <c r="CJ65" i="23"/>
  <c r="CI65" i="23"/>
  <c r="CH65" i="23"/>
  <c r="CG65" i="23"/>
  <c r="CO64" i="23"/>
  <c r="CN64" i="23"/>
  <c r="CM64" i="23"/>
  <c r="CL64" i="23"/>
  <c r="CK64" i="23"/>
  <c r="CJ64" i="23"/>
  <c r="CI64" i="23"/>
  <c r="CH64" i="23"/>
  <c r="CG64" i="23"/>
  <c r="CO63" i="23"/>
  <c r="CN63" i="23"/>
  <c r="CM63" i="23"/>
  <c r="CL63" i="23"/>
  <c r="CK63" i="23"/>
  <c r="CJ63" i="23"/>
  <c r="CI63" i="23"/>
  <c r="CH63" i="23"/>
  <c r="CG63" i="23"/>
  <c r="CO62" i="23"/>
  <c r="CN62" i="23"/>
  <c r="CM62" i="23"/>
  <c r="CL62" i="23"/>
  <c r="CK62" i="23"/>
  <c r="CJ62" i="23"/>
  <c r="CI62" i="23"/>
  <c r="CH62" i="23"/>
  <c r="CG62" i="23"/>
  <c r="CO61" i="23"/>
  <c r="CN61" i="23"/>
  <c r="CM61" i="23"/>
  <c r="CL61" i="23"/>
  <c r="CK61" i="23"/>
  <c r="CJ61" i="23"/>
  <c r="CI61" i="23"/>
  <c r="CH61" i="23"/>
  <c r="CG61" i="23"/>
  <c r="CO60" i="23"/>
  <c r="CN60" i="23"/>
  <c r="CM60" i="23"/>
  <c r="CL60" i="23"/>
  <c r="CK60" i="23"/>
  <c r="CJ60" i="23"/>
  <c r="CI60" i="23"/>
  <c r="CH60" i="23"/>
  <c r="CG60" i="23"/>
  <c r="CO59" i="23"/>
  <c r="CN59" i="23"/>
  <c r="CM59" i="23"/>
  <c r="CL59" i="23"/>
  <c r="CK59" i="23"/>
  <c r="CJ59" i="23"/>
  <c r="CI59" i="23"/>
  <c r="CH59" i="23"/>
  <c r="CG59" i="23"/>
  <c r="CO58" i="23"/>
  <c r="CN58" i="23"/>
  <c r="CM58" i="23"/>
  <c r="CL58" i="23"/>
  <c r="CK58" i="23"/>
  <c r="CJ58" i="23"/>
  <c r="CI58" i="23"/>
  <c r="CH58" i="23"/>
  <c r="CG58" i="23"/>
  <c r="CO57" i="23"/>
  <c r="CN57" i="23"/>
  <c r="CM57" i="23"/>
  <c r="CL57" i="23"/>
  <c r="CK57" i="23"/>
  <c r="CJ57" i="23"/>
  <c r="CI57" i="23"/>
  <c r="CH57" i="23"/>
  <c r="CG57" i="23"/>
  <c r="CO56" i="23"/>
  <c r="CN56" i="23"/>
  <c r="CM56" i="23"/>
  <c r="CL56" i="23"/>
  <c r="CK56" i="23"/>
  <c r="CJ56" i="23"/>
  <c r="CI56" i="23"/>
  <c r="CH56" i="23"/>
  <c r="CG56" i="23"/>
  <c r="CO55" i="23"/>
  <c r="CN55" i="23"/>
  <c r="CM55" i="23"/>
  <c r="CL55" i="23"/>
  <c r="CK55" i="23"/>
  <c r="CJ55" i="23"/>
  <c r="CI55" i="23"/>
  <c r="CH55" i="23"/>
  <c r="CG55" i="23"/>
  <c r="CO54" i="23"/>
  <c r="CN54" i="23"/>
  <c r="CM54" i="23"/>
  <c r="CL54" i="23"/>
  <c r="CK54" i="23"/>
  <c r="CJ54" i="23"/>
  <c r="CI54" i="23"/>
  <c r="CH54" i="23"/>
  <c r="CG54" i="23"/>
  <c r="CO53" i="23"/>
  <c r="CN53" i="23"/>
  <c r="CM53" i="23"/>
  <c r="CL53" i="23"/>
  <c r="CK53" i="23"/>
  <c r="CJ53" i="23"/>
  <c r="CI53" i="23"/>
  <c r="CH53" i="23"/>
  <c r="CG53" i="23"/>
  <c r="CO52" i="23"/>
  <c r="CN52" i="23"/>
  <c r="CM52" i="23"/>
  <c r="CL52" i="23"/>
  <c r="CK52" i="23"/>
  <c r="CJ52" i="23"/>
  <c r="CI52" i="23"/>
  <c r="CH52" i="23"/>
  <c r="CG52" i="23"/>
  <c r="CO51" i="23"/>
  <c r="CN51" i="23"/>
  <c r="CM51" i="23"/>
  <c r="CL51" i="23"/>
  <c r="CK51" i="23"/>
  <c r="CJ51" i="23"/>
  <c r="CI51" i="23"/>
  <c r="CH51" i="23"/>
  <c r="CG51" i="23"/>
  <c r="CO50" i="23"/>
  <c r="CN50" i="23"/>
  <c r="CM50" i="23"/>
  <c r="CL50" i="23"/>
  <c r="CK50" i="23"/>
  <c r="CJ50" i="23"/>
  <c r="CI50" i="23"/>
  <c r="CH50" i="23"/>
  <c r="CG50" i="23"/>
  <c r="CO49" i="23"/>
  <c r="CN49" i="23"/>
  <c r="CM49" i="23"/>
  <c r="CL49" i="23"/>
  <c r="CK49" i="23"/>
  <c r="CJ49" i="23"/>
  <c r="CI49" i="23"/>
  <c r="CH49" i="23"/>
  <c r="CG49" i="23"/>
  <c r="CO48" i="23"/>
  <c r="CN48" i="23"/>
  <c r="CM48" i="23"/>
  <c r="CL48" i="23"/>
  <c r="CK48" i="23"/>
  <c r="CJ48" i="23"/>
  <c r="CI48" i="23"/>
  <c r="CH48" i="23"/>
  <c r="CG48" i="23"/>
  <c r="CO47" i="23"/>
  <c r="CN47" i="23"/>
  <c r="CM47" i="23"/>
  <c r="CL47" i="23"/>
  <c r="CK47" i="23"/>
  <c r="CJ47" i="23"/>
  <c r="CI47" i="23"/>
  <c r="CH47" i="23"/>
  <c r="CG47" i="23"/>
  <c r="CO46" i="23"/>
  <c r="CN46" i="23"/>
  <c r="CM46" i="23"/>
  <c r="CL46" i="23"/>
  <c r="CK46" i="23"/>
  <c r="CJ46" i="23"/>
  <c r="CI46" i="23"/>
  <c r="CH46" i="23"/>
  <c r="CG46" i="23"/>
  <c r="CO45" i="23"/>
  <c r="CN45" i="23"/>
  <c r="CM45" i="23"/>
  <c r="CL45" i="23"/>
  <c r="CK45" i="23"/>
  <c r="CJ45" i="23"/>
  <c r="CI45" i="23"/>
  <c r="CH45" i="23"/>
  <c r="CG45" i="23"/>
  <c r="CO44" i="23"/>
  <c r="CN44" i="23"/>
  <c r="CM44" i="23"/>
  <c r="CL44" i="23"/>
  <c r="CK44" i="23"/>
  <c r="CJ44" i="23"/>
  <c r="CI44" i="23"/>
  <c r="CH44" i="23"/>
  <c r="CG44" i="23"/>
  <c r="CO43" i="23"/>
  <c r="CN43" i="23"/>
  <c r="CM43" i="23"/>
  <c r="CL43" i="23"/>
  <c r="CK43" i="23"/>
  <c r="CJ43" i="23"/>
  <c r="CI43" i="23"/>
  <c r="CH43" i="23"/>
  <c r="CG43" i="23"/>
  <c r="CO42" i="23"/>
  <c r="CN42" i="23"/>
  <c r="CM42" i="23"/>
  <c r="CL42" i="23"/>
  <c r="CK42" i="23"/>
  <c r="CJ42" i="23"/>
  <c r="CI42" i="23"/>
  <c r="CH42" i="23"/>
  <c r="CG42" i="23"/>
  <c r="CO41" i="23"/>
  <c r="CN41" i="23"/>
  <c r="CM41" i="23"/>
  <c r="CL41" i="23"/>
  <c r="CK41" i="23"/>
  <c r="CJ41" i="23"/>
  <c r="CI41" i="23"/>
  <c r="CH41" i="23"/>
  <c r="CG41" i="23"/>
  <c r="CO40" i="23"/>
  <c r="CN40" i="23"/>
  <c r="CM40" i="23"/>
  <c r="CL40" i="23"/>
  <c r="CK40" i="23"/>
  <c r="CJ40" i="23"/>
  <c r="CI40" i="23"/>
  <c r="CH40" i="23"/>
  <c r="CG40" i="23"/>
  <c r="CO39" i="23"/>
  <c r="CN39" i="23"/>
  <c r="CM39" i="23"/>
  <c r="CL39" i="23"/>
  <c r="CK39" i="23"/>
  <c r="CJ39" i="23"/>
  <c r="CI39" i="23"/>
  <c r="CH39" i="23"/>
  <c r="CG39" i="23"/>
  <c r="CO38" i="23"/>
  <c r="CN38" i="23"/>
  <c r="CM38" i="23"/>
  <c r="CL38" i="23"/>
  <c r="CK38" i="23"/>
  <c r="CJ38" i="23"/>
  <c r="CI38" i="23"/>
  <c r="CH38" i="23"/>
  <c r="CG38" i="23"/>
  <c r="CO37" i="23"/>
  <c r="CN37" i="23"/>
  <c r="CM37" i="23"/>
  <c r="CL37" i="23"/>
  <c r="CK37" i="23"/>
  <c r="CJ37" i="23"/>
  <c r="CI37" i="23"/>
  <c r="CH37" i="23"/>
  <c r="CG37" i="23"/>
  <c r="CO36" i="23"/>
  <c r="CN36" i="23"/>
  <c r="CM36" i="23"/>
  <c r="CL36" i="23"/>
  <c r="CK36" i="23"/>
  <c r="CJ36" i="23"/>
  <c r="CI36" i="23"/>
  <c r="CH36" i="23"/>
  <c r="CG36" i="23"/>
  <c r="CO35" i="23"/>
  <c r="CN35" i="23"/>
  <c r="CM35" i="23"/>
  <c r="CL35" i="23"/>
  <c r="CK35" i="23"/>
  <c r="CJ35" i="23"/>
  <c r="CI35" i="23"/>
  <c r="CH35" i="23"/>
  <c r="CG35" i="23"/>
  <c r="CO34" i="23"/>
  <c r="CN34" i="23"/>
  <c r="CM34" i="23"/>
  <c r="CL34" i="23"/>
  <c r="CK34" i="23"/>
  <c r="CJ34" i="23"/>
  <c r="CI34" i="23"/>
  <c r="CH34" i="23"/>
  <c r="CG34" i="23"/>
  <c r="CO33" i="23"/>
  <c r="CN33" i="23"/>
  <c r="CM33" i="23"/>
  <c r="CL33" i="23"/>
  <c r="CK33" i="23"/>
  <c r="CJ33" i="23"/>
  <c r="CI33" i="23"/>
  <c r="CH33" i="23"/>
  <c r="CG33" i="23"/>
  <c r="CO32" i="23"/>
  <c r="CN32" i="23"/>
  <c r="CM32" i="23"/>
  <c r="CL32" i="23"/>
  <c r="CK32" i="23"/>
  <c r="CJ32" i="23"/>
  <c r="CI32" i="23"/>
  <c r="CH32" i="23"/>
  <c r="CG32" i="23"/>
  <c r="CO31" i="23"/>
  <c r="CN31" i="23"/>
  <c r="CM31" i="23"/>
  <c r="CL31" i="23"/>
  <c r="CK31" i="23"/>
  <c r="CJ31" i="23"/>
  <c r="CI31" i="23"/>
  <c r="CH31" i="23"/>
  <c r="CG31" i="23"/>
  <c r="CO30" i="23"/>
  <c r="CN30" i="23"/>
  <c r="CM30" i="23"/>
  <c r="CL30" i="23"/>
  <c r="CK30" i="23"/>
  <c r="CJ30" i="23"/>
  <c r="CI30" i="23"/>
  <c r="CH30" i="23"/>
  <c r="CG30" i="23"/>
  <c r="CO29" i="23"/>
  <c r="CN29" i="23"/>
  <c r="CM29" i="23"/>
  <c r="CL29" i="23"/>
  <c r="CK29" i="23"/>
  <c r="CJ29" i="23"/>
  <c r="CI29" i="23"/>
  <c r="CH29" i="23"/>
  <c r="CG29" i="23"/>
  <c r="CO28" i="23"/>
  <c r="CN28" i="23"/>
  <c r="CM28" i="23"/>
  <c r="CL28" i="23"/>
  <c r="CK28" i="23"/>
  <c r="CJ28" i="23"/>
  <c r="CI28" i="23"/>
  <c r="CH28" i="23"/>
  <c r="CG28" i="23"/>
  <c r="CO27" i="23"/>
  <c r="CN27" i="23"/>
  <c r="CM27" i="23"/>
  <c r="CL27" i="23"/>
  <c r="CK27" i="23"/>
  <c r="CJ27" i="23"/>
  <c r="CI27" i="23"/>
  <c r="CH27" i="23"/>
  <c r="CG27" i="23"/>
  <c r="CO26" i="23"/>
  <c r="CN26" i="23"/>
  <c r="CM26" i="23"/>
  <c r="CL26" i="23"/>
  <c r="CK26" i="23"/>
  <c r="CJ26" i="23"/>
  <c r="CI26" i="23"/>
  <c r="CH26" i="23"/>
  <c r="CG26" i="23"/>
  <c r="CO25" i="23"/>
  <c r="CN25" i="23"/>
  <c r="CM25" i="23"/>
  <c r="CL25" i="23"/>
  <c r="CK25" i="23"/>
  <c r="CJ25" i="23"/>
  <c r="CI25" i="23"/>
  <c r="CH25" i="23"/>
  <c r="CG25" i="23"/>
  <c r="CO24" i="23"/>
  <c r="CN24" i="23"/>
  <c r="CM24" i="23"/>
  <c r="CL24" i="23"/>
  <c r="CK24" i="23"/>
  <c r="CJ24" i="23"/>
  <c r="CI24" i="23"/>
  <c r="CH24" i="23"/>
  <c r="CG24" i="23"/>
  <c r="CO23" i="23"/>
  <c r="CN23" i="23"/>
  <c r="CM23" i="23"/>
  <c r="CL23" i="23"/>
  <c r="CK23" i="23"/>
  <c r="CJ23" i="23"/>
  <c r="CI23" i="23"/>
  <c r="CH23" i="23"/>
  <c r="CG23" i="23"/>
  <c r="CO22" i="23"/>
  <c r="CN22" i="23"/>
  <c r="CM22" i="23"/>
  <c r="CL22" i="23"/>
  <c r="CK22" i="23"/>
  <c r="CJ22" i="23"/>
  <c r="CI22" i="23"/>
  <c r="CH22" i="23"/>
  <c r="CG22" i="23"/>
  <c r="CO21" i="23"/>
  <c r="CN21" i="23"/>
  <c r="CM21" i="23"/>
  <c r="CL21" i="23"/>
  <c r="CK21" i="23"/>
  <c r="CJ21" i="23"/>
  <c r="CI21" i="23"/>
  <c r="CH21" i="23"/>
  <c r="CG21" i="23"/>
  <c r="CO20" i="23"/>
  <c r="CN20" i="23"/>
  <c r="CM20" i="23"/>
  <c r="CL20" i="23"/>
  <c r="CK20" i="23"/>
  <c r="CJ20" i="23"/>
  <c r="CI20" i="23"/>
  <c r="CH20" i="23"/>
  <c r="CG20" i="23"/>
  <c r="CO19" i="23"/>
  <c r="CN19" i="23"/>
  <c r="CM19" i="23"/>
  <c r="CL19" i="23"/>
  <c r="CK19" i="23"/>
  <c r="CJ19" i="23"/>
  <c r="CI19" i="23"/>
  <c r="CH19" i="23"/>
  <c r="CG19" i="23"/>
  <c r="CO18" i="23"/>
  <c r="CN18" i="23"/>
  <c r="CM18" i="23"/>
  <c r="CL18" i="23"/>
  <c r="CK18" i="23"/>
  <c r="CJ18" i="23"/>
  <c r="CI18" i="23"/>
  <c r="CH18" i="23"/>
  <c r="CG18" i="23"/>
  <c r="CO17" i="23"/>
  <c r="CN17" i="23"/>
  <c r="CM17" i="23"/>
  <c r="CL17" i="23"/>
  <c r="CK17" i="23"/>
  <c r="CJ17" i="23"/>
  <c r="CI17" i="23"/>
  <c r="CH17" i="23"/>
  <c r="CG17" i="23"/>
  <c r="CO16" i="23"/>
  <c r="CN16" i="23"/>
  <c r="CM16" i="23"/>
  <c r="CL16" i="23"/>
  <c r="CK16" i="23"/>
  <c r="CJ16" i="23"/>
  <c r="CI16" i="23"/>
  <c r="CH16" i="23"/>
  <c r="CG16" i="23"/>
  <c r="CO15" i="23"/>
  <c r="CN15" i="23"/>
  <c r="CM15" i="23"/>
  <c r="CL15" i="23"/>
  <c r="CK15" i="23"/>
  <c r="CJ15" i="23"/>
  <c r="CI15" i="23"/>
  <c r="CH15" i="23"/>
  <c r="CG15" i="23"/>
  <c r="CO14" i="23"/>
  <c r="CN14" i="23"/>
  <c r="CM14" i="23"/>
  <c r="CL14" i="23"/>
  <c r="CK14" i="23"/>
  <c r="CJ14" i="23"/>
  <c r="CI14" i="23"/>
  <c r="CH14" i="23"/>
  <c r="CG14" i="23"/>
  <c r="CO13" i="23"/>
  <c r="CN13" i="23"/>
  <c r="CM13" i="23"/>
  <c r="CL13" i="23"/>
  <c r="CK13" i="23"/>
  <c r="CJ13" i="23"/>
  <c r="CI13" i="23"/>
  <c r="CH13" i="23"/>
  <c r="CG13" i="23"/>
  <c r="CO12" i="23"/>
  <c r="CN12" i="23"/>
  <c r="CM12" i="23"/>
  <c r="CL12" i="23"/>
  <c r="CK12" i="23"/>
  <c r="CJ12" i="23"/>
  <c r="CI12" i="23"/>
  <c r="CH12" i="23"/>
  <c r="CG12" i="23"/>
  <c r="CO11" i="23"/>
  <c r="CN11" i="23"/>
  <c r="CM11" i="23"/>
  <c r="CL11" i="23"/>
  <c r="CK11" i="23"/>
  <c r="CJ11" i="23"/>
  <c r="CI11" i="23"/>
  <c r="CH11" i="23"/>
  <c r="CG11" i="23"/>
  <c r="CO10" i="23"/>
  <c r="CN10" i="23"/>
  <c r="CM10" i="23"/>
  <c r="CL10" i="23"/>
  <c r="CK10" i="23"/>
  <c r="CJ10" i="23"/>
  <c r="CI10" i="23"/>
  <c r="CH10" i="23"/>
  <c r="CG10" i="23"/>
  <c r="CO9" i="23"/>
  <c r="CN9" i="23"/>
  <c r="CM9" i="23"/>
  <c r="CL9" i="23"/>
  <c r="CK9" i="23"/>
  <c r="CJ9" i="23"/>
  <c r="CI9" i="23"/>
  <c r="CH9" i="23"/>
  <c r="CG9" i="23"/>
  <c r="CO8" i="23"/>
  <c r="CN8" i="23"/>
  <c r="CM8" i="23"/>
  <c r="CL8" i="23"/>
  <c r="CK8" i="23"/>
  <c r="CJ8" i="23"/>
  <c r="CI8" i="23"/>
  <c r="CH8" i="23"/>
  <c r="CG8" i="23"/>
  <c r="CO7" i="23"/>
  <c r="CN7" i="23"/>
  <c r="CM7" i="23"/>
  <c r="CL7" i="23"/>
  <c r="CK7" i="23"/>
  <c r="CJ7" i="23"/>
  <c r="CI7" i="23"/>
  <c r="CH7" i="23"/>
  <c r="CG7" i="23"/>
  <c r="CO6" i="23"/>
  <c r="CN6" i="23"/>
  <c r="CM6" i="23"/>
  <c r="CL6" i="23"/>
  <c r="CK6" i="23"/>
  <c r="CJ6" i="23"/>
  <c r="CI6" i="23"/>
  <c r="CH6" i="23"/>
  <c r="CG6" i="23"/>
  <c r="CO5" i="23"/>
  <c r="CN5" i="23"/>
  <c r="CM5" i="23"/>
  <c r="CL5" i="23"/>
  <c r="CK5" i="23"/>
  <c r="CJ5" i="23"/>
  <c r="CI5" i="23"/>
  <c r="CH5" i="23"/>
  <c r="CG5" i="23"/>
  <c r="CO4" i="23"/>
  <c r="CN4" i="23"/>
  <c r="CM4" i="23"/>
  <c r="CL4" i="23"/>
  <c r="CK4" i="23"/>
  <c r="CJ4" i="23"/>
  <c r="CI4" i="23"/>
  <c r="CH4" i="23"/>
  <c r="CG4" i="23"/>
  <c r="CO3" i="23"/>
  <c r="CN3" i="23"/>
  <c r="CM3" i="23"/>
  <c r="CL3" i="23"/>
  <c r="CK3" i="23"/>
  <c r="CJ3" i="23"/>
  <c r="CI3" i="23"/>
  <c r="CH3" i="23"/>
  <c r="CG3" i="23"/>
  <c r="CD2" i="23"/>
  <c r="CC2" i="23"/>
  <c r="CB2" i="23"/>
  <c r="CA2" i="23"/>
  <c r="BZ2" i="23"/>
  <c r="BY2" i="23"/>
  <c r="BX2" i="23"/>
  <c r="BW2" i="23"/>
  <c r="BV2" i="23"/>
  <c r="BD2" i="23"/>
  <c r="BC2" i="23"/>
  <c r="BB2" i="23"/>
  <c r="BA2" i="23"/>
  <c r="AZ2" i="23"/>
  <c r="AY2" i="23"/>
  <c r="AX2" i="23"/>
  <c r="AW2" i="23"/>
  <c r="AV2" i="23"/>
  <c r="AU2" i="23"/>
  <c r="AT2" i="23"/>
  <c r="AS2" i="23"/>
  <c r="AR2" i="23"/>
  <c r="AQ2" i="23"/>
  <c r="M7" i="2" l="1"/>
  <c r="L7" i="2"/>
  <c r="O8" i="2"/>
  <c r="N8" i="2"/>
  <c r="P8" i="2"/>
  <c r="F7" i="2"/>
  <c r="E7" i="2"/>
  <c r="N21" i="39"/>
  <c r="N22" i="39"/>
  <c r="N32" i="39" s="1"/>
  <c r="K21" i="39"/>
  <c r="K22" i="39"/>
  <c r="K32" i="39" s="1"/>
  <c r="C3" i="1" s="1"/>
  <c r="N25" i="39"/>
  <c r="N26" i="39"/>
  <c r="W2" i="31"/>
  <c r="S2" i="31"/>
  <c r="Q2" i="31"/>
  <c r="V2" i="31"/>
  <c r="U2" i="31"/>
  <c r="T2" i="31"/>
  <c r="Y2" i="31"/>
  <c r="X2" i="31"/>
  <c r="P1" i="31"/>
  <c r="P2" i="31"/>
  <c r="F1" i="3" l="1"/>
  <c r="U10" i="3" s="1"/>
  <c r="F1" i="40"/>
  <c r="AA10" i="3"/>
  <c r="AE10" i="3"/>
  <c r="W10" i="3"/>
  <c r="S10" i="3"/>
  <c r="AG10" i="3"/>
  <c r="AC10" i="3"/>
  <c r="Q8" i="2"/>
  <c r="K8" i="2"/>
  <c r="D8" i="2" s="1"/>
  <c r="J8" i="2"/>
  <c r="C8" i="2" s="1"/>
  <c r="I8" i="2"/>
  <c r="B8" i="2"/>
  <c r="K18" i="2"/>
  <c r="D18" i="2" s="1"/>
  <c r="J18" i="2"/>
  <c r="C18" i="2" s="1"/>
  <c r="I18" i="2"/>
  <c r="B18" i="2"/>
  <c r="A9" i="2"/>
  <c r="Y10" i="3" l="1"/>
  <c r="A10" i="2"/>
  <c r="N9" i="2"/>
  <c r="O9" i="2"/>
  <c r="P9" i="2"/>
  <c r="U10" i="40"/>
  <c r="AA10" i="40"/>
  <c r="AG10" i="40"/>
  <c r="Y10" i="40"/>
  <c r="AE10" i="40"/>
  <c r="AC10" i="40"/>
  <c r="W10" i="40"/>
  <c r="S10" i="40"/>
  <c r="M8" i="2"/>
  <c r="M18" i="2"/>
  <c r="I10" i="2"/>
  <c r="K10" i="2"/>
  <c r="D10" i="2" s="1"/>
  <c r="I9" i="2"/>
  <c r="K9" i="2"/>
  <c r="D9" i="2" s="1"/>
  <c r="B10" i="2"/>
  <c r="J10" i="2"/>
  <c r="C10" i="2" s="1"/>
  <c r="B9" i="2"/>
  <c r="J9" i="2"/>
  <c r="C9" i="2" s="1"/>
  <c r="E18" i="2"/>
  <c r="E8" i="2"/>
  <c r="F8" i="2"/>
  <c r="L8" i="2"/>
  <c r="F18" i="2"/>
  <c r="L18" i="2"/>
  <c r="AN2" i="23"/>
  <c r="AM2" i="23"/>
  <c r="AL2" i="23"/>
  <c r="AK2" i="23"/>
  <c r="AJ2" i="23"/>
  <c r="AI2" i="23"/>
  <c r="AH2" i="23"/>
  <c r="AG2" i="23"/>
  <c r="AF2" i="23"/>
  <c r="AE2" i="23"/>
  <c r="AD2" i="23"/>
  <c r="AC2" i="23"/>
  <c r="AB2" i="23"/>
  <c r="AA2" i="23"/>
  <c r="Z2" i="23"/>
  <c r="A11" i="2" l="1"/>
  <c r="P10" i="2"/>
  <c r="N10" i="2"/>
  <c r="O10" i="2"/>
  <c r="F10" i="2"/>
  <c r="L9" i="2"/>
  <c r="E10" i="2"/>
  <c r="F9" i="2"/>
  <c r="L10" i="2"/>
  <c r="E9" i="2"/>
  <c r="M9" i="2"/>
  <c r="M10" i="2"/>
  <c r="G5" i="31"/>
  <c r="A12" i="2" l="1"/>
  <c r="N11" i="2"/>
  <c r="P11" i="2"/>
  <c r="O11" i="2"/>
  <c r="B11" i="2"/>
  <c r="J11" i="2"/>
  <c r="C11" i="2" s="1"/>
  <c r="I11" i="2"/>
  <c r="K11" i="2"/>
  <c r="D11" i="2" s="1"/>
  <c r="E190" i="31"/>
  <c r="A190" i="31"/>
  <c r="E189" i="31"/>
  <c r="A189" i="31"/>
  <c r="E188" i="31"/>
  <c r="A188" i="31"/>
  <c r="E187" i="31"/>
  <c r="A187" i="31"/>
  <c r="E186" i="31"/>
  <c r="A186" i="31"/>
  <c r="E185" i="31"/>
  <c r="A185" i="31"/>
  <c r="E184" i="31"/>
  <c r="A184" i="31"/>
  <c r="E183" i="31"/>
  <c r="A183" i="31"/>
  <c r="E182" i="31"/>
  <c r="A182" i="31"/>
  <c r="E181" i="31"/>
  <c r="A181" i="31"/>
  <c r="E180" i="31"/>
  <c r="A180" i="31"/>
  <c r="E179" i="31"/>
  <c r="A179" i="31"/>
  <c r="E178" i="31"/>
  <c r="A178" i="31"/>
  <c r="E177" i="31"/>
  <c r="A177" i="31"/>
  <c r="E176" i="31"/>
  <c r="A176" i="31"/>
  <c r="E175" i="31"/>
  <c r="A175" i="31"/>
  <c r="E174" i="31"/>
  <c r="A174" i="31"/>
  <c r="E173" i="31"/>
  <c r="A173" i="31"/>
  <c r="E172" i="31"/>
  <c r="A172" i="31"/>
  <c r="E171" i="31"/>
  <c r="A171" i="31"/>
  <c r="E170" i="31"/>
  <c r="A170" i="31"/>
  <c r="E169" i="31"/>
  <c r="A169" i="31"/>
  <c r="E168" i="31"/>
  <c r="A168" i="31"/>
  <c r="E167" i="31"/>
  <c r="A167" i="31"/>
  <c r="E166" i="31"/>
  <c r="A166" i="31"/>
  <c r="E165" i="31"/>
  <c r="A165" i="31"/>
  <c r="E164" i="31"/>
  <c r="A164" i="31"/>
  <c r="E163" i="31"/>
  <c r="A163" i="31"/>
  <c r="E162" i="31"/>
  <c r="A162" i="31"/>
  <c r="E161" i="31"/>
  <c r="A161" i="31"/>
  <c r="E160" i="31"/>
  <c r="A160" i="31"/>
  <c r="E159" i="31"/>
  <c r="A159" i="31"/>
  <c r="E158" i="31"/>
  <c r="A158" i="31"/>
  <c r="E157" i="31"/>
  <c r="A157" i="31"/>
  <c r="E156" i="31"/>
  <c r="A156" i="31"/>
  <c r="E155" i="31"/>
  <c r="A155" i="31"/>
  <c r="E154" i="31"/>
  <c r="A154" i="31"/>
  <c r="E153" i="31"/>
  <c r="A153" i="31"/>
  <c r="E152" i="31"/>
  <c r="A152" i="31"/>
  <c r="E151" i="31"/>
  <c r="A151" i="31"/>
  <c r="E150" i="31"/>
  <c r="A150" i="31"/>
  <c r="E149" i="31"/>
  <c r="A149" i="31"/>
  <c r="E148" i="31"/>
  <c r="A148" i="31"/>
  <c r="E147" i="31"/>
  <c r="A147" i="31"/>
  <c r="E146" i="31"/>
  <c r="A146" i="31"/>
  <c r="E145" i="31"/>
  <c r="A145" i="31"/>
  <c r="E144" i="31"/>
  <c r="A144" i="31"/>
  <c r="E143" i="31"/>
  <c r="A143" i="31"/>
  <c r="E142" i="31"/>
  <c r="A142" i="31"/>
  <c r="E141" i="31"/>
  <c r="A141" i="31"/>
  <c r="E140" i="31"/>
  <c r="A140" i="31"/>
  <c r="E139" i="31"/>
  <c r="A139" i="31"/>
  <c r="E138" i="31"/>
  <c r="A138" i="31"/>
  <c r="E137" i="31"/>
  <c r="A137" i="31"/>
  <c r="E136" i="31"/>
  <c r="A136" i="31"/>
  <c r="E135" i="31"/>
  <c r="A135" i="31"/>
  <c r="E134" i="31"/>
  <c r="A134" i="31"/>
  <c r="E133" i="31"/>
  <c r="A133" i="31"/>
  <c r="E132" i="31"/>
  <c r="A132" i="31"/>
  <c r="E131" i="31"/>
  <c r="A131" i="31"/>
  <c r="E130" i="31"/>
  <c r="A130" i="31"/>
  <c r="E129" i="31"/>
  <c r="A129" i="31"/>
  <c r="E128" i="31"/>
  <c r="A128" i="31"/>
  <c r="E127" i="31"/>
  <c r="A127" i="31"/>
  <c r="E126" i="31"/>
  <c r="A126" i="31"/>
  <c r="E125" i="31"/>
  <c r="A125" i="31"/>
  <c r="E124" i="31"/>
  <c r="A124" i="31"/>
  <c r="E123" i="31"/>
  <c r="A123" i="31"/>
  <c r="E122" i="31"/>
  <c r="A122" i="31"/>
  <c r="E121" i="31"/>
  <c r="A121" i="31"/>
  <c r="E120" i="31"/>
  <c r="A120" i="31"/>
  <c r="E119" i="31"/>
  <c r="A119" i="31"/>
  <c r="E118" i="31"/>
  <c r="A118" i="31"/>
  <c r="E117" i="31"/>
  <c r="A117" i="31"/>
  <c r="E116" i="31"/>
  <c r="A116" i="31"/>
  <c r="E115" i="31"/>
  <c r="A115" i="31"/>
  <c r="E114" i="31"/>
  <c r="A114" i="31"/>
  <c r="E113" i="31"/>
  <c r="A113" i="31"/>
  <c r="E112" i="31"/>
  <c r="A112" i="31"/>
  <c r="E111" i="31"/>
  <c r="A111" i="31"/>
  <c r="E110" i="31"/>
  <c r="A110" i="31"/>
  <c r="E109" i="31"/>
  <c r="A109" i="31"/>
  <c r="E108" i="31"/>
  <c r="A108" i="31"/>
  <c r="E107" i="31"/>
  <c r="A107" i="31"/>
  <c r="E106" i="31"/>
  <c r="A106" i="31"/>
  <c r="E105" i="31"/>
  <c r="A105" i="31"/>
  <c r="E104" i="31"/>
  <c r="A104" i="31"/>
  <c r="E103" i="31"/>
  <c r="A103" i="31"/>
  <c r="E102" i="31"/>
  <c r="A102" i="31"/>
  <c r="E101" i="31"/>
  <c r="A101" i="31"/>
  <c r="E100" i="31"/>
  <c r="A100" i="31"/>
  <c r="E99" i="31"/>
  <c r="A99" i="31"/>
  <c r="E98" i="31"/>
  <c r="A98" i="31"/>
  <c r="E97" i="31"/>
  <c r="A97" i="31"/>
  <c r="E96" i="31"/>
  <c r="A96" i="31"/>
  <c r="E95" i="31"/>
  <c r="A95" i="31"/>
  <c r="E94" i="31"/>
  <c r="A94" i="31"/>
  <c r="E93" i="31"/>
  <c r="A93" i="31"/>
  <c r="E92" i="31"/>
  <c r="A92" i="31"/>
  <c r="E91" i="31"/>
  <c r="A91" i="31"/>
  <c r="E90" i="31"/>
  <c r="A90" i="31"/>
  <c r="E89" i="31"/>
  <c r="A89" i="31"/>
  <c r="E88" i="31"/>
  <c r="A88" i="31"/>
  <c r="E87" i="31"/>
  <c r="A87" i="31"/>
  <c r="E86" i="31"/>
  <c r="A86" i="31"/>
  <c r="E85" i="31"/>
  <c r="A85" i="31"/>
  <c r="E84" i="31"/>
  <c r="A84" i="31"/>
  <c r="E83" i="31"/>
  <c r="A83" i="31"/>
  <c r="E82" i="31"/>
  <c r="A82" i="31"/>
  <c r="E81" i="31"/>
  <c r="A81" i="31"/>
  <c r="E80" i="31"/>
  <c r="A80" i="31"/>
  <c r="E79" i="31"/>
  <c r="A79" i="31"/>
  <c r="E78" i="31"/>
  <c r="A78" i="31"/>
  <c r="E77" i="31"/>
  <c r="A77" i="31"/>
  <c r="E76" i="31"/>
  <c r="A76" i="31"/>
  <c r="E75" i="31"/>
  <c r="A75" i="31"/>
  <c r="E74" i="31"/>
  <c r="A74" i="31"/>
  <c r="E73" i="31"/>
  <c r="A73" i="31"/>
  <c r="E72" i="31"/>
  <c r="A72" i="31"/>
  <c r="E71" i="31"/>
  <c r="A71" i="31"/>
  <c r="E70" i="31"/>
  <c r="A70" i="31"/>
  <c r="E69" i="31"/>
  <c r="A69" i="31"/>
  <c r="E68" i="31"/>
  <c r="A68" i="31"/>
  <c r="E67" i="31"/>
  <c r="A67" i="31"/>
  <c r="E66" i="31"/>
  <c r="A66" i="31"/>
  <c r="E65" i="31"/>
  <c r="A65" i="31"/>
  <c r="E64" i="31"/>
  <c r="A64" i="31"/>
  <c r="E63" i="31"/>
  <c r="A63" i="31"/>
  <c r="E62" i="31"/>
  <c r="A62" i="31"/>
  <c r="E61" i="31"/>
  <c r="A61" i="31"/>
  <c r="E60" i="31"/>
  <c r="A60" i="31"/>
  <c r="E59" i="31"/>
  <c r="A59" i="31"/>
  <c r="E58" i="31"/>
  <c r="A58" i="31"/>
  <c r="E57" i="31"/>
  <c r="A57" i="31"/>
  <c r="E56" i="31"/>
  <c r="A56" i="31"/>
  <c r="E55" i="31"/>
  <c r="A55" i="31"/>
  <c r="E54" i="31"/>
  <c r="A54" i="31"/>
  <c r="E53" i="31"/>
  <c r="A53" i="31"/>
  <c r="E52" i="31"/>
  <c r="A52" i="31"/>
  <c r="E51" i="31"/>
  <c r="A51" i="31"/>
  <c r="E50" i="31"/>
  <c r="A50" i="31"/>
  <c r="E49" i="31"/>
  <c r="A49" i="31"/>
  <c r="E48" i="31"/>
  <c r="A48" i="31"/>
  <c r="E47" i="31"/>
  <c r="A47" i="31"/>
  <c r="E46" i="31"/>
  <c r="A46" i="31"/>
  <c r="E45" i="31"/>
  <c r="A45" i="31"/>
  <c r="E44" i="31"/>
  <c r="A44" i="31"/>
  <c r="E43" i="31"/>
  <c r="A43" i="31"/>
  <c r="E42" i="31"/>
  <c r="A42" i="31"/>
  <c r="E41" i="31"/>
  <c r="A41" i="31"/>
  <c r="E40" i="31"/>
  <c r="A40" i="31"/>
  <c r="E39" i="31"/>
  <c r="A39" i="31"/>
  <c r="E38" i="31"/>
  <c r="A38" i="31"/>
  <c r="E37" i="31"/>
  <c r="A37" i="31"/>
  <c r="E36" i="31"/>
  <c r="A36" i="31"/>
  <c r="E35" i="31"/>
  <c r="A35" i="31"/>
  <c r="E34" i="31"/>
  <c r="A34" i="31"/>
  <c r="E33" i="31"/>
  <c r="A33" i="31"/>
  <c r="E32" i="31"/>
  <c r="A32" i="31"/>
  <c r="E31" i="31"/>
  <c r="A31" i="31"/>
  <c r="E30" i="31"/>
  <c r="A30" i="31"/>
  <c r="E29" i="31"/>
  <c r="A29" i="31"/>
  <c r="E28" i="31"/>
  <c r="A28" i="31"/>
  <c r="E27" i="31"/>
  <c r="A27" i="31"/>
  <c r="E26" i="31"/>
  <c r="A26" i="31"/>
  <c r="E25" i="31"/>
  <c r="A25" i="31"/>
  <c r="E24" i="31"/>
  <c r="A24" i="31"/>
  <c r="E23" i="31"/>
  <c r="A23" i="31"/>
  <c r="E22" i="31"/>
  <c r="A22" i="31"/>
  <c r="E21" i="31"/>
  <c r="A21" i="31"/>
  <c r="E20" i="31"/>
  <c r="A20" i="31"/>
  <c r="E19" i="31"/>
  <c r="A19" i="31"/>
  <c r="E18" i="31"/>
  <c r="A18" i="31"/>
  <c r="E17" i="31"/>
  <c r="A17" i="31"/>
  <c r="E16" i="31"/>
  <c r="A16" i="31"/>
  <c r="E15" i="31"/>
  <c r="A15" i="31"/>
  <c r="E14" i="31"/>
  <c r="A14" i="31"/>
  <c r="E13" i="31"/>
  <c r="A13" i="31"/>
  <c r="E12" i="31"/>
  <c r="A12" i="31"/>
  <c r="E11" i="31"/>
  <c r="A11" i="31"/>
  <c r="E10" i="31"/>
  <c r="A10" i="31"/>
  <c r="E9" i="31"/>
  <c r="A9" i="31"/>
  <c r="E8" i="31"/>
  <c r="A8" i="31"/>
  <c r="A7" i="31"/>
  <c r="E6" i="31"/>
  <c r="A6" i="31"/>
  <c r="E5" i="31"/>
  <c r="A5" i="31"/>
  <c r="E4" i="31"/>
  <c r="A4" i="31"/>
  <c r="E3" i="31"/>
  <c r="A3" i="31"/>
  <c r="M11" i="2" l="1"/>
  <c r="L11" i="2"/>
  <c r="E11" i="2"/>
  <c r="F11" i="2"/>
  <c r="A13" i="2"/>
  <c r="O12" i="2"/>
  <c r="N12" i="2"/>
  <c r="P12" i="2"/>
  <c r="I12" i="2"/>
  <c r="K12" i="2"/>
  <c r="D12" i="2" s="1"/>
  <c r="B12" i="2"/>
  <c r="J12" i="2"/>
  <c r="C12" i="2" s="1"/>
  <c r="BT8" i="13"/>
  <c r="BU6" i="13"/>
  <c r="BW6" i="13" s="1"/>
  <c r="BU9" i="13"/>
  <c r="BW9" i="13" s="1"/>
  <c r="BU8" i="13"/>
  <c r="BU7" i="13"/>
  <c r="BW7" i="13" s="1"/>
  <c r="BT6" i="13"/>
  <c r="BT7" i="13"/>
  <c r="BW8" i="13"/>
  <c r="BT9" i="13"/>
  <c r="BP9" i="13"/>
  <c r="BR9" i="13" s="1"/>
  <c r="BO9" i="13"/>
  <c r="BP8" i="13"/>
  <c r="BR8" i="13" s="1"/>
  <c r="BO8" i="13"/>
  <c r="BP7" i="13"/>
  <c r="BR7" i="13" s="1"/>
  <c r="BO7" i="13"/>
  <c r="BP6" i="13"/>
  <c r="BR6" i="13" s="1"/>
  <c r="BO6" i="13"/>
  <c r="BE8" i="13"/>
  <c r="BF6" i="13"/>
  <c r="BF9" i="13"/>
  <c r="BH9" i="13" s="1"/>
  <c r="BF8" i="13"/>
  <c r="BH8" i="13" s="1"/>
  <c r="BF7" i="13"/>
  <c r="BH7" i="13" s="1"/>
  <c r="BH6" i="13"/>
  <c r="BE9" i="13"/>
  <c r="BG9" i="13" s="1"/>
  <c r="BE7" i="13"/>
  <c r="BE6" i="13"/>
  <c r="E12" i="2" l="1"/>
  <c r="F12" i="2"/>
  <c r="L12" i="2"/>
  <c r="M12" i="2"/>
  <c r="A14" i="2"/>
  <c r="N13" i="2"/>
  <c r="P13" i="2"/>
  <c r="O13" i="2"/>
  <c r="B13" i="2"/>
  <c r="J13" i="2"/>
  <c r="C13" i="2" s="1"/>
  <c r="K13" i="2"/>
  <c r="D13" i="2" s="1"/>
  <c r="I13" i="2"/>
  <c r="BQ7" i="13"/>
  <c r="BQ8" i="13"/>
  <c r="BF5" i="13"/>
  <c r="BU5" i="13"/>
  <c r="BG8" i="13"/>
  <c r="BQ6" i="13"/>
  <c r="BQ9" i="13"/>
  <c r="BV9" i="13"/>
  <c r="BV6" i="13"/>
  <c r="BV8" i="13"/>
  <c r="BV7" i="13"/>
  <c r="BP5" i="13"/>
  <c r="BG6" i="13"/>
  <c r="BG7" i="13"/>
  <c r="AU69" i="13"/>
  <c r="AU68" i="13"/>
  <c r="AU67" i="13"/>
  <c r="AU66" i="13"/>
  <c r="AU65" i="13"/>
  <c r="AU64" i="13"/>
  <c r="AU63" i="13"/>
  <c r="AU62" i="13"/>
  <c r="AU61" i="13"/>
  <c r="AU60" i="13"/>
  <c r="AU59" i="13"/>
  <c r="AU58" i="13"/>
  <c r="AU57" i="13"/>
  <c r="AU56" i="13"/>
  <c r="AU55" i="13"/>
  <c r="AU54" i="13"/>
  <c r="AU53" i="13"/>
  <c r="AU52" i="13"/>
  <c r="AU51" i="13"/>
  <c r="AU50" i="13"/>
  <c r="AU49" i="13"/>
  <c r="AU48" i="13"/>
  <c r="AU47" i="13"/>
  <c r="AU46" i="13"/>
  <c r="AU45" i="13"/>
  <c r="AU44" i="13"/>
  <c r="AU43" i="13"/>
  <c r="AU42" i="13"/>
  <c r="AU41" i="13"/>
  <c r="AU40" i="13"/>
  <c r="AU39" i="13"/>
  <c r="AU38" i="13"/>
  <c r="AU37" i="13"/>
  <c r="AU36" i="13"/>
  <c r="AU35" i="13"/>
  <c r="AU34" i="13"/>
  <c r="AU33" i="13"/>
  <c r="AU32" i="13"/>
  <c r="AU31" i="13"/>
  <c r="AU30" i="13"/>
  <c r="AU29" i="13"/>
  <c r="AZ69" i="13"/>
  <c r="AY69" i="13"/>
  <c r="AX69" i="13"/>
  <c r="AW69" i="13"/>
  <c r="AV69" i="13"/>
  <c r="AW68" i="13"/>
  <c r="AV68" i="13"/>
  <c r="AW67" i="13"/>
  <c r="AV67" i="13"/>
  <c r="AW66" i="13"/>
  <c r="AV66" i="13"/>
  <c r="AW65" i="13"/>
  <c r="AV65" i="13"/>
  <c r="AW64" i="13"/>
  <c r="AV64" i="13"/>
  <c r="AW63" i="13"/>
  <c r="AV63" i="13"/>
  <c r="AW62" i="13"/>
  <c r="AV62" i="13"/>
  <c r="AW61" i="13"/>
  <c r="AV61" i="13"/>
  <c r="AW60" i="13"/>
  <c r="AV60" i="13"/>
  <c r="AW59" i="13"/>
  <c r="AV59" i="13"/>
  <c r="AW58" i="13"/>
  <c r="AV58" i="13"/>
  <c r="AW57" i="13"/>
  <c r="AV57" i="13"/>
  <c r="AW56" i="13"/>
  <c r="AV56" i="13"/>
  <c r="AW55" i="13"/>
  <c r="AV55" i="13"/>
  <c r="AW54" i="13"/>
  <c r="AV54" i="13"/>
  <c r="AW53" i="13"/>
  <c r="AV53" i="13"/>
  <c r="AW52" i="13"/>
  <c r="AV52" i="13"/>
  <c r="AW51" i="13"/>
  <c r="AV51" i="13"/>
  <c r="AW50" i="13"/>
  <c r="AV50" i="13"/>
  <c r="AW49" i="13"/>
  <c r="AV49" i="13"/>
  <c r="AW48" i="13"/>
  <c r="AV48" i="13"/>
  <c r="AW47" i="13"/>
  <c r="AV47" i="13"/>
  <c r="AW46" i="13"/>
  <c r="AV46" i="13"/>
  <c r="AW45" i="13"/>
  <c r="AV45" i="13"/>
  <c r="AW44" i="13"/>
  <c r="AV44" i="13"/>
  <c r="AW43" i="13"/>
  <c r="AV43" i="13"/>
  <c r="AW42" i="13"/>
  <c r="AV42" i="13"/>
  <c r="AW41" i="13"/>
  <c r="AV41" i="13"/>
  <c r="AW40" i="13"/>
  <c r="AV40" i="13"/>
  <c r="AW39" i="13"/>
  <c r="AV39" i="13"/>
  <c r="AW38" i="13"/>
  <c r="AV38" i="13"/>
  <c r="AW37" i="13"/>
  <c r="AV37" i="13"/>
  <c r="AW36" i="13"/>
  <c r="AV36" i="13"/>
  <c r="AW35" i="13"/>
  <c r="AV35" i="13"/>
  <c r="AW34" i="13"/>
  <c r="AV34" i="13"/>
  <c r="AW33" i="13"/>
  <c r="AV33" i="13"/>
  <c r="AW32" i="13"/>
  <c r="AV32" i="13"/>
  <c r="AW31" i="13"/>
  <c r="AV31" i="13"/>
  <c r="AW30" i="13"/>
  <c r="AV30" i="13"/>
  <c r="AW29" i="13"/>
  <c r="AV29" i="13"/>
  <c r="AW28" i="13"/>
  <c r="AV28" i="13"/>
  <c r="AU28" i="13"/>
  <c r="AW27" i="13"/>
  <c r="AV27" i="13"/>
  <c r="AU27" i="13"/>
  <c r="AW26" i="13"/>
  <c r="AV26" i="13"/>
  <c r="AU26" i="13"/>
  <c r="AW25" i="13"/>
  <c r="AV25" i="13"/>
  <c r="AU25" i="13"/>
  <c r="AW24" i="13"/>
  <c r="AV24" i="13"/>
  <c r="AU24" i="13"/>
  <c r="AW23" i="13"/>
  <c r="AV23" i="13"/>
  <c r="AU23" i="13"/>
  <c r="AW22" i="13"/>
  <c r="AV22" i="13"/>
  <c r="AU22" i="13"/>
  <c r="AW21" i="13"/>
  <c r="AV21" i="13"/>
  <c r="AU21" i="13"/>
  <c r="AW20" i="13"/>
  <c r="AV20" i="13"/>
  <c r="AU20" i="13"/>
  <c r="AW19" i="13"/>
  <c r="AV19" i="13"/>
  <c r="AU19" i="13"/>
  <c r="AW18" i="13"/>
  <c r="AV18" i="13"/>
  <c r="AU18" i="13"/>
  <c r="AW17" i="13"/>
  <c r="AV17" i="13"/>
  <c r="AU17" i="13"/>
  <c r="AW16" i="13"/>
  <c r="AV16" i="13"/>
  <c r="AU16" i="13"/>
  <c r="AW15" i="13"/>
  <c r="AV15" i="13"/>
  <c r="AU15" i="13"/>
  <c r="AW14" i="13"/>
  <c r="AV14" i="13"/>
  <c r="AU14" i="13"/>
  <c r="AW13" i="13"/>
  <c r="AV13" i="13"/>
  <c r="AU13" i="13"/>
  <c r="AW12" i="13"/>
  <c r="AV12" i="13"/>
  <c r="AU12" i="13"/>
  <c r="AW11" i="13"/>
  <c r="AV11" i="13"/>
  <c r="AU11" i="13"/>
  <c r="AW10" i="13"/>
  <c r="AV10" i="13"/>
  <c r="AU10" i="13"/>
  <c r="AW9" i="13"/>
  <c r="AV9" i="13"/>
  <c r="AU9" i="13"/>
  <c r="AW8" i="13"/>
  <c r="AV8" i="13"/>
  <c r="AU8" i="13"/>
  <c r="AW7" i="13"/>
  <c r="AV7" i="13"/>
  <c r="AU7" i="13"/>
  <c r="AW6" i="13"/>
  <c r="AV6" i="13"/>
  <c r="AU6" i="13"/>
  <c r="AW5" i="13"/>
  <c r="AV5" i="13"/>
  <c r="AU5" i="13"/>
  <c r="M13" i="2" l="1"/>
  <c r="L13" i="2"/>
  <c r="F13" i="2"/>
  <c r="E13" i="2"/>
  <c r="A15" i="2"/>
  <c r="P14" i="2"/>
  <c r="O14" i="2"/>
  <c r="N14" i="2"/>
  <c r="I14" i="2"/>
  <c r="K14" i="2"/>
  <c r="D14" i="2" s="1"/>
  <c r="B14" i="2"/>
  <c r="J14" i="2"/>
  <c r="C14" i="2" s="1"/>
  <c r="BE5" i="13"/>
  <c r="BT5" i="13"/>
  <c r="BO5" i="13"/>
  <c r="E14" i="2" l="1"/>
  <c r="F14" i="2"/>
  <c r="L14" i="2"/>
  <c r="M14" i="2"/>
  <c r="A16" i="2"/>
  <c r="N15" i="2"/>
  <c r="P15" i="2"/>
  <c r="O15" i="2"/>
  <c r="B15" i="2"/>
  <c r="I15" i="2"/>
  <c r="J15" i="2"/>
  <c r="C15" i="2" s="1"/>
  <c r="K15" i="2"/>
  <c r="D15" i="2" s="1"/>
  <c r="AZ68" i="13"/>
  <c r="AY68" i="13"/>
  <c r="AX68" i="13"/>
  <c r="AZ67" i="13"/>
  <c r="AY67" i="13"/>
  <c r="AX67" i="13"/>
  <c r="AZ66" i="13"/>
  <c r="AY66" i="13"/>
  <c r="AX66" i="13"/>
  <c r="AZ65" i="13"/>
  <c r="AY65" i="13"/>
  <c r="AX65" i="13"/>
  <c r="AZ64" i="13"/>
  <c r="AY64" i="13"/>
  <c r="AX64" i="13"/>
  <c r="AZ63" i="13"/>
  <c r="AY63" i="13"/>
  <c r="AX63" i="13"/>
  <c r="AZ62" i="13"/>
  <c r="AY62" i="13"/>
  <c r="AX62" i="13"/>
  <c r="AZ61" i="13"/>
  <c r="AY61" i="13"/>
  <c r="AX61" i="13"/>
  <c r="AZ60" i="13"/>
  <c r="AY60" i="13"/>
  <c r="AX60" i="13"/>
  <c r="AZ59" i="13"/>
  <c r="AY59" i="13"/>
  <c r="AX59" i="13"/>
  <c r="AZ58" i="13"/>
  <c r="AY58" i="13"/>
  <c r="AX58" i="13"/>
  <c r="AZ57" i="13"/>
  <c r="AY57" i="13"/>
  <c r="AX57" i="13"/>
  <c r="AZ56" i="13"/>
  <c r="AY56" i="13"/>
  <c r="AX56" i="13"/>
  <c r="AZ55" i="13"/>
  <c r="AY55" i="13"/>
  <c r="AX55" i="13"/>
  <c r="AZ54" i="13"/>
  <c r="AY54" i="13"/>
  <c r="AX54" i="13"/>
  <c r="AZ53" i="13"/>
  <c r="AY53" i="13"/>
  <c r="AX53" i="13"/>
  <c r="AZ52" i="13"/>
  <c r="AY52" i="13"/>
  <c r="AX52" i="13"/>
  <c r="AZ51" i="13"/>
  <c r="AY51" i="13"/>
  <c r="AX51" i="13"/>
  <c r="AZ50" i="13"/>
  <c r="AY50" i="13"/>
  <c r="AX50" i="13"/>
  <c r="AZ49" i="13"/>
  <c r="AY49" i="13"/>
  <c r="AX49" i="13"/>
  <c r="AZ48" i="13"/>
  <c r="AY48" i="13"/>
  <c r="AX48" i="13"/>
  <c r="AZ47" i="13"/>
  <c r="AY47" i="13"/>
  <c r="AX47" i="13"/>
  <c r="AZ46" i="13"/>
  <c r="AY46" i="13"/>
  <c r="AX46" i="13"/>
  <c r="AZ45" i="13"/>
  <c r="AY45" i="13"/>
  <c r="AX45" i="13"/>
  <c r="AZ44" i="13"/>
  <c r="AY44" i="13"/>
  <c r="AX44" i="13"/>
  <c r="AZ43" i="13"/>
  <c r="AY43" i="13"/>
  <c r="AX43" i="13"/>
  <c r="AZ42" i="13"/>
  <c r="AY42" i="13"/>
  <c r="AX42" i="13"/>
  <c r="AZ41" i="13"/>
  <c r="AY41" i="13"/>
  <c r="AX41" i="13"/>
  <c r="AZ40" i="13"/>
  <c r="AY40" i="13"/>
  <c r="AX40" i="13"/>
  <c r="AZ39" i="13"/>
  <c r="AY39" i="13"/>
  <c r="AX39" i="13"/>
  <c r="AZ38" i="13"/>
  <c r="AY38" i="13"/>
  <c r="AX38" i="13"/>
  <c r="AZ37" i="13"/>
  <c r="AY37" i="13"/>
  <c r="AX37" i="13"/>
  <c r="AZ36" i="13"/>
  <c r="AY36" i="13"/>
  <c r="AX36" i="13"/>
  <c r="AZ35" i="13"/>
  <c r="AY35" i="13"/>
  <c r="AX35" i="13"/>
  <c r="AZ34" i="13"/>
  <c r="AY34" i="13"/>
  <c r="AX34" i="13"/>
  <c r="AZ33" i="13"/>
  <c r="AY33" i="13"/>
  <c r="AX33" i="13"/>
  <c r="AZ32" i="13"/>
  <c r="AY32" i="13"/>
  <c r="AX32" i="13"/>
  <c r="AZ31" i="13"/>
  <c r="AY31" i="13"/>
  <c r="AX31" i="13"/>
  <c r="AX30" i="13"/>
  <c r="AZ30" i="13"/>
  <c r="AY30" i="13"/>
  <c r="AZ29" i="13"/>
  <c r="AY29" i="13"/>
  <c r="AX29" i="13"/>
  <c r="AZ28" i="13"/>
  <c r="AY28" i="13"/>
  <c r="AX28" i="13"/>
  <c r="AZ27" i="13"/>
  <c r="AY27" i="13"/>
  <c r="AX27" i="13"/>
  <c r="AZ26" i="13"/>
  <c r="AY26" i="13"/>
  <c r="AX26" i="13"/>
  <c r="AZ25" i="13"/>
  <c r="AY25" i="13"/>
  <c r="AX25" i="13"/>
  <c r="AZ24" i="13"/>
  <c r="AY24" i="13"/>
  <c r="AX24" i="13"/>
  <c r="AZ23" i="13"/>
  <c r="AY23" i="13"/>
  <c r="AX23" i="13"/>
  <c r="AZ22" i="13"/>
  <c r="AY22" i="13"/>
  <c r="AX22" i="13"/>
  <c r="AZ21" i="13"/>
  <c r="AY21" i="13"/>
  <c r="AX21" i="13"/>
  <c r="AZ20" i="13"/>
  <c r="AY20" i="13"/>
  <c r="AX20" i="13"/>
  <c r="AZ19" i="13"/>
  <c r="AY19" i="13"/>
  <c r="AX19" i="13"/>
  <c r="AZ18" i="13"/>
  <c r="AY18" i="13"/>
  <c r="AX18" i="13"/>
  <c r="AZ17" i="13"/>
  <c r="AY17" i="13"/>
  <c r="AX17" i="13"/>
  <c r="AZ16" i="13"/>
  <c r="AY16" i="13"/>
  <c r="AX16" i="13"/>
  <c r="AZ15" i="13"/>
  <c r="AY15" i="13"/>
  <c r="AX15" i="13"/>
  <c r="AZ14" i="13"/>
  <c r="AY14" i="13"/>
  <c r="AX14" i="13"/>
  <c r="AZ13" i="13"/>
  <c r="AY13" i="13"/>
  <c r="AX13" i="13"/>
  <c r="AZ12" i="13"/>
  <c r="AY12" i="13"/>
  <c r="AX12" i="13"/>
  <c r="AZ11" i="13"/>
  <c r="AY11" i="13"/>
  <c r="AX11" i="13"/>
  <c r="AZ10" i="13"/>
  <c r="AY10" i="13"/>
  <c r="AX10" i="13"/>
  <c r="AZ9" i="13"/>
  <c r="AY9" i="13"/>
  <c r="AX9" i="13"/>
  <c r="AZ8" i="13"/>
  <c r="AY8" i="13"/>
  <c r="AX8" i="13"/>
  <c r="AZ7" i="13"/>
  <c r="AY7" i="13"/>
  <c r="AX7" i="13"/>
  <c r="AZ6" i="13"/>
  <c r="AY6" i="13"/>
  <c r="AX6" i="13"/>
  <c r="AZ5" i="13"/>
  <c r="AY5" i="13"/>
  <c r="AH9" i="14"/>
  <c r="AI9" i="14"/>
  <c r="AI8" i="14"/>
  <c r="AK8" i="14" s="1"/>
  <c r="AH8" i="14"/>
  <c r="AK9" i="14"/>
  <c r="AI5" i="14"/>
  <c r="AK5" i="14" s="1"/>
  <c r="AH5" i="14"/>
  <c r="AI4" i="14"/>
  <c r="AK4" i="14" s="1"/>
  <c r="AH4" i="14"/>
  <c r="M15" i="2" l="1"/>
  <c r="L15" i="2"/>
  <c r="F15" i="2"/>
  <c r="E15" i="2"/>
  <c r="A17" i="2"/>
  <c r="O16" i="2"/>
  <c r="N16" i="2"/>
  <c r="P16" i="2"/>
  <c r="I16" i="2"/>
  <c r="K16" i="2"/>
  <c r="D16" i="2" s="1"/>
  <c r="B16" i="2"/>
  <c r="J16" i="2"/>
  <c r="C16" i="2" s="1"/>
  <c r="AI3" i="14"/>
  <c r="AJ9" i="14"/>
  <c r="AJ4" i="14"/>
  <c r="AJ5" i="14"/>
  <c r="AH3" i="14" s="1"/>
  <c r="AJ8" i="14"/>
  <c r="AI7" i="14"/>
  <c r="S83" i="14"/>
  <c r="S82" i="14"/>
  <c r="S81" i="14"/>
  <c r="S80" i="14"/>
  <c r="S79" i="14"/>
  <c r="S78" i="14"/>
  <c r="S77" i="14"/>
  <c r="S76" i="14"/>
  <c r="S75" i="14"/>
  <c r="S74" i="14"/>
  <c r="S73" i="14"/>
  <c r="S72" i="14"/>
  <c r="S71" i="14"/>
  <c r="S70" i="14"/>
  <c r="S69" i="14"/>
  <c r="S68" i="14"/>
  <c r="S67" i="14"/>
  <c r="S66" i="14"/>
  <c r="S65" i="14"/>
  <c r="S64" i="14"/>
  <c r="S63" i="14"/>
  <c r="S62" i="14"/>
  <c r="S61" i="14"/>
  <c r="S60" i="14"/>
  <c r="S59" i="14"/>
  <c r="S58" i="14"/>
  <c r="S57" i="14"/>
  <c r="S56" i="14"/>
  <c r="S55" i="14"/>
  <c r="S54" i="14"/>
  <c r="S53" i="14"/>
  <c r="S52" i="14"/>
  <c r="S51" i="14"/>
  <c r="S50" i="14"/>
  <c r="S49" i="14"/>
  <c r="S48" i="14"/>
  <c r="S47" i="14"/>
  <c r="S46" i="14"/>
  <c r="S45" i="14"/>
  <c r="S44" i="14"/>
  <c r="S43" i="14"/>
  <c r="S42" i="14"/>
  <c r="S41" i="14"/>
  <c r="S40" i="14"/>
  <c r="S39" i="14"/>
  <c r="S38" i="14"/>
  <c r="S37" i="14"/>
  <c r="S36" i="14"/>
  <c r="S35" i="14"/>
  <c r="S34" i="14"/>
  <c r="S33" i="14"/>
  <c r="S32" i="14"/>
  <c r="S31" i="14"/>
  <c r="S30" i="14"/>
  <c r="S29" i="14"/>
  <c r="S28" i="14"/>
  <c r="S27" i="14"/>
  <c r="S26" i="14"/>
  <c r="S25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L83" i="14"/>
  <c r="K83" i="14"/>
  <c r="L82" i="14"/>
  <c r="K82" i="14"/>
  <c r="L81" i="14"/>
  <c r="K81" i="14"/>
  <c r="L80" i="14"/>
  <c r="K80" i="14"/>
  <c r="L79" i="14"/>
  <c r="K79" i="14"/>
  <c r="L32" i="14"/>
  <c r="K32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E16" i="2" l="1"/>
  <c r="F16" i="2"/>
  <c r="L16" i="2"/>
  <c r="M16" i="2"/>
  <c r="A19" i="2"/>
  <c r="N17" i="2"/>
  <c r="O17" i="2"/>
  <c r="P17" i="2"/>
  <c r="B17" i="2"/>
  <c r="J17" i="2"/>
  <c r="C17" i="2" s="1"/>
  <c r="I17" i="2"/>
  <c r="K17" i="2"/>
  <c r="D17" i="2" s="1"/>
  <c r="AH7" i="14"/>
  <c r="AG67" i="13"/>
  <c r="AK67" i="13"/>
  <c r="AK48" i="13"/>
  <c r="AG48" i="13"/>
  <c r="AK69" i="13"/>
  <c r="AG69" i="13"/>
  <c r="AK68" i="13"/>
  <c r="AG68" i="13"/>
  <c r="AK66" i="13"/>
  <c r="AG66" i="13"/>
  <c r="AK31" i="13"/>
  <c r="AG31" i="13"/>
  <c r="AK65" i="13"/>
  <c r="AG65" i="13"/>
  <c r="AK64" i="13"/>
  <c r="AG64" i="13"/>
  <c r="AK63" i="13"/>
  <c r="AG63" i="13"/>
  <c r="AK62" i="13"/>
  <c r="AG62" i="13"/>
  <c r="AK61" i="13"/>
  <c r="AG61" i="13"/>
  <c r="AK60" i="13"/>
  <c r="AG60" i="13"/>
  <c r="AK59" i="13"/>
  <c r="AG59" i="13"/>
  <c r="AK58" i="13"/>
  <c r="AG58" i="13"/>
  <c r="AK57" i="13"/>
  <c r="AG57" i="13"/>
  <c r="AK56" i="13"/>
  <c r="AG56" i="13"/>
  <c r="AK55" i="13"/>
  <c r="AG55" i="13"/>
  <c r="AK54" i="13"/>
  <c r="AG54" i="13"/>
  <c r="AK53" i="13"/>
  <c r="AG53" i="13"/>
  <c r="AK52" i="13"/>
  <c r="AG52" i="13"/>
  <c r="AK51" i="13"/>
  <c r="AG51" i="13"/>
  <c r="AK50" i="13"/>
  <c r="AG50" i="13"/>
  <c r="AK49" i="13"/>
  <c r="AG49" i="13"/>
  <c r="AK47" i="13"/>
  <c r="AG47" i="13"/>
  <c r="AK46" i="13"/>
  <c r="AG46" i="13"/>
  <c r="AK45" i="13"/>
  <c r="AG45" i="13"/>
  <c r="AK44" i="13"/>
  <c r="AG44" i="13"/>
  <c r="AK43" i="13"/>
  <c r="AG43" i="13"/>
  <c r="AK42" i="13"/>
  <c r="AG42" i="13"/>
  <c r="AK41" i="13"/>
  <c r="AG41" i="13"/>
  <c r="AK40" i="13"/>
  <c r="AG40" i="13"/>
  <c r="AK39" i="13"/>
  <c r="AG39" i="13"/>
  <c r="AK38" i="13"/>
  <c r="AG38" i="13"/>
  <c r="AK37" i="13"/>
  <c r="AG37" i="13"/>
  <c r="AK36" i="13"/>
  <c r="AG36" i="13"/>
  <c r="AK35" i="13"/>
  <c r="AG35" i="13"/>
  <c r="AK34" i="13"/>
  <c r="AG34" i="13"/>
  <c r="AK33" i="13"/>
  <c r="AG33" i="13"/>
  <c r="AK32" i="13"/>
  <c r="AG32" i="13"/>
  <c r="AK30" i="13"/>
  <c r="AG30" i="13"/>
  <c r="AK29" i="13"/>
  <c r="AG29" i="13"/>
  <c r="AK28" i="13"/>
  <c r="AG28" i="13"/>
  <c r="AK27" i="13"/>
  <c r="AG27" i="13"/>
  <c r="AK26" i="13"/>
  <c r="AG26" i="13"/>
  <c r="AK25" i="13"/>
  <c r="AG25" i="13"/>
  <c r="AK24" i="13"/>
  <c r="AG24" i="13"/>
  <c r="AK23" i="13"/>
  <c r="AG23" i="13"/>
  <c r="AK21" i="13"/>
  <c r="AG21" i="13"/>
  <c r="AK20" i="13"/>
  <c r="AG20" i="13"/>
  <c r="AK19" i="13"/>
  <c r="AG19" i="13"/>
  <c r="AK18" i="13"/>
  <c r="AG18" i="13"/>
  <c r="AK17" i="13"/>
  <c r="AG17" i="13"/>
  <c r="AK16" i="13"/>
  <c r="AG16" i="13"/>
  <c r="AK15" i="13"/>
  <c r="AG15" i="13"/>
  <c r="AK14" i="13"/>
  <c r="AG14" i="13"/>
  <c r="AK13" i="13"/>
  <c r="AG13" i="13"/>
  <c r="AK12" i="13"/>
  <c r="AG12" i="13"/>
  <c r="AK11" i="13"/>
  <c r="AG11" i="13"/>
  <c r="AK10" i="13"/>
  <c r="AG10" i="13"/>
  <c r="AK9" i="13"/>
  <c r="AG9" i="13"/>
  <c r="AK8" i="13"/>
  <c r="AG8" i="13"/>
  <c r="AK7" i="13"/>
  <c r="AG7" i="13"/>
  <c r="AK6" i="13"/>
  <c r="AG6" i="13"/>
  <c r="AK5" i="13"/>
  <c r="AG5" i="13"/>
  <c r="BA4" i="12"/>
  <c r="BB4" i="12" s="1"/>
  <c r="AZ4" i="12"/>
  <c r="BA3" i="12"/>
  <c r="BB3" i="12" s="1"/>
  <c r="BB5" i="12" s="1"/>
  <c r="BA5" i="12" s="1"/>
  <c r="AZ3" i="12"/>
  <c r="AP3" i="12"/>
  <c r="AQ8" i="12"/>
  <c r="AR8" i="12" s="1"/>
  <c r="AP8" i="12"/>
  <c r="AQ4" i="12"/>
  <c r="AR4" i="12" s="1"/>
  <c r="AP4" i="12"/>
  <c r="AQ7" i="12"/>
  <c r="AR7" i="12" s="1"/>
  <c r="AP7" i="12"/>
  <c r="AQ3" i="12"/>
  <c r="AR3" i="12" s="1"/>
  <c r="L17" i="2" l="1"/>
  <c r="M17" i="2"/>
  <c r="E17" i="2"/>
  <c r="F17" i="2"/>
  <c r="N19" i="2"/>
  <c r="P19" i="2"/>
  <c r="O19" i="2"/>
  <c r="P20" i="2"/>
  <c r="AR5" i="12"/>
  <c r="AQ5" i="12" s="1"/>
  <c r="AS3" i="12"/>
  <c r="AS4" i="12"/>
  <c r="AS8" i="12"/>
  <c r="BC3" i="12"/>
  <c r="BC4" i="12"/>
  <c r="AS5" i="12"/>
  <c r="AR9" i="12"/>
  <c r="AQ9" i="12" s="1"/>
  <c r="AS7" i="12"/>
  <c r="AI82" i="12"/>
  <c r="AI81" i="12"/>
  <c r="AI80" i="12"/>
  <c r="AI79" i="12"/>
  <c r="AI78" i="12"/>
  <c r="AI77" i="12"/>
  <c r="AI76" i="12"/>
  <c r="AI75" i="12"/>
  <c r="AI74" i="12"/>
  <c r="AI73" i="12"/>
  <c r="AI72" i="12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K82" i="12"/>
  <c r="AJ82" i="12"/>
  <c r="AK81" i="12"/>
  <c r="AJ81" i="12"/>
  <c r="AK80" i="12"/>
  <c r="AJ80" i="12"/>
  <c r="AK79" i="12"/>
  <c r="AJ79" i="12"/>
  <c r="AK78" i="12"/>
  <c r="AJ78" i="12"/>
  <c r="AK77" i="12"/>
  <c r="AJ77" i="12"/>
  <c r="AK76" i="12"/>
  <c r="AJ76" i="12"/>
  <c r="AK75" i="12"/>
  <c r="AJ75" i="12"/>
  <c r="AK74" i="12"/>
  <c r="AJ74" i="12"/>
  <c r="AK73" i="12"/>
  <c r="AJ73" i="12"/>
  <c r="AK72" i="12"/>
  <c r="AJ72" i="12"/>
  <c r="AK71" i="12"/>
  <c r="AJ71" i="12"/>
  <c r="AK70" i="12"/>
  <c r="AJ70" i="12"/>
  <c r="AK69" i="12"/>
  <c r="AJ69" i="12"/>
  <c r="AK68" i="12"/>
  <c r="AJ68" i="12"/>
  <c r="AK67" i="12"/>
  <c r="AJ67" i="12"/>
  <c r="AK66" i="12"/>
  <c r="AJ66" i="12"/>
  <c r="AK65" i="12"/>
  <c r="AJ65" i="12"/>
  <c r="AK64" i="12"/>
  <c r="AJ64" i="12"/>
  <c r="AK63" i="12"/>
  <c r="AJ63" i="12"/>
  <c r="AK62" i="12"/>
  <c r="AJ62" i="12"/>
  <c r="AK61" i="12"/>
  <c r="AJ61" i="12"/>
  <c r="AK60" i="12"/>
  <c r="AJ60" i="12"/>
  <c r="AK59" i="12"/>
  <c r="AJ59" i="12"/>
  <c r="AK58" i="12"/>
  <c r="AJ58" i="12"/>
  <c r="AK57" i="12"/>
  <c r="AJ57" i="12"/>
  <c r="AK56" i="12"/>
  <c r="AJ56" i="12"/>
  <c r="AK55" i="12"/>
  <c r="AJ55" i="12"/>
  <c r="AK54" i="12"/>
  <c r="AJ54" i="12"/>
  <c r="AK53" i="12"/>
  <c r="AJ53" i="12"/>
  <c r="AK52" i="12"/>
  <c r="AJ52" i="12"/>
  <c r="AK51" i="12"/>
  <c r="AJ51" i="12"/>
  <c r="AK50" i="12"/>
  <c r="AJ50" i="12"/>
  <c r="AK49" i="12"/>
  <c r="AJ49" i="12"/>
  <c r="AK48" i="12"/>
  <c r="AJ48" i="12"/>
  <c r="AK47" i="12"/>
  <c r="AJ47" i="12"/>
  <c r="AK46" i="12"/>
  <c r="AJ46" i="12"/>
  <c r="AK45" i="12"/>
  <c r="AJ45" i="12"/>
  <c r="AK44" i="12"/>
  <c r="AJ44" i="12"/>
  <c r="AK43" i="12"/>
  <c r="AJ43" i="12"/>
  <c r="AK42" i="12"/>
  <c r="AJ42" i="12"/>
  <c r="AK41" i="12"/>
  <c r="AJ41" i="12"/>
  <c r="AK40" i="12"/>
  <c r="AJ40" i="12"/>
  <c r="AK39" i="12"/>
  <c r="AJ39" i="12"/>
  <c r="AK38" i="12"/>
  <c r="AJ38" i="12"/>
  <c r="AK37" i="12"/>
  <c r="AJ37" i="12"/>
  <c r="AK36" i="12"/>
  <c r="AJ36" i="12"/>
  <c r="AK35" i="12"/>
  <c r="AJ35" i="12"/>
  <c r="AK34" i="12"/>
  <c r="AJ34" i="12"/>
  <c r="AI34" i="12"/>
  <c r="AK33" i="12"/>
  <c r="AJ33" i="12"/>
  <c r="AI33" i="12"/>
  <c r="AK32" i="12"/>
  <c r="AJ32" i="12"/>
  <c r="AI32" i="12"/>
  <c r="AK31" i="12"/>
  <c r="AJ31" i="12"/>
  <c r="AI31" i="12"/>
  <c r="AK30" i="12"/>
  <c r="AJ30" i="12"/>
  <c r="AI30" i="12"/>
  <c r="AK29" i="12"/>
  <c r="AJ29" i="12"/>
  <c r="AI29" i="12"/>
  <c r="AK28" i="12"/>
  <c r="AJ28" i="12"/>
  <c r="AI28" i="12"/>
  <c r="AK27" i="12"/>
  <c r="AJ27" i="12"/>
  <c r="AI27" i="12"/>
  <c r="AK26" i="12"/>
  <c r="AJ26" i="12"/>
  <c r="AI26" i="12"/>
  <c r="AK25" i="12"/>
  <c r="AJ25" i="12"/>
  <c r="AI25" i="12"/>
  <c r="AK24" i="12"/>
  <c r="AJ24" i="12"/>
  <c r="AI24" i="12"/>
  <c r="AK23" i="12"/>
  <c r="AJ23" i="12"/>
  <c r="AI23" i="12"/>
  <c r="AK22" i="12"/>
  <c r="AJ22" i="12"/>
  <c r="AI22" i="12"/>
  <c r="AK21" i="12"/>
  <c r="AJ21" i="12"/>
  <c r="AI21" i="12"/>
  <c r="AK20" i="12"/>
  <c r="AJ20" i="12"/>
  <c r="AI20" i="12"/>
  <c r="AK19" i="12"/>
  <c r="AJ19" i="12"/>
  <c r="AI19" i="12"/>
  <c r="AK18" i="12"/>
  <c r="AJ18" i="12"/>
  <c r="AI18" i="12"/>
  <c r="AK17" i="12"/>
  <c r="AJ17" i="12"/>
  <c r="AI17" i="12"/>
  <c r="AK16" i="12"/>
  <c r="AJ16" i="12"/>
  <c r="AI16" i="12"/>
  <c r="AK15" i="12"/>
  <c r="AJ15" i="12"/>
  <c r="AI15" i="12"/>
  <c r="AK14" i="12"/>
  <c r="AJ14" i="12"/>
  <c r="AI14" i="12"/>
  <c r="AK13" i="12"/>
  <c r="AJ13" i="12"/>
  <c r="AI13" i="12"/>
  <c r="AK12" i="12"/>
  <c r="AJ12" i="12"/>
  <c r="AI12" i="12"/>
  <c r="AK11" i="12"/>
  <c r="AJ11" i="12"/>
  <c r="AI11" i="12"/>
  <c r="AK10" i="12"/>
  <c r="AJ10" i="12"/>
  <c r="AI10" i="12"/>
  <c r="AK9" i="12"/>
  <c r="AJ9" i="12"/>
  <c r="AI9" i="12"/>
  <c r="AK8" i="12"/>
  <c r="AJ8" i="12"/>
  <c r="AI8" i="12"/>
  <c r="AK7" i="12"/>
  <c r="AJ7" i="12"/>
  <c r="AI7" i="12"/>
  <c r="AK6" i="12"/>
  <c r="AJ6" i="12"/>
  <c r="AI6" i="12"/>
  <c r="AK5" i="12"/>
  <c r="AJ5" i="12"/>
  <c r="AI5" i="12"/>
  <c r="AK4" i="12"/>
  <c r="AJ4" i="12"/>
  <c r="AI4" i="12"/>
  <c r="AK3" i="12"/>
  <c r="AJ3" i="12"/>
  <c r="AI3" i="12"/>
  <c r="AD90" i="12"/>
  <c r="AD89" i="12"/>
  <c r="AD88" i="12"/>
  <c r="AD87" i="12"/>
  <c r="AD86" i="12"/>
  <c r="AD85" i="12"/>
  <c r="AD84" i="12"/>
  <c r="AD83" i="12"/>
  <c r="AD82" i="12"/>
  <c r="AD81" i="12"/>
  <c r="AD80" i="12"/>
  <c r="AD79" i="12"/>
  <c r="AD78" i="12"/>
  <c r="AD77" i="12"/>
  <c r="AD76" i="12"/>
  <c r="AD75" i="12"/>
  <c r="AD74" i="12"/>
  <c r="AD73" i="12"/>
  <c r="AD72" i="12"/>
  <c r="AD71" i="12"/>
  <c r="AD70" i="12"/>
  <c r="AD69" i="12"/>
  <c r="AD68" i="12"/>
  <c r="AD67" i="12"/>
  <c r="AD66" i="12"/>
  <c r="AD65" i="12"/>
  <c r="AD64" i="12"/>
  <c r="AD63" i="12"/>
  <c r="AD62" i="12"/>
  <c r="AD61" i="12"/>
  <c r="AD60" i="12"/>
  <c r="AD59" i="12"/>
  <c r="AD58" i="12"/>
  <c r="AD57" i="12"/>
  <c r="AD56" i="12"/>
  <c r="AD55" i="12"/>
  <c r="AD54" i="12"/>
  <c r="AD53" i="12"/>
  <c r="AD52" i="12"/>
  <c r="AD51" i="12"/>
  <c r="AD50" i="12"/>
  <c r="AD49" i="12"/>
  <c r="AD48" i="12"/>
  <c r="AD47" i="12"/>
  <c r="AD46" i="12"/>
  <c r="AD45" i="12"/>
  <c r="AD44" i="12"/>
  <c r="AD43" i="12"/>
  <c r="AD42" i="12"/>
  <c r="AD41" i="12"/>
  <c r="AD40" i="12"/>
  <c r="AD39" i="12"/>
  <c r="AD38" i="12"/>
  <c r="AD37" i="12"/>
  <c r="AD36" i="12"/>
  <c r="AD35" i="12"/>
  <c r="AD34" i="12"/>
  <c r="AD33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4" i="12"/>
  <c r="AD3" i="12"/>
  <c r="AC88" i="12"/>
  <c r="Y88" i="12"/>
  <c r="AC42" i="12"/>
  <c r="Y42" i="12"/>
  <c r="AC90" i="12"/>
  <c r="Y90" i="12"/>
  <c r="AC89" i="12"/>
  <c r="Y89" i="12"/>
  <c r="AC87" i="12"/>
  <c r="Y87" i="12"/>
  <c r="AC86" i="12"/>
  <c r="Y86" i="12"/>
  <c r="AC85" i="12"/>
  <c r="Y85" i="12"/>
  <c r="AC84" i="12"/>
  <c r="Y84" i="12"/>
  <c r="AC83" i="12"/>
  <c r="Y83" i="12"/>
  <c r="AC82" i="12"/>
  <c r="Y82" i="12"/>
  <c r="AC81" i="12"/>
  <c r="Y81" i="12"/>
  <c r="AC80" i="12"/>
  <c r="Y80" i="12"/>
  <c r="AC79" i="12"/>
  <c r="Y79" i="12"/>
  <c r="AC77" i="12"/>
  <c r="Y77" i="12"/>
  <c r="AC76" i="12"/>
  <c r="Y76" i="12"/>
  <c r="AC75" i="12"/>
  <c r="Y75" i="12"/>
  <c r="AC74" i="12"/>
  <c r="Y74" i="12"/>
  <c r="AC73" i="12"/>
  <c r="Y73" i="12"/>
  <c r="AC72" i="12"/>
  <c r="Y72" i="12"/>
  <c r="AC71" i="12"/>
  <c r="Y71" i="12"/>
  <c r="AC70" i="12"/>
  <c r="Y70" i="12"/>
  <c r="AC69" i="12"/>
  <c r="Y69" i="12"/>
  <c r="AC68" i="12"/>
  <c r="Y68" i="12"/>
  <c r="AC67" i="12"/>
  <c r="Y67" i="12"/>
  <c r="AC66" i="12"/>
  <c r="Y66" i="12"/>
  <c r="AC65" i="12"/>
  <c r="Y65" i="12"/>
  <c r="AC64" i="12"/>
  <c r="Y64" i="12"/>
  <c r="AC63" i="12"/>
  <c r="Y63" i="12"/>
  <c r="AC62" i="12"/>
  <c r="Y62" i="12"/>
  <c r="AC61" i="12"/>
  <c r="Y61" i="12"/>
  <c r="AC60" i="12"/>
  <c r="Y60" i="12"/>
  <c r="AC59" i="12"/>
  <c r="Y59" i="12"/>
  <c r="AC58" i="12"/>
  <c r="Y58" i="12"/>
  <c r="AC57" i="12"/>
  <c r="Y57" i="12"/>
  <c r="AC56" i="12"/>
  <c r="Y56" i="12"/>
  <c r="AC55" i="12"/>
  <c r="Y55" i="12"/>
  <c r="AC54" i="12"/>
  <c r="Y54" i="12"/>
  <c r="AC53" i="12"/>
  <c r="Y53" i="12"/>
  <c r="AC52" i="12"/>
  <c r="Y52" i="12"/>
  <c r="AC51" i="12"/>
  <c r="Y51" i="12"/>
  <c r="AC50" i="12"/>
  <c r="Y50" i="12"/>
  <c r="AC49" i="12"/>
  <c r="Y49" i="12"/>
  <c r="AC48" i="12"/>
  <c r="Y48" i="12"/>
  <c r="AC47" i="12"/>
  <c r="Y47" i="12"/>
  <c r="AC46" i="12"/>
  <c r="Y46" i="12"/>
  <c r="AC45" i="12"/>
  <c r="Y45" i="12"/>
  <c r="AC44" i="12"/>
  <c r="Y44" i="12"/>
  <c r="AC41" i="12"/>
  <c r="Y41" i="12"/>
  <c r="AC40" i="12"/>
  <c r="Y40" i="12"/>
  <c r="AC39" i="12"/>
  <c r="Y39" i="12"/>
  <c r="AC38" i="12"/>
  <c r="Y38" i="12"/>
  <c r="AC37" i="12"/>
  <c r="Y37" i="12"/>
  <c r="AC36" i="12"/>
  <c r="Y36" i="12"/>
  <c r="AC35" i="12"/>
  <c r="Y35" i="12"/>
  <c r="AC34" i="12"/>
  <c r="Y34" i="12"/>
  <c r="AC33" i="12"/>
  <c r="Y33" i="12"/>
  <c r="AC32" i="12"/>
  <c r="Y32" i="12"/>
  <c r="AC31" i="12"/>
  <c r="Y31" i="12"/>
  <c r="AC29" i="12"/>
  <c r="Y29" i="12"/>
  <c r="AC28" i="12"/>
  <c r="Y28" i="12"/>
  <c r="AC27" i="12"/>
  <c r="Y27" i="12"/>
  <c r="AC26" i="12"/>
  <c r="Y26" i="12"/>
  <c r="AC25" i="12"/>
  <c r="Y25" i="12"/>
  <c r="AC24" i="12"/>
  <c r="Y24" i="12"/>
  <c r="AC23" i="12"/>
  <c r="Y23" i="12"/>
  <c r="AC22" i="12"/>
  <c r="Y22" i="12"/>
  <c r="AC21" i="12"/>
  <c r="Y21" i="12"/>
  <c r="AC20" i="12"/>
  <c r="Y20" i="12"/>
  <c r="AC19" i="12"/>
  <c r="Y19" i="12"/>
  <c r="AC18" i="12"/>
  <c r="Y18" i="12"/>
  <c r="AC17" i="12"/>
  <c r="Y17" i="12"/>
  <c r="AC16" i="12"/>
  <c r="Y16" i="12"/>
  <c r="AC15" i="12"/>
  <c r="Y15" i="12"/>
  <c r="AC14" i="12"/>
  <c r="Y14" i="12"/>
  <c r="AC13" i="12"/>
  <c r="Y13" i="12"/>
  <c r="AC12" i="12"/>
  <c r="Y12" i="12"/>
  <c r="AC11" i="12"/>
  <c r="Y11" i="12"/>
  <c r="AC10" i="12"/>
  <c r="Y10" i="12"/>
  <c r="AC9" i="12"/>
  <c r="Y9" i="12"/>
  <c r="AC8" i="12"/>
  <c r="Y8" i="12"/>
  <c r="AC7" i="12"/>
  <c r="Y7" i="12"/>
  <c r="AC6" i="12"/>
  <c r="Y6" i="12"/>
  <c r="AC5" i="12"/>
  <c r="Y5" i="12"/>
  <c r="AC4" i="12"/>
  <c r="Y4" i="12"/>
  <c r="AC3" i="12"/>
  <c r="Y3" i="12"/>
  <c r="AP5" i="12" l="1"/>
  <c r="AS9" i="12"/>
  <c r="AP9" i="12"/>
  <c r="BC5" i="12"/>
  <c r="AZ5" i="12" s="1"/>
  <c r="U7" i="17" l="1"/>
  <c r="U6" i="17"/>
  <c r="U5" i="17"/>
  <c r="U4" i="17"/>
  <c r="U3" i="17"/>
  <c r="U2" i="17"/>
  <c r="U6" i="18"/>
  <c r="U5" i="18"/>
  <c r="U3" i="18"/>
  <c r="U2" i="18"/>
  <c r="AB2" i="18"/>
  <c r="AB6" i="18" l="1"/>
  <c r="AB3" i="18"/>
  <c r="AB5" i="18"/>
  <c r="AB7" i="17"/>
  <c r="AB6" i="17"/>
  <c r="AB5" i="17"/>
  <c r="AB4" i="17"/>
  <c r="AB3" i="17"/>
  <c r="AB2" i="17"/>
  <c r="DW190" i="23"/>
  <c r="DW189" i="23"/>
  <c r="DW188" i="23"/>
  <c r="DW187" i="23"/>
  <c r="DW186" i="23"/>
  <c r="DW185" i="23"/>
  <c r="DW184" i="23"/>
  <c r="DW183" i="23"/>
  <c r="DW182" i="23"/>
  <c r="DW181" i="23"/>
  <c r="DW180" i="23"/>
  <c r="DW179" i="23"/>
  <c r="DW178" i="23"/>
  <c r="DW177" i="23"/>
  <c r="DW176" i="23"/>
  <c r="DW175" i="23"/>
  <c r="DW174" i="23"/>
  <c r="DW173" i="23"/>
  <c r="DW172" i="23"/>
  <c r="DW171" i="23"/>
  <c r="DW170" i="23"/>
  <c r="DW169" i="23"/>
  <c r="DW168" i="23"/>
  <c r="DW167" i="23"/>
  <c r="DW166" i="23"/>
  <c r="DW165" i="23"/>
  <c r="DW164" i="23"/>
  <c r="DW163" i="23"/>
  <c r="DW162" i="23"/>
  <c r="DW161" i="23"/>
  <c r="DW160" i="23"/>
  <c r="DW159" i="23"/>
  <c r="DW158" i="23"/>
  <c r="DW157" i="23"/>
  <c r="DW156" i="23"/>
  <c r="DW155" i="23"/>
  <c r="DW154" i="23"/>
  <c r="DW153" i="23"/>
  <c r="DW152" i="23"/>
  <c r="DW151" i="23"/>
  <c r="DW150" i="23"/>
  <c r="DW149" i="23"/>
  <c r="DW148" i="23"/>
  <c r="DW147" i="23"/>
  <c r="DW146" i="23"/>
  <c r="DW145" i="23"/>
  <c r="DW144" i="23"/>
  <c r="DW143" i="23"/>
  <c r="DW142" i="23"/>
  <c r="DW141" i="23"/>
  <c r="DW140" i="23"/>
  <c r="DW139" i="23"/>
  <c r="DW138" i="23"/>
  <c r="DW137" i="23"/>
  <c r="DW136" i="23"/>
  <c r="DW135" i="23"/>
  <c r="DW134" i="23"/>
  <c r="DW133" i="23"/>
  <c r="DW132" i="23"/>
  <c r="DW131" i="23"/>
  <c r="DW130" i="23"/>
  <c r="DW129" i="23"/>
  <c r="DW128" i="23"/>
  <c r="DW127" i="23"/>
  <c r="DW126" i="23"/>
  <c r="DW125" i="23"/>
  <c r="DW124" i="23"/>
  <c r="DW123" i="23"/>
  <c r="DW122" i="23"/>
  <c r="DW121" i="23"/>
  <c r="DW120" i="23"/>
  <c r="DW119" i="23"/>
  <c r="DW118" i="23"/>
  <c r="DW117" i="23"/>
  <c r="DW116" i="23"/>
  <c r="DW115" i="23"/>
  <c r="DW114" i="23"/>
  <c r="DW113" i="23"/>
  <c r="DW112" i="23"/>
  <c r="DW111" i="23"/>
  <c r="DW110" i="23"/>
  <c r="DW109" i="23"/>
  <c r="DW108" i="23"/>
  <c r="DW107" i="23"/>
  <c r="DW106" i="23"/>
  <c r="DW105" i="23"/>
  <c r="DW104" i="23"/>
  <c r="DW103" i="23"/>
  <c r="DW102" i="23"/>
  <c r="DW101" i="23"/>
  <c r="DW100" i="23"/>
  <c r="DW99" i="23"/>
  <c r="DW98" i="23"/>
  <c r="DW97" i="23"/>
  <c r="DW96" i="23"/>
  <c r="DW95" i="23"/>
  <c r="DW94" i="23"/>
  <c r="DW93" i="23"/>
  <c r="DW92" i="23"/>
  <c r="DW91" i="23"/>
  <c r="DW90" i="23"/>
  <c r="DW89" i="23"/>
  <c r="DW88" i="23"/>
  <c r="DW87" i="23"/>
  <c r="DW86" i="23"/>
  <c r="DW85" i="23"/>
  <c r="DW84" i="23"/>
  <c r="DW83" i="23"/>
  <c r="DW82" i="23"/>
  <c r="DW81" i="23"/>
  <c r="DW80" i="23"/>
  <c r="DW79" i="23"/>
  <c r="DW78" i="23"/>
  <c r="DW77" i="23"/>
  <c r="DW76" i="23"/>
  <c r="DW75" i="23"/>
  <c r="DW74" i="23"/>
  <c r="DW73" i="23"/>
  <c r="DW72" i="23"/>
  <c r="DW71" i="23"/>
  <c r="DW70" i="23"/>
  <c r="DW69" i="23"/>
  <c r="DW68" i="23"/>
  <c r="DW67" i="23"/>
  <c r="DW66" i="23"/>
  <c r="DW65" i="23"/>
  <c r="DW64" i="23"/>
  <c r="DW63" i="23"/>
  <c r="DW62" i="23"/>
  <c r="DW61" i="23"/>
  <c r="DW60" i="23"/>
  <c r="DW59" i="23"/>
  <c r="DW58" i="23"/>
  <c r="DW57" i="23"/>
  <c r="DW56" i="23"/>
  <c r="DW55" i="23"/>
  <c r="DW54" i="23"/>
  <c r="DW53" i="23"/>
  <c r="DW52" i="23"/>
  <c r="DW51" i="23"/>
  <c r="DW50" i="23"/>
  <c r="DW49" i="23"/>
  <c r="DW48" i="23"/>
  <c r="DW47" i="23"/>
  <c r="DW46" i="23"/>
  <c r="DW45" i="23"/>
  <c r="DW44" i="23"/>
  <c r="DW43" i="23"/>
  <c r="DW42" i="23"/>
  <c r="DW41" i="23"/>
  <c r="DW40" i="23"/>
  <c r="DW39" i="23"/>
  <c r="DW38" i="23"/>
  <c r="DW37" i="23"/>
  <c r="DW36" i="23"/>
  <c r="DW35" i="23"/>
  <c r="DW34" i="23"/>
  <c r="DW33" i="23"/>
  <c r="DW32" i="23"/>
  <c r="DW31" i="23"/>
  <c r="DW30" i="23"/>
  <c r="DW29" i="23"/>
  <c r="DW28" i="23"/>
  <c r="DW27" i="23"/>
  <c r="DW26" i="23"/>
  <c r="DW25" i="23"/>
  <c r="DW24" i="23"/>
  <c r="DW23" i="23"/>
  <c r="DW22" i="23"/>
  <c r="DW21" i="23"/>
  <c r="DW20" i="23"/>
  <c r="DW19" i="23"/>
  <c r="DW18" i="23"/>
  <c r="DW17" i="23"/>
  <c r="DW16" i="23"/>
  <c r="DW15" i="23"/>
  <c r="DW14" i="23"/>
  <c r="DW13" i="23"/>
  <c r="DW12" i="23"/>
  <c r="DW11" i="23"/>
  <c r="DW10" i="23"/>
  <c r="DW9" i="23"/>
  <c r="DW8" i="23"/>
  <c r="DW7" i="23"/>
  <c r="DW6" i="23"/>
  <c r="DW5" i="23"/>
  <c r="DW4" i="23"/>
  <c r="DW3" i="23"/>
  <c r="DX12" i="23" l="1"/>
  <c r="EE12" i="23"/>
  <c r="DX28" i="23"/>
  <c r="EE28" i="23"/>
  <c r="DX44" i="23"/>
  <c r="EE44" i="23"/>
  <c r="DX60" i="23"/>
  <c r="EE60" i="23"/>
  <c r="DX72" i="23"/>
  <c r="EE72" i="23"/>
  <c r="DX84" i="23"/>
  <c r="EE84" i="23"/>
  <c r="DX96" i="23"/>
  <c r="EE96" i="23"/>
  <c r="DX108" i="23"/>
  <c r="EE108" i="23"/>
  <c r="DX120" i="23"/>
  <c r="EE120" i="23"/>
  <c r="DX132" i="23"/>
  <c r="EE132" i="23"/>
  <c r="DX144" i="23"/>
  <c r="EE144" i="23"/>
  <c r="DX156" i="23"/>
  <c r="EE156" i="23"/>
  <c r="DX172" i="23"/>
  <c r="EE172" i="23"/>
  <c r="DX188" i="23"/>
  <c r="EE188" i="23"/>
  <c r="DX9" i="23"/>
  <c r="EE9" i="23"/>
  <c r="DX13" i="23"/>
  <c r="EE13" i="23"/>
  <c r="DX17" i="23"/>
  <c r="EE17" i="23"/>
  <c r="DX21" i="23"/>
  <c r="EE21" i="23"/>
  <c r="DX25" i="23"/>
  <c r="EE25" i="23"/>
  <c r="DX29" i="23"/>
  <c r="EE29" i="23"/>
  <c r="DX33" i="23"/>
  <c r="EE33" i="23"/>
  <c r="DX37" i="23"/>
  <c r="EE37" i="23"/>
  <c r="DX41" i="23"/>
  <c r="EE41" i="23"/>
  <c r="DX45" i="23"/>
  <c r="EE45" i="23"/>
  <c r="DX49" i="23"/>
  <c r="EE49" i="23"/>
  <c r="DX53" i="23"/>
  <c r="EE53" i="23"/>
  <c r="DX57" i="23"/>
  <c r="EE57" i="23"/>
  <c r="DX61" i="23"/>
  <c r="EE61" i="23"/>
  <c r="DX65" i="23"/>
  <c r="EE65" i="23"/>
  <c r="DX69" i="23"/>
  <c r="EE69" i="23"/>
  <c r="DX73" i="23"/>
  <c r="EE73" i="23"/>
  <c r="DX77" i="23"/>
  <c r="EE77" i="23"/>
  <c r="DX81" i="23"/>
  <c r="EE81" i="23"/>
  <c r="DX85" i="23"/>
  <c r="EE85" i="23"/>
  <c r="DX89" i="23"/>
  <c r="EE89" i="23"/>
  <c r="DX93" i="23"/>
  <c r="EE93" i="23"/>
  <c r="DX97" i="23"/>
  <c r="EE97" i="23"/>
  <c r="DX101" i="23"/>
  <c r="EE101" i="23"/>
  <c r="DX105" i="23"/>
  <c r="EE105" i="23"/>
  <c r="DX109" i="23"/>
  <c r="EE109" i="23"/>
  <c r="DX113" i="23"/>
  <c r="EE113" i="23"/>
  <c r="DX117" i="23"/>
  <c r="EE117" i="23"/>
  <c r="DX121" i="23"/>
  <c r="EE121" i="23"/>
  <c r="DX125" i="23"/>
  <c r="EE125" i="23"/>
  <c r="DX129" i="23"/>
  <c r="EE129" i="23"/>
  <c r="DX133" i="23"/>
  <c r="EE133" i="23"/>
  <c r="DX137" i="23"/>
  <c r="EE137" i="23"/>
  <c r="DX141" i="23"/>
  <c r="EE141" i="23"/>
  <c r="DX145" i="23"/>
  <c r="EE145" i="23"/>
  <c r="DX149" i="23"/>
  <c r="EE149" i="23"/>
  <c r="DX153" i="23"/>
  <c r="EE153" i="23"/>
  <c r="DX157" i="23"/>
  <c r="EE157" i="23"/>
  <c r="DX161" i="23"/>
  <c r="EE161" i="23"/>
  <c r="DX165" i="23"/>
  <c r="EE165" i="23"/>
  <c r="DX169" i="23"/>
  <c r="EE169" i="23"/>
  <c r="DX173" i="23"/>
  <c r="EE173" i="23"/>
  <c r="DX177" i="23"/>
  <c r="EE177" i="23"/>
  <c r="DX181" i="23"/>
  <c r="EE181" i="23"/>
  <c r="DX185" i="23"/>
  <c r="EE185" i="23"/>
  <c r="DX189" i="23"/>
  <c r="EE189" i="23"/>
  <c r="DX8" i="23"/>
  <c r="EE8" i="23"/>
  <c r="DX24" i="23"/>
  <c r="EE24" i="23"/>
  <c r="DX36" i="23"/>
  <c r="EE36" i="23"/>
  <c r="DX48" i="23"/>
  <c r="EE48" i="23"/>
  <c r="DX56" i="23"/>
  <c r="EE56" i="23"/>
  <c r="DX68" i="23"/>
  <c r="EE68" i="23"/>
  <c r="DX80" i="23"/>
  <c r="EE80" i="23"/>
  <c r="DX92" i="23"/>
  <c r="EE92" i="23"/>
  <c r="DX100" i="23"/>
  <c r="EE100" i="23"/>
  <c r="DX112" i="23"/>
  <c r="EE112" i="23"/>
  <c r="DX128" i="23"/>
  <c r="EE128" i="23"/>
  <c r="DX140" i="23"/>
  <c r="EE140" i="23"/>
  <c r="DX152" i="23"/>
  <c r="EE152" i="23"/>
  <c r="DX164" i="23"/>
  <c r="EE164" i="23"/>
  <c r="DX176" i="23"/>
  <c r="EE176" i="23"/>
  <c r="DX180" i="23"/>
  <c r="EE180" i="23"/>
  <c r="DX5" i="23"/>
  <c r="EE5" i="23"/>
  <c r="DX6" i="23"/>
  <c r="EE6" i="23"/>
  <c r="DX10" i="23"/>
  <c r="EE10" i="23"/>
  <c r="DX14" i="23"/>
  <c r="EE14" i="23"/>
  <c r="DX18" i="23"/>
  <c r="EE18" i="23"/>
  <c r="DX22" i="23"/>
  <c r="EE22" i="23"/>
  <c r="DX26" i="23"/>
  <c r="EE26" i="23"/>
  <c r="DX30" i="23"/>
  <c r="EE30" i="23"/>
  <c r="DX34" i="23"/>
  <c r="EE34" i="23"/>
  <c r="DX38" i="23"/>
  <c r="EE38" i="23"/>
  <c r="DX42" i="23"/>
  <c r="EE42" i="23"/>
  <c r="DX46" i="23"/>
  <c r="EE46" i="23"/>
  <c r="DX50" i="23"/>
  <c r="EE50" i="23"/>
  <c r="DX54" i="23"/>
  <c r="EE54" i="23"/>
  <c r="DX58" i="23"/>
  <c r="EE58" i="23"/>
  <c r="DX62" i="23"/>
  <c r="EE62" i="23"/>
  <c r="DX66" i="23"/>
  <c r="EE66" i="23"/>
  <c r="DX70" i="23"/>
  <c r="EE70" i="23"/>
  <c r="DX74" i="23"/>
  <c r="EE74" i="23"/>
  <c r="DX78" i="23"/>
  <c r="EE78" i="23"/>
  <c r="DX82" i="23"/>
  <c r="EE82" i="23"/>
  <c r="DX86" i="23"/>
  <c r="EE86" i="23"/>
  <c r="DX90" i="23"/>
  <c r="EE90" i="23"/>
  <c r="DX94" i="23"/>
  <c r="EE94" i="23"/>
  <c r="DX98" i="23"/>
  <c r="EE98" i="23"/>
  <c r="DX102" i="23"/>
  <c r="EE102" i="23"/>
  <c r="DX106" i="23"/>
  <c r="EE106" i="23"/>
  <c r="DX110" i="23"/>
  <c r="EE110" i="23"/>
  <c r="DX114" i="23"/>
  <c r="EE114" i="23"/>
  <c r="DX118" i="23"/>
  <c r="EE118" i="23"/>
  <c r="DX122" i="23"/>
  <c r="EE122" i="23"/>
  <c r="DX126" i="23"/>
  <c r="EE126" i="23"/>
  <c r="DX130" i="23"/>
  <c r="EE130" i="23"/>
  <c r="DX134" i="23"/>
  <c r="EE134" i="23"/>
  <c r="DX138" i="23"/>
  <c r="EE138" i="23"/>
  <c r="DX142" i="23"/>
  <c r="EE142" i="23"/>
  <c r="DX146" i="23"/>
  <c r="EE146" i="23"/>
  <c r="DX150" i="23"/>
  <c r="EE150" i="23"/>
  <c r="DX154" i="23"/>
  <c r="EE154" i="23"/>
  <c r="DX158" i="23"/>
  <c r="EE158" i="23"/>
  <c r="DX162" i="23"/>
  <c r="EE162" i="23"/>
  <c r="DX166" i="23"/>
  <c r="EE166" i="23"/>
  <c r="DX170" i="23"/>
  <c r="EE170" i="23"/>
  <c r="DX174" i="23"/>
  <c r="EE174" i="23"/>
  <c r="DX178" i="23"/>
  <c r="EE178" i="23"/>
  <c r="DX182" i="23"/>
  <c r="EE182" i="23"/>
  <c r="DX186" i="23"/>
  <c r="EE186" i="23"/>
  <c r="DX190" i="23"/>
  <c r="EE190" i="23"/>
  <c r="DX4" i="23"/>
  <c r="EE4" i="23"/>
  <c r="DX16" i="23"/>
  <c r="EE16" i="23"/>
  <c r="DX20" i="23"/>
  <c r="EE20" i="23"/>
  <c r="DX32" i="23"/>
  <c r="EE32" i="23"/>
  <c r="DX40" i="23"/>
  <c r="EE40" i="23"/>
  <c r="DX52" i="23"/>
  <c r="EE52" i="23"/>
  <c r="DX64" i="23"/>
  <c r="EE64" i="23"/>
  <c r="DX76" i="23"/>
  <c r="EE76" i="23"/>
  <c r="DX88" i="23"/>
  <c r="EE88" i="23"/>
  <c r="DX104" i="23"/>
  <c r="EE104" i="23"/>
  <c r="DX116" i="23"/>
  <c r="EE116" i="23"/>
  <c r="DX124" i="23"/>
  <c r="EE124" i="23"/>
  <c r="DX136" i="23"/>
  <c r="EE136" i="23"/>
  <c r="DX148" i="23"/>
  <c r="EE148" i="23"/>
  <c r="DX160" i="23"/>
  <c r="EE160" i="23"/>
  <c r="DX168" i="23"/>
  <c r="EE168" i="23"/>
  <c r="DX184" i="23"/>
  <c r="EE184" i="23"/>
  <c r="DX3" i="23"/>
  <c r="EE3" i="23"/>
  <c r="DX7" i="23"/>
  <c r="EE7" i="23"/>
  <c r="DX11" i="23"/>
  <c r="EE11" i="23"/>
  <c r="DX15" i="23"/>
  <c r="EE15" i="23"/>
  <c r="DX19" i="23"/>
  <c r="EE19" i="23"/>
  <c r="DX23" i="23"/>
  <c r="EE23" i="23"/>
  <c r="DX27" i="23"/>
  <c r="EE27" i="23"/>
  <c r="DX31" i="23"/>
  <c r="EE31" i="23"/>
  <c r="DX35" i="23"/>
  <c r="EE35" i="23"/>
  <c r="DX39" i="23"/>
  <c r="EE39" i="23"/>
  <c r="DX43" i="23"/>
  <c r="EE43" i="23"/>
  <c r="DX47" i="23"/>
  <c r="EE47" i="23"/>
  <c r="DX51" i="23"/>
  <c r="EE51" i="23"/>
  <c r="DX55" i="23"/>
  <c r="EE55" i="23"/>
  <c r="DX59" i="23"/>
  <c r="EE59" i="23"/>
  <c r="DX63" i="23"/>
  <c r="EE63" i="23"/>
  <c r="DX67" i="23"/>
  <c r="EE67" i="23"/>
  <c r="DX71" i="23"/>
  <c r="EE71" i="23"/>
  <c r="DX75" i="23"/>
  <c r="EE75" i="23"/>
  <c r="DX79" i="23"/>
  <c r="EE79" i="23"/>
  <c r="DX83" i="23"/>
  <c r="EE83" i="23"/>
  <c r="DX87" i="23"/>
  <c r="EE87" i="23"/>
  <c r="DX91" i="23"/>
  <c r="EE91" i="23"/>
  <c r="DX95" i="23"/>
  <c r="EE95" i="23"/>
  <c r="DX99" i="23"/>
  <c r="EE99" i="23"/>
  <c r="DX103" i="23"/>
  <c r="EE103" i="23"/>
  <c r="DX107" i="23"/>
  <c r="EE107" i="23"/>
  <c r="DX111" i="23"/>
  <c r="EE111" i="23"/>
  <c r="DX115" i="23"/>
  <c r="EE115" i="23"/>
  <c r="DX119" i="23"/>
  <c r="EE119" i="23"/>
  <c r="DX123" i="23"/>
  <c r="EE123" i="23"/>
  <c r="DX127" i="23"/>
  <c r="EE127" i="23"/>
  <c r="DX131" i="23"/>
  <c r="EE131" i="23"/>
  <c r="DX135" i="23"/>
  <c r="EE135" i="23"/>
  <c r="DX139" i="23"/>
  <c r="EE139" i="23"/>
  <c r="DX143" i="23"/>
  <c r="EE143" i="23"/>
  <c r="DX147" i="23"/>
  <c r="EE147" i="23"/>
  <c r="DX151" i="23"/>
  <c r="EE151" i="23"/>
  <c r="DX155" i="23"/>
  <c r="EE155" i="23"/>
  <c r="DX159" i="23"/>
  <c r="EE159" i="23"/>
  <c r="DX163" i="23"/>
  <c r="EE163" i="23"/>
  <c r="DX167" i="23"/>
  <c r="EE167" i="23"/>
  <c r="DX171" i="23"/>
  <c r="EE171" i="23"/>
  <c r="DX175" i="23"/>
  <c r="EE175" i="23"/>
  <c r="DX179" i="23"/>
  <c r="EE179" i="23"/>
  <c r="DX183" i="23"/>
  <c r="EE183" i="23"/>
  <c r="DX187" i="23"/>
  <c r="EE187" i="23"/>
  <c r="DE190" i="23"/>
  <c r="DO190" i="23" s="1"/>
  <c r="DE189" i="23"/>
  <c r="DE188" i="23"/>
  <c r="DE187" i="23"/>
  <c r="DE186" i="23"/>
  <c r="DE185" i="23"/>
  <c r="DE184" i="23"/>
  <c r="DE183" i="23"/>
  <c r="DE182" i="23"/>
  <c r="DE181" i="23"/>
  <c r="DE180" i="23"/>
  <c r="DE179" i="23"/>
  <c r="DE178" i="23"/>
  <c r="DE177" i="23"/>
  <c r="DE176" i="23"/>
  <c r="DE175" i="23"/>
  <c r="DE174" i="23"/>
  <c r="DE173" i="23"/>
  <c r="DE172" i="23"/>
  <c r="DE171" i="23"/>
  <c r="DE170" i="23"/>
  <c r="DE169" i="23"/>
  <c r="DE168" i="23"/>
  <c r="DE167" i="23"/>
  <c r="DE166" i="23"/>
  <c r="DE165" i="23"/>
  <c r="DE164" i="23"/>
  <c r="DE163" i="23"/>
  <c r="DE162" i="23"/>
  <c r="DE161" i="23"/>
  <c r="DE160" i="23"/>
  <c r="DE159" i="23"/>
  <c r="DE158" i="23"/>
  <c r="DE157" i="23"/>
  <c r="DE156" i="23"/>
  <c r="DE155" i="23"/>
  <c r="DE154" i="23"/>
  <c r="DE153" i="23"/>
  <c r="DE152" i="23"/>
  <c r="DE151" i="23"/>
  <c r="DE150" i="23"/>
  <c r="DE149" i="23"/>
  <c r="DE148" i="23"/>
  <c r="DE147" i="23"/>
  <c r="DE146" i="23"/>
  <c r="DE145" i="23"/>
  <c r="DE144" i="23"/>
  <c r="DE143" i="23"/>
  <c r="DE142" i="23"/>
  <c r="DE141" i="23"/>
  <c r="DE140" i="23"/>
  <c r="DE139" i="23"/>
  <c r="DE138" i="23"/>
  <c r="DE137" i="23"/>
  <c r="DE136" i="23"/>
  <c r="DE135" i="23"/>
  <c r="DE134" i="23"/>
  <c r="DE133" i="23"/>
  <c r="DE132" i="23"/>
  <c r="DE131" i="23"/>
  <c r="DE130" i="23"/>
  <c r="DE129" i="23"/>
  <c r="DE128" i="23"/>
  <c r="DE127" i="23"/>
  <c r="DE126" i="23"/>
  <c r="DE125" i="23"/>
  <c r="DE124" i="23"/>
  <c r="DE123" i="23"/>
  <c r="DE122" i="23"/>
  <c r="DE121" i="23"/>
  <c r="DE120" i="23"/>
  <c r="DE119" i="23"/>
  <c r="DE118" i="23"/>
  <c r="DE117" i="23"/>
  <c r="DE116" i="23"/>
  <c r="DE115" i="23"/>
  <c r="DE114" i="23"/>
  <c r="DE113" i="23"/>
  <c r="DE112" i="23"/>
  <c r="DE111" i="23"/>
  <c r="DE110" i="23"/>
  <c r="DE109" i="23"/>
  <c r="DE108" i="23"/>
  <c r="DE107" i="23"/>
  <c r="DE106" i="23"/>
  <c r="DE105" i="23"/>
  <c r="DE104" i="23"/>
  <c r="DE103" i="23"/>
  <c r="DE102" i="23"/>
  <c r="DE101" i="23"/>
  <c r="DE100" i="23"/>
  <c r="DE99" i="23"/>
  <c r="DE98" i="23"/>
  <c r="DE97" i="23"/>
  <c r="DE96" i="23"/>
  <c r="DE95" i="23"/>
  <c r="DE94" i="23"/>
  <c r="DE93" i="23"/>
  <c r="DE92" i="23"/>
  <c r="DE91" i="23"/>
  <c r="DE90" i="23"/>
  <c r="DE89" i="23"/>
  <c r="DE88" i="23"/>
  <c r="DE87" i="23"/>
  <c r="DE86" i="23"/>
  <c r="DE85" i="23"/>
  <c r="DE83" i="23"/>
  <c r="DE82" i="23"/>
  <c r="DE81" i="23"/>
  <c r="DE80" i="23"/>
  <c r="DE79" i="23"/>
  <c r="DE78" i="23"/>
  <c r="DE77" i="23"/>
  <c r="DE76" i="23"/>
  <c r="DE75" i="23"/>
  <c r="DE74" i="23"/>
  <c r="DE73" i="23"/>
  <c r="DE72" i="23"/>
  <c r="DE71" i="23"/>
  <c r="DE70" i="23"/>
  <c r="DE69" i="23"/>
  <c r="DE68" i="23"/>
  <c r="DE67" i="23"/>
  <c r="DE66" i="23"/>
  <c r="DE65" i="23"/>
  <c r="DE64" i="23"/>
  <c r="DE63" i="23"/>
  <c r="DE62" i="23"/>
  <c r="DE61" i="23"/>
  <c r="DE60" i="23"/>
  <c r="DE59" i="23"/>
  <c r="DE58" i="23"/>
  <c r="DE57" i="23"/>
  <c r="DE56" i="23"/>
  <c r="DE55" i="23"/>
  <c r="DE54" i="23"/>
  <c r="DE53" i="23"/>
  <c r="DE52" i="23"/>
  <c r="DE51" i="23"/>
  <c r="DE50" i="23"/>
  <c r="DE49" i="23"/>
  <c r="DE48" i="23"/>
  <c r="DE47" i="23"/>
  <c r="DE46" i="23"/>
  <c r="DE45" i="23"/>
  <c r="DE44" i="23"/>
  <c r="DE43" i="23"/>
  <c r="DE42" i="23"/>
  <c r="DE41" i="23"/>
  <c r="DE40" i="23"/>
  <c r="DE39" i="23"/>
  <c r="DE38" i="23"/>
  <c r="DE37" i="23"/>
  <c r="DE36" i="23"/>
  <c r="DE35" i="23"/>
  <c r="DE34" i="23"/>
  <c r="DE33" i="23"/>
  <c r="DE32" i="23"/>
  <c r="DE31" i="23"/>
  <c r="DE30" i="23"/>
  <c r="DE29" i="23"/>
  <c r="DE28" i="23"/>
  <c r="DE27" i="23"/>
  <c r="DE26" i="23"/>
  <c r="DE25" i="23"/>
  <c r="DE24" i="23"/>
  <c r="DE23" i="23"/>
  <c r="DE22" i="23"/>
  <c r="DE21" i="23"/>
  <c r="DE20" i="23"/>
  <c r="DE19" i="23"/>
  <c r="DE18" i="23"/>
  <c r="DE17" i="23"/>
  <c r="DE16" i="23"/>
  <c r="DE15" i="23"/>
  <c r="DE14" i="23"/>
  <c r="DE13" i="23"/>
  <c r="DE12" i="23"/>
  <c r="DE11" i="23"/>
  <c r="DE10" i="23"/>
  <c r="DE9" i="23"/>
  <c r="DE8" i="23"/>
  <c r="DE7" i="23"/>
  <c r="DE6" i="23"/>
  <c r="DE5" i="23"/>
  <c r="DE4" i="23"/>
  <c r="DE3" i="23"/>
  <c r="DG190" i="23"/>
  <c r="DG84" i="23"/>
  <c r="DG10" i="23" l="1"/>
  <c r="DO10" i="23"/>
  <c r="DG18" i="23"/>
  <c r="DO18" i="23"/>
  <c r="DG30" i="23"/>
  <c r="DO30" i="23"/>
  <c r="DG38" i="23"/>
  <c r="DO38" i="23"/>
  <c r="DG42" i="23"/>
  <c r="DO42" i="23"/>
  <c r="DG54" i="23"/>
  <c r="DO54" i="23"/>
  <c r="DG62" i="23"/>
  <c r="DO62" i="23"/>
  <c r="DG70" i="23"/>
  <c r="DO70" i="23"/>
  <c r="DG78" i="23"/>
  <c r="DO78" i="23"/>
  <c r="DG87" i="23"/>
  <c r="DO87" i="23"/>
  <c r="DG95" i="23"/>
  <c r="DO95" i="23"/>
  <c r="DG103" i="23"/>
  <c r="DO103" i="23"/>
  <c r="DG111" i="23"/>
  <c r="DO111" i="23"/>
  <c r="DG119" i="23"/>
  <c r="DO119" i="23"/>
  <c r="DG127" i="23"/>
  <c r="DO127" i="23"/>
  <c r="DG135" i="23"/>
  <c r="DO135" i="23"/>
  <c r="DG143" i="23"/>
  <c r="DO143" i="23"/>
  <c r="DG151" i="23"/>
  <c r="DO151" i="23"/>
  <c r="DG159" i="23"/>
  <c r="DO159" i="23"/>
  <c r="DG167" i="23"/>
  <c r="DO167" i="23"/>
  <c r="DG175" i="23"/>
  <c r="DO175" i="23"/>
  <c r="DG183" i="23"/>
  <c r="DO183" i="23"/>
  <c r="DG3" i="23"/>
  <c r="DO3" i="23"/>
  <c r="DG11" i="23"/>
  <c r="DO11" i="23"/>
  <c r="DG19" i="23"/>
  <c r="DO19" i="23"/>
  <c r="DG23" i="23"/>
  <c r="DO23" i="23"/>
  <c r="DG27" i="23"/>
  <c r="DO27" i="23"/>
  <c r="DG31" i="23"/>
  <c r="DO31" i="23"/>
  <c r="DG35" i="23"/>
  <c r="DO35" i="23"/>
  <c r="DG39" i="23"/>
  <c r="DO39" i="23"/>
  <c r="DG43" i="23"/>
  <c r="DO43" i="23"/>
  <c r="DG47" i="23"/>
  <c r="DO47" i="23"/>
  <c r="DG51" i="23"/>
  <c r="DO51" i="23"/>
  <c r="DG55" i="23"/>
  <c r="DO55" i="23"/>
  <c r="DG59" i="23"/>
  <c r="DO59" i="23"/>
  <c r="DG63" i="23"/>
  <c r="DO63" i="23"/>
  <c r="DG67" i="23"/>
  <c r="DO67" i="23"/>
  <c r="DG71" i="23"/>
  <c r="DO71" i="23"/>
  <c r="DG75" i="23"/>
  <c r="DO75" i="23"/>
  <c r="DG79" i="23"/>
  <c r="DO79" i="23"/>
  <c r="DG83" i="23"/>
  <c r="DO83" i="23"/>
  <c r="DG88" i="23"/>
  <c r="DO88" i="23"/>
  <c r="DG92" i="23"/>
  <c r="DO92" i="23"/>
  <c r="DG96" i="23"/>
  <c r="DO96" i="23"/>
  <c r="DG100" i="23"/>
  <c r="DO100" i="23"/>
  <c r="DG104" i="23"/>
  <c r="DO104" i="23"/>
  <c r="DG108" i="23"/>
  <c r="DO108" i="23"/>
  <c r="DG112" i="23"/>
  <c r="DO112" i="23"/>
  <c r="DG116" i="23"/>
  <c r="DO116" i="23"/>
  <c r="DG120" i="23"/>
  <c r="DO120" i="23"/>
  <c r="DG124" i="23"/>
  <c r="DO124" i="23"/>
  <c r="DG128" i="23"/>
  <c r="DO128" i="23"/>
  <c r="DG132" i="23"/>
  <c r="DO132" i="23"/>
  <c r="DG136" i="23"/>
  <c r="DO136" i="23"/>
  <c r="DG140" i="23"/>
  <c r="DO140" i="23"/>
  <c r="DG144" i="23"/>
  <c r="DO144" i="23"/>
  <c r="DG148" i="23"/>
  <c r="DO148" i="23"/>
  <c r="DG152" i="23"/>
  <c r="DO152" i="23"/>
  <c r="DG156" i="23"/>
  <c r="DO156" i="23"/>
  <c r="DG160" i="23"/>
  <c r="DO160" i="23"/>
  <c r="DG164" i="23"/>
  <c r="DO164" i="23"/>
  <c r="DG168" i="23"/>
  <c r="DO168" i="23"/>
  <c r="DG172" i="23"/>
  <c r="DO172" i="23"/>
  <c r="DG176" i="23"/>
  <c r="DO176" i="23"/>
  <c r="DG180" i="23"/>
  <c r="DO180" i="23"/>
  <c r="DG184" i="23"/>
  <c r="DO184" i="23"/>
  <c r="DG188" i="23"/>
  <c r="DO188" i="23"/>
  <c r="DG6" i="23"/>
  <c r="DO6" i="23"/>
  <c r="DG22" i="23"/>
  <c r="DO22" i="23"/>
  <c r="DG26" i="23"/>
  <c r="DO26" i="23"/>
  <c r="DG34" i="23"/>
  <c r="DO34" i="23"/>
  <c r="DG46" i="23"/>
  <c r="DO46" i="23"/>
  <c r="DG50" i="23"/>
  <c r="DO50" i="23"/>
  <c r="DG58" i="23"/>
  <c r="DO58" i="23"/>
  <c r="DG66" i="23"/>
  <c r="DO66" i="23"/>
  <c r="DG74" i="23"/>
  <c r="DO74" i="23"/>
  <c r="DG82" i="23"/>
  <c r="DO82" i="23"/>
  <c r="DG91" i="23"/>
  <c r="DO91" i="23"/>
  <c r="DG99" i="23"/>
  <c r="DO99" i="23"/>
  <c r="DG107" i="23"/>
  <c r="DO107" i="23"/>
  <c r="DG115" i="23"/>
  <c r="DO115" i="23"/>
  <c r="DG123" i="23"/>
  <c r="DO123" i="23"/>
  <c r="DG131" i="23"/>
  <c r="DO131" i="23"/>
  <c r="DG139" i="23"/>
  <c r="DO139" i="23"/>
  <c r="DG147" i="23"/>
  <c r="DO147" i="23"/>
  <c r="DG155" i="23"/>
  <c r="DO155" i="23"/>
  <c r="DG163" i="23"/>
  <c r="DO163" i="23"/>
  <c r="DG171" i="23"/>
  <c r="DO171" i="23"/>
  <c r="DG179" i="23"/>
  <c r="DO179" i="23"/>
  <c r="DG187" i="23"/>
  <c r="DO187" i="23"/>
  <c r="DG7" i="23"/>
  <c r="DO7" i="23"/>
  <c r="DG15" i="23"/>
  <c r="DO15" i="23"/>
  <c r="DG4" i="23"/>
  <c r="DO4" i="23"/>
  <c r="DG8" i="23"/>
  <c r="DO8" i="23"/>
  <c r="DG12" i="23"/>
  <c r="DO12" i="23"/>
  <c r="DG16" i="23"/>
  <c r="DO16" i="23"/>
  <c r="DG20" i="23"/>
  <c r="DO20" i="23"/>
  <c r="DG24" i="23"/>
  <c r="DO24" i="23"/>
  <c r="DG28" i="23"/>
  <c r="DO28" i="23"/>
  <c r="DG32" i="23"/>
  <c r="DO32" i="23"/>
  <c r="DG36" i="23"/>
  <c r="DO36" i="23"/>
  <c r="DG40" i="23"/>
  <c r="DO40" i="23"/>
  <c r="DG44" i="23"/>
  <c r="DO44" i="23"/>
  <c r="DG48" i="23"/>
  <c r="DO48" i="23"/>
  <c r="DG52" i="23"/>
  <c r="DO52" i="23"/>
  <c r="DG56" i="23"/>
  <c r="DO56" i="23"/>
  <c r="DG60" i="23"/>
  <c r="DO60" i="23"/>
  <c r="DG64" i="23"/>
  <c r="DO64" i="23"/>
  <c r="DG68" i="23"/>
  <c r="DO68" i="23"/>
  <c r="DG72" i="23"/>
  <c r="DO72" i="23"/>
  <c r="DG76" i="23"/>
  <c r="DO76" i="23"/>
  <c r="DG80" i="23"/>
  <c r="DO80" i="23"/>
  <c r="DG85" i="23"/>
  <c r="DO85" i="23"/>
  <c r="DG89" i="23"/>
  <c r="DO89" i="23"/>
  <c r="DG93" i="23"/>
  <c r="DO93" i="23"/>
  <c r="DG97" i="23"/>
  <c r="DO97" i="23"/>
  <c r="DG101" i="23"/>
  <c r="DO101" i="23"/>
  <c r="DG105" i="23"/>
  <c r="DO105" i="23"/>
  <c r="DG109" i="23"/>
  <c r="DO109" i="23"/>
  <c r="DG113" i="23"/>
  <c r="DO113" i="23"/>
  <c r="DG117" i="23"/>
  <c r="DO117" i="23"/>
  <c r="DG121" i="23"/>
  <c r="DO121" i="23"/>
  <c r="DG125" i="23"/>
  <c r="DO125" i="23"/>
  <c r="DG129" i="23"/>
  <c r="DO129" i="23"/>
  <c r="DG133" i="23"/>
  <c r="DO133" i="23"/>
  <c r="DG137" i="23"/>
  <c r="DO137" i="23"/>
  <c r="DG141" i="23"/>
  <c r="DO141" i="23"/>
  <c r="DG145" i="23"/>
  <c r="DO145" i="23"/>
  <c r="DG149" i="23"/>
  <c r="DO149" i="23"/>
  <c r="DG153" i="23"/>
  <c r="DO153" i="23"/>
  <c r="DG157" i="23"/>
  <c r="DO157" i="23"/>
  <c r="DG161" i="23"/>
  <c r="DO161" i="23"/>
  <c r="DG165" i="23"/>
  <c r="DO165" i="23"/>
  <c r="DG169" i="23"/>
  <c r="DO169" i="23"/>
  <c r="DG173" i="23"/>
  <c r="DO173" i="23"/>
  <c r="DG177" i="23"/>
  <c r="DO177" i="23"/>
  <c r="DG181" i="23"/>
  <c r="DO181" i="23"/>
  <c r="DG185" i="23"/>
  <c r="DO185" i="23"/>
  <c r="DG189" i="23"/>
  <c r="DO189" i="23"/>
  <c r="DG14" i="23"/>
  <c r="DO14" i="23"/>
  <c r="DG5" i="23"/>
  <c r="DO5" i="23"/>
  <c r="DG9" i="23"/>
  <c r="DO9" i="23"/>
  <c r="DG13" i="23"/>
  <c r="DO13" i="23"/>
  <c r="DG17" i="23"/>
  <c r="DO17" i="23"/>
  <c r="DG21" i="23"/>
  <c r="DO21" i="23"/>
  <c r="DG25" i="23"/>
  <c r="DO25" i="23"/>
  <c r="DG29" i="23"/>
  <c r="DO29" i="23"/>
  <c r="DG33" i="23"/>
  <c r="DO33" i="23"/>
  <c r="DG37" i="23"/>
  <c r="DO37" i="23"/>
  <c r="DG41" i="23"/>
  <c r="DO41" i="23"/>
  <c r="DG45" i="23"/>
  <c r="DO45" i="23"/>
  <c r="DG49" i="23"/>
  <c r="DO49" i="23"/>
  <c r="DG53" i="23"/>
  <c r="DO53" i="23"/>
  <c r="DG57" i="23"/>
  <c r="DO57" i="23"/>
  <c r="DG61" i="23"/>
  <c r="DO61" i="23"/>
  <c r="DG65" i="23"/>
  <c r="DO65" i="23"/>
  <c r="DG69" i="23"/>
  <c r="DO69" i="23"/>
  <c r="DG73" i="23"/>
  <c r="DO73" i="23"/>
  <c r="DG77" i="23"/>
  <c r="DO77" i="23"/>
  <c r="DG81" i="23"/>
  <c r="DO81" i="23"/>
  <c r="DG86" i="23"/>
  <c r="DO86" i="23"/>
  <c r="DG90" i="23"/>
  <c r="DO90" i="23"/>
  <c r="DG94" i="23"/>
  <c r="DO94" i="23"/>
  <c r="DG98" i="23"/>
  <c r="DO98" i="23"/>
  <c r="DG102" i="23"/>
  <c r="DO102" i="23"/>
  <c r="DG106" i="23"/>
  <c r="DO106" i="23"/>
  <c r="DG110" i="23"/>
  <c r="DO110" i="23"/>
  <c r="DG114" i="23"/>
  <c r="DO114" i="23"/>
  <c r="DG118" i="23"/>
  <c r="DO118" i="23"/>
  <c r="DG122" i="23"/>
  <c r="DO122" i="23"/>
  <c r="DG126" i="23"/>
  <c r="DO126" i="23"/>
  <c r="DG130" i="23"/>
  <c r="DO130" i="23"/>
  <c r="DG134" i="23"/>
  <c r="DO134" i="23"/>
  <c r="DG138" i="23"/>
  <c r="DO138" i="23"/>
  <c r="DG142" i="23"/>
  <c r="DO142" i="23"/>
  <c r="DG146" i="23"/>
  <c r="DO146" i="23"/>
  <c r="DG150" i="23"/>
  <c r="DO150" i="23"/>
  <c r="DG154" i="23"/>
  <c r="DO154" i="23"/>
  <c r="DG158" i="23"/>
  <c r="DO158" i="23"/>
  <c r="DG162" i="23"/>
  <c r="DO162" i="23"/>
  <c r="DG166" i="23"/>
  <c r="DO166" i="23"/>
  <c r="DG170" i="23"/>
  <c r="DO170" i="23"/>
  <c r="DG174" i="23"/>
  <c r="DO174" i="23"/>
  <c r="DG178" i="23"/>
  <c r="DO178" i="23"/>
  <c r="DG182" i="23"/>
  <c r="DO182" i="23"/>
  <c r="DG186" i="23"/>
  <c r="DO186" i="23"/>
  <c r="Z7" i="10"/>
  <c r="CV2" i="23" s="1"/>
  <c r="Z6" i="10"/>
  <c r="CU2" i="23" s="1"/>
  <c r="Z5" i="10"/>
  <c r="CT2" i="23" s="1"/>
  <c r="Z4" i="10"/>
  <c r="CS2" i="23" s="1"/>
  <c r="Z3" i="10"/>
  <c r="CR2" i="23" s="1"/>
  <c r="Z2" i="10"/>
  <c r="CQ2" i="23" s="1"/>
  <c r="CV190" i="23"/>
  <c r="CW190" i="23" s="1"/>
  <c r="CV189" i="23"/>
  <c r="CW189" i="23" s="1"/>
  <c r="CV188" i="23"/>
  <c r="CW188" i="23" s="1"/>
  <c r="CV187" i="23"/>
  <c r="CW187" i="23" s="1"/>
  <c r="CV186" i="23"/>
  <c r="CW186" i="23" s="1"/>
  <c r="CV185" i="23"/>
  <c r="CW185" i="23" s="1"/>
  <c r="CV184" i="23"/>
  <c r="CW184" i="23" s="1"/>
  <c r="CV183" i="23"/>
  <c r="CW183" i="23" s="1"/>
  <c r="CV182" i="23"/>
  <c r="CW182" i="23" s="1"/>
  <c r="CV181" i="23"/>
  <c r="CW181" i="23" s="1"/>
  <c r="CV180" i="23"/>
  <c r="CW180" i="23" s="1"/>
  <c r="CV179" i="23"/>
  <c r="CW179" i="23" s="1"/>
  <c r="CV178" i="23"/>
  <c r="CW178" i="23" s="1"/>
  <c r="CV177" i="23"/>
  <c r="CW177" i="23" s="1"/>
  <c r="CV176" i="23"/>
  <c r="CW176" i="23" s="1"/>
  <c r="CV175" i="23"/>
  <c r="CW175" i="23" s="1"/>
  <c r="CV174" i="23"/>
  <c r="CW174" i="23" s="1"/>
  <c r="CV173" i="23"/>
  <c r="CW173" i="23" s="1"/>
  <c r="CV172" i="23"/>
  <c r="CW172" i="23" s="1"/>
  <c r="CV171" i="23"/>
  <c r="CW171" i="23" s="1"/>
  <c r="CV170" i="23"/>
  <c r="CW170" i="23" s="1"/>
  <c r="CV169" i="23"/>
  <c r="CW169" i="23" s="1"/>
  <c r="CV168" i="23"/>
  <c r="CW168" i="23" s="1"/>
  <c r="CV167" i="23"/>
  <c r="CW167" i="23" s="1"/>
  <c r="CV166" i="23"/>
  <c r="CW166" i="23" s="1"/>
  <c r="CV165" i="23"/>
  <c r="CW165" i="23" s="1"/>
  <c r="CV164" i="23"/>
  <c r="CW164" i="23" s="1"/>
  <c r="CV163" i="23"/>
  <c r="CW163" i="23" s="1"/>
  <c r="CV162" i="23"/>
  <c r="CW162" i="23" s="1"/>
  <c r="CV161" i="23"/>
  <c r="CW161" i="23" s="1"/>
  <c r="CV160" i="23"/>
  <c r="CW160" i="23" s="1"/>
  <c r="CV159" i="23"/>
  <c r="CV158" i="23"/>
  <c r="CW158" i="23" s="1"/>
  <c r="CV157" i="23"/>
  <c r="CW157" i="23" s="1"/>
  <c r="CV156" i="23"/>
  <c r="CW156" i="23" s="1"/>
  <c r="CV155" i="23"/>
  <c r="CW155" i="23" s="1"/>
  <c r="CV154" i="23"/>
  <c r="CW154" i="23" s="1"/>
  <c r="CV153" i="23"/>
  <c r="CW153" i="23" s="1"/>
  <c r="CV152" i="23"/>
  <c r="CW152" i="23" s="1"/>
  <c r="CV151" i="23"/>
  <c r="CW151" i="23" s="1"/>
  <c r="CV150" i="23"/>
  <c r="CW150" i="23" s="1"/>
  <c r="CV149" i="23"/>
  <c r="CW149" i="23" s="1"/>
  <c r="CV148" i="23"/>
  <c r="CW148" i="23" s="1"/>
  <c r="CV147" i="23"/>
  <c r="CW147" i="23" s="1"/>
  <c r="CV146" i="23"/>
  <c r="CW146" i="23" s="1"/>
  <c r="CV145" i="23"/>
  <c r="CW145" i="23" s="1"/>
  <c r="CV144" i="23"/>
  <c r="CW144" i="23" s="1"/>
  <c r="CV143" i="23"/>
  <c r="CW143" i="23" s="1"/>
  <c r="CV142" i="23"/>
  <c r="CW142" i="23" s="1"/>
  <c r="CV141" i="23"/>
  <c r="CW141" i="23" s="1"/>
  <c r="CV140" i="23"/>
  <c r="CW140" i="23" s="1"/>
  <c r="CV139" i="23"/>
  <c r="CW139" i="23" s="1"/>
  <c r="CV138" i="23"/>
  <c r="CW138" i="23" s="1"/>
  <c r="CV137" i="23"/>
  <c r="CW137" i="23" s="1"/>
  <c r="CV136" i="23"/>
  <c r="CW136" i="23" s="1"/>
  <c r="CV135" i="23"/>
  <c r="CW135" i="23" s="1"/>
  <c r="CV134" i="23"/>
  <c r="CW134" i="23" s="1"/>
  <c r="CV133" i="23"/>
  <c r="CW133" i="23" s="1"/>
  <c r="CV132" i="23"/>
  <c r="CW132" i="23" s="1"/>
  <c r="CV131" i="23"/>
  <c r="CW131" i="23" s="1"/>
  <c r="CV130" i="23"/>
  <c r="CW130" i="23" s="1"/>
  <c r="CV129" i="23"/>
  <c r="CW129" i="23" s="1"/>
  <c r="CV128" i="23"/>
  <c r="CW128" i="23" s="1"/>
  <c r="CV127" i="23"/>
  <c r="CW127" i="23" s="1"/>
  <c r="CV126" i="23"/>
  <c r="CW126" i="23" s="1"/>
  <c r="CV125" i="23"/>
  <c r="CW125" i="23" s="1"/>
  <c r="CV124" i="23"/>
  <c r="CW124" i="23" s="1"/>
  <c r="CV123" i="23"/>
  <c r="CW123" i="23" s="1"/>
  <c r="CV122" i="23"/>
  <c r="CW122" i="23" s="1"/>
  <c r="CV121" i="23"/>
  <c r="CW121" i="23" s="1"/>
  <c r="CV120" i="23"/>
  <c r="CW120" i="23" s="1"/>
  <c r="CV119" i="23"/>
  <c r="CW119" i="23" s="1"/>
  <c r="CV118" i="23"/>
  <c r="CW118" i="23" s="1"/>
  <c r="CV117" i="23"/>
  <c r="CW117" i="23" s="1"/>
  <c r="CV116" i="23"/>
  <c r="CW116" i="23" s="1"/>
  <c r="CV115" i="23"/>
  <c r="CW115" i="23" s="1"/>
  <c r="CV114" i="23"/>
  <c r="CW114" i="23" s="1"/>
  <c r="CV113" i="23"/>
  <c r="CW113" i="23" s="1"/>
  <c r="CV112" i="23"/>
  <c r="CW112" i="23" s="1"/>
  <c r="CV111" i="23"/>
  <c r="CW111" i="23" s="1"/>
  <c r="CV110" i="23"/>
  <c r="CW110" i="23" s="1"/>
  <c r="CV109" i="23"/>
  <c r="CW109" i="23" s="1"/>
  <c r="CV108" i="23"/>
  <c r="CW108" i="23" s="1"/>
  <c r="CV107" i="23"/>
  <c r="CW107" i="23" s="1"/>
  <c r="CV106" i="23"/>
  <c r="CW106" i="23" s="1"/>
  <c r="CV105" i="23"/>
  <c r="CW105" i="23" s="1"/>
  <c r="CV104" i="23"/>
  <c r="CW104" i="23" s="1"/>
  <c r="CV103" i="23"/>
  <c r="CW103" i="23" s="1"/>
  <c r="CV102" i="23"/>
  <c r="CW102" i="23" s="1"/>
  <c r="CV101" i="23"/>
  <c r="CW101" i="23" s="1"/>
  <c r="CV100" i="23"/>
  <c r="CW100" i="23" s="1"/>
  <c r="CV99" i="23"/>
  <c r="CW99" i="23" s="1"/>
  <c r="CV98" i="23"/>
  <c r="CW98" i="23" s="1"/>
  <c r="CV97" i="23"/>
  <c r="CW97" i="23" s="1"/>
  <c r="CV96" i="23"/>
  <c r="CW96" i="23" s="1"/>
  <c r="CV95" i="23"/>
  <c r="CW95" i="23" s="1"/>
  <c r="CV94" i="23"/>
  <c r="CW94" i="23" s="1"/>
  <c r="CV93" i="23"/>
  <c r="CW93" i="23" s="1"/>
  <c r="CV92" i="23"/>
  <c r="CW92" i="23" s="1"/>
  <c r="CV91" i="23"/>
  <c r="CW91" i="23" s="1"/>
  <c r="CV90" i="23"/>
  <c r="CW90" i="23" s="1"/>
  <c r="CV89" i="23"/>
  <c r="CW89" i="23" s="1"/>
  <c r="CV88" i="23"/>
  <c r="CW88" i="23" s="1"/>
  <c r="CV87" i="23"/>
  <c r="CW87" i="23" s="1"/>
  <c r="CV86" i="23"/>
  <c r="CW86" i="23" s="1"/>
  <c r="CV85" i="23"/>
  <c r="CW85" i="23" s="1"/>
  <c r="CV84" i="23"/>
  <c r="CW84" i="23" s="1"/>
  <c r="CV83" i="23"/>
  <c r="CW83" i="23" s="1"/>
  <c r="CV82" i="23"/>
  <c r="CW82" i="23" s="1"/>
  <c r="CV81" i="23"/>
  <c r="CW81" i="23" s="1"/>
  <c r="CV80" i="23"/>
  <c r="CW80" i="23" s="1"/>
  <c r="CV79" i="23"/>
  <c r="CW79" i="23" s="1"/>
  <c r="CV78" i="23"/>
  <c r="CW78" i="23" s="1"/>
  <c r="CV77" i="23"/>
  <c r="CW77" i="23" s="1"/>
  <c r="CV76" i="23"/>
  <c r="CW76" i="23" s="1"/>
  <c r="CV75" i="23"/>
  <c r="CW75" i="23" s="1"/>
  <c r="CV74" i="23"/>
  <c r="CW74" i="23" s="1"/>
  <c r="CV73" i="23"/>
  <c r="CW73" i="23" s="1"/>
  <c r="CV72" i="23"/>
  <c r="CW72" i="23" s="1"/>
  <c r="CV71" i="23"/>
  <c r="CW71" i="23" s="1"/>
  <c r="CV70" i="23"/>
  <c r="CW70" i="23" s="1"/>
  <c r="CV69" i="23"/>
  <c r="CW69" i="23" s="1"/>
  <c r="CV68" i="23"/>
  <c r="CW68" i="23" s="1"/>
  <c r="CV67" i="23"/>
  <c r="CW67" i="23" s="1"/>
  <c r="CV66" i="23"/>
  <c r="CW66" i="23" s="1"/>
  <c r="CV65" i="23"/>
  <c r="CW65" i="23" s="1"/>
  <c r="CV64" i="23"/>
  <c r="CW64" i="23" s="1"/>
  <c r="CV63" i="23"/>
  <c r="CW63" i="23" s="1"/>
  <c r="CV62" i="23"/>
  <c r="CW62" i="23" s="1"/>
  <c r="CV61" i="23"/>
  <c r="CW61" i="23" s="1"/>
  <c r="CV60" i="23"/>
  <c r="CW60" i="23" s="1"/>
  <c r="CV59" i="23"/>
  <c r="CW59" i="23" s="1"/>
  <c r="CV58" i="23"/>
  <c r="CW58" i="23" s="1"/>
  <c r="CV57" i="23"/>
  <c r="CW57" i="23" s="1"/>
  <c r="CV56" i="23"/>
  <c r="CW56" i="23" s="1"/>
  <c r="CV55" i="23"/>
  <c r="CW55" i="23" s="1"/>
  <c r="CV54" i="23"/>
  <c r="CW54" i="23" s="1"/>
  <c r="CV53" i="23"/>
  <c r="CW53" i="23" s="1"/>
  <c r="CV52" i="23"/>
  <c r="CW52" i="23" s="1"/>
  <c r="CV51" i="23"/>
  <c r="CW51" i="23" s="1"/>
  <c r="CV50" i="23"/>
  <c r="CW50" i="23" s="1"/>
  <c r="CV49" i="23"/>
  <c r="CW49" i="23" s="1"/>
  <c r="CV48" i="23"/>
  <c r="CW48" i="23" s="1"/>
  <c r="CV47" i="23"/>
  <c r="CW47" i="23" s="1"/>
  <c r="CV46" i="23"/>
  <c r="CW46" i="23" s="1"/>
  <c r="CV45" i="23"/>
  <c r="CW45" i="23" s="1"/>
  <c r="CV44" i="23"/>
  <c r="CW44" i="23" s="1"/>
  <c r="CV43" i="23"/>
  <c r="CW43" i="23" s="1"/>
  <c r="CV42" i="23"/>
  <c r="CW42" i="23" s="1"/>
  <c r="CV41" i="23"/>
  <c r="CW41" i="23" s="1"/>
  <c r="CV40" i="23"/>
  <c r="CW40" i="23" s="1"/>
  <c r="CV39" i="23"/>
  <c r="CW39" i="23" s="1"/>
  <c r="CV38" i="23"/>
  <c r="CW38" i="23" s="1"/>
  <c r="CV37" i="23"/>
  <c r="CW37" i="23" s="1"/>
  <c r="CV36" i="23"/>
  <c r="CW36" i="23" s="1"/>
  <c r="CV35" i="23"/>
  <c r="CW35" i="23" s="1"/>
  <c r="CV34" i="23"/>
  <c r="CW34" i="23" s="1"/>
  <c r="CV33" i="23"/>
  <c r="CW33" i="23" s="1"/>
  <c r="CV32" i="23"/>
  <c r="CW32" i="23" s="1"/>
  <c r="CV31" i="23"/>
  <c r="CW31" i="23" s="1"/>
  <c r="CV30" i="23"/>
  <c r="CW30" i="23" s="1"/>
  <c r="CV29" i="23"/>
  <c r="CW29" i="23" s="1"/>
  <c r="CV28" i="23"/>
  <c r="CW28" i="23" s="1"/>
  <c r="CV27" i="23"/>
  <c r="CW27" i="23" s="1"/>
  <c r="CV26" i="23"/>
  <c r="CW26" i="23" s="1"/>
  <c r="CV25" i="23"/>
  <c r="CW25" i="23" s="1"/>
  <c r="CV24" i="23"/>
  <c r="CW24" i="23" s="1"/>
  <c r="CV23" i="23"/>
  <c r="CW23" i="23" s="1"/>
  <c r="CV22" i="23"/>
  <c r="CW22" i="23" s="1"/>
  <c r="CV21" i="23"/>
  <c r="CW21" i="23" s="1"/>
  <c r="CV20" i="23"/>
  <c r="CW20" i="23" s="1"/>
  <c r="CV19" i="23"/>
  <c r="CW19" i="23" s="1"/>
  <c r="CV18" i="23"/>
  <c r="CW18" i="23" s="1"/>
  <c r="CV17" i="23"/>
  <c r="CW17" i="23" s="1"/>
  <c r="CV16" i="23"/>
  <c r="CW16" i="23" s="1"/>
  <c r="CV15" i="23"/>
  <c r="CW15" i="23" s="1"/>
  <c r="CV14" i="23"/>
  <c r="CW14" i="23" s="1"/>
  <c r="CV13" i="23"/>
  <c r="CW13" i="23" s="1"/>
  <c r="CV12" i="23"/>
  <c r="CW12" i="23" s="1"/>
  <c r="CV11" i="23"/>
  <c r="CW11" i="23" s="1"/>
  <c r="CV10" i="23"/>
  <c r="CW10" i="23" s="1"/>
  <c r="CV9" i="23"/>
  <c r="CW9" i="23" s="1"/>
  <c r="CV8" i="23"/>
  <c r="CW8" i="23" s="1"/>
  <c r="CV7" i="23"/>
  <c r="CW7" i="23" s="1"/>
  <c r="CV6" i="23"/>
  <c r="CW6" i="23" s="1"/>
  <c r="CV5" i="23"/>
  <c r="CW5" i="23" s="1"/>
  <c r="CV4" i="23"/>
  <c r="CW4" i="23" s="1"/>
  <c r="CV3" i="23"/>
  <c r="CW3" i="23" s="1"/>
  <c r="CW159" i="23"/>
  <c r="AG3" i="10" l="1"/>
  <c r="AG5" i="10"/>
  <c r="AG7" i="10"/>
  <c r="AG2" i="10"/>
  <c r="AG4" i="10"/>
  <c r="AG6" i="10"/>
  <c r="AK22" i="21"/>
  <c r="AM22" i="21" s="1"/>
  <c r="AK23" i="21"/>
  <c r="AM23" i="21" s="1"/>
  <c r="AJ23" i="21"/>
  <c r="AJ22" i="21"/>
  <c r="AK21" i="21" l="1"/>
  <c r="AL22" i="21"/>
  <c r="AL23" i="21"/>
  <c r="U10" i="21"/>
  <c r="T10" i="21"/>
  <c r="U9" i="21"/>
  <c r="T9" i="21"/>
  <c r="U8" i="21"/>
  <c r="T8" i="21"/>
  <c r="U7" i="21"/>
  <c r="T7" i="21"/>
  <c r="U6" i="21"/>
  <c r="T6" i="21"/>
  <c r="U5" i="21"/>
  <c r="T5" i="21"/>
  <c r="U4" i="21"/>
  <c r="T4" i="21"/>
  <c r="U3" i="21"/>
  <c r="T3" i="21"/>
  <c r="U2" i="21"/>
  <c r="T2" i="21"/>
  <c r="AA9" i="20"/>
  <c r="AA8" i="20"/>
  <c r="AA7" i="20"/>
  <c r="AA6" i="20"/>
  <c r="AA5" i="20"/>
  <c r="AA4" i="20"/>
  <c r="AA3" i="20"/>
  <c r="AA2" i="20"/>
  <c r="CE190" i="23"/>
  <c r="CE189" i="23"/>
  <c r="CE188" i="23"/>
  <c r="CE187" i="23"/>
  <c r="CE186" i="23"/>
  <c r="CE185" i="23"/>
  <c r="CE184" i="23"/>
  <c r="CE183" i="23"/>
  <c r="CE182" i="23"/>
  <c r="CE181" i="23"/>
  <c r="CE180" i="23"/>
  <c r="CE179" i="23"/>
  <c r="CE178" i="23"/>
  <c r="CE177" i="23"/>
  <c r="CE176" i="23"/>
  <c r="CE175" i="23"/>
  <c r="CE174" i="23"/>
  <c r="CE173" i="23"/>
  <c r="CE172" i="23"/>
  <c r="CE171" i="23"/>
  <c r="CE170" i="23"/>
  <c r="CE169" i="23"/>
  <c r="CE168" i="23"/>
  <c r="CE167" i="23"/>
  <c r="CE166" i="23"/>
  <c r="CE165" i="23"/>
  <c r="CE164" i="23"/>
  <c r="CE163" i="23"/>
  <c r="CE162" i="23"/>
  <c r="CE161" i="23"/>
  <c r="CE160" i="23"/>
  <c r="CE159" i="23"/>
  <c r="CE158" i="23"/>
  <c r="CE157" i="23"/>
  <c r="CE156" i="23"/>
  <c r="CE155" i="23"/>
  <c r="CE154" i="23"/>
  <c r="CE153" i="23"/>
  <c r="CE152" i="23"/>
  <c r="CE151" i="23"/>
  <c r="CE150" i="23"/>
  <c r="CE149" i="23"/>
  <c r="CE148" i="23"/>
  <c r="CE147" i="23"/>
  <c r="CE146" i="23"/>
  <c r="CE145" i="23"/>
  <c r="CE144" i="23"/>
  <c r="CE143" i="23"/>
  <c r="CE142" i="23"/>
  <c r="CE141" i="23"/>
  <c r="CE140" i="23"/>
  <c r="CE139" i="23"/>
  <c r="CE138" i="23"/>
  <c r="CE137" i="23"/>
  <c r="CE136" i="23"/>
  <c r="CE135" i="23"/>
  <c r="CE134" i="23"/>
  <c r="CE133" i="23"/>
  <c r="CE132" i="23"/>
  <c r="CE131" i="23"/>
  <c r="CE130" i="23"/>
  <c r="CE129" i="23"/>
  <c r="CE128" i="23"/>
  <c r="CE127" i="23"/>
  <c r="CE126" i="23"/>
  <c r="CE125" i="23"/>
  <c r="CE124" i="23"/>
  <c r="CE123" i="23"/>
  <c r="CE122" i="23"/>
  <c r="CE121" i="23"/>
  <c r="CE120" i="23"/>
  <c r="CE119" i="23"/>
  <c r="CE118" i="23"/>
  <c r="CE117" i="23"/>
  <c r="CE116" i="23"/>
  <c r="CE115" i="23"/>
  <c r="CE114" i="23"/>
  <c r="CE113" i="23"/>
  <c r="CE112" i="23"/>
  <c r="CE111" i="23"/>
  <c r="CE110" i="23"/>
  <c r="CE109" i="23"/>
  <c r="CE108" i="23"/>
  <c r="CE107" i="23"/>
  <c r="CE106" i="23"/>
  <c r="CE105" i="23"/>
  <c r="CE104" i="23"/>
  <c r="CE103" i="23"/>
  <c r="CE102" i="23"/>
  <c r="CE101" i="23"/>
  <c r="CE100" i="23"/>
  <c r="CE99" i="23"/>
  <c r="CE98" i="23"/>
  <c r="CE97" i="23"/>
  <c r="CE96" i="23"/>
  <c r="CE95" i="23"/>
  <c r="CE94" i="23"/>
  <c r="CE93" i="23"/>
  <c r="CE92" i="23"/>
  <c r="CE91" i="23"/>
  <c r="CE90" i="23"/>
  <c r="CE89" i="23"/>
  <c r="CE88" i="23"/>
  <c r="CE87" i="23"/>
  <c r="CE86" i="23"/>
  <c r="CE85" i="23"/>
  <c r="CE84" i="23"/>
  <c r="CE83" i="23"/>
  <c r="CE82" i="23"/>
  <c r="CE81" i="23"/>
  <c r="CE80" i="23"/>
  <c r="CE79" i="23"/>
  <c r="CE78" i="23"/>
  <c r="CE77" i="23"/>
  <c r="CE76" i="23"/>
  <c r="CE75" i="23"/>
  <c r="CE74" i="23"/>
  <c r="CE73" i="23"/>
  <c r="CE72" i="23"/>
  <c r="CE71" i="23"/>
  <c r="CE70" i="23"/>
  <c r="CE69" i="23"/>
  <c r="CE68" i="23"/>
  <c r="CE67" i="23"/>
  <c r="CE66" i="23"/>
  <c r="CE65" i="23"/>
  <c r="CE64" i="23"/>
  <c r="CE63" i="23"/>
  <c r="CE62" i="23"/>
  <c r="CE61" i="23"/>
  <c r="CE60" i="23"/>
  <c r="CE59" i="23"/>
  <c r="CE58" i="23"/>
  <c r="CE57" i="23"/>
  <c r="CE56" i="23"/>
  <c r="CE55" i="23"/>
  <c r="CE54" i="23"/>
  <c r="CE53" i="23"/>
  <c r="CE52" i="23"/>
  <c r="CE51" i="23"/>
  <c r="CE50" i="23"/>
  <c r="CE49" i="23"/>
  <c r="CE48" i="23"/>
  <c r="CE47" i="23"/>
  <c r="CE46" i="23"/>
  <c r="CE45" i="23"/>
  <c r="CE44" i="23"/>
  <c r="CE43" i="23"/>
  <c r="CE42" i="23"/>
  <c r="CE41" i="23"/>
  <c r="CE40" i="23"/>
  <c r="CE39" i="23"/>
  <c r="CE38" i="23"/>
  <c r="CE37" i="23"/>
  <c r="CE36" i="23"/>
  <c r="CE35" i="23"/>
  <c r="CE34" i="23"/>
  <c r="CE33" i="23"/>
  <c r="CE32" i="23"/>
  <c r="CE31" i="23"/>
  <c r="CE30" i="23"/>
  <c r="CE29" i="23"/>
  <c r="CE28" i="23"/>
  <c r="CE27" i="23"/>
  <c r="CE26" i="23"/>
  <c r="CE25" i="23"/>
  <c r="CE24" i="23"/>
  <c r="CE23" i="23"/>
  <c r="CE22" i="23"/>
  <c r="CE21" i="23"/>
  <c r="CE20" i="23"/>
  <c r="CE19" i="23"/>
  <c r="CE18" i="23"/>
  <c r="CE17" i="23"/>
  <c r="CE16" i="23"/>
  <c r="CE15" i="23"/>
  <c r="CE14" i="23"/>
  <c r="CE13" i="23"/>
  <c r="CE12" i="23"/>
  <c r="CE11" i="23"/>
  <c r="CE10" i="23"/>
  <c r="CE9" i="23"/>
  <c r="CE8" i="23"/>
  <c r="CE7" i="23"/>
  <c r="CE6" i="23"/>
  <c r="CE5" i="23"/>
  <c r="CE4" i="23"/>
  <c r="CE3" i="23"/>
  <c r="AJ21" i="21" l="1"/>
  <c r="AB2" i="21"/>
  <c r="AB3" i="21"/>
  <c r="AB4" i="21"/>
  <c r="AB5" i="21"/>
  <c r="AB6" i="21"/>
  <c r="AB9" i="21"/>
  <c r="AB10" i="21"/>
  <c r="AB7" i="21"/>
  <c r="AB11" i="21"/>
  <c r="R14" i="19"/>
  <c r="BS2" i="23" s="1"/>
  <c r="Q14" i="19"/>
  <c r="R13" i="19"/>
  <c r="BR2" i="23" s="1"/>
  <c r="Q13" i="19"/>
  <c r="R12" i="19"/>
  <c r="BQ2" i="23" s="1"/>
  <c r="Q12" i="19"/>
  <c r="R11" i="19"/>
  <c r="BP2" i="23" s="1"/>
  <c r="Q11" i="19"/>
  <c r="R10" i="19"/>
  <c r="BO2" i="23" s="1"/>
  <c r="Q10" i="19"/>
  <c r="R9" i="19"/>
  <c r="BN2" i="23" s="1"/>
  <c r="Q9" i="19"/>
  <c r="R8" i="19"/>
  <c r="BM2" i="23" s="1"/>
  <c r="Q8" i="19"/>
  <c r="R7" i="19"/>
  <c r="BL2" i="23" s="1"/>
  <c r="Q7" i="19"/>
  <c r="R6" i="19"/>
  <c r="BK2" i="23" s="1"/>
  <c r="Q6" i="19"/>
  <c r="R5" i="19"/>
  <c r="BJ2" i="23" s="1"/>
  <c r="Q5" i="19"/>
  <c r="R4" i="19"/>
  <c r="BI2" i="23" s="1"/>
  <c r="Q4" i="19"/>
  <c r="R3" i="19"/>
  <c r="BH2" i="23" s="1"/>
  <c r="Q3" i="19"/>
  <c r="Q2" i="19"/>
  <c r="R2" i="19"/>
  <c r="BG2" i="23" s="1"/>
  <c r="Y3" i="19" l="1"/>
  <c r="Y4" i="19"/>
  <c r="Y5" i="19"/>
  <c r="Y6" i="19"/>
  <c r="Y7" i="19"/>
  <c r="Y8" i="19"/>
  <c r="Y9" i="19"/>
  <c r="Y10" i="19"/>
  <c r="Y11" i="19"/>
  <c r="Y12" i="19"/>
  <c r="Y2" i="19"/>
  <c r="BT190" i="23"/>
  <c r="BT189" i="23"/>
  <c r="BT188" i="23"/>
  <c r="BT187" i="23"/>
  <c r="BT186" i="23"/>
  <c r="BT185" i="23"/>
  <c r="BT184" i="23"/>
  <c r="BT183" i="23"/>
  <c r="BT182" i="23"/>
  <c r="BT181" i="23"/>
  <c r="BT180" i="23"/>
  <c r="BT179" i="23"/>
  <c r="BT178" i="23"/>
  <c r="BT177" i="23"/>
  <c r="BT176" i="23"/>
  <c r="BT175" i="23"/>
  <c r="BT174" i="23"/>
  <c r="BT173" i="23"/>
  <c r="BT172" i="23"/>
  <c r="BT171" i="23"/>
  <c r="BT170" i="23"/>
  <c r="BT169" i="23"/>
  <c r="BT168" i="23"/>
  <c r="BT167" i="23"/>
  <c r="BT166" i="23"/>
  <c r="BT165" i="23"/>
  <c r="BT164" i="23"/>
  <c r="BT163" i="23"/>
  <c r="BT162" i="23"/>
  <c r="BT161" i="23"/>
  <c r="BT160" i="23"/>
  <c r="BT159" i="23"/>
  <c r="BT158" i="23"/>
  <c r="BT157" i="23"/>
  <c r="BT156" i="23"/>
  <c r="BT155" i="23"/>
  <c r="BT154" i="23"/>
  <c r="BT153" i="23"/>
  <c r="BT152" i="23"/>
  <c r="BT151" i="23"/>
  <c r="BT150" i="23"/>
  <c r="BT149" i="23"/>
  <c r="BT148" i="23"/>
  <c r="BT147" i="23"/>
  <c r="BT146" i="23"/>
  <c r="BT145" i="23"/>
  <c r="BT144" i="23"/>
  <c r="BT143" i="23"/>
  <c r="BT142" i="23"/>
  <c r="BT141" i="23"/>
  <c r="BT140" i="23"/>
  <c r="BT139" i="23"/>
  <c r="BT138" i="23"/>
  <c r="BT137" i="23"/>
  <c r="BT136" i="23"/>
  <c r="BT135" i="23"/>
  <c r="BT134" i="23"/>
  <c r="BT133" i="23"/>
  <c r="BT132" i="23"/>
  <c r="BT131" i="23"/>
  <c r="BT130" i="23"/>
  <c r="BT129" i="23"/>
  <c r="BT128" i="23"/>
  <c r="BT127" i="23"/>
  <c r="BT126" i="23"/>
  <c r="BT125" i="23"/>
  <c r="BT124" i="23"/>
  <c r="BT123" i="23"/>
  <c r="BT122" i="23"/>
  <c r="BT121" i="23"/>
  <c r="BT120" i="23"/>
  <c r="BT119" i="23"/>
  <c r="BT118" i="23"/>
  <c r="BT117" i="23"/>
  <c r="BT116" i="23"/>
  <c r="BT115" i="23"/>
  <c r="BT114" i="23"/>
  <c r="BT113" i="23"/>
  <c r="BT112" i="23"/>
  <c r="BT111" i="23"/>
  <c r="BT110" i="23"/>
  <c r="BT109" i="23"/>
  <c r="BT108" i="23"/>
  <c r="BT107" i="23"/>
  <c r="BT106" i="23"/>
  <c r="BT105" i="23"/>
  <c r="BT104" i="23"/>
  <c r="BT103" i="23"/>
  <c r="BT102" i="23"/>
  <c r="BT101" i="23"/>
  <c r="BT100" i="23"/>
  <c r="BT99" i="23"/>
  <c r="BT98" i="23"/>
  <c r="BT97" i="23"/>
  <c r="BT96" i="23"/>
  <c r="BT95" i="23"/>
  <c r="BT94" i="23"/>
  <c r="BT93" i="23"/>
  <c r="BT92" i="23"/>
  <c r="BT91" i="23"/>
  <c r="BT90" i="23"/>
  <c r="BT89" i="23"/>
  <c r="BT88" i="23"/>
  <c r="BT87" i="23"/>
  <c r="BT86" i="23"/>
  <c r="BT85" i="23"/>
  <c r="BT84" i="23"/>
  <c r="BT83" i="23"/>
  <c r="BT82" i="23"/>
  <c r="BT81" i="23"/>
  <c r="BT80" i="23"/>
  <c r="BT79" i="23"/>
  <c r="BT78" i="23"/>
  <c r="BT77" i="23"/>
  <c r="BT76" i="23"/>
  <c r="BT75" i="23"/>
  <c r="BT74" i="23"/>
  <c r="BT73" i="23"/>
  <c r="BT72" i="23"/>
  <c r="BT71" i="23"/>
  <c r="BT70" i="23"/>
  <c r="BT69" i="23"/>
  <c r="BT68" i="23"/>
  <c r="BT67" i="23"/>
  <c r="BT66" i="23"/>
  <c r="BT65" i="23"/>
  <c r="BT64" i="23"/>
  <c r="BT63" i="23"/>
  <c r="BT62" i="23"/>
  <c r="BT61" i="23"/>
  <c r="BT60" i="23"/>
  <c r="BT59" i="23"/>
  <c r="BT58" i="23"/>
  <c r="BT57" i="23"/>
  <c r="BT56" i="23"/>
  <c r="BT55" i="23"/>
  <c r="BT54" i="23"/>
  <c r="BT53" i="23"/>
  <c r="BT52" i="23"/>
  <c r="BT51" i="23"/>
  <c r="BT50" i="23"/>
  <c r="BT49" i="23"/>
  <c r="BT48" i="23"/>
  <c r="BT47" i="23"/>
  <c r="BT46" i="23"/>
  <c r="BT45" i="23"/>
  <c r="BT44" i="23"/>
  <c r="BT43" i="23"/>
  <c r="BT42" i="23"/>
  <c r="BT41" i="23"/>
  <c r="BT40" i="23"/>
  <c r="BT39" i="23"/>
  <c r="BT38" i="23"/>
  <c r="BT37" i="23"/>
  <c r="BT36" i="23"/>
  <c r="BT35" i="23"/>
  <c r="BT34" i="23"/>
  <c r="BT33" i="23"/>
  <c r="BT32" i="23"/>
  <c r="BT31" i="23"/>
  <c r="BT30" i="23"/>
  <c r="BT29" i="23"/>
  <c r="BT28" i="23"/>
  <c r="BT27" i="23"/>
  <c r="BT26" i="23"/>
  <c r="BT25" i="23"/>
  <c r="BT24" i="23"/>
  <c r="BT23" i="23"/>
  <c r="BT22" i="23"/>
  <c r="BT21" i="23"/>
  <c r="BT20" i="23"/>
  <c r="BT19" i="23"/>
  <c r="BT18" i="23"/>
  <c r="BT17" i="23"/>
  <c r="BT16" i="23"/>
  <c r="BT15" i="23"/>
  <c r="BT14" i="23"/>
  <c r="BT13" i="23"/>
  <c r="BT12" i="23"/>
  <c r="BT11" i="23"/>
  <c r="BT10" i="23"/>
  <c r="BT9" i="23"/>
  <c r="BT8" i="23"/>
  <c r="BT7" i="23"/>
  <c r="BT6" i="23"/>
  <c r="BT5" i="23"/>
  <c r="BT4" i="23"/>
  <c r="BT3" i="23"/>
  <c r="D25" i="24" l="1"/>
  <c r="E25" i="24" s="1"/>
  <c r="C25" i="24"/>
  <c r="D24" i="24"/>
  <c r="E24" i="24" s="1"/>
  <c r="C24" i="24"/>
  <c r="D21" i="24"/>
  <c r="C21" i="24"/>
  <c r="D20" i="24"/>
  <c r="E20" i="24" s="1"/>
  <c r="C20" i="24"/>
  <c r="C18" i="24"/>
  <c r="D18" i="24"/>
  <c r="E18" i="24" s="1"/>
  <c r="D17" i="24"/>
  <c r="C17" i="24"/>
  <c r="E21" i="24"/>
  <c r="E17" i="24"/>
  <c r="I16" i="24"/>
  <c r="I15" i="24"/>
  <c r="I14" i="24"/>
  <c r="I13" i="24"/>
  <c r="I12" i="24"/>
  <c r="I10" i="24"/>
  <c r="I9" i="24"/>
  <c r="I8" i="24"/>
  <c r="I7" i="24"/>
  <c r="I6" i="24"/>
  <c r="I5" i="24"/>
  <c r="I4" i="24"/>
  <c r="I3" i="24"/>
  <c r="I2" i="24"/>
  <c r="BE190" i="23"/>
  <c r="BE189" i="23"/>
  <c r="BE188" i="23"/>
  <c r="BE187" i="23"/>
  <c r="BE186" i="23"/>
  <c r="BE185" i="23"/>
  <c r="BE184" i="23"/>
  <c r="BE183" i="23"/>
  <c r="BE182" i="23"/>
  <c r="BE181" i="23"/>
  <c r="BE180" i="23"/>
  <c r="BE179" i="23"/>
  <c r="BE178" i="23"/>
  <c r="BE177" i="23"/>
  <c r="BE176" i="23"/>
  <c r="BE175" i="23"/>
  <c r="BE174" i="23"/>
  <c r="BE173" i="23"/>
  <c r="BE172" i="23"/>
  <c r="BE171" i="23"/>
  <c r="BE170" i="23"/>
  <c r="BE169" i="23"/>
  <c r="BE168" i="23"/>
  <c r="BE167" i="23"/>
  <c r="BE166" i="23"/>
  <c r="BE165" i="23"/>
  <c r="BE164" i="23"/>
  <c r="BE163" i="23"/>
  <c r="BE162" i="23"/>
  <c r="BE161" i="23"/>
  <c r="BE160" i="23"/>
  <c r="BE159" i="23"/>
  <c r="BE158" i="23"/>
  <c r="BE157" i="23"/>
  <c r="BE156" i="23"/>
  <c r="BE155" i="23"/>
  <c r="BE154" i="23"/>
  <c r="BE153" i="23"/>
  <c r="BE152" i="23"/>
  <c r="BE151" i="23"/>
  <c r="BE150" i="23"/>
  <c r="BE149" i="23"/>
  <c r="BE148" i="23"/>
  <c r="BE147" i="23"/>
  <c r="BE146" i="23"/>
  <c r="BE145" i="23"/>
  <c r="BE144" i="23"/>
  <c r="BE143" i="23"/>
  <c r="BE142" i="23"/>
  <c r="BE141" i="23"/>
  <c r="BE140" i="23"/>
  <c r="BE139" i="23"/>
  <c r="BE138" i="23"/>
  <c r="BE137" i="23"/>
  <c r="BE136" i="23"/>
  <c r="BE135" i="23"/>
  <c r="BE134" i="23"/>
  <c r="BE133" i="23"/>
  <c r="BE132" i="23"/>
  <c r="BE131" i="23"/>
  <c r="BE130" i="23"/>
  <c r="BE129" i="23"/>
  <c r="BE128" i="23"/>
  <c r="BE127" i="23"/>
  <c r="BE126" i="23"/>
  <c r="BE125" i="23"/>
  <c r="BE124" i="23"/>
  <c r="BE123" i="23"/>
  <c r="BE122" i="23"/>
  <c r="BE121" i="23"/>
  <c r="BE120" i="23"/>
  <c r="BE119" i="23"/>
  <c r="BE118" i="23"/>
  <c r="BE117" i="23"/>
  <c r="BE116" i="23"/>
  <c r="BE115" i="23"/>
  <c r="BE114" i="23"/>
  <c r="BE113" i="23"/>
  <c r="BE112" i="23"/>
  <c r="BE111" i="23"/>
  <c r="BE110" i="23"/>
  <c r="BE109" i="23"/>
  <c r="BE108" i="23"/>
  <c r="BE107" i="23"/>
  <c r="BE106" i="23"/>
  <c r="BE105" i="23"/>
  <c r="BE104" i="23"/>
  <c r="BE103" i="23"/>
  <c r="BE102" i="23"/>
  <c r="BE101" i="23"/>
  <c r="BE100" i="23"/>
  <c r="BE99" i="23"/>
  <c r="BE98" i="23"/>
  <c r="BE97" i="23"/>
  <c r="BE96" i="23"/>
  <c r="BE95" i="23"/>
  <c r="BE94" i="23"/>
  <c r="BE93" i="23"/>
  <c r="BE92" i="23"/>
  <c r="BE91" i="23"/>
  <c r="BE90" i="23"/>
  <c r="BE89" i="23"/>
  <c r="BE88" i="23"/>
  <c r="BE87" i="23"/>
  <c r="BE86" i="23"/>
  <c r="BE85" i="23"/>
  <c r="BE84" i="23"/>
  <c r="BE83" i="23"/>
  <c r="BE82" i="23"/>
  <c r="BE81" i="23"/>
  <c r="BE80" i="23"/>
  <c r="BE79" i="23"/>
  <c r="BE78" i="23"/>
  <c r="BE77" i="23"/>
  <c r="BE76" i="23"/>
  <c r="BE75" i="23"/>
  <c r="BE74" i="23"/>
  <c r="BE73" i="23"/>
  <c r="BE72" i="23"/>
  <c r="BE71" i="23"/>
  <c r="BE70" i="23"/>
  <c r="BE69" i="23"/>
  <c r="BE68" i="23"/>
  <c r="BE67" i="23"/>
  <c r="BE66" i="23"/>
  <c r="BE65" i="23"/>
  <c r="BE64" i="23"/>
  <c r="BE63" i="23"/>
  <c r="BE62" i="23"/>
  <c r="BE61" i="23"/>
  <c r="BE60" i="23"/>
  <c r="BE59" i="23"/>
  <c r="BE58" i="23"/>
  <c r="BE57" i="23"/>
  <c r="BE56" i="23"/>
  <c r="BE55" i="23"/>
  <c r="BE54" i="23"/>
  <c r="BE53" i="23"/>
  <c r="BE52" i="23"/>
  <c r="BE51" i="23"/>
  <c r="BE50" i="23"/>
  <c r="BE49" i="23"/>
  <c r="BE48" i="23"/>
  <c r="BE47" i="23"/>
  <c r="BE46" i="23"/>
  <c r="BE45" i="23"/>
  <c r="BE44" i="23"/>
  <c r="BE43" i="23"/>
  <c r="BE42" i="23"/>
  <c r="BE41" i="23"/>
  <c r="BE40" i="23"/>
  <c r="BE39" i="23"/>
  <c r="BE38" i="23"/>
  <c r="BE37" i="23"/>
  <c r="BE36" i="23"/>
  <c r="BE35" i="23"/>
  <c r="BE34" i="23"/>
  <c r="BE33" i="23"/>
  <c r="BE32" i="23"/>
  <c r="BE31" i="23"/>
  <c r="BE30" i="23"/>
  <c r="BE29" i="23"/>
  <c r="BE28" i="23"/>
  <c r="BE27" i="23"/>
  <c r="BE26" i="23"/>
  <c r="BE25" i="23"/>
  <c r="BE24" i="23"/>
  <c r="BE23" i="23"/>
  <c r="BE22" i="23"/>
  <c r="BE21" i="23"/>
  <c r="BE20" i="23"/>
  <c r="BE19" i="23"/>
  <c r="BE18" i="23"/>
  <c r="BE17" i="23"/>
  <c r="BE16" i="23"/>
  <c r="BE15" i="23"/>
  <c r="BE14" i="23"/>
  <c r="BE13" i="23"/>
  <c r="BE12" i="23"/>
  <c r="BE11" i="23"/>
  <c r="BE10" i="23"/>
  <c r="BE9" i="23"/>
  <c r="BE8" i="23"/>
  <c r="BE7" i="23"/>
  <c r="BE6" i="23"/>
  <c r="BE5" i="23"/>
  <c r="BE4" i="23"/>
  <c r="BE3" i="23"/>
  <c r="D26" i="25"/>
  <c r="E26" i="25" s="1"/>
  <c r="C26" i="25"/>
  <c r="D27" i="25"/>
  <c r="E27" i="25" s="1"/>
  <c r="C27" i="25"/>
  <c r="D23" i="25"/>
  <c r="E23" i="25" s="1"/>
  <c r="D22" i="25"/>
  <c r="E22" i="25" s="1"/>
  <c r="C23" i="25"/>
  <c r="C22" i="25"/>
  <c r="C20" i="25"/>
  <c r="D20" i="25"/>
  <c r="E20" i="25" s="1"/>
  <c r="D19" i="25"/>
  <c r="E19" i="25" s="1"/>
  <c r="C19" i="25"/>
  <c r="F25" i="24" l="1"/>
  <c r="F18" i="24"/>
  <c r="F21" i="24"/>
  <c r="F23" i="25"/>
  <c r="F19" i="25"/>
  <c r="F27" i="25"/>
  <c r="E19" i="24"/>
  <c r="D19" i="24" s="1"/>
  <c r="E26" i="24"/>
  <c r="D26" i="24" s="1"/>
  <c r="F20" i="25"/>
  <c r="E24" i="25"/>
  <c r="D24" i="25" s="1"/>
  <c r="F22" i="25"/>
  <c r="E21" i="25"/>
  <c r="D21" i="25" s="1"/>
  <c r="F24" i="24"/>
  <c r="F17" i="24"/>
  <c r="E22" i="24"/>
  <c r="D22" i="24" s="1"/>
  <c r="F20" i="24"/>
  <c r="E28" i="25"/>
  <c r="D28" i="25" s="1"/>
  <c r="F26" i="25"/>
  <c r="I17" i="25"/>
  <c r="I16" i="25"/>
  <c r="I15" i="25"/>
  <c r="I14" i="25"/>
  <c r="I12" i="25"/>
  <c r="I11" i="25"/>
  <c r="I10" i="25"/>
  <c r="I9" i="25"/>
  <c r="I8" i="25"/>
  <c r="I7" i="25"/>
  <c r="I6" i="25"/>
  <c r="I5" i="25"/>
  <c r="I4" i="25"/>
  <c r="I3" i="25"/>
  <c r="I2" i="25"/>
  <c r="C26" i="24" l="1"/>
  <c r="C19" i="24"/>
  <c r="C21" i="25"/>
  <c r="C24" i="25"/>
  <c r="C22" i="24"/>
  <c r="C28" i="25"/>
  <c r="AO85" i="23"/>
  <c r="AO84" i="23"/>
  <c r="AO83" i="23"/>
  <c r="AO82" i="23"/>
  <c r="AO81" i="23"/>
  <c r="AO80" i="23"/>
  <c r="AO79" i="23"/>
  <c r="AO78" i="23"/>
  <c r="AO77" i="23"/>
  <c r="AO76" i="23"/>
  <c r="AO75" i="23"/>
  <c r="AO74" i="23"/>
  <c r="AO73" i="23"/>
  <c r="AO72" i="23"/>
  <c r="AO71" i="23"/>
  <c r="AO70" i="23"/>
  <c r="AO69" i="23"/>
  <c r="AO68" i="23"/>
  <c r="AO67" i="23"/>
  <c r="AO66" i="23"/>
  <c r="AO65" i="23"/>
  <c r="AO64" i="23"/>
  <c r="AO63" i="23"/>
  <c r="AO62" i="23"/>
  <c r="AO61" i="23"/>
  <c r="AO60" i="23"/>
  <c r="AO59" i="23"/>
  <c r="AO58" i="23"/>
  <c r="AO57" i="23"/>
  <c r="AO56" i="23"/>
  <c r="AO55" i="23"/>
  <c r="AO54" i="23"/>
  <c r="AO53" i="23"/>
  <c r="AO52" i="23"/>
  <c r="AO51" i="23"/>
  <c r="AO50" i="23"/>
  <c r="AO49" i="23"/>
  <c r="AO48" i="23"/>
  <c r="AO47" i="23"/>
  <c r="AO46" i="23"/>
  <c r="AO45" i="23"/>
  <c r="AO44" i="23"/>
  <c r="AO43" i="23"/>
  <c r="AO42" i="23"/>
  <c r="AO41" i="23"/>
  <c r="AO40" i="23"/>
  <c r="AO39" i="23"/>
  <c r="AO38" i="23"/>
  <c r="AO37" i="23"/>
  <c r="AO36" i="23"/>
  <c r="AO35" i="23"/>
  <c r="AO34" i="23"/>
  <c r="AO33" i="23"/>
  <c r="AO32" i="23"/>
  <c r="AO31" i="23"/>
  <c r="AO30" i="23"/>
  <c r="AO29" i="23"/>
  <c r="AO28" i="23"/>
  <c r="AO27" i="23"/>
  <c r="AO26" i="23"/>
  <c r="AO25" i="23"/>
  <c r="AO24" i="23"/>
  <c r="AO23" i="23"/>
  <c r="AO22" i="23"/>
  <c r="AO21" i="23"/>
  <c r="AO20" i="23"/>
  <c r="AO19" i="23"/>
  <c r="AO18" i="23"/>
  <c r="AO17" i="23"/>
  <c r="AO16" i="23"/>
  <c r="AO15" i="23"/>
  <c r="AO14" i="23"/>
  <c r="AO13" i="23"/>
  <c r="AO12" i="23"/>
  <c r="AO11" i="23"/>
  <c r="AO10" i="23"/>
  <c r="AO9" i="23"/>
  <c r="AO8" i="23"/>
  <c r="AO7" i="23"/>
  <c r="AO6" i="23"/>
  <c r="AO5" i="23"/>
  <c r="AO4" i="23"/>
  <c r="AO3" i="23"/>
  <c r="AO190" i="23"/>
  <c r="AO189" i="23"/>
  <c r="AO188" i="23"/>
  <c r="AO187" i="23"/>
  <c r="AO186" i="23"/>
  <c r="AO185" i="23"/>
  <c r="AO184" i="23"/>
  <c r="AO183" i="23"/>
  <c r="AO182" i="23"/>
  <c r="AO181" i="23"/>
  <c r="AO180" i="23"/>
  <c r="AO179" i="23"/>
  <c r="AO178" i="23"/>
  <c r="AO177" i="23"/>
  <c r="AO176" i="23"/>
  <c r="AO175" i="23"/>
  <c r="AO174" i="23"/>
  <c r="AO173" i="23"/>
  <c r="AO172" i="23"/>
  <c r="AO171" i="23"/>
  <c r="AO170" i="23"/>
  <c r="AO169" i="23"/>
  <c r="AO168" i="23"/>
  <c r="AO167" i="23"/>
  <c r="AO166" i="23"/>
  <c r="AO165" i="23"/>
  <c r="AO164" i="23"/>
  <c r="AO163" i="23"/>
  <c r="AO162" i="23"/>
  <c r="AO161" i="23"/>
  <c r="AO160" i="23"/>
  <c r="AO159" i="23"/>
  <c r="AO158" i="23"/>
  <c r="AO157" i="23"/>
  <c r="AO156" i="23"/>
  <c r="AO155" i="23"/>
  <c r="AO154" i="23"/>
  <c r="AO153" i="23"/>
  <c r="AO152" i="23"/>
  <c r="AO151" i="23"/>
  <c r="AO150" i="23"/>
  <c r="AO149" i="23"/>
  <c r="AO148" i="23"/>
  <c r="AO147" i="23"/>
  <c r="AO146" i="23"/>
  <c r="AO145" i="23"/>
  <c r="AO144" i="23"/>
  <c r="AO143" i="23"/>
  <c r="AO142" i="23"/>
  <c r="AO141" i="23"/>
  <c r="AO140" i="23"/>
  <c r="AO139" i="23"/>
  <c r="AO138" i="23"/>
  <c r="AO137" i="23"/>
  <c r="AO136" i="23"/>
  <c r="AO135" i="23"/>
  <c r="AO134" i="23"/>
  <c r="AO133" i="23"/>
  <c r="AO132" i="23"/>
  <c r="AO131" i="23"/>
  <c r="AO130" i="23"/>
  <c r="AO129" i="23"/>
  <c r="AO128" i="23"/>
  <c r="AO127" i="23"/>
  <c r="AO126" i="23"/>
  <c r="AO125" i="23"/>
  <c r="AO124" i="23"/>
  <c r="AO123" i="23"/>
  <c r="AO122" i="23"/>
  <c r="AO121" i="23"/>
  <c r="AO120" i="23"/>
  <c r="AO119" i="23"/>
  <c r="AO118" i="23"/>
  <c r="AO117" i="23"/>
  <c r="AO116" i="23"/>
  <c r="AO115" i="23"/>
  <c r="AO114" i="23"/>
  <c r="AO113" i="23"/>
  <c r="AO112" i="23"/>
  <c r="AO111" i="23"/>
  <c r="AO110" i="23"/>
  <c r="AO109" i="23"/>
  <c r="AO108" i="23"/>
  <c r="AO107" i="23"/>
  <c r="AO106" i="23"/>
  <c r="AO105" i="23"/>
  <c r="AO104" i="23"/>
  <c r="AO103" i="23"/>
  <c r="AO102" i="23"/>
  <c r="AO101" i="23"/>
  <c r="AO100" i="23"/>
  <c r="AO99" i="23"/>
  <c r="AO98" i="23"/>
  <c r="AO97" i="23"/>
  <c r="AO96" i="23"/>
  <c r="AO95" i="23"/>
  <c r="AO94" i="23"/>
  <c r="AO93" i="23"/>
  <c r="AO92" i="23"/>
  <c r="AO91" i="23"/>
  <c r="AO90" i="23"/>
  <c r="AO89" i="23"/>
  <c r="AO88" i="23"/>
  <c r="AO87" i="23"/>
  <c r="AO86" i="23"/>
  <c r="X7" i="23" l="1"/>
  <c r="E7" i="31" s="1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D190" i="23"/>
  <c r="C190" i="23"/>
  <c r="B190" i="23"/>
  <c r="D189" i="23"/>
  <c r="C189" i="23"/>
  <c r="B189" i="23"/>
  <c r="D188" i="23"/>
  <c r="D188" i="31" s="1"/>
  <c r="M188" i="31" s="1"/>
  <c r="C188" i="23"/>
  <c r="C188" i="31" s="1"/>
  <c r="B188" i="23"/>
  <c r="B188" i="31" s="1"/>
  <c r="D187" i="23"/>
  <c r="D187" i="31" s="1"/>
  <c r="M187" i="31" s="1"/>
  <c r="C187" i="23"/>
  <c r="C187" i="31" s="1"/>
  <c r="B187" i="23"/>
  <c r="B187" i="31" s="1"/>
  <c r="D186" i="23"/>
  <c r="D186" i="31" s="1"/>
  <c r="M186" i="31" s="1"/>
  <c r="C186" i="23"/>
  <c r="C186" i="31" s="1"/>
  <c r="B186" i="23"/>
  <c r="B186" i="31" s="1"/>
  <c r="D185" i="23"/>
  <c r="D185" i="31" s="1"/>
  <c r="M185" i="31" s="1"/>
  <c r="C185" i="23"/>
  <c r="C185" i="31" s="1"/>
  <c r="B185" i="23"/>
  <c r="B185" i="31" s="1"/>
  <c r="D184" i="23"/>
  <c r="D184" i="31" s="1"/>
  <c r="M184" i="31" s="1"/>
  <c r="C184" i="23"/>
  <c r="C184" i="31" s="1"/>
  <c r="B184" i="23"/>
  <c r="B184" i="31" s="1"/>
  <c r="D183" i="23"/>
  <c r="D183" i="31" s="1"/>
  <c r="M183" i="31" s="1"/>
  <c r="C183" i="23"/>
  <c r="C183" i="31" s="1"/>
  <c r="B183" i="23"/>
  <c r="B183" i="31" s="1"/>
  <c r="D182" i="23"/>
  <c r="D182" i="31" s="1"/>
  <c r="M182" i="31" s="1"/>
  <c r="C182" i="23"/>
  <c r="C182" i="31" s="1"/>
  <c r="B182" i="23"/>
  <c r="B182" i="31" s="1"/>
  <c r="D181" i="23"/>
  <c r="D181" i="31" s="1"/>
  <c r="M181" i="31" s="1"/>
  <c r="C181" i="23"/>
  <c r="C181" i="31" s="1"/>
  <c r="B181" i="23"/>
  <c r="B181" i="31" s="1"/>
  <c r="D180" i="23"/>
  <c r="D180" i="31" s="1"/>
  <c r="M180" i="31" s="1"/>
  <c r="C180" i="23"/>
  <c r="C180" i="31" s="1"/>
  <c r="B180" i="23"/>
  <c r="B180" i="31" s="1"/>
  <c r="D179" i="23"/>
  <c r="C179" i="23"/>
  <c r="B179" i="23"/>
  <c r="D178" i="23"/>
  <c r="D178" i="31" s="1"/>
  <c r="M178" i="31" s="1"/>
  <c r="C178" i="23"/>
  <c r="C178" i="31" s="1"/>
  <c r="B178" i="23"/>
  <c r="B178" i="31" s="1"/>
  <c r="D177" i="23"/>
  <c r="D177" i="31" s="1"/>
  <c r="M177" i="31" s="1"/>
  <c r="C177" i="23"/>
  <c r="C177" i="31" s="1"/>
  <c r="B177" i="23"/>
  <c r="B177" i="31" s="1"/>
  <c r="D176" i="23"/>
  <c r="D176" i="31" s="1"/>
  <c r="M176" i="31" s="1"/>
  <c r="C176" i="23"/>
  <c r="C176" i="31" s="1"/>
  <c r="B176" i="23"/>
  <c r="B176" i="31" s="1"/>
  <c r="D175" i="23"/>
  <c r="D175" i="31" s="1"/>
  <c r="M175" i="31" s="1"/>
  <c r="C175" i="23"/>
  <c r="C175" i="31" s="1"/>
  <c r="B175" i="23"/>
  <c r="B175" i="31" s="1"/>
  <c r="D174" i="23"/>
  <c r="C174" i="23"/>
  <c r="B174" i="23"/>
  <c r="D173" i="23"/>
  <c r="C173" i="23"/>
  <c r="B173" i="23"/>
  <c r="D172" i="23"/>
  <c r="D172" i="31" s="1"/>
  <c r="M172" i="31" s="1"/>
  <c r="C172" i="23"/>
  <c r="C172" i="31" s="1"/>
  <c r="B172" i="23"/>
  <c r="B172" i="31" s="1"/>
  <c r="D171" i="23"/>
  <c r="D171" i="31" s="1"/>
  <c r="M171" i="31" s="1"/>
  <c r="C171" i="23"/>
  <c r="C171" i="31" s="1"/>
  <c r="B171" i="23"/>
  <c r="B171" i="31" s="1"/>
  <c r="D170" i="23"/>
  <c r="D170" i="31" s="1"/>
  <c r="M170" i="31" s="1"/>
  <c r="C170" i="23"/>
  <c r="C170" i="31" s="1"/>
  <c r="B170" i="23"/>
  <c r="B170" i="31" s="1"/>
  <c r="D169" i="23"/>
  <c r="C169" i="23"/>
  <c r="B169" i="23"/>
  <c r="D168" i="23"/>
  <c r="C168" i="23"/>
  <c r="B168" i="23"/>
  <c r="D167" i="23"/>
  <c r="D167" i="31" s="1"/>
  <c r="M167" i="31" s="1"/>
  <c r="C167" i="23"/>
  <c r="C167" i="31" s="1"/>
  <c r="B167" i="23"/>
  <c r="B167" i="31" s="1"/>
  <c r="D166" i="23"/>
  <c r="D166" i="31" s="1"/>
  <c r="M166" i="31" s="1"/>
  <c r="C166" i="23"/>
  <c r="C166" i="31" s="1"/>
  <c r="B166" i="23"/>
  <c r="B166" i="31" s="1"/>
  <c r="D165" i="23"/>
  <c r="D165" i="31" s="1"/>
  <c r="M165" i="31" s="1"/>
  <c r="C165" i="23"/>
  <c r="C165" i="31" s="1"/>
  <c r="B165" i="23"/>
  <c r="B165" i="31" s="1"/>
  <c r="D164" i="23"/>
  <c r="C164" i="23"/>
  <c r="B164" i="23"/>
  <c r="D163" i="23"/>
  <c r="C163" i="23"/>
  <c r="B163" i="23"/>
  <c r="D162" i="23"/>
  <c r="D162" i="31" s="1"/>
  <c r="M162" i="31" s="1"/>
  <c r="C162" i="23"/>
  <c r="C162" i="31" s="1"/>
  <c r="B162" i="23"/>
  <c r="B162" i="31" s="1"/>
  <c r="D161" i="23"/>
  <c r="C161" i="23"/>
  <c r="B161" i="23"/>
  <c r="D160" i="23"/>
  <c r="D160" i="31" s="1"/>
  <c r="M160" i="31" s="1"/>
  <c r="C160" i="23"/>
  <c r="C160" i="31" s="1"/>
  <c r="B160" i="23"/>
  <c r="B160" i="31" s="1"/>
  <c r="D159" i="23"/>
  <c r="D159" i="31" s="1"/>
  <c r="M159" i="31" s="1"/>
  <c r="C159" i="23"/>
  <c r="C159" i="31" s="1"/>
  <c r="B159" i="23"/>
  <c r="B159" i="31" s="1"/>
  <c r="D158" i="23"/>
  <c r="C158" i="23"/>
  <c r="B158" i="23"/>
  <c r="D157" i="23"/>
  <c r="D157" i="31" s="1"/>
  <c r="M157" i="31" s="1"/>
  <c r="C157" i="23"/>
  <c r="C157" i="31" s="1"/>
  <c r="B157" i="23"/>
  <c r="B157" i="31" s="1"/>
  <c r="D156" i="23"/>
  <c r="C156" i="23"/>
  <c r="B156" i="23"/>
  <c r="D155" i="23"/>
  <c r="C155" i="23"/>
  <c r="B155" i="23"/>
  <c r="D154" i="23"/>
  <c r="D154" i="31" s="1"/>
  <c r="M154" i="31" s="1"/>
  <c r="C154" i="23"/>
  <c r="C154" i="31" s="1"/>
  <c r="B154" i="23"/>
  <c r="B154" i="31" s="1"/>
  <c r="D153" i="23"/>
  <c r="C153" i="23"/>
  <c r="B153" i="23"/>
  <c r="D152" i="23"/>
  <c r="D152" i="31" s="1"/>
  <c r="M152" i="31" s="1"/>
  <c r="C152" i="23"/>
  <c r="C152" i="31" s="1"/>
  <c r="B152" i="23"/>
  <c r="B152" i="31" s="1"/>
  <c r="D151" i="23"/>
  <c r="D151" i="31" s="1"/>
  <c r="M151" i="31" s="1"/>
  <c r="C151" i="23"/>
  <c r="C151" i="31" s="1"/>
  <c r="B151" i="23"/>
  <c r="B151" i="31" s="1"/>
  <c r="D150" i="23"/>
  <c r="C150" i="23"/>
  <c r="B150" i="23"/>
  <c r="D149" i="23"/>
  <c r="D149" i="31" s="1"/>
  <c r="M149" i="31" s="1"/>
  <c r="C149" i="23"/>
  <c r="C149" i="31" s="1"/>
  <c r="B149" i="23"/>
  <c r="B149" i="31" s="1"/>
  <c r="D148" i="23"/>
  <c r="D148" i="31" s="1"/>
  <c r="M148" i="31" s="1"/>
  <c r="C148" i="23"/>
  <c r="C148" i="31" s="1"/>
  <c r="B148" i="23"/>
  <c r="B148" i="31" s="1"/>
  <c r="D147" i="23"/>
  <c r="D147" i="31" s="1"/>
  <c r="M147" i="31" s="1"/>
  <c r="C147" i="23"/>
  <c r="C147" i="31" s="1"/>
  <c r="B147" i="23"/>
  <c r="B147" i="31" s="1"/>
  <c r="D146" i="23"/>
  <c r="C146" i="23"/>
  <c r="B146" i="23"/>
  <c r="D145" i="23"/>
  <c r="D145" i="31" s="1"/>
  <c r="M145" i="31" s="1"/>
  <c r="C145" i="23"/>
  <c r="C145" i="31" s="1"/>
  <c r="B145" i="23"/>
  <c r="B145" i="31" s="1"/>
  <c r="D144" i="23"/>
  <c r="D144" i="31" s="1"/>
  <c r="M144" i="31" s="1"/>
  <c r="C144" i="23"/>
  <c r="C144" i="31" s="1"/>
  <c r="B144" i="23"/>
  <c r="B144" i="31" s="1"/>
  <c r="D143" i="23"/>
  <c r="C143" i="23"/>
  <c r="B143" i="23"/>
  <c r="D142" i="23"/>
  <c r="C142" i="23"/>
  <c r="B142" i="23"/>
  <c r="D141" i="23"/>
  <c r="D141" i="31" s="1"/>
  <c r="M141" i="31" s="1"/>
  <c r="C141" i="23"/>
  <c r="C141" i="31" s="1"/>
  <c r="B141" i="23"/>
  <c r="B141" i="31" s="1"/>
  <c r="D140" i="23"/>
  <c r="D140" i="31" s="1"/>
  <c r="M140" i="31" s="1"/>
  <c r="C140" i="23"/>
  <c r="C140" i="31" s="1"/>
  <c r="B140" i="23"/>
  <c r="B140" i="31" s="1"/>
  <c r="D139" i="23"/>
  <c r="C139" i="23"/>
  <c r="B139" i="23"/>
  <c r="D138" i="23"/>
  <c r="D138" i="31" s="1"/>
  <c r="M138" i="31" s="1"/>
  <c r="C138" i="23"/>
  <c r="C138" i="31" s="1"/>
  <c r="B138" i="23"/>
  <c r="B138" i="31" s="1"/>
  <c r="D137" i="23"/>
  <c r="D137" i="31" s="1"/>
  <c r="M137" i="31" s="1"/>
  <c r="C137" i="23"/>
  <c r="C137" i="31" s="1"/>
  <c r="B137" i="23"/>
  <c r="B137" i="31" s="1"/>
  <c r="D136" i="23"/>
  <c r="D136" i="31" s="1"/>
  <c r="M136" i="31" s="1"/>
  <c r="C136" i="23"/>
  <c r="C136" i="31" s="1"/>
  <c r="B136" i="23"/>
  <c r="B136" i="31" s="1"/>
  <c r="D135" i="23"/>
  <c r="D135" i="31" s="1"/>
  <c r="M135" i="31" s="1"/>
  <c r="C135" i="23"/>
  <c r="C135" i="31" s="1"/>
  <c r="B135" i="23"/>
  <c r="B135" i="31" s="1"/>
  <c r="D134" i="23"/>
  <c r="C134" i="23"/>
  <c r="B134" i="23"/>
  <c r="D133" i="23"/>
  <c r="D133" i="31" s="1"/>
  <c r="M133" i="31" s="1"/>
  <c r="C133" i="23"/>
  <c r="C133" i="31" s="1"/>
  <c r="B133" i="23"/>
  <c r="B133" i="31" s="1"/>
  <c r="D132" i="23"/>
  <c r="C132" i="23"/>
  <c r="B132" i="23"/>
  <c r="D131" i="23"/>
  <c r="D131" i="31" s="1"/>
  <c r="M131" i="31" s="1"/>
  <c r="C131" i="23"/>
  <c r="C131" i="31" s="1"/>
  <c r="B131" i="23"/>
  <c r="B131" i="31" s="1"/>
  <c r="D130" i="23"/>
  <c r="D130" i="31" s="1"/>
  <c r="M130" i="31" s="1"/>
  <c r="C130" i="23"/>
  <c r="C130" i="31" s="1"/>
  <c r="B130" i="23"/>
  <c r="B130" i="31" s="1"/>
  <c r="D129" i="23"/>
  <c r="C129" i="23"/>
  <c r="B129" i="23"/>
  <c r="D128" i="23"/>
  <c r="D128" i="31" s="1"/>
  <c r="M128" i="31" s="1"/>
  <c r="C128" i="23"/>
  <c r="C128" i="31" s="1"/>
  <c r="B128" i="23"/>
  <c r="B128" i="31" s="1"/>
  <c r="D127" i="23"/>
  <c r="D127" i="31" s="1"/>
  <c r="M127" i="31" s="1"/>
  <c r="C127" i="23"/>
  <c r="C127" i="31" s="1"/>
  <c r="B127" i="23"/>
  <c r="B127" i="31" s="1"/>
  <c r="D126" i="23"/>
  <c r="D126" i="31" s="1"/>
  <c r="M126" i="31" s="1"/>
  <c r="C126" i="23"/>
  <c r="C126" i="31" s="1"/>
  <c r="B126" i="23"/>
  <c r="B126" i="31" s="1"/>
  <c r="D125" i="23"/>
  <c r="D125" i="31" s="1"/>
  <c r="M125" i="31" s="1"/>
  <c r="C125" i="23"/>
  <c r="C125" i="31" s="1"/>
  <c r="B125" i="23"/>
  <c r="B125" i="31" s="1"/>
  <c r="D124" i="23"/>
  <c r="D124" i="31" s="1"/>
  <c r="M124" i="31" s="1"/>
  <c r="C124" i="23"/>
  <c r="C124" i="31" s="1"/>
  <c r="B124" i="23"/>
  <c r="B124" i="31" s="1"/>
  <c r="D123" i="23"/>
  <c r="D123" i="31" s="1"/>
  <c r="M123" i="31" s="1"/>
  <c r="C123" i="23"/>
  <c r="C123" i="31" s="1"/>
  <c r="B123" i="23"/>
  <c r="B123" i="31" s="1"/>
  <c r="D122" i="23"/>
  <c r="D122" i="31" s="1"/>
  <c r="M122" i="31" s="1"/>
  <c r="C122" i="23"/>
  <c r="C122" i="31" s="1"/>
  <c r="B122" i="23"/>
  <c r="B122" i="31" s="1"/>
  <c r="D121" i="23"/>
  <c r="C121" i="23"/>
  <c r="B121" i="23"/>
  <c r="D120" i="23"/>
  <c r="D120" i="31" s="1"/>
  <c r="M120" i="31" s="1"/>
  <c r="C120" i="23"/>
  <c r="C120" i="31" s="1"/>
  <c r="B120" i="23"/>
  <c r="B120" i="31" s="1"/>
  <c r="D119" i="23"/>
  <c r="D119" i="31" s="1"/>
  <c r="M119" i="31" s="1"/>
  <c r="C119" i="23"/>
  <c r="C119" i="31" s="1"/>
  <c r="B119" i="23"/>
  <c r="B119" i="31" s="1"/>
  <c r="D118" i="23"/>
  <c r="C118" i="23"/>
  <c r="B118" i="23"/>
  <c r="D117" i="23"/>
  <c r="C117" i="23"/>
  <c r="B117" i="23"/>
  <c r="D116" i="23"/>
  <c r="D116" i="31" s="1"/>
  <c r="M116" i="31" s="1"/>
  <c r="C116" i="23"/>
  <c r="C116" i="31" s="1"/>
  <c r="B116" i="23"/>
  <c r="B116" i="31" s="1"/>
  <c r="D115" i="23"/>
  <c r="C115" i="23"/>
  <c r="B115" i="23"/>
  <c r="D114" i="23"/>
  <c r="D114" i="31" s="1"/>
  <c r="M114" i="31" s="1"/>
  <c r="C114" i="23"/>
  <c r="C114" i="31" s="1"/>
  <c r="B114" i="23"/>
  <c r="B114" i="31" s="1"/>
  <c r="D113" i="23"/>
  <c r="D113" i="31" s="1"/>
  <c r="M113" i="31" s="1"/>
  <c r="C113" i="23"/>
  <c r="C113" i="31" s="1"/>
  <c r="B113" i="23"/>
  <c r="B113" i="31" s="1"/>
  <c r="D112" i="23"/>
  <c r="C112" i="23"/>
  <c r="B112" i="23"/>
  <c r="D111" i="23"/>
  <c r="D111" i="31" s="1"/>
  <c r="M111" i="31" s="1"/>
  <c r="C111" i="23"/>
  <c r="C111" i="31" s="1"/>
  <c r="B111" i="23"/>
  <c r="B111" i="31" s="1"/>
  <c r="D110" i="23"/>
  <c r="D110" i="31" s="1"/>
  <c r="M110" i="31" s="1"/>
  <c r="C110" i="23"/>
  <c r="C110" i="31" s="1"/>
  <c r="B110" i="23"/>
  <c r="B110" i="31" s="1"/>
  <c r="D109" i="23"/>
  <c r="D109" i="31" s="1"/>
  <c r="M109" i="31" s="1"/>
  <c r="C109" i="23"/>
  <c r="C109" i="31" s="1"/>
  <c r="B109" i="23"/>
  <c r="B109" i="31" s="1"/>
  <c r="D108" i="23"/>
  <c r="C108" i="23"/>
  <c r="B108" i="23"/>
  <c r="D107" i="23"/>
  <c r="D107" i="31" s="1"/>
  <c r="M107" i="31" s="1"/>
  <c r="C107" i="23"/>
  <c r="C107" i="31" s="1"/>
  <c r="B107" i="23"/>
  <c r="B107" i="31" s="1"/>
  <c r="D106" i="23"/>
  <c r="C106" i="23"/>
  <c r="B106" i="23"/>
  <c r="D105" i="23"/>
  <c r="C105" i="23"/>
  <c r="B105" i="23"/>
  <c r="D104" i="23"/>
  <c r="C104" i="23"/>
  <c r="B104" i="23"/>
  <c r="D103" i="23"/>
  <c r="C103" i="23"/>
  <c r="B103" i="23"/>
  <c r="D102" i="23"/>
  <c r="D102" i="31" s="1"/>
  <c r="M102" i="31" s="1"/>
  <c r="C102" i="23"/>
  <c r="C102" i="31" s="1"/>
  <c r="B102" i="23"/>
  <c r="B102" i="31" s="1"/>
  <c r="D101" i="23"/>
  <c r="C101" i="23"/>
  <c r="B101" i="23"/>
  <c r="D100" i="23"/>
  <c r="C100" i="23"/>
  <c r="B100" i="23"/>
  <c r="D99" i="23"/>
  <c r="D99" i="31" s="1"/>
  <c r="M99" i="31" s="1"/>
  <c r="C99" i="23"/>
  <c r="C99" i="31" s="1"/>
  <c r="B99" i="23"/>
  <c r="B99" i="31" s="1"/>
  <c r="D98" i="23"/>
  <c r="D98" i="31" s="1"/>
  <c r="M98" i="31" s="1"/>
  <c r="C98" i="23"/>
  <c r="C98" i="31" s="1"/>
  <c r="B98" i="23"/>
  <c r="B98" i="31" s="1"/>
  <c r="D97" i="23"/>
  <c r="D97" i="31" s="1"/>
  <c r="M97" i="31" s="1"/>
  <c r="C97" i="23"/>
  <c r="C97" i="31" s="1"/>
  <c r="B97" i="23"/>
  <c r="B97" i="31" s="1"/>
  <c r="D96" i="23"/>
  <c r="D96" i="31" s="1"/>
  <c r="M96" i="31" s="1"/>
  <c r="C96" i="23"/>
  <c r="C96" i="31" s="1"/>
  <c r="B96" i="23"/>
  <c r="B96" i="31" s="1"/>
  <c r="D95" i="23"/>
  <c r="C95" i="23"/>
  <c r="B95" i="23"/>
  <c r="D94" i="23"/>
  <c r="D94" i="31" s="1"/>
  <c r="M94" i="31" s="1"/>
  <c r="C94" i="23"/>
  <c r="C94" i="31" s="1"/>
  <c r="B94" i="23"/>
  <c r="B94" i="31" s="1"/>
  <c r="D93" i="23"/>
  <c r="D93" i="31" s="1"/>
  <c r="M93" i="31" s="1"/>
  <c r="C93" i="23"/>
  <c r="C93" i="31" s="1"/>
  <c r="B93" i="23"/>
  <c r="B93" i="31" s="1"/>
  <c r="D92" i="23"/>
  <c r="D92" i="31" s="1"/>
  <c r="M92" i="31" s="1"/>
  <c r="C92" i="23"/>
  <c r="C92" i="31" s="1"/>
  <c r="B92" i="23"/>
  <c r="B92" i="31" s="1"/>
  <c r="D91" i="23"/>
  <c r="D91" i="31" s="1"/>
  <c r="M91" i="31" s="1"/>
  <c r="C91" i="23"/>
  <c r="C91" i="31" s="1"/>
  <c r="B91" i="23"/>
  <c r="B91" i="31" s="1"/>
  <c r="D90" i="23"/>
  <c r="D90" i="31" s="1"/>
  <c r="M90" i="31" s="1"/>
  <c r="C90" i="23"/>
  <c r="C90" i="31" s="1"/>
  <c r="B90" i="23"/>
  <c r="B90" i="31" s="1"/>
  <c r="D89" i="23"/>
  <c r="C89" i="23"/>
  <c r="B89" i="23"/>
  <c r="D88" i="23"/>
  <c r="D88" i="31" s="1"/>
  <c r="M88" i="31" s="1"/>
  <c r="C88" i="23"/>
  <c r="C88" i="31" s="1"/>
  <c r="B88" i="23"/>
  <c r="B88" i="31" s="1"/>
  <c r="D87" i="23"/>
  <c r="D87" i="31" s="1"/>
  <c r="M87" i="31" s="1"/>
  <c r="C87" i="23"/>
  <c r="C87" i="31" s="1"/>
  <c r="B87" i="23"/>
  <c r="B87" i="31" s="1"/>
  <c r="D86" i="23"/>
  <c r="D86" i="31" s="1"/>
  <c r="M86" i="31" s="1"/>
  <c r="C86" i="23"/>
  <c r="C86" i="31" s="1"/>
  <c r="B86" i="23"/>
  <c r="B86" i="31" s="1"/>
  <c r="D85" i="23"/>
  <c r="D85" i="31" s="1"/>
  <c r="M85" i="31" s="1"/>
  <c r="C85" i="23"/>
  <c r="C85" i="31" s="1"/>
  <c r="B85" i="23"/>
  <c r="B85" i="31" s="1"/>
  <c r="D84" i="23"/>
  <c r="D84" i="31" s="1"/>
  <c r="M84" i="31" s="1"/>
  <c r="C84" i="23"/>
  <c r="C84" i="31" s="1"/>
  <c r="B84" i="23"/>
  <c r="B84" i="31" s="1"/>
  <c r="D83" i="23"/>
  <c r="D83" i="31" s="1"/>
  <c r="M83" i="31" s="1"/>
  <c r="C83" i="23"/>
  <c r="C83" i="31" s="1"/>
  <c r="B83" i="23"/>
  <c r="B83" i="31" s="1"/>
  <c r="D82" i="23"/>
  <c r="D82" i="31" s="1"/>
  <c r="M82" i="31" s="1"/>
  <c r="C82" i="23"/>
  <c r="C82" i="31" s="1"/>
  <c r="B82" i="23"/>
  <c r="B82" i="31" s="1"/>
  <c r="D81" i="23"/>
  <c r="C81" i="23"/>
  <c r="B81" i="23"/>
  <c r="D80" i="23"/>
  <c r="C80" i="23"/>
  <c r="B80" i="23"/>
  <c r="D79" i="23"/>
  <c r="D79" i="31" s="1"/>
  <c r="M79" i="31" s="1"/>
  <c r="C79" i="23"/>
  <c r="C79" i="31" s="1"/>
  <c r="B79" i="23"/>
  <c r="B79" i="31" s="1"/>
  <c r="D78" i="23"/>
  <c r="D78" i="31" s="1"/>
  <c r="M78" i="31" s="1"/>
  <c r="C78" i="23"/>
  <c r="C78" i="31" s="1"/>
  <c r="B78" i="23"/>
  <c r="B78" i="31" s="1"/>
  <c r="D77" i="23"/>
  <c r="D77" i="31" s="1"/>
  <c r="M77" i="31" s="1"/>
  <c r="C77" i="23"/>
  <c r="C77" i="31" s="1"/>
  <c r="B77" i="23"/>
  <c r="B77" i="31" s="1"/>
  <c r="D76" i="23"/>
  <c r="C76" i="23"/>
  <c r="B76" i="23"/>
  <c r="D75" i="23"/>
  <c r="C75" i="23"/>
  <c r="B75" i="23"/>
  <c r="D74" i="23"/>
  <c r="D74" i="31" s="1"/>
  <c r="M74" i="31" s="1"/>
  <c r="C74" i="23"/>
  <c r="C74" i="31" s="1"/>
  <c r="B74" i="23"/>
  <c r="B74" i="31" s="1"/>
  <c r="D73" i="23"/>
  <c r="D73" i="31" s="1"/>
  <c r="M73" i="31" s="1"/>
  <c r="C73" i="23"/>
  <c r="C73" i="31" s="1"/>
  <c r="B73" i="23"/>
  <c r="B73" i="31" s="1"/>
  <c r="D72" i="23"/>
  <c r="D72" i="31" s="1"/>
  <c r="M72" i="31" s="1"/>
  <c r="C72" i="23"/>
  <c r="C72" i="31" s="1"/>
  <c r="B72" i="23"/>
  <c r="B72" i="31" s="1"/>
  <c r="D71" i="23"/>
  <c r="D71" i="31" s="1"/>
  <c r="M71" i="31" s="1"/>
  <c r="C71" i="23"/>
  <c r="C71" i="31" s="1"/>
  <c r="B71" i="23"/>
  <c r="B71" i="31" s="1"/>
  <c r="D70" i="23"/>
  <c r="C70" i="23"/>
  <c r="B70" i="23"/>
  <c r="D69" i="23"/>
  <c r="D69" i="31" s="1"/>
  <c r="M69" i="31" s="1"/>
  <c r="C69" i="23"/>
  <c r="C69" i="31" s="1"/>
  <c r="B69" i="23"/>
  <c r="B69" i="31" s="1"/>
  <c r="D68" i="23"/>
  <c r="C68" i="23"/>
  <c r="B68" i="23"/>
  <c r="D67" i="23"/>
  <c r="C67" i="23"/>
  <c r="B67" i="23"/>
  <c r="D66" i="23"/>
  <c r="D66" i="31" s="1"/>
  <c r="M66" i="31" s="1"/>
  <c r="C66" i="23"/>
  <c r="C66" i="31" s="1"/>
  <c r="B66" i="23"/>
  <c r="B66" i="31" s="1"/>
  <c r="D65" i="23"/>
  <c r="C65" i="23"/>
  <c r="B65" i="23"/>
  <c r="D64" i="23"/>
  <c r="D64" i="31" s="1"/>
  <c r="M64" i="31" s="1"/>
  <c r="C64" i="23"/>
  <c r="C64" i="31" s="1"/>
  <c r="B64" i="23"/>
  <c r="B64" i="31" s="1"/>
  <c r="D63" i="23"/>
  <c r="D63" i="31" s="1"/>
  <c r="M63" i="31" s="1"/>
  <c r="C63" i="23"/>
  <c r="C63" i="31" s="1"/>
  <c r="B63" i="23"/>
  <c r="B63" i="31" s="1"/>
  <c r="D62" i="23"/>
  <c r="D62" i="31" s="1"/>
  <c r="M62" i="31" s="1"/>
  <c r="C62" i="23"/>
  <c r="C62" i="31" s="1"/>
  <c r="B62" i="23"/>
  <c r="B62" i="31" s="1"/>
  <c r="D61" i="23"/>
  <c r="D61" i="31" s="1"/>
  <c r="M61" i="31" s="1"/>
  <c r="C61" i="23"/>
  <c r="C61" i="31" s="1"/>
  <c r="B61" i="23"/>
  <c r="B61" i="31" s="1"/>
  <c r="D60" i="23"/>
  <c r="D60" i="31" s="1"/>
  <c r="M60" i="31" s="1"/>
  <c r="C60" i="23"/>
  <c r="C60" i="31" s="1"/>
  <c r="B60" i="23"/>
  <c r="B60" i="31" s="1"/>
  <c r="D59" i="23"/>
  <c r="C59" i="23"/>
  <c r="B59" i="23"/>
  <c r="D58" i="23"/>
  <c r="C58" i="23"/>
  <c r="B58" i="23"/>
  <c r="D57" i="23"/>
  <c r="D57" i="31" s="1"/>
  <c r="M57" i="31" s="1"/>
  <c r="C57" i="23"/>
  <c r="C57" i="31" s="1"/>
  <c r="B57" i="23"/>
  <c r="B57" i="31" s="1"/>
  <c r="D56" i="23"/>
  <c r="D56" i="31" s="1"/>
  <c r="M56" i="31" s="1"/>
  <c r="C56" i="23"/>
  <c r="C56" i="31" s="1"/>
  <c r="B56" i="23"/>
  <c r="B56" i="31" s="1"/>
  <c r="D55" i="23"/>
  <c r="C55" i="23"/>
  <c r="B55" i="23"/>
  <c r="D54" i="23"/>
  <c r="C54" i="23"/>
  <c r="B54" i="23"/>
  <c r="D53" i="23"/>
  <c r="C53" i="23"/>
  <c r="B53" i="23"/>
  <c r="D52" i="23"/>
  <c r="C52" i="23"/>
  <c r="B52" i="23"/>
  <c r="D51" i="23"/>
  <c r="C51" i="23"/>
  <c r="B51" i="23"/>
  <c r="D50" i="23"/>
  <c r="D50" i="31" s="1"/>
  <c r="M50" i="31" s="1"/>
  <c r="C50" i="23"/>
  <c r="C50" i="31" s="1"/>
  <c r="B50" i="23"/>
  <c r="B50" i="31" s="1"/>
  <c r="D49" i="23"/>
  <c r="D49" i="31" s="1"/>
  <c r="M49" i="31" s="1"/>
  <c r="C49" i="23"/>
  <c r="C49" i="31" s="1"/>
  <c r="B49" i="23"/>
  <c r="B49" i="31" s="1"/>
  <c r="D48" i="23"/>
  <c r="C48" i="23"/>
  <c r="B48" i="23"/>
  <c r="D47" i="23"/>
  <c r="D47" i="31" s="1"/>
  <c r="M47" i="31" s="1"/>
  <c r="C47" i="23"/>
  <c r="C47" i="31" s="1"/>
  <c r="B47" i="23"/>
  <c r="B47" i="31" s="1"/>
  <c r="D46" i="23"/>
  <c r="D46" i="31" s="1"/>
  <c r="M46" i="31" s="1"/>
  <c r="C46" i="23"/>
  <c r="C46" i="31" s="1"/>
  <c r="B46" i="23"/>
  <c r="B46" i="31" s="1"/>
  <c r="D45" i="23"/>
  <c r="C45" i="23"/>
  <c r="B45" i="23"/>
  <c r="D44" i="23"/>
  <c r="C44" i="23"/>
  <c r="B44" i="23"/>
  <c r="D43" i="23"/>
  <c r="C43" i="23"/>
  <c r="B43" i="23"/>
  <c r="D42" i="23"/>
  <c r="D42" i="31" s="1"/>
  <c r="M42" i="31" s="1"/>
  <c r="C42" i="23"/>
  <c r="C42" i="31" s="1"/>
  <c r="B42" i="23"/>
  <c r="B42" i="31" s="1"/>
  <c r="D41" i="23"/>
  <c r="D41" i="31" s="1"/>
  <c r="M41" i="31" s="1"/>
  <c r="C41" i="23"/>
  <c r="C41" i="31" s="1"/>
  <c r="B41" i="23"/>
  <c r="B41" i="31" s="1"/>
  <c r="D40" i="23"/>
  <c r="D40" i="31" s="1"/>
  <c r="M40" i="31" s="1"/>
  <c r="C40" i="23"/>
  <c r="C40" i="31" s="1"/>
  <c r="B40" i="23"/>
  <c r="B40" i="31" s="1"/>
  <c r="D39" i="23"/>
  <c r="C39" i="23"/>
  <c r="B39" i="23"/>
  <c r="D38" i="23"/>
  <c r="D38" i="31" s="1"/>
  <c r="M38" i="31" s="1"/>
  <c r="C38" i="23"/>
  <c r="C38" i="31" s="1"/>
  <c r="B38" i="23"/>
  <c r="B38" i="31" s="1"/>
  <c r="D37" i="23"/>
  <c r="D37" i="31" s="1"/>
  <c r="M37" i="31" s="1"/>
  <c r="C37" i="23"/>
  <c r="C37" i="31" s="1"/>
  <c r="B37" i="23"/>
  <c r="B37" i="31" s="1"/>
  <c r="D36" i="23"/>
  <c r="D36" i="31" s="1"/>
  <c r="M36" i="31" s="1"/>
  <c r="C36" i="23"/>
  <c r="C36" i="31" s="1"/>
  <c r="B36" i="23"/>
  <c r="B36" i="31" s="1"/>
  <c r="D35" i="23"/>
  <c r="D35" i="31" s="1"/>
  <c r="M35" i="31" s="1"/>
  <c r="C35" i="23"/>
  <c r="C35" i="31" s="1"/>
  <c r="B35" i="23"/>
  <c r="B35" i="31" s="1"/>
  <c r="D34" i="23"/>
  <c r="D34" i="31" s="1"/>
  <c r="M34" i="31" s="1"/>
  <c r="C34" i="23"/>
  <c r="C34" i="31" s="1"/>
  <c r="B34" i="23"/>
  <c r="B34" i="31" s="1"/>
  <c r="D33" i="23"/>
  <c r="C33" i="23"/>
  <c r="B33" i="23"/>
  <c r="D32" i="23"/>
  <c r="D32" i="31" s="1"/>
  <c r="M32" i="31" s="1"/>
  <c r="C32" i="23"/>
  <c r="C32" i="31" s="1"/>
  <c r="B32" i="23"/>
  <c r="B32" i="31" s="1"/>
  <c r="D31" i="23"/>
  <c r="C31" i="23"/>
  <c r="B31" i="23"/>
  <c r="D30" i="23"/>
  <c r="D30" i="31" s="1"/>
  <c r="M30" i="31" s="1"/>
  <c r="C30" i="23"/>
  <c r="C30" i="31" s="1"/>
  <c r="B30" i="23"/>
  <c r="B30" i="31" s="1"/>
  <c r="D29" i="23"/>
  <c r="D29" i="31" s="1"/>
  <c r="M29" i="31" s="1"/>
  <c r="C29" i="23"/>
  <c r="C29" i="31" s="1"/>
  <c r="B29" i="23"/>
  <c r="B29" i="31" s="1"/>
  <c r="D28" i="23"/>
  <c r="C28" i="23"/>
  <c r="B28" i="23"/>
  <c r="D27" i="23"/>
  <c r="D27" i="31" s="1"/>
  <c r="M27" i="31" s="1"/>
  <c r="C27" i="23"/>
  <c r="C27" i="31" s="1"/>
  <c r="B27" i="23"/>
  <c r="B27" i="31" s="1"/>
  <c r="D26" i="23"/>
  <c r="D26" i="31" s="1"/>
  <c r="M26" i="31" s="1"/>
  <c r="C26" i="23"/>
  <c r="C26" i="31" s="1"/>
  <c r="B26" i="23"/>
  <c r="B26" i="31" s="1"/>
  <c r="D25" i="23"/>
  <c r="C25" i="23"/>
  <c r="B25" i="23"/>
  <c r="D24" i="23"/>
  <c r="C24" i="23"/>
  <c r="B24" i="23"/>
  <c r="D23" i="23"/>
  <c r="C23" i="23"/>
  <c r="B23" i="23"/>
  <c r="D22" i="23"/>
  <c r="D22" i="31" s="1"/>
  <c r="M22" i="31" s="1"/>
  <c r="C22" i="23"/>
  <c r="C22" i="31" s="1"/>
  <c r="B22" i="23"/>
  <c r="B22" i="31" s="1"/>
  <c r="D21" i="23"/>
  <c r="D21" i="31" s="1"/>
  <c r="M21" i="31" s="1"/>
  <c r="C21" i="23"/>
  <c r="C21" i="31" s="1"/>
  <c r="B21" i="23"/>
  <c r="B21" i="31" s="1"/>
  <c r="D20" i="23"/>
  <c r="C20" i="23"/>
  <c r="B20" i="23"/>
  <c r="D19" i="23"/>
  <c r="D19" i="31" s="1"/>
  <c r="M19" i="31" s="1"/>
  <c r="C19" i="23"/>
  <c r="C19" i="31" s="1"/>
  <c r="B19" i="23"/>
  <c r="B19" i="31" s="1"/>
  <c r="D18" i="23"/>
  <c r="D18" i="31" s="1"/>
  <c r="M18" i="31" s="1"/>
  <c r="C18" i="23"/>
  <c r="C18" i="31" s="1"/>
  <c r="B18" i="23"/>
  <c r="B18" i="31" s="1"/>
  <c r="D17" i="23"/>
  <c r="C17" i="23"/>
  <c r="B17" i="23"/>
  <c r="D16" i="23"/>
  <c r="C16" i="23"/>
  <c r="B16" i="23"/>
  <c r="D15" i="23"/>
  <c r="D15" i="31" s="1"/>
  <c r="M15" i="31" s="1"/>
  <c r="C15" i="23"/>
  <c r="C15" i="31" s="1"/>
  <c r="B15" i="23"/>
  <c r="B15" i="31" s="1"/>
  <c r="D14" i="23"/>
  <c r="D14" i="31" s="1"/>
  <c r="M14" i="31" s="1"/>
  <c r="C14" i="23"/>
  <c r="C14" i="31" s="1"/>
  <c r="B14" i="23"/>
  <c r="B14" i="31" s="1"/>
  <c r="D13" i="23"/>
  <c r="C13" i="23"/>
  <c r="B13" i="23"/>
  <c r="D12" i="23"/>
  <c r="C12" i="23"/>
  <c r="B12" i="23"/>
  <c r="D11" i="23"/>
  <c r="D11" i="31" s="1"/>
  <c r="M11" i="31" s="1"/>
  <c r="C11" i="23"/>
  <c r="C11" i="31" s="1"/>
  <c r="B11" i="23"/>
  <c r="B11" i="31" s="1"/>
  <c r="D10" i="23"/>
  <c r="D10" i="31" s="1"/>
  <c r="M10" i="31" s="1"/>
  <c r="C10" i="23"/>
  <c r="C10" i="31" s="1"/>
  <c r="B10" i="23"/>
  <c r="B10" i="31" s="1"/>
  <c r="D9" i="23"/>
  <c r="C9" i="23"/>
  <c r="B9" i="23"/>
  <c r="D8" i="23"/>
  <c r="D8" i="31" s="1"/>
  <c r="M8" i="31" s="1"/>
  <c r="C8" i="23"/>
  <c r="C8" i="31" s="1"/>
  <c r="B8" i="23"/>
  <c r="B8" i="31" s="1"/>
  <c r="D7" i="23"/>
  <c r="D7" i="31" s="1"/>
  <c r="M7" i="31" s="1"/>
  <c r="C7" i="23"/>
  <c r="C7" i="31" s="1"/>
  <c r="B7" i="23"/>
  <c r="B7" i="31" s="1"/>
  <c r="D6" i="23"/>
  <c r="D6" i="31" s="1"/>
  <c r="M6" i="31" s="1"/>
  <c r="C6" i="23"/>
  <c r="C6" i="31" s="1"/>
  <c r="B6" i="23"/>
  <c r="B6" i="31" s="1"/>
  <c r="D5" i="23"/>
  <c r="D5" i="31" s="1"/>
  <c r="M5" i="31" s="1"/>
  <c r="C5" i="23"/>
  <c r="C5" i="31" s="1"/>
  <c r="B5" i="23"/>
  <c r="B5" i="31" s="1"/>
  <c r="D4" i="23"/>
  <c r="D4" i="31" s="1"/>
  <c r="M4" i="31" s="1"/>
  <c r="C4" i="23"/>
  <c r="C4" i="31" s="1"/>
  <c r="B4" i="23"/>
  <c r="B4" i="31" s="1"/>
  <c r="D3" i="31"/>
  <c r="M3" i="31" s="1"/>
  <c r="C3" i="23"/>
  <c r="C3" i="31" s="1"/>
  <c r="B3" i="23"/>
  <c r="B3" i="31" s="1"/>
  <c r="AF3" i="31" l="1"/>
  <c r="AF5" i="31"/>
  <c r="AF7" i="31"/>
  <c r="AF11" i="31"/>
  <c r="AF15" i="31"/>
  <c r="AF19" i="31"/>
  <c r="AF21" i="31"/>
  <c r="AF27" i="31"/>
  <c r="AF29" i="31"/>
  <c r="AF35" i="31"/>
  <c r="AF37" i="31"/>
  <c r="AF41" i="31"/>
  <c r="AF47" i="31"/>
  <c r="AF49" i="31"/>
  <c r="AF57" i="31"/>
  <c r="AF61" i="31"/>
  <c r="AF63" i="31"/>
  <c r="AF69" i="31"/>
  <c r="AF71" i="31"/>
  <c r="AF73" i="31"/>
  <c r="AF77" i="31"/>
  <c r="AF79" i="31"/>
  <c r="AF83" i="31"/>
  <c r="AF85" i="31"/>
  <c r="AF87" i="31"/>
  <c r="AF91" i="31"/>
  <c r="AF93" i="31"/>
  <c r="AF97" i="31"/>
  <c r="AF99" i="31"/>
  <c r="AF107" i="31"/>
  <c r="AF109" i="31"/>
  <c r="AF111" i="31"/>
  <c r="AF113" i="31"/>
  <c r="AF119" i="31"/>
  <c r="AF123" i="31"/>
  <c r="AF125" i="31"/>
  <c r="AF127" i="31"/>
  <c r="AF131" i="31"/>
  <c r="AF133" i="31"/>
  <c r="AF135" i="31"/>
  <c r="AF137" i="31"/>
  <c r="AF141" i="31"/>
  <c r="AF145" i="31"/>
  <c r="AF147" i="31"/>
  <c r="AF149" i="31"/>
  <c r="AF151" i="31"/>
  <c r="AF157" i="31"/>
  <c r="AF159" i="31"/>
  <c r="AF165" i="31"/>
  <c r="AF167" i="31"/>
  <c r="AF171" i="31"/>
  <c r="AF175" i="31"/>
  <c r="AF177" i="31"/>
  <c r="AF181" i="31"/>
  <c r="AF183" i="31"/>
  <c r="AF185" i="31"/>
  <c r="AF187" i="31"/>
  <c r="AF4" i="31"/>
  <c r="AF6" i="31"/>
  <c r="AF8" i="31"/>
  <c r="AF10" i="31"/>
  <c r="AF14" i="31"/>
  <c r="AF18" i="31"/>
  <c r="AF22" i="31"/>
  <c r="AF26" i="31"/>
  <c r="AF30" i="31"/>
  <c r="AF32" i="31"/>
  <c r="AF34" i="31"/>
  <c r="AF36" i="31"/>
  <c r="AF38" i="31"/>
  <c r="AF40" i="31"/>
  <c r="AF42" i="31"/>
  <c r="AF46" i="31"/>
  <c r="AF50" i="31"/>
  <c r="AF56" i="31"/>
  <c r="AF60" i="31"/>
  <c r="AF62" i="31"/>
  <c r="AF64" i="31"/>
  <c r="AF66" i="31"/>
  <c r="AF72" i="31"/>
  <c r="AF74" i="31"/>
  <c r="AF78" i="31"/>
  <c r="AF82" i="31"/>
  <c r="AF84" i="31"/>
  <c r="AF86" i="31"/>
  <c r="AF88" i="31"/>
  <c r="AF90" i="31"/>
  <c r="AF92" i="31"/>
  <c r="AF94" i="31"/>
  <c r="AF96" i="31"/>
  <c r="AF98" i="31"/>
  <c r="AF102" i="31"/>
  <c r="AF110" i="31"/>
  <c r="AF114" i="31"/>
  <c r="AF116" i="31"/>
  <c r="AF120" i="31"/>
  <c r="AF122" i="31"/>
  <c r="AF124" i="31"/>
  <c r="AF126" i="31"/>
  <c r="AF128" i="31"/>
  <c r="AF130" i="31"/>
  <c r="AF136" i="31"/>
  <c r="AF138" i="31"/>
  <c r="AF140" i="31"/>
  <c r="AF144" i="31"/>
  <c r="AF148" i="31"/>
  <c r="AF152" i="31"/>
  <c r="AF154" i="31"/>
  <c r="AF160" i="31"/>
  <c r="AF162" i="31"/>
  <c r="AF166" i="31"/>
  <c r="AF170" i="31"/>
  <c r="AF172" i="31"/>
  <c r="AF176" i="31"/>
  <c r="AF178" i="31"/>
  <c r="AF180" i="31"/>
  <c r="AF182" i="31"/>
  <c r="AF184" i="31"/>
  <c r="AF186" i="31"/>
  <c r="AF188" i="31"/>
  <c r="I4" i="31"/>
  <c r="K4" i="31"/>
  <c r="I6" i="31"/>
  <c r="K6" i="31"/>
  <c r="I8" i="31"/>
  <c r="K8" i="31"/>
  <c r="I11" i="31"/>
  <c r="K11" i="31"/>
  <c r="I15" i="31"/>
  <c r="K15" i="31"/>
  <c r="I19" i="31"/>
  <c r="K19" i="31"/>
  <c r="I21" i="31"/>
  <c r="K21" i="31"/>
  <c r="I26" i="31"/>
  <c r="K26" i="31"/>
  <c r="I30" i="31"/>
  <c r="K30" i="31"/>
  <c r="I32" i="31"/>
  <c r="K32" i="31"/>
  <c r="I34" i="31"/>
  <c r="K34" i="31"/>
  <c r="I37" i="31"/>
  <c r="K37" i="31"/>
  <c r="I41" i="31"/>
  <c r="K41" i="31"/>
  <c r="I46" i="31"/>
  <c r="K46" i="31"/>
  <c r="I50" i="31"/>
  <c r="K50" i="31"/>
  <c r="I56" i="31"/>
  <c r="K56" i="31"/>
  <c r="I60" i="31"/>
  <c r="K60" i="31"/>
  <c r="I62" i="31"/>
  <c r="K62" i="31"/>
  <c r="I63" i="31"/>
  <c r="K63" i="31"/>
  <c r="I66" i="31"/>
  <c r="K66" i="31"/>
  <c r="I71" i="31"/>
  <c r="K71" i="31"/>
  <c r="I73" i="31"/>
  <c r="K73" i="31"/>
  <c r="I78" i="31"/>
  <c r="K78" i="31"/>
  <c r="I82" i="31"/>
  <c r="K82" i="31"/>
  <c r="I85" i="31"/>
  <c r="K85" i="31"/>
  <c r="I86" i="31"/>
  <c r="K86" i="31"/>
  <c r="I87" i="31"/>
  <c r="K87" i="31"/>
  <c r="I91" i="31"/>
  <c r="K91" i="31"/>
  <c r="I93" i="31"/>
  <c r="K93" i="31"/>
  <c r="I97" i="31"/>
  <c r="K97" i="31"/>
  <c r="I99" i="31"/>
  <c r="K99" i="31"/>
  <c r="I102" i="31"/>
  <c r="K102" i="31"/>
  <c r="I110" i="31"/>
  <c r="K110" i="31"/>
  <c r="I111" i="31"/>
  <c r="K111" i="31"/>
  <c r="I114" i="31"/>
  <c r="K114" i="31"/>
  <c r="I122" i="31"/>
  <c r="K122" i="31"/>
  <c r="I124" i="31"/>
  <c r="K124" i="31"/>
  <c r="I126" i="31"/>
  <c r="K126" i="31"/>
  <c r="I128" i="31"/>
  <c r="K128" i="31"/>
  <c r="I130" i="31"/>
  <c r="K130" i="31"/>
  <c r="I136" i="31"/>
  <c r="K136" i="31"/>
  <c r="I137" i="31"/>
  <c r="K137" i="31"/>
  <c r="I144" i="31"/>
  <c r="K144" i="31"/>
  <c r="I145" i="31"/>
  <c r="K145" i="31"/>
  <c r="I148" i="31"/>
  <c r="K148" i="31"/>
  <c r="I149" i="31"/>
  <c r="K149" i="31"/>
  <c r="I151" i="31"/>
  <c r="K151" i="31"/>
  <c r="I157" i="31"/>
  <c r="K157" i="31"/>
  <c r="I159" i="31"/>
  <c r="K159" i="31"/>
  <c r="I166" i="31"/>
  <c r="K166" i="31"/>
  <c r="I170" i="31"/>
  <c r="K170" i="31"/>
  <c r="I175" i="31"/>
  <c r="K175" i="31"/>
  <c r="I178" i="31"/>
  <c r="K178" i="31"/>
  <c r="I180" i="31"/>
  <c r="K180" i="31"/>
  <c r="I182" i="31"/>
  <c r="K182" i="31"/>
  <c r="I184" i="31"/>
  <c r="K184" i="31"/>
  <c r="I187" i="31"/>
  <c r="K187" i="31"/>
  <c r="I3" i="31"/>
  <c r="K3" i="31"/>
  <c r="I5" i="31"/>
  <c r="K5" i="31"/>
  <c r="K7" i="31"/>
  <c r="I10" i="31"/>
  <c r="K10" i="31"/>
  <c r="I14" i="31"/>
  <c r="K14" i="31"/>
  <c r="I18" i="31"/>
  <c r="K18" i="31"/>
  <c r="I22" i="31"/>
  <c r="K22" i="31"/>
  <c r="I27" i="31"/>
  <c r="K27" i="31"/>
  <c r="I29" i="31"/>
  <c r="K29" i="31"/>
  <c r="I35" i="31"/>
  <c r="K35" i="31"/>
  <c r="I36" i="31"/>
  <c r="K36" i="31"/>
  <c r="I38" i="31"/>
  <c r="K38" i="31"/>
  <c r="I40" i="31"/>
  <c r="K40" i="31"/>
  <c r="I42" i="31"/>
  <c r="K42" i="31"/>
  <c r="I47" i="31"/>
  <c r="K47" i="31"/>
  <c r="I49" i="31"/>
  <c r="K49" i="31"/>
  <c r="I57" i="31"/>
  <c r="K57" i="31"/>
  <c r="I61" i="31"/>
  <c r="K61" i="31"/>
  <c r="I64" i="31"/>
  <c r="K64" i="31"/>
  <c r="I69" i="31"/>
  <c r="K69" i="31"/>
  <c r="I72" i="31"/>
  <c r="K72" i="31"/>
  <c r="I74" i="31"/>
  <c r="K74" i="31"/>
  <c r="I77" i="31"/>
  <c r="K77" i="31"/>
  <c r="I79" i="31"/>
  <c r="K79" i="31"/>
  <c r="I83" i="31"/>
  <c r="K83" i="31"/>
  <c r="I84" i="31"/>
  <c r="K84" i="31"/>
  <c r="I88" i="31"/>
  <c r="K88" i="31"/>
  <c r="I90" i="31"/>
  <c r="K90" i="31"/>
  <c r="I92" i="31"/>
  <c r="K92" i="31"/>
  <c r="I94" i="31"/>
  <c r="K94" i="31"/>
  <c r="I96" i="31"/>
  <c r="K96" i="31"/>
  <c r="I98" i="31"/>
  <c r="K98" i="31"/>
  <c r="I107" i="31"/>
  <c r="K107" i="31"/>
  <c r="I109" i="31"/>
  <c r="K109" i="31"/>
  <c r="I113" i="31"/>
  <c r="K113" i="31"/>
  <c r="I116" i="31"/>
  <c r="K116" i="31"/>
  <c r="I119" i="31"/>
  <c r="K119" i="31"/>
  <c r="I120" i="31"/>
  <c r="K120" i="31"/>
  <c r="I123" i="31"/>
  <c r="K123" i="31"/>
  <c r="I125" i="31"/>
  <c r="K125" i="31"/>
  <c r="I127" i="31"/>
  <c r="K127" i="31"/>
  <c r="I131" i="31"/>
  <c r="K131" i="31"/>
  <c r="I133" i="31"/>
  <c r="K133" i="31"/>
  <c r="I135" i="31"/>
  <c r="K135" i="31"/>
  <c r="I138" i="31"/>
  <c r="K138" i="31"/>
  <c r="I140" i="31"/>
  <c r="K140" i="31"/>
  <c r="I141" i="31"/>
  <c r="K141" i="31"/>
  <c r="I147" i="31"/>
  <c r="K147" i="31"/>
  <c r="I152" i="31"/>
  <c r="K152" i="31"/>
  <c r="I154" i="31"/>
  <c r="K154" i="31"/>
  <c r="I160" i="31"/>
  <c r="K160" i="31"/>
  <c r="I162" i="31"/>
  <c r="K162" i="31"/>
  <c r="I165" i="31"/>
  <c r="K165" i="31"/>
  <c r="I167" i="31"/>
  <c r="K167" i="31"/>
  <c r="I171" i="31"/>
  <c r="K171" i="31"/>
  <c r="I172" i="31"/>
  <c r="K172" i="31"/>
  <c r="I176" i="31"/>
  <c r="K176" i="31"/>
  <c r="I177" i="31"/>
  <c r="K177" i="31"/>
  <c r="I181" i="31"/>
  <c r="K181" i="31"/>
  <c r="I183" i="31"/>
  <c r="K183" i="31"/>
  <c r="I185" i="31"/>
  <c r="K185" i="31"/>
  <c r="I186" i="31"/>
  <c r="K186" i="31"/>
  <c r="I188" i="31"/>
  <c r="K188" i="31"/>
  <c r="I7" i="31"/>
  <c r="AI6" i="13"/>
  <c r="C9" i="31"/>
  <c r="AI9" i="13"/>
  <c r="C12" i="31"/>
  <c r="Z6" i="12"/>
  <c r="B13" i="31"/>
  <c r="AB6" i="12"/>
  <c r="D13" i="31"/>
  <c r="M13" i="31" s="1"/>
  <c r="AA8" i="12"/>
  <c r="C16" i="31"/>
  <c r="AH11" i="13"/>
  <c r="B17" i="31"/>
  <c r="AJ11" i="13"/>
  <c r="D17" i="31"/>
  <c r="M17" i="31" s="1"/>
  <c r="AA10" i="12"/>
  <c r="C20" i="31"/>
  <c r="Z11" i="12"/>
  <c r="B23" i="31"/>
  <c r="AB11" i="12"/>
  <c r="D23" i="31"/>
  <c r="M23" i="31" s="1"/>
  <c r="AI13" i="13"/>
  <c r="C24" i="31"/>
  <c r="Z12" i="12"/>
  <c r="B25" i="31"/>
  <c r="AB12" i="12"/>
  <c r="D25" i="31"/>
  <c r="M25" i="31" s="1"/>
  <c r="AH15" i="13"/>
  <c r="B28" i="31"/>
  <c r="AJ15" i="13"/>
  <c r="D28" i="31"/>
  <c r="M28" i="31" s="1"/>
  <c r="AA42" i="12"/>
  <c r="C31" i="31"/>
  <c r="AA14" i="12"/>
  <c r="C33" i="31"/>
  <c r="AH18" i="13"/>
  <c r="B39" i="31"/>
  <c r="AJ18" i="13"/>
  <c r="D39" i="31"/>
  <c r="M39" i="31" s="1"/>
  <c r="Z18" i="12"/>
  <c r="B43" i="31"/>
  <c r="AB18" i="12"/>
  <c r="D43" i="31"/>
  <c r="M43" i="31" s="1"/>
  <c r="Z19" i="12"/>
  <c r="B44" i="31"/>
  <c r="AB19" i="12"/>
  <c r="D44" i="31"/>
  <c r="M44" i="31" s="1"/>
  <c r="AI20" i="13"/>
  <c r="C45" i="31"/>
  <c r="AH21" i="13"/>
  <c r="B48" i="31"/>
  <c r="AJ21" i="13"/>
  <c r="AM21" i="13" s="1"/>
  <c r="D48" i="31"/>
  <c r="M48" i="31" s="1"/>
  <c r="AA21" i="12"/>
  <c r="C51" i="31"/>
  <c r="AH24" i="13"/>
  <c r="B52" i="31"/>
  <c r="AJ24" i="13"/>
  <c r="D52" i="31"/>
  <c r="M52" i="31" s="1"/>
  <c r="AA22" i="12"/>
  <c r="C53" i="31"/>
  <c r="Z23" i="12"/>
  <c r="B54" i="31"/>
  <c r="AB23" i="12"/>
  <c r="D54" i="31"/>
  <c r="M54" i="31" s="1"/>
  <c r="AA24" i="12"/>
  <c r="C55" i="31"/>
  <c r="AH25" i="13"/>
  <c r="B58" i="31"/>
  <c r="AJ25" i="13"/>
  <c r="D58" i="31"/>
  <c r="M58" i="31" s="1"/>
  <c r="AA25" i="12"/>
  <c r="C59" i="31"/>
  <c r="AA29" i="12"/>
  <c r="C68" i="31"/>
  <c r="Z33" i="12"/>
  <c r="B76" i="31"/>
  <c r="AB37" i="12"/>
  <c r="D80" i="31"/>
  <c r="M80" i="31" s="1"/>
  <c r="AA38" i="12"/>
  <c r="C81" i="31"/>
  <c r="Z45" i="12"/>
  <c r="B89" i="31"/>
  <c r="AH39" i="13"/>
  <c r="B95" i="31"/>
  <c r="AJ39" i="13"/>
  <c r="D95" i="31"/>
  <c r="M95" i="31" s="1"/>
  <c r="AH40" i="13"/>
  <c r="B100" i="31"/>
  <c r="AA46" i="12"/>
  <c r="C101" i="31"/>
  <c r="Z47" i="12"/>
  <c r="B104" i="31"/>
  <c r="AA48" i="12"/>
  <c r="C105" i="31"/>
  <c r="AB49" i="12"/>
  <c r="D106" i="31"/>
  <c r="M106" i="31" s="1"/>
  <c r="Z50" i="12"/>
  <c r="B108" i="31"/>
  <c r="AI43" i="13"/>
  <c r="C115" i="31"/>
  <c r="AH44" i="13"/>
  <c r="B117" i="31"/>
  <c r="AJ44" i="13"/>
  <c r="D117" i="31"/>
  <c r="M117" i="31" s="1"/>
  <c r="Z53" i="12"/>
  <c r="B118" i="31"/>
  <c r="AB53" i="12"/>
  <c r="D118" i="31"/>
  <c r="M118" i="31" s="1"/>
  <c r="AA54" i="12"/>
  <c r="C121" i="31"/>
  <c r="Z60" i="12"/>
  <c r="B132" i="31"/>
  <c r="AB60" i="12"/>
  <c r="D132" i="31"/>
  <c r="M132" i="31" s="1"/>
  <c r="Z61" i="12"/>
  <c r="B134" i="31"/>
  <c r="AB61" i="12"/>
  <c r="D134" i="31"/>
  <c r="M134" i="31" s="1"/>
  <c r="AH54" i="13"/>
  <c r="B139" i="31"/>
  <c r="AH56" i="13"/>
  <c r="B142" i="31"/>
  <c r="AA67" i="12"/>
  <c r="C143" i="31"/>
  <c r="AA68" i="12"/>
  <c r="C146" i="31"/>
  <c r="AJ58" i="13"/>
  <c r="D155" i="31"/>
  <c r="M155" i="31" s="1"/>
  <c r="AJ60" i="13"/>
  <c r="AM60" i="13" s="1"/>
  <c r="D158" i="31"/>
  <c r="M158" i="31" s="1"/>
  <c r="Z73" i="12"/>
  <c r="B161" i="31"/>
  <c r="Z74" i="12"/>
  <c r="B163" i="31"/>
  <c r="Z75" i="12"/>
  <c r="B164" i="31"/>
  <c r="AB75" i="12"/>
  <c r="D164" i="31"/>
  <c r="M164" i="31" s="1"/>
  <c r="Z81" i="12"/>
  <c r="B173" i="31"/>
  <c r="AB81" i="12"/>
  <c r="D173" i="31"/>
  <c r="M173" i="31" s="1"/>
  <c r="AI67" i="13"/>
  <c r="C179" i="31"/>
  <c r="Z89" i="12"/>
  <c r="B189" i="31"/>
  <c r="AB89" i="12"/>
  <c r="D189" i="31"/>
  <c r="M189" i="31" s="1"/>
  <c r="AA90" i="12"/>
  <c r="C190" i="31"/>
  <c r="AI28" i="13"/>
  <c r="C65" i="31"/>
  <c r="AI30" i="13"/>
  <c r="C67" i="31"/>
  <c r="Z31" i="12"/>
  <c r="B70" i="31"/>
  <c r="AB31" i="12"/>
  <c r="D70" i="31"/>
  <c r="M70" i="31" s="1"/>
  <c r="AA32" i="12"/>
  <c r="C75" i="31"/>
  <c r="AB33" i="12"/>
  <c r="D76" i="31"/>
  <c r="M76" i="31" s="1"/>
  <c r="Z37" i="12"/>
  <c r="B80" i="31"/>
  <c r="AB45" i="12"/>
  <c r="D89" i="31"/>
  <c r="M89" i="31" s="1"/>
  <c r="AJ40" i="13"/>
  <c r="D100" i="31"/>
  <c r="M100" i="31" s="1"/>
  <c r="AI41" i="13"/>
  <c r="C103" i="31"/>
  <c r="AB47" i="12"/>
  <c r="D104" i="31"/>
  <c r="M104" i="31" s="1"/>
  <c r="Z49" i="12"/>
  <c r="B106" i="31"/>
  <c r="AB50" i="12"/>
  <c r="D108" i="31"/>
  <c r="M108" i="31" s="1"/>
  <c r="AA51" i="12"/>
  <c r="C112" i="31"/>
  <c r="AA59" i="12"/>
  <c r="C129" i="31"/>
  <c r="AJ54" i="13"/>
  <c r="D139" i="31"/>
  <c r="M139" i="31" s="1"/>
  <c r="AJ56" i="13"/>
  <c r="D142" i="31"/>
  <c r="M142" i="31" s="1"/>
  <c r="AA69" i="12"/>
  <c r="C150" i="31"/>
  <c r="Z70" i="12"/>
  <c r="B153" i="31"/>
  <c r="AB70" i="12"/>
  <c r="D153" i="31"/>
  <c r="M153" i="31" s="1"/>
  <c r="AH58" i="13"/>
  <c r="B155" i="31"/>
  <c r="AI59" i="13"/>
  <c r="C156" i="31"/>
  <c r="AH60" i="13"/>
  <c r="B158" i="31"/>
  <c r="AB73" i="12"/>
  <c r="D161" i="31"/>
  <c r="M161" i="31" s="1"/>
  <c r="AB74" i="12"/>
  <c r="D163" i="31"/>
  <c r="M163" i="31" s="1"/>
  <c r="Z79" i="12"/>
  <c r="B168" i="31"/>
  <c r="AB79" i="12"/>
  <c r="D168" i="31"/>
  <c r="M168" i="31" s="1"/>
  <c r="AA80" i="12"/>
  <c r="C169" i="31"/>
  <c r="AA82" i="12"/>
  <c r="C174" i="31"/>
  <c r="AH6" i="13"/>
  <c r="B9" i="31"/>
  <c r="AJ6" i="13"/>
  <c r="D9" i="31"/>
  <c r="M9" i="31" s="1"/>
  <c r="M1" i="31" s="1"/>
  <c r="AH9" i="13"/>
  <c r="B12" i="31"/>
  <c r="AJ9" i="13"/>
  <c r="D12" i="31"/>
  <c r="M12" i="31" s="1"/>
  <c r="AA6" i="12"/>
  <c r="C13" i="31"/>
  <c r="Z8" i="12"/>
  <c r="B16" i="31"/>
  <c r="AB8" i="12"/>
  <c r="D16" i="31"/>
  <c r="M16" i="31" s="1"/>
  <c r="AI11" i="13"/>
  <c r="C17" i="31"/>
  <c r="Z10" i="12"/>
  <c r="B20" i="31"/>
  <c r="AB10" i="12"/>
  <c r="D20" i="31"/>
  <c r="M20" i="31" s="1"/>
  <c r="AA11" i="12"/>
  <c r="C23" i="31"/>
  <c r="AH13" i="13"/>
  <c r="B24" i="31"/>
  <c r="AJ13" i="13"/>
  <c r="D24" i="31"/>
  <c r="M24" i="31" s="1"/>
  <c r="AA12" i="12"/>
  <c r="C25" i="31"/>
  <c r="AI15" i="13"/>
  <c r="C28" i="31"/>
  <c r="Z42" i="12"/>
  <c r="B31" i="31"/>
  <c r="AB42" i="12"/>
  <c r="D31" i="31"/>
  <c r="M31" i="31" s="1"/>
  <c r="Z14" i="12"/>
  <c r="B33" i="31"/>
  <c r="AB14" i="12"/>
  <c r="D33" i="31"/>
  <c r="M33" i="31" s="1"/>
  <c r="AI18" i="13"/>
  <c r="C39" i="31"/>
  <c r="AA18" i="12"/>
  <c r="C43" i="31"/>
  <c r="AA19" i="12"/>
  <c r="C44" i="31"/>
  <c r="AH20" i="13"/>
  <c r="B45" i="31"/>
  <c r="AJ20" i="13"/>
  <c r="D45" i="31"/>
  <c r="M45" i="31" s="1"/>
  <c r="AI21" i="13"/>
  <c r="C48" i="31"/>
  <c r="Z21" i="12"/>
  <c r="B51" i="31"/>
  <c r="AB21" i="12"/>
  <c r="D51" i="31"/>
  <c r="M51" i="31" s="1"/>
  <c r="AI24" i="13"/>
  <c r="C52" i="31"/>
  <c r="Z22" i="12"/>
  <c r="B53" i="31"/>
  <c r="AB22" i="12"/>
  <c r="D53" i="31"/>
  <c r="M53" i="31" s="1"/>
  <c r="AA23" i="12"/>
  <c r="C54" i="31"/>
  <c r="Z24" i="12"/>
  <c r="B55" i="31"/>
  <c r="AB24" i="12"/>
  <c r="D55" i="31"/>
  <c r="M55" i="31" s="1"/>
  <c r="AI25" i="13"/>
  <c r="C58" i="31"/>
  <c r="Z25" i="12"/>
  <c r="B59" i="31"/>
  <c r="AB25" i="12"/>
  <c r="D59" i="31"/>
  <c r="M59" i="31" s="1"/>
  <c r="AH28" i="13"/>
  <c r="B65" i="31"/>
  <c r="AJ28" i="13"/>
  <c r="D65" i="31"/>
  <c r="M65" i="31" s="1"/>
  <c r="AH30" i="13"/>
  <c r="B67" i="31"/>
  <c r="AJ30" i="13"/>
  <c r="AM30" i="13" s="1"/>
  <c r="D67" i="31"/>
  <c r="M67" i="31" s="1"/>
  <c r="Z29" i="12"/>
  <c r="B68" i="31"/>
  <c r="AB29" i="12"/>
  <c r="D68" i="31"/>
  <c r="M68" i="31" s="1"/>
  <c r="AA31" i="12"/>
  <c r="C70" i="31"/>
  <c r="Z32" i="12"/>
  <c r="B75" i="31"/>
  <c r="AB32" i="12"/>
  <c r="D75" i="31"/>
  <c r="M75" i="31" s="1"/>
  <c r="AA33" i="12"/>
  <c r="C76" i="31"/>
  <c r="AA37" i="12"/>
  <c r="C80" i="31"/>
  <c r="Z38" i="12"/>
  <c r="B81" i="31"/>
  <c r="AB38" i="12"/>
  <c r="D81" i="31"/>
  <c r="M81" i="31" s="1"/>
  <c r="AA45" i="12"/>
  <c r="C89" i="31"/>
  <c r="AI39" i="13"/>
  <c r="C95" i="31"/>
  <c r="AI40" i="13"/>
  <c r="C100" i="31"/>
  <c r="Z46" i="12"/>
  <c r="B101" i="31"/>
  <c r="AB46" i="12"/>
  <c r="D101" i="31"/>
  <c r="M101" i="31" s="1"/>
  <c r="AH41" i="13"/>
  <c r="B103" i="31"/>
  <c r="AJ41" i="13"/>
  <c r="AM41" i="13" s="1"/>
  <c r="D103" i="31"/>
  <c r="M103" i="31" s="1"/>
  <c r="AA47" i="12"/>
  <c r="C104" i="31"/>
  <c r="Z48" i="12"/>
  <c r="B105" i="31"/>
  <c r="AB48" i="12"/>
  <c r="D105" i="31"/>
  <c r="M105" i="31" s="1"/>
  <c r="AA49" i="12"/>
  <c r="C106" i="31"/>
  <c r="AA50" i="12"/>
  <c r="C108" i="31"/>
  <c r="Z51" i="12"/>
  <c r="B112" i="31"/>
  <c r="AB51" i="12"/>
  <c r="D112" i="31"/>
  <c r="M112" i="31" s="1"/>
  <c r="AH43" i="13"/>
  <c r="B115" i="31"/>
  <c r="AJ43" i="13"/>
  <c r="D115" i="31"/>
  <c r="M115" i="31" s="1"/>
  <c r="AI44" i="13"/>
  <c r="C117" i="31"/>
  <c r="AA53" i="12"/>
  <c r="C118" i="31"/>
  <c r="Z54" i="12"/>
  <c r="B121" i="31"/>
  <c r="AB54" i="12"/>
  <c r="D121" i="31"/>
  <c r="M121" i="31" s="1"/>
  <c r="Z59" i="12"/>
  <c r="B129" i="31"/>
  <c r="AB59" i="12"/>
  <c r="D129" i="31"/>
  <c r="M129" i="31" s="1"/>
  <c r="AA60" i="12"/>
  <c r="C132" i="31"/>
  <c r="AA61" i="12"/>
  <c r="C134" i="31"/>
  <c r="AI54" i="13"/>
  <c r="C139" i="31"/>
  <c r="AI56" i="13"/>
  <c r="C142" i="31"/>
  <c r="Z67" i="12"/>
  <c r="B143" i="31"/>
  <c r="AB67" i="12"/>
  <c r="D143" i="31"/>
  <c r="M143" i="31" s="1"/>
  <c r="Z68" i="12"/>
  <c r="B146" i="31"/>
  <c r="AB68" i="12"/>
  <c r="D146" i="31"/>
  <c r="M146" i="31" s="1"/>
  <c r="Z69" i="12"/>
  <c r="B150" i="31"/>
  <c r="AB69" i="12"/>
  <c r="D150" i="31"/>
  <c r="M150" i="31" s="1"/>
  <c r="AA70" i="12"/>
  <c r="C153" i="31"/>
  <c r="AI58" i="13"/>
  <c r="C155" i="31"/>
  <c r="AH59" i="13"/>
  <c r="B156" i="31"/>
  <c r="AJ59" i="13"/>
  <c r="D156" i="31"/>
  <c r="M156" i="31" s="1"/>
  <c r="AI60" i="13"/>
  <c r="C158" i="31"/>
  <c r="AA73" i="12"/>
  <c r="C161" i="31"/>
  <c r="AA74" i="12"/>
  <c r="C163" i="31"/>
  <c r="AA75" i="12"/>
  <c r="C164" i="31"/>
  <c r="AA79" i="12"/>
  <c r="C168" i="31"/>
  <c r="Z80" i="12"/>
  <c r="B169" i="31"/>
  <c r="AB80" i="12"/>
  <c r="D169" i="31"/>
  <c r="M169" i="31" s="1"/>
  <c r="AA81" i="12"/>
  <c r="C173" i="31"/>
  <c r="Z82" i="12"/>
  <c r="B174" i="31"/>
  <c r="AB82" i="12"/>
  <c r="D174" i="31"/>
  <c r="M174" i="31" s="1"/>
  <c r="AH67" i="13"/>
  <c r="B179" i="31"/>
  <c r="AJ67" i="13"/>
  <c r="AL67" i="13" s="1"/>
  <c r="D179" i="31"/>
  <c r="M179" i="31" s="1"/>
  <c r="AA89" i="12"/>
  <c r="C189" i="31"/>
  <c r="Z90" i="12"/>
  <c r="B190" i="31"/>
  <c r="AB90" i="12"/>
  <c r="D190" i="31"/>
  <c r="M190" i="31" s="1"/>
  <c r="Z6" i="17"/>
  <c r="Z4" i="17"/>
  <c r="Z2" i="17"/>
  <c r="W6" i="17"/>
  <c r="W6" i="18" s="1"/>
  <c r="W4" i="17"/>
  <c r="W4" i="18" s="1"/>
  <c r="W2" i="17"/>
  <c r="W2" i="18" s="1"/>
  <c r="Z7" i="17"/>
  <c r="Z5" i="17"/>
  <c r="Z3" i="17"/>
  <c r="W7" i="17"/>
  <c r="W7" i="18" s="1"/>
  <c r="W3" i="17"/>
  <c r="W3" i="18" s="1"/>
  <c r="W5" i="17"/>
  <c r="W5" i="18" s="1"/>
  <c r="AI5" i="13"/>
  <c r="AA3" i="12"/>
  <c r="V6" i="17"/>
  <c r="V4" i="17"/>
  <c r="V2" i="17"/>
  <c r="V5" i="17"/>
  <c r="V7" i="17"/>
  <c r="V3" i="17"/>
  <c r="AH5" i="13"/>
  <c r="Z3" i="12"/>
  <c r="AJ5" i="13"/>
  <c r="AB3" i="12"/>
  <c r="AI7" i="13"/>
  <c r="AA4" i="12"/>
  <c r="AH8" i="13"/>
  <c r="Z5" i="12"/>
  <c r="AJ8" i="13"/>
  <c r="AB5" i="12"/>
  <c r="AH10" i="13"/>
  <c r="Z7" i="12"/>
  <c r="AJ10" i="13"/>
  <c r="AB7" i="12"/>
  <c r="AI12" i="13"/>
  <c r="AA9" i="12"/>
  <c r="AH14" i="13"/>
  <c r="Z13" i="12"/>
  <c r="AJ14" i="13"/>
  <c r="AB13" i="12"/>
  <c r="AH16" i="13"/>
  <c r="Z15" i="12"/>
  <c r="AJ16" i="13"/>
  <c r="AB15" i="12"/>
  <c r="AI17" i="13"/>
  <c r="AA16" i="12"/>
  <c r="AI19" i="13"/>
  <c r="AA17" i="12"/>
  <c r="AI23" i="13"/>
  <c r="AA20" i="12"/>
  <c r="AI26" i="13"/>
  <c r="AA26" i="12"/>
  <c r="AH27" i="13"/>
  <c r="Z27" i="12"/>
  <c r="AJ27" i="13"/>
  <c r="AB27" i="12"/>
  <c r="AH29" i="13"/>
  <c r="Z28" i="12"/>
  <c r="AJ29" i="13"/>
  <c r="AB28" i="12"/>
  <c r="AI32" i="13"/>
  <c r="AA34" i="12"/>
  <c r="AH33" i="13"/>
  <c r="Z35" i="12"/>
  <c r="AJ33" i="13"/>
  <c r="AB35" i="12"/>
  <c r="AI34" i="13"/>
  <c r="AA36" i="12"/>
  <c r="AI35" i="13"/>
  <c r="AA39" i="12"/>
  <c r="AI36" i="13"/>
  <c r="AA40" i="12"/>
  <c r="AH37" i="13"/>
  <c r="Z41" i="12"/>
  <c r="AJ37" i="13"/>
  <c r="AB41" i="12"/>
  <c r="AH38" i="13"/>
  <c r="Z44" i="12"/>
  <c r="AJ38" i="13"/>
  <c r="AB44" i="12"/>
  <c r="AI42" i="13"/>
  <c r="AA52" i="12"/>
  <c r="AH45" i="13"/>
  <c r="Z55" i="12"/>
  <c r="AJ45" i="13"/>
  <c r="AB55" i="12"/>
  <c r="AI46" i="13"/>
  <c r="AA56" i="12"/>
  <c r="AH47" i="13"/>
  <c r="Z57" i="12"/>
  <c r="AJ47" i="13"/>
  <c r="AB57" i="12"/>
  <c r="AI49" i="13"/>
  <c r="AA58" i="12"/>
  <c r="AI50" i="13"/>
  <c r="AA62" i="12"/>
  <c r="AH51" i="13"/>
  <c r="Z63" i="12"/>
  <c r="AJ51" i="13"/>
  <c r="AB63" i="12"/>
  <c r="AH52" i="13"/>
  <c r="Z64" i="12"/>
  <c r="AJ52" i="13"/>
  <c r="AB64" i="12"/>
  <c r="AI53" i="13"/>
  <c r="AA65" i="12"/>
  <c r="AI55" i="13"/>
  <c r="AA66" i="12"/>
  <c r="AH57" i="13"/>
  <c r="Z88" i="12"/>
  <c r="AJ57" i="13"/>
  <c r="AB88" i="12"/>
  <c r="AH61" i="13"/>
  <c r="Z71" i="12"/>
  <c r="AJ61" i="13"/>
  <c r="AB71" i="12"/>
  <c r="AI62" i="13"/>
  <c r="AA72" i="12"/>
  <c r="AI63" i="13"/>
  <c r="AA76" i="12"/>
  <c r="AH64" i="13"/>
  <c r="Z77" i="12"/>
  <c r="AJ64" i="13"/>
  <c r="AB77" i="12"/>
  <c r="AH65" i="13"/>
  <c r="Z83" i="12"/>
  <c r="AJ65" i="13"/>
  <c r="AB83" i="12"/>
  <c r="AI31" i="13"/>
  <c r="AI48" i="13"/>
  <c r="AA84" i="12"/>
  <c r="AH66" i="13"/>
  <c r="Z85" i="12"/>
  <c r="AJ66" i="13"/>
  <c r="AB85" i="12"/>
  <c r="AI68" i="13"/>
  <c r="AA86" i="12"/>
  <c r="AI69" i="13"/>
  <c r="AA87" i="12"/>
  <c r="AH7" i="13"/>
  <c r="Z4" i="12"/>
  <c r="AJ7" i="13"/>
  <c r="AB4" i="12"/>
  <c r="AI8" i="13"/>
  <c r="AA5" i="12"/>
  <c r="AI10" i="13"/>
  <c r="AA7" i="12"/>
  <c r="AH12" i="13"/>
  <c r="Z9" i="12"/>
  <c r="AJ12" i="13"/>
  <c r="AB9" i="12"/>
  <c r="AI14" i="13"/>
  <c r="AA13" i="12"/>
  <c r="AI16" i="13"/>
  <c r="AA15" i="12"/>
  <c r="AH17" i="13"/>
  <c r="Z16" i="12"/>
  <c r="AJ17" i="13"/>
  <c r="AB16" i="12"/>
  <c r="AH19" i="13"/>
  <c r="Z17" i="12"/>
  <c r="AJ19" i="13"/>
  <c r="AB17" i="12"/>
  <c r="AH23" i="13"/>
  <c r="Z20" i="12"/>
  <c r="AJ23" i="13"/>
  <c r="AB20" i="12"/>
  <c r="AH26" i="13"/>
  <c r="Z26" i="12"/>
  <c r="AJ26" i="13"/>
  <c r="AB26" i="12"/>
  <c r="AI27" i="13"/>
  <c r="AA27" i="12"/>
  <c r="AI29" i="13"/>
  <c r="AA28" i="12"/>
  <c r="AH32" i="13"/>
  <c r="Z34" i="12"/>
  <c r="AJ32" i="13"/>
  <c r="AB34" i="12"/>
  <c r="AI33" i="13"/>
  <c r="AA35" i="12"/>
  <c r="AH34" i="13"/>
  <c r="Z36" i="12"/>
  <c r="AJ34" i="13"/>
  <c r="AB36" i="12"/>
  <c r="AH35" i="13"/>
  <c r="Z39" i="12"/>
  <c r="AJ35" i="13"/>
  <c r="AB39" i="12"/>
  <c r="AH36" i="13"/>
  <c r="Z40" i="12"/>
  <c r="AJ36" i="13"/>
  <c r="AB40" i="12"/>
  <c r="AI37" i="13"/>
  <c r="AA41" i="12"/>
  <c r="AI38" i="13"/>
  <c r="AA44" i="12"/>
  <c r="AH42" i="13"/>
  <c r="Z52" i="12"/>
  <c r="AJ42" i="13"/>
  <c r="AB52" i="12"/>
  <c r="AI45" i="13"/>
  <c r="AA55" i="12"/>
  <c r="AH46" i="13"/>
  <c r="Z56" i="12"/>
  <c r="AJ46" i="13"/>
  <c r="AB56" i="12"/>
  <c r="AI47" i="13"/>
  <c r="AA57" i="12"/>
  <c r="AH49" i="13"/>
  <c r="Z58" i="12"/>
  <c r="AJ49" i="13"/>
  <c r="AB58" i="12"/>
  <c r="AH50" i="13"/>
  <c r="Z62" i="12"/>
  <c r="AJ50" i="13"/>
  <c r="AB62" i="12"/>
  <c r="AI51" i="13"/>
  <c r="AA63" i="12"/>
  <c r="AI52" i="13"/>
  <c r="AA64" i="12"/>
  <c r="AH53" i="13"/>
  <c r="Z65" i="12"/>
  <c r="AJ53" i="13"/>
  <c r="AB65" i="12"/>
  <c r="AH55" i="13"/>
  <c r="Z66" i="12"/>
  <c r="AJ55" i="13"/>
  <c r="AB66" i="12"/>
  <c r="AI57" i="13"/>
  <c r="AA88" i="12"/>
  <c r="AI61" i="13"/>
  <c r="AA71" i="12"/>
  <c r="AH62" i="13"/>
  <c r="Z72" i="12"/>
  <c r="AJ62" i="13"/>
  <c r="AB72" i="12"/>
  <c r="AH63" i="13"/>
  <c r="Z76" i="12"/>
  <c r="AJ63" i="13"/>
  <c r="AB76" i="12"/>
  <c r="AI64" i="13"/>
  <c r="AA77" i="12"/>
  <c r="AI65" i="13"/>
  <c r="AA83" i="12"/>
  <c r="AH48" i="13"/>
  <c r="AH31" i="13"/>
  <c r="Z84" i="12"/>
  <c r="AJ48" i="13"/>
  <c r="AJ31" i="13"/>
  <c r="AB84" i="12"/>
  <c r="AI66" i="13"/>
  <c r="AA85" i="12"/>
  <c r="AH68" i="13"/>
  <c r="Z86" i="12"/>
  <c r="AJ68" i="13"/>
  <c r="AB86" i="12"/>
  <c r="AH69" i="13"/>
  <c r="Z87" i="12"/>
  <c r="AJ69" i="13"/>
  <c r="AB87" i="12"/>
  <c r="AR8" i="11"/>
  <c r="AT8" i="15" s="1"/>
  <c r="AR6" i="11"/>
  <c r="AT6" i="15" s="1"/>
  <c r="AR4" i="11"/>
  <c r="AT4" i="15" s="1"/>
  <c r="AR2" i="11"/>
  <c r="AT2" i="15" s="1"/>
  <c r="AO9" i="11"/>
  <c r="AQ9" i="15" s="1"/>
  <c r="AO7" i="11"/>
  <c r="AQ7" i="15" s="1"/>
  <c r="AO5" i="11"/>
  <c r="AQ5" i="15" s="1"/>
  <c r="AO3" i="11"/>
  <c r="AQ3" i="15" s="1"/>
  <c r="AR7" i="11"/>
  <c r="AR3" i="11"/>
  <c r="AO8" i="11"/>
  <c r="AQ8" i="15" s="1"/>
  <c r="AO4" i="11"/>
  <c r="AQ4" i="15" s="1"/>
  <c r="AR9" i="11"/>
  <c r="AR5" i="11"/>
  <c r="AO6" i="11"/>
  <c r="AQ6" i="15" s="1"/>
  <c r="AO2" i="11"/>
  <c r="AQ2" i="15" s="1"/>
  <c r="AE6" i="10"/>
  <c r="AE4" i="10"/>
  <c r="AE2" i="10"/>
  <c r="AB7" i="10"/>
  <c r="AB5" i="10"/>
  <c r="AB3" i="10"/>
  <c r="AE5" i="10"/>
  <c r="AE3" i="10"/>
  <c r="AB6" i="10"/>
  <c r="AB4" i="10"/>
  <c r="AB2" i="10"/>
  <c r="AE7" i="10"/>
  <c r="AD7" i="10" s="1"/>
  <c r="AN9" i="11"/>
  <c r="AN7" i="11"/>
  <c r="AN5" i="11"/>
  <c r="AN3" i="11"/>
  <c r="AN8" i="11"/>
  <c r="AN4" i="11"/>
  <c r="AN6" i="11"/>
  <c r="AN2" i="11"/>
  <c r="AA7" i="10"/>
  <c r="AA5" i="10"/>
  <c r="AA3" i="10"/>
  <c r="AA6" i="10"/>
  <c r="AA4" i="10"/>
  <c r="AA2" i="10"/>
  <c r="U7" i="20"/>
  <c r="U10" i="20"/>
  <c r="U2" i="20"/>
  <c r="U4" i="20"/>
  <c r="U3" i="20"/>
  <c r="U9" i="20"/>
  <c r="U6" i="20"/>
  <c r="U8" i="20"/>
  <c r="U5" i="20"/>
  <c r="S7" i="19"/>
  <c r="S14" i="19"/>
  <c r="S6" i="19"/>
  <c r="S13" i="19"/>
  <c r="S4" i="19"/>
  <c r="S11" i="19"/>
  <c r="S5" i="19"/>
  <c r="S12" i="19"/>
  <c r="S3" i="19"/>
  <c r="S10" i="19"/>
  <c r="S2" i="19"/>
  <c r="S9" i="19"/>
  <c r="S8" i="19"/>
  <c r="Y8" i="20"/>
  <c r="V9" i="20"/>
  <c r="W9" i="21" s="1"/>
  <c r="V5" i="20"/>
  <c r="W5" i="21" s="1"/>
  <c r="Y7" i="20"/>
  <c r="V8" i="20"/>
  <c r="W8" i="21" s="1"/>
  <c r="Y5" i="20"/>
  <c r="V3" i="20"/>
  <c r="W3" i="21" s="1"/>
  <c r="V2" i="20"/>
  <c r="W2" i="21" s="1"/>
  <c r="Y6" i="20"/>
  <c r="V7" i="20"/>
  <c r="W7" i="21" s="1"/>
  <c r="V6" i="20"/>
  <c r="W6" i="21" s="1"/>
  <c r="Y4" i="20"/>
  <c r="Y9" i="20"/>
  <c r="Y3" i="20"/>
  <c r="V4" i="20"/>
  <c r="W4" i="21" s="1"/>
  <c r="Y10" i="20"/>
  <c r="Y2" i="20"/>
  <c r="V10" i="20"/>
  <c r="W10" i="21" s="1"/>
  <c r="W14" i="19"/>
  <c r="W6" i="19"/>
  <c r="W2" i="19"/>
  <c r="T8" i="19"/>
  <c r="W11" i="19"/>
  <c r="T5" i="19"/>
  <c r="W10" i="19"/>
  <c r="T9" i="19"/>
  <c r="W13" i="19"/>
  <c r="W5" i="19"/>
  <c r="T7" i="19"/>
  <c r="W3" i="19"/>
  <c r="T4" i="19"/>
  <c r="W12" i="19"/>
  <c r="W4" i="19"/>
  <c r="T14" i="19"/>
  <c r="T6" i="19"/>
  <c r="T13" i="19"/>
  <c r="T12" i="19"/>
  <c r="W9" i="19"/>
  <c r="T11" i="19"/>
  <c r="T3" i="19"/>
  <c r="W8" i="19"/>
  <c r="T10" i="19"/>
  <c r="T2" i="19"/>
  <c r="W7" i="19"/>
  <c r="G13" i="24"/>
  <c r="G5" i="24"/>
  <c r="D10" i="24"/>
  <c r="D2" i="24"/>
  <c r="D5" i="24"/>
  <c r="G7" i="24"/>
  <c r="G14" i="24"/>
  <c r="G12" i="24"/>
  <c r="G4" i="24"/>
  <c r="D9" i="24"/>
  <c r="D14" i="24"/>
  <c r="D12" i="24"/>
  <c r="D11" i="24"/>
  <c r="G11" i="24"/>
  <c r="G3" i="24"/>
  <c r="D8" i="24"/>
  <c r="G9" i="24"/>
  <c r="D13" i="24"/>
  <c r="D4" i="24"/>
  <c r="G6" i="24"/>
  <c r="G10" i="24"/>
  <c r="G2" i="24"/>
  <c r="D15" i="24"/>
  <c r="D7" i="24"/>
  <c r="D6" i="24"/>
  <c r="G8" i="24"/>
  <c r="G15" i="24"/>
  <c r="D3" i="24"/>
  <c r="G13" i="25"/>
  <c r="G5" i="25"/>
  <c r="D12" i="25"/>
  <c r="D4" i="25"/>
  <c r="D3" i="25"/>
  <c r="G16" i="25"/>
  <c r="D7" i="25"/>
  <c r="G6" i="25"/>
  <c r="D5" i="25"/>
  <c r="G12" i="25"/>
  <c r="G4" i="25"/>
  <c r="D11" i="25"/>
  <c r="D16" i="25"/>
  <c r="D15" i="25"/>
  <c r="D14" i="25"/>
  <c r="G11" i="25"/>
  <c r="G3" i="25"/>
  <c r="D10" i="25"/>
  <c r="D2" i="25"/>
  <c r="G8" i="25"/>
  <c r="G7" i="25"/>
  <c r="G14" i="25"/>
  <c r="D13" i="25"/>
  <c r="G10" i="25"/>
  <c r="G2" i="25"/>
  <c r="D9" i="25"/>
  <c r="G9" i="25"/>
  <c r="D8" i="25"/>
  <c r="G15" i="25"/>
  <c r="D6" i="25"/>
  <c r="C8" i="24"/>
  <c r="C5" i="24"/>
  <c r="C12" i="24"/>
  <c r="C15" i="24"/>
  <c r="C7" i="24"/>
  <c r="C4" i="24"/>
  <c r="C11" i="24"/>
  <c r="C10" i="24"/>
  <c r="C9" i="24"/>
  <c r="C14" i="24"/>
  <c r="C6" i="24"/>
  <c r="C3" i="24"/>
  <c r="C13" i="24"/>
  <c r="C2" i="24"/>
  <c r="C13" i="25"/>
  <c r="C5" i="25"/>
  <c r="C7" i="25"/>
  <c r="C12" i="25"/>
  <c r="C4" i="25"/>
  <c r="C16" i="25"/>
  <c r="C15" i="25"/>
  <c r="C14" i="25"/>
  <c r="C11" i="25"/>
  <c r="C3" i="25"/>
  <c r="C9" i="25"/>
  <c r="C10" i="25"/>
  <c r="C2" i="25"/>
  <c r="C8" i="25"/>
  <c r="C6" i="25"/>
  <c r="B19" i="2"/>
  <c r="AD3" i="10" l="1"/>
  <c r="E6" i="24"/>
  <c r="F3" i="25"/>
  <c r="K14" i="25" s="1"/>
  <c r="V4" i="19"/>
  <c r="AA4" i="19" s="1"/>
  <c r="B1" i="31"/>
  <c r="C1" i="31"/>
  <c r="AF156" i="31"/>
  <c r="AF150" i="31"/>
  <c r="AF146" i="31"/>
  <c r="AF143" i="31"/>
  <c r="AF129" i="31"/>
  <c r="AF121" i="31"/>
  <c r="AF115" i="31"/>
  <c r="AF112" i="31"/>
  <c r="AF105" i="31"/>
  <c r="AF103" i="31"/>
  <c r="AF101" i="31"/>
  <c r="AF189" i="31"/>
  <c r="AF173" i="31"/>
  <c r="AF164" i="31"/>
  <c r="AF158" i="31"/>
  <c r="AF155" i="31"/>
  <c r="AF134" i="31"/>
  <c r="AF132" i="31"/>
  <c r="AF118" i="31"/>
  <c r="AF117" i="31"/>
  <c r="AF106" i="31"/>
  <c r="AF95" i="31"/>
  <c r="AF80" i="31"/>
  <c r="AF58" i="31"/>
  <c r="AF54" i="31"/>
  <c r="AF52" i="31"/>
  <c r="AF48" i="31"/>
  <c r="AF44" i="31"/>
  <c r="AF43" i="31"/>
  <c r="AF39" i="31"/>
  <c r="AF28" i="31"/>
  <c r="AF25" i="31"/>
  <c r="AF23" i="31"/>
  <c r="AF17" i="31"/>
  <c r="AF13" i="31"/>
  <c r="AF190" i="31"/>
  <c r="AF179" i="31"/>
  <c r="AF174" i="31"/>
  <c r="AF169" i="31"/>
  <c r="AF81" i="31"/>
  <c r="AF75" i="31"/>
  <c r="AF68" i="31"/>
  <c r="AF67" i="31"/>
  <c r="AF65" i="31"/>
  <c r="AF59" i="31"/>
  <c r="AF55" i="31"/>
  <c r="AF53" i="31"/>
  <c r="AF51" i="31"/>
  <c r="AF45" i="31"/>
  <c r="AF33" i="31"/>
  <c r="AF31" i="31"/>
  <c r="AF24" i="31"/>
  <c r="AF20" i="31"/>
  <c r="AF16" i="31"/>
  <c r="AF12" i="31"/>
  <c r="AF9" i="31"/>
  <c r="AF168" i="31"/>
  <c r="AF163" i="31"/>
  <c r="AF161" i="31"/>
  <c r="AF153" i="31"/>
  <c r="AF142" i="31"/>
  <c r="AF139" i="31"/>
  <c r="AF108" i="31"/>
  <c r="AF104" i="31"/>
  <c r="AF100" i="31"/>
  <c r="AF89" i="31"/>
  <c r="AF76" i="31"/>
  <c r="AF70" i="31"/>
  <c r="AH22" i="13"/>
  <c r="AK22" i="13" s="1"/>
  <c r="AL6" i="13"/>
  <c r="AL11" i="13"/>
  <c r="AL40" i="13"/>
  <c r="E7" i="25"/>
  <c r="AL24" i="13"/>
  <c r="AL21" i="13"/>
  <c r="AL25" i="13"/>
  <c r="AM28" i="13"/>
  <c r="AL13" i="13"/>
  <c r="AL54" i="13"/>
  <c r="AM15" i="13"/>
  <c r="AM18" i="13"/>
  <c r="AL9" i="13"/>
  <c r="AM25" i="13"/>
  <c r="AM11" i="13"/>
  <c r="AL28" i="13"/>
  <c r="AM24" i="13"/>
  <c r="AM13" i="13"/>
  <c r="AM6" i="13"/>
  <c r="AM54" i="13"/>
  <c r="AL15" i="13"/>
  <c r="AM56" i="13"/>
  <c r="AL18" i="13"/>
  <c r="AI22" i="13"/>
  <c r="AI71" i="13" s="1"/>
  <c r="E14" i="24"/>
  <c r="AM67" i="13"/>
  <c r="AM43" i="13"/>
  <c r="AL41" i="13"/>
  <c r="AL59" i="13"/>
  <c r="AM44" i="13"/>
  <c r="AM58" i="13"/>
  <c r="AM59" i="13"/>
  <c r="AL43" i="13"/>
  <c r="AL39" i="13"/>
  <c r="AL44" i="13"/>
  <c r="AL58" i="13"/>
  <c r="AM20" i="13"/>
  <c r="E3" i="24"/>
  <c r="J2" i="24" s="1"/>
  <c r="AM9" i="13"/>
  <c r="AL56" i="13"/>
  <c r="AD5" i="10"/>
  <c r="AI5" i="10" s="1"/>
  <c r="AL30" i="13"/>
  <c r="AL60" i="13"/>
  <c r="AM39" i="13"/>
  <c r="AM40" i="13"/>
  <c r="AL20" i="13"/>
  <c r="I190" i="31"/>
  <c r="K190" i="31"/>
  <c r="I179" i="31"/>
  <c r="K179" i="31"/>
  <c r="I174" i="31"/>
  <c r="K174" i="31"/>
  <c r="I169" i="31"/>
  <c r="K169" i="31"/>
  <c r="I156" i="31"/>
  <c r="K156" i="31"/>
  <c r="I150" i="31"/>
  <c r="K150" i="31"/>
  <c r="I146" i="31"/>
  <c r="K146" i="31"/>
  <c r="I143" i="31"/>
  <c r="K143" i="31"/>
  <c r="I129" i="31"/>
  <c r="K129" i="31"/>
  <c r="I121" i="31"/>
  <c r="K121" i="31"/>
  <c r="I115" i="31"/>
  <c r="K115" i="31"/>
  <c r="I112" i="31"/>
  <c r="K112" i="31"/>
  <c r="I105" i="31"/>
  <c r="K105" i="31"/>
  <c r="I103" i="31"/>
  <c r="K103" i="31"/>
  <c r="I101" i="31"/>
  <c r="K101" i="31"/>
  <c r="I81" i="31"/>
  <c r="K81" i="31"/>
  <c r="I75" i="31"/>
  <c r="K75" i="31"/>
  <c r="I68" i="31"/>
  <c r="K68" i="31"/>
  <c r="I67" i="31"/>
  <c r="K67" i="31"/>
  <c r="I65" i="31"/>
  <c r="K65" i="31"/>
  <c r="I59" i="31"/>
  <c r="K59" i="31"/>
  <c r="I55" i="31"/>
  <c r="K55" i="31"/>
  <c r="I53" i="31"/>
  <c r="K53" i="31"/>
  <c r="I51" i="31"/>
  <c r="K51" i="31"/>
  <c r="I45" i="31"/>
  <c r="K45" i="31"/>
  <c r="I33" i="31"/>
  <c r="K33" i="31"/>
  <c r="I31" i="31"/>
  <c r="K31" i="31"/>
  <c r="I24" i="31"/>
  <c r="K24" i="31"/>
  <c r="I20" i="31"/>
  <c r="K20" i="31"/>
  <c r="I16" i="31"/>
  <c r="K16" i="31"/>
  <c r="I12" i="31"/>
  <c r="K12" i="31"/>
  <c r="I9" i="31"/>
  <c r="K9" i="31"/>
  <c r="I168" i="31"/>
  <c r="K168" i="31"/>
  <c r="I163" i="31"/>
  <c r="K163" i="31"/>
  <c r="I161" i="31"/>
  <c r="K161" i="31"/>
  <c r="I153" i="31"/>
  <c r="K153" i="31"/>
  <c r="I142" i="31"/>
  <c r="K142" i="31"/>
  <c r="I139" i="31"/>
  <c r="K139" i="31"/>
  <c r="I108" i="31"/>
  <c r="K108" i="31"/>
  <c r="I104" i="31"/>
  <c r="K104" i="31"/>
  <c r="I100" i="31"/>
  <c r="K100" i="31"/>
  <c r="I89" i="31"/>
  <c r="K89" i="31"/>
  <c r="I76" i="31"/>
  <c r="K76" i="31"/>
  <c r="I70" i="31"/>
  <c r="K70" i="31"/>
  <c r="I189" i="31"/>
  <c r="K189" i="31"/>
  <c r="I173" i="31"/>
  <c r="K173" i="31"/>
  <c r="I164" i="31"/>
  <c r="K164" i="31"/>
  <c r="I158" i="31"/>
  <c r="K158" i="31"/>
  <c r="I155" i="31"/>
  <c r="K155" i="31"/>
  <c r="I134" i="31"/>
  <c r="K134" i="31"/>
  <c r="I132" i="31"/>
  <c r="K132" i="31"/>
  <c r="I118" i="31"/>
  <c r="K118" i="31"/>
  <c r="I117" i="31"/>
  <c r="K117" i="31"/>
  <c r="I106" i="31"/>
  <c r="K106" i="31"/>
  <c r="I95" i="31"/>
  <c r="K95" i="31"/>
  <c r="I80" i="31"/>
  <c r="K80" i="31"/>
  <c r="I58" i="31"/>
  <c r="K58" i="31"/>
  <c r="I54" i="31"/>
  <c r="K54" i="31"/>
  <c r="I52" i="31"/>
  <c r="K52" i="31"/>
  <c r="I48" i="31"/>
  <c r="K48" i="31"/>
  <c r="I44" i="31"/>
  <c r="K44" i="31"/>
  <c r="I43" i="31"/>
  <c r="K43" i="31"/>
  <c r="I39" i="31"/>
  <c r="K39" i="31"/>
  <c r="I28" i="31"/>
  <c r="K28" i="31"/>
  <c r="I25" i="31"/>
  <c r="K25" i="31"/>
  <c r="I23" i="31"/>
  <c r="K23" i="31"/>
  <c r="I17" i="31"/>
  <c r="K17" i="31"/>
  <c r="I13" i="31"/>
  <c r="K13" i="31"/>
  <c r="E6" i="25"/>
  <c r="J5" i="25" s="1"/>
  <c r="E15" i="25"/>
  <c r="E13" i="24"/>
  <c r="E9" i="24"/>
  <c r="E12" i="24"/>
  <c r="F15" i="25"/>
  <c r="F9" i="24"/>
  <c r="K5" i="24" s="1"/>
  <c r="V8" i="19"/>
  <c r="AC6" i="10"/>
  <c r="AH6" i="10" s="1"/>
  <c r="AC5" i="10"/>
  <c r="AH5" i="10" s="1"/>
  <c r="J14" i="24"/>
  <c r="AC2" i="10"/>
  <c r="AA9" i="10"/>
  <c r="Z9" i="10" s="1"/>
  <c r="C12" i="1" s="1"/>
  <c r="AN11" i="11"/>
  <c r="AI7" i="10"/>
  <c r="AI3" i="10"/>
  <c r="AA92" i="12"/>
  <c r="AD92" i="12" s="1"/>
  <c r="C18" i="1" s="1"/>
  <c r="AM55" i="13"/>
  <c r="AL55" i="13"/>
  <c r="AL35" i="13"/>
  <c r="AM35" i="13"/>
  <c r="AL45" i="13"/>
  <c r="AM45" i="13"/>
  <c r="AL8" i="13"/>
  <c r="AM8" i="13"/>
  <c r="AM10" i="13"/>
  <c r="AL10" i="13"/>
  <c r="AM46" i="13"/>
  <c r="AL46" i="13"/>
  <c r="AM23" i="13"/>
  <c r="AL23" i="13"/>
  <c r="AL65" i="13"/>
  <c r="AM65" i="13"/>
  <c r="AL57" i="13"/>
  <c r="AM57" i="13"/>
  <c r="AM52" i="13"/>
  <c r="AL52" i="13"/>
  <c r="AM38" i="13"/>
  <c r="AL38" i="13"/>
  <c r="AM27" i="13"/>
  <c r="AL27" i="13"/>
  <c r="AM17" i="13"/>
  <c r="AL17" i="13"/>
  <c r="AM12" i="13"/>
  <c r="AL12" i="13"/>
  <c r="AL7" i="13"/>
  <c r="AM7" i="13"/>
  <c r="AM66" i="13"/>
  <c r="AL66" i="13"/>
  <c r="AM14" i="13"/>
  <c r="AL14" i="13"/>
  <c r="AL5" i="13"/>
  <c r="AM5" i="13"/>
  <c r="AM62" i="13"/>
  <c r="AL62" i="13"/>
  <c r="AM31" i="13"/>
  <c r="AL31" i="13"/>
  <c r="AL32" i="13"/>
  <c r="AM32" i="13"/>
  <c r="AL26" i="13"/>
  <c r="AM26" i="13"/>
  <c r="AL64" i="13"/>
  <c r="AM64" i="13"/>
  <c r="AL61" i="13"/>
  <c r="AM61" i="13"/>
  <c r="AL51" i="13"/>
  <c r="AM51" i="13"/>
  <c r="AM47" i="13"/>
  <c r="AL47" i="13"/>
  <c r="AM37" i="13"/>
  <c r="AL37" i="13"/>
  <c r="AL29" i="13"/>
  <c r="AM29" i="13"/>
  <c r="AM48" i="13"/>
  <c r="AL48" i="13"/>
  <c r="AL19" i="13"/>
  <c r="AM19" i="13"/>
  <c r="AL16" i="13"/>
  <c r="AM16" i="13"/>
  <c r="AM69" i="13"/>
  <c r="AL69" i="13"/>
  <c r="AL49" i="13"/>
  <c r="AM49" i="13"/>
  <c r="AM68" i="13"/>
  <c r="AL68" i="13"/>
  <c r="AM63" i="13"/>
  <c r="AL63" i="13"/>
  <c r="AL53" i="13"/>
  <c r="AM53" i="13"/>
  <c r="AM50" i="13"/>
  <c r="AL50" i="13"/>
  <c r="AM42" i="13"/>
  <c r="AL42" i="13"/>
  <c r="AM36" i="13"/>
  <c r="AL36" i="13"/>
  <c r="AM34" i="13"/>
  <c r="AL34" i="13"/>
  <c r="AL33" i="13"/>
  <c r="AM33" i="13"/>
  <c r="AP2" i="11"/>
  <c r="AP2" i="15"/>
  <c r="AP4" i="11"/>
  <c r="AP4" i="15"/>
  <c r="AP3" i="11"/>
  <c r="AP3" i="15"/>
  <c r="AP7" i="11"/>
  <c r="AP7" i="15"/>
  <c r="AQ5" i="11"/>
  <c r="AT5" i="15"/>
  <c r="AQ3" i="11"/>
  <c r="AT3" i="15"/>
  <c r="V3" i="18"/>
  <c r="X3" i="17"/>
  <c r="V5" i="18"/>
  <c r="X5" i="17"/>
  <c r="V4" i="18"/>
  <c r="X4" i="17"/>
  <c r="Z5" i="18"/>
  <c r="Y5" i="17"/>
  <c r="Z4" i="18"/>
  <c r="Y4" i="17"/>
  <c r="E3" i="25"/>
  <c r="E16" i="25"/>
  <c r="F11" i="24"/>
  <c r="V7" i="19"/>
  <c r="AC4" i="10"/>
  <c r="AC3" i="10"/>
  <c r="AC7" i="10"/>
  <c r="AP6" i="11"/>
  <c r="AP6" i="15"/>
  <c r="AP8" i="11"/>
  <c r="AP8" i="15"/>
  <c r="AP5" i="11"/>
  <c r="AP5" i="15"/>
  <c r="AP9" i="11"/>
  <c r="AP9" i="15"/>
  <c r="AQ9" i="11"/>
  <c r="AT9" i="15"/>
  <c r="AQ7" i="11"/>
  <c r="AT7" i="15"/>
  <c r="V7" i="18"/>
  <c r="X7" i="17"/>
  <c r="V2" i="18"/>
  <c r="X2" i="17"/>
  <c r="V6" i="18"/>
  <c r="X6" i="17"/>
  <c r="Z3" i="18"/>
  <c r="Y3" i="17"/>
  <c r="Z7" i="18"/>
  <c r="Y7" i="17"/>
  <c r="Z2" i="18"/>
  <c r="Y2" i="17"/>
  <c r="Z6" i="18"/>
  <c r="Y6" i="17"/>
  <c r="F13" i="25"/>
  <c r="U11" i="19"/>
  <c r="U13" i="19"/>
  <c r="AD4" i="10"/>
  <c r="AQ2" i="11"/>
  <c r="AQ6" i="11"/>
  <c r="F5" i="25"/>
  <c r="V12" i="19"/>
  <c r="U8" i="19"/>
  <c r="U5" i="19"/>
  <c r="U4" i="19"/>
  <c r="AD2" i="10"/>
  <c r="AD6" i="10"/>
  <c r="AQ4" i="11"/>
  <c r="AQ8" i="11"/>
  <c r="V8" i="21"/>
  <c r="W8" i="20"/>
  <c r="X2" i="20"/>
  <c r="Z2" i="21"/>
  <c r="V6" i="21"/>
  <c r="W6" i="20"/>
  <c r="V3" i="21"/>
  <c r="W3" i="20"/>
  <c r="E10" i="24"/>
  <c r="F14" i="25"/>
  <c r="V9" i="19"/>
  <c r="V3" i="19"/>
  <c r="X3" i="20"/>
  <c r="Z3" i="21"/>
  <c r="X5" i="20"/>
  <c r="Z5" i="21"/>
  <c r="U2" i="19"/>
  <c r="U6" i="19"/>
  <c r="W4" i="20"/>
  <c r="V4" i="21"/>
  <c r="Z6" i="21"/>
  <c r="X6" i="20"/>
  <c r="F7" i="25"/>
  <c r="F6" i="24"/>
  <c r="V2" i="19"/>
  <c r="Z9" i="21"/>
  <c r="X9" i="20"/>
  <c r="U10" i="19"/>
  <c r="U14" i="19"/>
  <c r="V7" i="21"/>
  <c r="W7" i="20"/>
  <c r="V10" i="19"/>
  <c r="V11" i="19"/>
  <c r="E13" i="25"/>
  <c r="E14" i="25"/>
  <c r="E2" i="24"/>
  <c r="E4" i="24"/>
  <c r="F8" i="25"/>
  <c r="F8" i="24"/>
  <c r="V5" i="19"/>
  <c r="V6" i="19"/>
  <c r="Z4" i="21"/>
  <c r="X4" i="20"/>
  <c r="Z7" i="21"/>
  <c r="X7" i="20"/>
  <c r="U3" i="19"/>
  <c r="U7" i="19"/>
  <c r="V2" i="21"/>
  <c r="W2" i="20"/>
  <c r="Z8" i="21"/>
  <c r="X8" i="20"/>
  <c r="X10" i="20"/>
  <c r="Z10" i="21"/>
  <c r="W9" i="20"/>
  <c r="V9" i="21"/>
  <c r="U9" i="19"/>
  <c r="F9" i="25"/>
  <c r="F3" i="24"/>
  <c r="V13" i="19"/>
  <c r="V14" i="19"/>
  <c r="U12" i="19"/>
  <c r="W5" i="20"/>
  <c r="V5" i="21"/>
  <c r="W10" i="20"/>
  <c r="V10" i="21"/>
  <c r="F4" i="25"/>
  <c r="E4" i="25"/>
  <c r="E10" i="25"/>
  <c r="E12" i="25"/>
  <c r="E5" i="24"/>
  <c r="F10" i="25"/>
  <c r="F11" i="25"/>
  <c r="F6" i="25"/>
  <c r="F12" i="24"/>
  <c r="F2" i="24"/>
  <c r="E7" i="24"/>
  <c r="E9" i="25"/>
  <c r="E8" i="24"/>
  <c r="F15" i="24"/>
  <c r="F4" i="24"/>
  <c r="F14" i="24"/>
  <c r="F10" i="24"/>
  <c r="E15" i="24"/>
  <c r="E2" i="25"/>
  <c r="F2" i="25"/>
  <c r="E5" i="25"/>
  <c r="F16" i="25"/>
  <c r="F5" i="24"/>
  <c r="E8" i="25"/>
  <c r="F12" i="25"/>
  <c r="F7" i="24"/>
  <c r="E11" i="25"/>
  <c r="E11" i="24"/>
  <c r="F13" i="24"/>
  <c r="J69" i="13"/>
  <c r="J68" i="13"/>
  <c r="J67" i="13"/>
  <c r="J66" i="13"/>
  <c r="J65" i="13"/>
  <c r="J64" i="13"/>
  <c r="J63" i="13"/>
  <c r="J62" i="13"/>
  <c r="J61" i="13"/>
  <c r="J60" i="13"/>
  <c r="J59" i="13"/>
  <c r="J58" i="13"/>
  <c r="H57" i="13"/>
  <c r="J57" i="13" s="1"/>
  <c r="J56" i="13"/>
  <c r="J55" i="13"/>
  <c r="J54" i="13"/>
  <c r="J53" i="13"/>
  <c r="J52" i="13"/>
  <c r="J51" i="13"/>
  <c r="J50" i="13"/>
  <c r="J49" i="13"/>
  <c r="I48" i="13"/>
  <c r="H48" i="13"/>
  <c r="J47" i="13"/>
  <c r="J46" i="13"/>
  <c r="J45" i="13"/>
  <c r="I44" i="13"/>
  <c r="H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H31" i="13"/>
  <c r="J31" i="13" s="1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AH71" i="13" l="1"/>
  <c r="F16" i="3"/>
  <c r="Y25" i="3" s="1"/>
  <c r="F15" i="40"/>
  <c r="F10" i="3"/>
  <c r="AE19" i="3" s="1"/>
  <c r="F9" i="40"/>
  <c r="U25" i="3"/>
  <c r="AE25" i="3"/>
  <c r="AA25" i="3"/>
  <c r="S25" i="3"/>
  <c r="AE192" i="23"/>
  <c r="AE193" i="23" s="1"/>
  <c r="CY192" i="23"/>
  <c r="CU192" i="23"/>
  <c r="CU193" i="23" s="1"/>
  <c r="AL192" i="23"/>
  <c r="AL193" i="23" s="1"/>
  <c r="BG192" i="23"/>
  <c r="BG193" i="23" s="1"/>
  <c r="DF192" i="23"/>
  <c r="AA192" i="23"/>
  <c r="AA193" i="23" s="1"/>
  <c r="DK192" i="23"/>
  <c r="BA192" i="23"/>
  <c r="BA193" i="23" s="1"/>
  <c r="DJ192" i="23"/>
  <c r="BD192" i="23"/>
  <c r="BD193" i="23" s="1"/>
  <c r="DB192" i="23"/>
  <c r="CZ192" i="23"/>
  <c r="AZ192" i="23"/>
  <c r="AZ193" i="23" s="1"/>
  <c r="CL192" i="23"/>
  <c r="CL193" i="23" s="1"/>
  <c r="BP192" i="23"/>
  <c r="BP193" i="23" s="1"/>
  <c r="CT192" i="23"/>
  <c r="CT193" i="23" s="1"/>
  <c r="CN192" i="23"/>
  <c r="CN193" i="23" s="1"/>
  <c r="BC192" i="23"/>
  <c r="BC193" i="23" s="1"/>
  <c r="BN192" i="23"/>
  <c r="BN193" i="23" s="1"/>
  <c r="AN192" i="23"/>
  <c r="AN193" i="23" s="1"/>
  <c r="EA192" i="23"/>
  <c r="EA193" i="23" s="1"/>
  <c r="EB192" i="23"/>
  <c r="DT192" i="23"/>
  <c r="DT193" i="23" s="1"/>
  <c r="CM192" i="23"/>
  <c r="CM193" i="23" s="1"/>
  <c r="CK192" i="23"/>
  <c r="CK193" i="23" s="1"/>
  <c r="AT192" i="23"/>
  <c r="AT193" i="23" s="1"/>
  <c r="CB192" i="23"/>
  <c r="CB193" i="23" s="1"/>
  <c r="BQ192" i="23"/>
  <c r="BQ193" i="23" s="1"/>
  <c r="BV192" i="23"/>
  <c r="BV193" i="23" s="1"/>
  <c r="BH192" i="23"/>
  <c r="BH193" i="23" s="1"/>
  <c r="AU192" i="23"/>
  <c r="AU193" i="23" s="1"/>
  <c r="AF192" i="23"/>
  <c r="AF193" i="23" s="1"/>
  <c r="CC192" i="23"/>
  <c r="CC193" i="23" s="1"/>
  <c r="DR192" i="23"/>
  <c r="DR193" i="23" s="1"/>
  <c r="BS192" i="23"/>
  <c r="BS193" i="23" s="1"/>
  <c r="BX192" i="23"/>
  <c r="BX193" i="23" s="1"/>
  <c r="BM192" i="23"/>
  <c r="BM193" i="23" s="1"/>
  <c r="AK192" i="23"/>
  <c r="AK193" i="23" s="1"/>
  <c r="DW192" i="23"/>
  <c r="DW193" i="23" s="1"/>
  <c r="AS192" i="23"/>
  <c r="AS193" i="23" s="1"/>
  <c r="AD192" i="23"/>
  <c r="AD193" i="23" s="1"/>
  <c r="CA192" i="23"/>
  <c r="CA193" i="23" s="1"/>
  <c r="DE192" i="23"/>
  <c r="D1" i="31"/>
  <c r="DP192" i="23"/>
  <c r="DA192" i="23"/>
  <c r="CQ192" i="23"/>
  <c r="CQ193" i="23" s="1"/>
  <c r="BW192" i="23"/>
  <c r="BW193" i="23" s="1"/>
  <c r="AH192" i="23"/>
  <c r="AH193" i="23" s="1"/>
  <c r="Z192" i="23"/>
  <c r="Z193" i="23" s="1"/>
  <c r="AW192" i="23"/>
  <c r="AW193" i="23" s="1"/>
  <c r="BR192" i="23"/>
  <c r="BR193" i="23" s="1"/>
  <c r="BJ192" i="23"/>
  <c r="BJ193" i="23" s="1"/>
  <c r="DD192" i="23"/>
  <c r="BZ192" i="23"/>
  <c r="BZ193" i="23" s="1"/>
  <c r="AC192" i="23"/>
  <c r="AC193" i="23" s="1"/>
  <c r="AR192" i="23"/>
  <c r="AR193" i="23" s="1"/>
  <c r="DU192" i="23"/>
  <c r="DU193" i="23" s="1"/>
  <c r="CR192" i="23"/>
  <c r="CR193" i="23" s="1"/>
  <c r="AI192" i="23"/>
  <c r="AI193" i="23" s="1"/>
  <c r="AX192" i="23"/>
  <c r="AX193" i="23" s="1"/>
  <c r="BK192" i="23"/>
  <c r="BK193" i="23" s="1"/>
  <c r="DV192" i="23"/>
  <c r="DV193" i="23" s="1"/>
  <c r="DC192" i="23"/>
  <c r="CS192" i="23"/>
  <c r="CS193" i="23" s="1"/>
  <c r="BY192" i="23"/>
  <c r="BY193" i="23" s="1"/>
  <c r="AJ192" i="23"/>
  <c r="AJ193" i="23" s="1"/>
  <c r="AB192" i="23"/>
  <c r="AB193" i="23" s="1"/>
  <c r="AY192" i="23"/>
  <c r="AY193" i="23" s="1"/>
  <c r="AQ192" i="23"/>
  <c r="AQ193" i="23" s="1"/>
  <c r="BL192" i="23"/>
  <c r="BL193" i="23" s="1"/>
  <c r="DS192" i="23"/>
  <c r="DS193" i="23" s="1"/>
  <c r="CD192" i="23"/>
  <c r="CD193" i="23" s="1"/>
  <c r="AG192" i="23"/>
  <c r="AG193" i="23" s="1"/>
  <c r="AV192" i="23"/>
  <c r="AV193" i="23" s="1"/>
  <c r="BI192" i="23"/>
  <c r="BI193" i="23" s="1"/>
  <c r="CV192" i="23"/>
  <c r="CV193" i="23" s="1"/>
  <c r="AM192" i="23"/>
  <c r="AM193" i="23" s="1"/>
  <c r="BB192" i="23"/>
  <c r="BB193" i="23" s="1"/>
  <c r="BO192" i="23"/>
  <c r="BO193" i="23" s="1"/>
  <c r="CO192" i="23"/>
  <c r="CO193" i="23" s="1"/>
  <c r="CG192" i="23"/>
  <c r="CG193" i="23" s="1"/>
  <c r="CH192" i="23"/>
  <c r="CH193" i="23" s="1"/>
  <c r="CI192" i="23"/>
  <c r="CI193" i="23" s="1"/>
  <c r="CJ192" i="23"/>
  <c r="CJ193" i="23" s="1"/>
  <c r="DO192" i="23"/>
  <c r="EE192" i="23"/>
  <c r="DN192" i="23"/>
  <c r="DZ192" i="23"/>
  <c r="DZ193" i="23" s="1"/>
  <c r="DI192" i="23"/>
  <c r="AF1" i="31"/>
  <c r="ED192" i="23"/>
  <c r="ED193" i="23" s="1"/>
  <c r="DM192" i="23"/>
  <c r="EC192" i="23"/>
  <c r="EC193" i="23" s="1"/>
  <c r="DL192" i="23"/>
  <c r="AJ22" i="13"/>
  <c r="J6" i="25"/>
  <c r="J9" i="24"/>
  <c r="J16" i="24"/>
  <c r="J8" i="24"/>
  <c r="AJ71" i="13"/>
  <c r="AM71" i="13" s="1"/>
  <c r="C20" i="1" s="1"/>
  <c r="J5" i="24"/>
  <c r="J11" i="25"/>
  <c r="K11" i="25"/>
  <c r="I1" i="31"/>
  <c r="K1" i="31"/>
  <c r="K16" i="24"/>
  <c r="J9" i="25"/>
  <c r="K16" i="25"/>
  <c r="K3" i="24"/>
  <c r="J4" i="25"/>
  <c r="J2" i="25"/>
  <c r="K6" i="24"/>
  <c r="K13" i="24"/>
  <c r="J4" i="24"/>
  <c r="J15" i="24"/>
  <c r="K8" i="24"/>
  <c r="K9" i="25"/>
  <c r="J3" i="24"/>
  <c r="J8" i="25"/>
  <c r="K3" i="25"/>
  <c r="X5" i="21"/>
  <c r="AA12" i="19"/>
  <c r="K2" i="24"/>
  <c r="Z7" i="19"/>
  <c r="Z3" i="19"/>
  <c r="AA5" i="19"/>
  <c r="K7" i="25"/>
  <c r="J12" i="24"/>
  <c r="J10" i="25"/>
  <c r="AA8" i="19"/>
  <c r="Z8" i="19"/>
  <c r="K14" i="24"/>
  <c r="AA3" i="19"/>
  <c r="K17" i="25"/>
  <c r="AI6" i="10"/>
  <c r="Z4" i="19"/>
  <c r="K4" i="25"/>
  <c r="Z9" i="19"/>
  <c r="AH7" i="10"/>
  <c r="AH4" i="10"/>
  <c r="K7" i="24"/>
  <c r="J14" i="25"/>
  <c r="AS5" i="15"/>
  <c r="AX5" i="13"/>
  <c r="J7" i="24"/>
  <c r="K15" i="24"/>
  <c r="J7" i="25"/>
  <c r="K12" i="25"/>
  <c r="K2" i="25"/>
  <c r="J10" i="24"/>
  <c r="K9" i="24"/>
  <c r="K10" i="24"/>
  <c r="J15" i="25"/>
  <c r="K12" i="24"/>
  <c r="K5" i="25"/>
  <c r="K8" i="25"/>
  <c r="J16" i="25"/>
  <c r="J3" i="25"/>
  <c r="Z10" i="19"/>
  <c r="AA11" i="19"/>
  <c r="K15" i="25"/>
  <c r="Z6" i="19"/>
  <c r="K4" i="24"/>
  <c r="J13" i="24"/>
  <c r="J17" i="25"/>
  <c r="AA9" i="19"/>
  <c r="Z12" i="19"/>
  <c r="AA2" i="19"/>
  <c r="K6" i="25"/>
  <c r="Z2" i="19"/>
  <c r="Y5" i="21"/>
  <c r="AA7" i="19"/>
  <c r="J6" i="24"/>
  <c r="AI2" i="10"/>
  <c r="Z5" i="19"/>
  <c r="AA10" i="19"/>
  <c r="AI4" i="10"/>
  <c r="Z11" i="19"/>
  <c r="K10" i="25"/>
  <c r="AR5" i="15"/>
  <c r="AH3" i="10"/>
  <c r="AA6" i="19"/>
  <c r="J12" i="25"/>
  <c r="AP11" i="15"/>
  <c r="AH2" i="10"/>
  <c r="AV4" i="11"/>
  <c r="AS4" i="15"/>
  <c r="AV5" i="11"/>
  <c r="AS6" i="15"/>
  <c r="AV6" i="11"/>
  <c r="AS7" i="15"/>
  <c r="AV8" i="11"/>
  <c r="AS9" i="15"/>
  <c r="AU8" i="11"/>
  <c r="AR9" i="15"/>
  <c r="AU7" i="11"/>
  <c r="AR8" i="15"/>
  <c r="AU5" i="11"/>
  <c r="AR6" i="15"/>
  <c r="Y4" i="18"/>
  <c r="AD4" i="17"/>
  <c r="Y5" i="18"/>
  <c r="AD5" i="17"/>
  <c r="X4" i="18"/>
  <c r="AC4" i="17"/>
  <c r="X5" i="18"/>
  <c r="AC5" i="17"/>
  <c r="X3" i="18"/>
  <c r="AC3" i="17"/>
  <c r="AV7" i="11"/>
  <c r="AS8" i="15"/>
  <c r="AV2" i="11"/>
  <c r="AS2" i="15"/>
  <c r="Y6" i="18"/>
  <c r="AD6" i="17"/>
  <c r="Y2" i="18"/>
  <c r="AD2" i="17"/>
  <c r="Y7" i="18"/>
  <c r="AD7" i="17"/>
  <c r="Y3" i="18"/>
  <c r="AD3" i="17"/>
  <c r="X6" i="18"/>
  <c r="AC6" i="17"/>
  <c r="X2" i="18"/>
  <c r="AC2" i="17"/>
  <c r="X7" i="18"/>
  <c r="AC7" i="17"/>
  <c r="AV3" i="11"/>
  <c r="AS3" i="15"/>
  <c r="AU6" i="11"/>
  <c r="AR7" i="15"/>
  <c r="AU3" i="11"/>
  <c r="AR3" i="15"/>
  <c r="AU4" i="11"/>
  <c r="AR4" i="15"/>
  <c r="AU2" i="11"/>
  <c r="AR2" i="15"/>
  <c r="J44" i="13"/>
  <c r="AB9" i="20"/>
  <c r="X10" i="21"/>
  <c r="AB3" i="20"/>
  <c r="X3" i="21"/>
  <c r="Y7" i="21"/>
  <c r="AC6" i="20"/>
  <c r="Y3" i="21"/>
  <c r="AC3" i="20"/>
  <c r="AC9" i="20"/>
  <c r="Y10" i="21"/>
  <c r="AB6" i="20"/>
  <c r="X7" i="21"/>
  <c r="AB8" i="20"/>
  <c r="X9" i="21"/>
  <c r="AB5" i="20"/>
  <c r="X6" i="21"/>
  <c r="AB4" i="20"/>
  <c r="X4" i="21"/>
  <c r="AC2" i="20"/>
  <c r="Y2" i="21"/>
  <c r="AB7" i="20"/>
  <c r="X8" i="21"/>
  <c r="AC5" i="20"/>
  <c r="Y6" i="21"/>
  <c r="Y8" i="21"/>
  <c r="AC7" i="20"/>
  <c r="Y4" i="21"/>
  <c r="AC4" i="20"/>
  <c r="Y9" i="21"/>
  <c r="AC8" i="20"/>
  <c r="X2" i="21"/>
  <c r="AB2" i="20"/>
  <c r="J48" i="13"/>
  <c r="C15" i="1"/>
  <c r="AG19" i="3" l="1"/>
  <c r="C14" i="1"/>
  <c r="F12" i="40"/>
  <c r="F13" i="3"/>
  <c r="R1" i="31"/>
  <c r="R95" i="31" s="1"/>
  <c r="AG25" i="3"/>
  <c r="W25" i="3"/>
  <c r="AC25" i="3"/>
  <c r="AC19" i="3"/>
  <c r="Y19" i="3"/>
  <c r="U19" i="3"/>
  <c r="W19" i="3"/>
  <c r="S19" i="3"/>
  <c r="U18" i="40"/>
  <c r="W18" i="40"/>
  <c r="S18" i="40"/>
  <c r="AG18" i="40"/>
  <c r="Y18" i="40"/>
  <c r="AA18" i="40"/>
  <c r="AC18" i="40"/>
  <c r="AE18" i="40"/>
  <c r="F18" i="3"/>
  <c r="AC27" i="3" s="1"/>
  <c r="F17" i="40"/>
  <c r="AA19" i="3"/>
  <c r="AA24" i="40"/>
  <c r="AG24" i="40"/>
  <c r="S24" i="40"/>
  <c r="W24" i="40"/>
  <c r="Y24" i="40"/>
  <c r="U24" i="40"/>
  <c r="AE24" i="40"/>
  <c r="AC24" i="40"/>
  <c r="AL71" i="13"/>
  <c r="C19" i="1" s="1"/>
  <c r="AX2" i="31"/>
  <c r="AW2" i="31"/>
  <c r="AV2" i="31"/>
  <c r="AU2" i="31"/>
  <c r="AM2" i="31"/>
  <c r="AT2" i="31"/>
  <c r="AL2" i="31"/>
  <c r="AS2" i="31"/>
  <c r="AK2" i="31"/>
  <c r="AP2" i="31"/>
  <c r="AN2" i="31"/>
  <c r="AR2" i="31"/>
  <c r="AJ2" i="31"/>
  <c r="AQ2" i="31"/>
  <c r="AO2" i="31"/>
  <c r="AI2" i="31"/>
  <c r="AH2" i="31"/>
  <c r="P53" i="31"/>
  <c r="R9" i="31"/>
  <c r="P169" i="31"/>
  <c r="P39" i="31"/>
  <c r="P95" i="31"/>
  <c r="R173" i="31"/>
  <c r="R129" i="31"/>
  <c r="P160" i="31"/>
  <c r="R162" i="31"/>
  <c r="P74" i="31"/>
  <c r="P42" i="31"/>
  <c r="P22" i="31"/>
  <c r="R183" i="31"/>
  <c r="P157" i="31"/>
  <c r="R79" i="31"/>
  <c r="R94" i="31"/>
  <c r="R74" i="31"/>
  <c r="P185" i="31"/>
  <c r="R133" i="31"/>
  <c r="P107" i="31"/>
  <c r="P11" i="31"/>
  <c r="P112" i="31"/>
  <c r="P156" i="31"/>
  <c r="P134" i="31"/>
  <c r="P59" i="31"/>
  <c r="R43" i="31"/>
  <c r="R118" i="31"/>
  <c r="P139" i="31"/>
  <c r="P16" i="31"/>
  <c r="R59" i="31"/>
  <c r="R144" i="31"/>
  <c r="P140" i="31"/>
  <c r="P120" i="31"/>
  <c r="P90" i="31"/>
  <c r="R66" i="31"/>
  <c r="P38" i="31"/>
  <c r="R97" i="31"/>
  <c r="P71" i="31"/>
  <c r="P37" i="31"/>
  <c r="R120" i="31"/>
  <c r="R92" i="31"/>
  <c r="R14" i="31"/>
  <c r="P125" i="31"/>
  <c r="P97" i="31"/>
  <c r="R37" i="31"/>
  <c r="P101" i="31"/>
  <c r="P48" i="31"/>
  <c r="R143" i="31"/>
  <c r="P142" i="31"/>
  <c r="R24" i="31"/>
  <c r="R48" i="31"/>
  <c r="P103" i="31"/>
  <c r="P150" i="31"/>
  <c r="P65" i="31"/>
  <c r="R188" i="31"/>
  <c r="P138" i="31"/>
  <c r="R116" i="31"/>
  <c r="P88" i="31"/>
  <c r="R8" i="31"/>
  <c r="P175" i="31"/>
  <c r="R147" i="31"/>
  <c r="P123" i="31"/>
  <c r="P93" i="31"/>
  <c r="R35" i="31"/>
  <c r="P3" i="31"/>
  <c r="P170" i="31"/>
  <c r="P64" i="31"/>
  <c r="R36" i="31"/>
  <c r="P10" i="31"/>
  <c r="P147" i="31"/>
  <c r="R93" i="31"/>
  <c r="R71" i="31"/>
  <c r="P35" i="31"/>
  <c r="R77" i="31"/>
  <c r="P91" i="31"/>
  <c r="P141" i="31"/>
  <c r="R157" i="31"/>
  <c r="P4" i="31"/>
  <c r="P18" i="31"/>
  <c r="R50" i="31"/>
  <c r="P66" i="31"/>
  <c r="R96" i="31"/>
  <c r="P116" i="31"/>
  <c r="R148" i="31"/>
  <c r="R182" i="31"/>
  <c r="R27" i="31"/>
  <c r="P47" i="31"/>
  <c r="R85" i="31"/>
  <c r="P99" i="31"/>
  <c r="R135" i="31"/>
  <c r="P149" i="31"/>
  <c r="P167" i="31"/>
  <c r="R10" i="31"/>
  <c r="P30" i="31"/>
  <c r="R78" i="31"/>
  <c r="P110" i="31"/>
  <c r="P124" i="31"/>
  <c r="R154" i="31"/>
  <c r="P81" i="31"/>
  <c r="R31" i="31"/>
  <c r="P9" i="31"/>
  <c r="R142" i="31"/>
  <c r="P143" i="31"/>
  <c r="R158" i="31"/>
  <c r="P117" i="31"/>
  <c r="P54" i="31"/>
  <c r="R190" i="31"/>
  <c r="P75" i="31"/>
  <c r="P168" i="31"/>
  <c r="P173" i="31"/>
  <c r="R150" i="31"/>
  <c r="R17" i="31"/>
  <c r="R189" i="31"/>
  <c r="R3" i="31"/>
  <c r="P19" i="31"/>
  <c r="P79" i="31"/>
  <c r="R113" i="31"/>
  <c r="P131" i="31"/>
  <c r="P181" i="31"/>
  <c r="P6" i="31"/>
  <c r="R38" i="31"/>
  <c r="R56" i="31"/>
  <c r="R98" i="31"/>
  <c r="R136" i="31"/>
  <c r="P152" i="31"/>
  <c r="P184" i="31"/>
  <c r="R11" i="31"/>
  <c r="P29" i="31"/>
  <c r="P87" i="31"/>
  <c r="R125" i="31"/>
  <c r="P137" i="31"/>
  <c r="P14" i="31"/>
  <c r="R46" i="31"/>
  <c r="R64" i="31"/>
  <c r="P94" i="31"/>
  <c r="R114" i="31"/>
  <c r="P190" i="31"/>
  <c r="R53" i="31"/>
  <c r="P24" i="31"/>
  <c r="P70" i="31"/>
  <c r="R101" i="31"/>
  <c r="R155" i="31"/>
  <c r="P25" i="31"/>
  <c r="R179" i="31"/>
  <c r="P68" i="31"/>
  <c r="P20" i="31"/>
  <c r="P163" i="31"/>
  <c r="R25" i="31"/>
  <c r="P106" i="31"/>
  <c r="P28" i="31"/>
  <c r="R103" i="31"/>
  <c r="R76" i="31"/>
  <c r="P5" i="31"/>
  <c r="R47" i="31"/>
  <c r="P69" i="31"/>
  <c r="R99" i="31"/>
  <c r="P119" i="31"/>
  <c r="R149" i="31"/>
  <c r="R167" i="31"/>
  <c r="P183" i="31"/>
  <c r="R40" i="31"/>
  <c r="P78" i="31"/>
  <c r="R90" i="31"/>
  <c r="R138" i="31"/>
  <c r="R160" i="31"/>
  <c r="P176" i="31"/>
  <c r="P15" i="31"/>
  <c r="R61" i="31"/>
  <c r="P77" i="31"/>
  <c r="R111" i="31"/>
  <c r="P127" i="31"/>
  <c r="P177" i="31"/>
  <c r="R4" i="31"/>
  <c r="P36" i="31"/>
  <c r="P50" i="31"/>
  <c r="P86" i="31"/>
  <c r="P96" i="31"/>
  <c r="P130" i="31"/>
  <c r="P186" i="31"/>
  <c r="P172" i="31"/>
  <c r="P179" i="31"/>
  <c r="R67" i="31"/>
  <c r="P51" i="31"/>
  <c r="R20" i="31"/>
  <c r="R104" i="31"/>
  <c r="R115" i="31"/>
  <c r="P189" i="31"/>
  <c r="R134" i="31"/>
  <c r="P44" i="31"/>
  <c r="R65" i="31"/>
  <c r="P45" i="31"/>
  <c r="R16" i="31"/>
  <c r="P43" i="31"/>
  <c r="P132" i="31"/>
  <c r="R44" i="31"/>
  <c r="P115" i="31"/>
  <c r="P104" i="31"/>
  <c r="P58" i="31"/>
  <c r="P23" i="31"/>
  <c r="P12" i="31"/>
  <c r="R174" i="31"/>
  <c r="R146" i="31"/>
  <c r="P108" i="31"/>
  <c r="P55" i="31"/>
  <c r="P174" i="31"/>
  <c r="P148" i="31"/>
  <c r="R152" i="31"/>
  <c r="P122" i="31"/>
  <c r="P92" i="31"/>
  <c r="P72" i="31"/>
  <c r="P40" i="31"/>
  <c r="R181" i="31"/>
  <c r="R151" i="31"/>
  <c r="R131" i="31"/>
  <c r="R41" i="31"/>
  <c r="P7" i="31"/>
  <c r="R178" i="31"/>
  <c r="P144" i="31"/>
  <c r="R122" i="31"/>
  <c r="R72" i="31"/>
  <c r="R42" i="31"/>
  <c r="P151" i="31"/>
  <c r="P73" i="31"/>
  <c r="P41" i="31"/>
  <c r="R108" i="31"/>
  <c r="R164" i="31"/>
  <c r="P129" i="31"/>
  <c r="R153" i="31"/>
  <c r="P67" i="31"/>
  <c r="P52" i="31"/>
  <c r="R105" i="31"/>
  <c r="P153" i="31"/>
  <c r="R184" i="31"/>
  <c r="P34" i="31"/>
  <c r="R171" i="31"/>
  <c r="R119" i="31"/>
  <c r="P63" i="31"/>
  <c r="P188" i="31"/>
  <c r="R166" i="31"/>
  <c r="P114" i="31"/>
  <c r="P62" i="31"/>
  <c r="R34" i="31"/>
  <c r="P8" i="31"/>
  <c r="P171" i="31"/>
  <c r="R145" i="31"/>
  <c r="R123" i="31"/>
  <c r="R29" i="31"/>
  <c r="AM22" i="13"/>
  <c r="R89" i="31"/>
  <c r="P158" i="31"/>
  <c r="R54" i="31"/>
  <c r="P17" i="31"/>
  <c r="R112" i="31"/>
  <c r="P76" i="31"/>
  <c r="R161" i="31"/>
  <c r="P33" i="31"/>
  <c r="R68" i="31"/>
  <c r="R180" i="31"/>
  <c r="P178" i="31"/>
  <c r="R102" i="31"/>
  <c r="P84" i="31"/>
  <c r="P32" i="31"/>
  <c r="R6" i="31"/>
  <c r="R141" i="31"/>
  <c r="P113" i="31"/>
  <c r="P21" i="31"/>
  <c r="R186" i="31"/>
  <c r="P162" i="31"/>
  <c r="R130" i="31"/>
  <c r="R110" i="31"/>
  <c r="R84" i="31"/>
  <c r="P60" i="31"/>
  <c r="R32" i="31"/>
  <c r="R87" i="31"/>
  <c r="P61" i="31"/>
  <c r="P27" i="31"/>
  <c r="P155" i="31"/>
  <c r="P105" i="31"/>
  <c r="R58" i="31"/>
  <c r="P89" i="31"/>
  <c r="R163" i="31"/>
  <c r="R75" i="31"/>
  <c r="P128" i="31"/>
  <c r="P56" i="31"/>
  <c r="P165" i="31"/>
  <c r="P83" i="31"/>
  <c r="P57" i="31"/>
  <c r="R128" i="31"/>
  <c r="P102" i="31"/>
  <c r="R82" i="31"/>
  <c r="P187" i="31"/>
  <c r="R165" i="31"/>
  <c r="R137" i="31"/>
  <c r="P111" i="31"/>
  <c r="P85" i="31"/>
  <c r="R57" i="31"/>
  <c r="R21" i="31"/>
  <c r="R39" i="31"/>
  <c r="P31" i="31"/>
  <c r="R13" i="31"/>
  <c r="R132" i="31"/>
  <c r="R156" i="31"/>
  <c r="P182" i="31"/>
  <c r="P136" i="31"/>
  <c r="R60" i="31"/>
  <c r="P145" i="31"/>
  <c r="R91" i="31"/>
  <c r="R86" i="31"/>
  <c r="P161" i="31"/>
  <c r="R70" i="31"/>
  <c r="P13" i="31"/>
  <c r="R52" i="31"/>
  <c r="R33" i="31"/>
  <c r="R23" i="31"/>
  <c r="P82" i="31"/>
  <c r="AL22" i="13"/>
  <c r="P146" i="31"/>
  <c r="P118" i="31"/>
  <c r="R81" i="31"/>
  <c r="R28" i="31"/>
  <c r="P80" i="31"/>
  <c r="P164" i="31"/>
  <c r="P121" i="31"/>
  <c r="P100" i="31"/>
  <c r="R168" i="31"/>
  <c r="R45" i="31"/>
  <c r="R169" i="31"/>
  <c r="R170" i="31"/>
  <c r="P166" i="31"/>
  <c r="P126" i="31"/>
  <c r="P98" i="31"/>
  <c r="R26" i="31"/>
  <c r="R185" i="31"/>
  <c r="P159" i="31"/>
  <c r="P133" i="31"/>
  <c r="P109" i="31"/>
  <c r="R49" i="31"/>
  <c r="R19" i="31"/>
  <c r="P180" i="31"/>
  <c r="P154" i="31"/>
  <c r="R126" i="31"/>
  <c r="P46" i="31"/>
  <c r="P26" i="31"/>
  <c r="R159" i="31"/>
  <c r="P135" i="31"/>
  <c r="R109" i="31"/>
  <c r="R83" i="31"/>
  <c r="P49" i="31"/>
  <c r="X190" i="31"/>
  <c r="X188" i="31"/>
  <c r="X186" i="31"/>
  <c r="X184" i="31"/>
  <c r="X182" i="31"/>
  <c r="X180" i="31"/>
  <c r="X178" i="31"/>
  <c r="X176" i="31"/>
  <c r="X174" i="31"/>
  <c r="X172" i="31"/>
  <c r="X170" i="31"/>
  <c r="X168" i="31"/>
  <c r="X166" i="31"/>
  <c r="X164" i="31"/>
  <c r="X162" i="31"/>
  <c r="X160" i="31"/>
  <c r="X158" i="31"/>
  <c r="X156" i="31"/>
  <c r="X154" i="31"/>
  <c r="X152" i="31"/>
  <c r="X150" i="31"/>
  <c r="X148" i="31"/>
  <c r="X146" i="31"/>
  <c r="X144" i="31"/>
  <c r="X142" i="31"/>
  <c r="X140" i="31"/>
  <c r="X138" i="31"/>
  <c r="X136" i="31"/>
  <c r="X134" i="31"/>
  <c r="X132" i="31"/>
  <c r="X130" i="31"/>
  <c r="X128" i="31"/>
  <c r="X126" i="31"/>
  <c r="X124" i="31"/>
  <c r="X122" i="31"/>
  <c r="X120" i="31"/>
  <c r="X118" i="31"/>
  <c r="X116" i="31"/>
  <c r="X114" i="31"/>
  <c r="X112" i="31"/>
  <c r="X110" i="31"/>
  <c r="X108" i="31"/>
  <c r="X106" i="31"/>
  <c r="X104" i="31"/>
  <c r="X102" i="31"/>
  <c r="X100" i="31"/>
  <c r="X98" i="31"/>
  <c r="X96" i="31"/>
  <c r="X94" i="31"/>
  <c r="X92" i="31"/>
  <c r="X90" i="31"/>
  <c r="X88" i="31"/>
  <c r="X86" i="31"/>
  <c r="X84" i="31"/>
  <c r="X82" i="31"/>
  <c r="X80" i="31"/>
  <c r="X78" i="31"/>
  <c r="X76" i="31"/>
  <c r="X74" i="31"/>
  <c r="X72" i="31"/>
  <c r="X70" i="31"/>
  <c r="X68" i="31"/>
  <c r="X66" i="31"/>
  <c r="X64" i="31"/>
  <c r="X62" i="31"/>
  <c r="X60" i="31"/>
  <c r="X58" i="31"/>
  <c r="X56" i="31"/>
  <c r="X54" i="31"/>
  <c r="X52" i="31"/>
  <c r="X50" i="31"/>
  <c r="X48" i="31"/>
  <c r="X46" i="31"/>
  <c r="X44" i="31"/>
  <c r="X42" i="31"/>
  <c r="X40" i="31"/>
  <c r="X38" i="31"/>
  <c r="X36" i="31"/>
  <c r="X34" i="31"/>
  <c r="X32" i="31"/>
  <c r="X30" i="31"/>
  <c r="X28" i="31"/>
  <c r="X26" i="31"/>
  <c r="X24" i="31"/>
  <c r="X22" i="31"/>
  <c r="X189" i="31"/>
  <c r="X185" i="31"/>
  <c r="X181" i="31"/>
  <c r="X177" i="31"/>
  <c r="X173" i="31"/>
  <c r="X169" i="31"/>
  <c r="X165" i="31"/>
  <c r="X161" i="31"/>
  <c r="X157" i="31"/>
  <c r="X153" i="31"/>
  <c r="X149" i="31"/>
  <c r="X145" i="31"/>
  <c r="X141" i="31"/>
  <c r="X137" i="31"/>
  <c r="X133" i="31"/>
  <c r="X129" i="31"/>
  <c r="X125" i="31"/>
  <c r="X121" i="31"/>
  <c r="X117" i="31"/>
  <c r="X113" i="31"/>
  <c r="X109" i="31"/>
  <c r="X105" i="31"/>
  <c r="X101" i="31"/>
  <c r="X97" i="31"/>
  <c r="X93" i="31"/>
  <c r="X89" i="31"/>
  <c r="X85" i="31"/>
  <c r="X81" i="31"/>
  <c r="X77" i="31"/>
  <c r="X73" i="31"/>
  <c r="X69" i="31"/>
  <c r="X65" i="31"/>
  <c r="X61" i="31"/>
  <c r="X57" i="31"/>
  <c r="X53" i="31"/>
  <c r="X49" i="31"/>
  <c r="X45" i="31"/>
  <c r="X41" i="31"/>
  <c r="X37" i="31"/>
  <c r="X33" i="31"/>
  <c r="X29" i="31"/>
  <c r="X25" i="31"/>
  <c r="X21" i="31"/>
  <c r="X19" i="31"/>
  <c r="X17" i="31"/>
  <c r="X15" i="31"/>
  <c r="X13" i="31"/>
  <c r="X11" i="31"/>
  <c r="X9" i="31"/>
  <c r="X7" i="31"/>
  <c r="X5" i="31"/>
  <c r="X3" i="31"/>
  <c r="X187" i="31"/>
  <c r="X183" i="31"/>
  <c r="X179" i="31"/>
  <c r="X175" i="31"/>
  <c r="X171" i="31"/>
  <c r="X167" i="31"/>
  <c r="X163" i="31"/>
  <c r="X159" i="31"/>
  <c r="X155" i="31"/>
  <c r="X151" i="31"/>
  <c r="X147" i="31"/>
  <c r="X143" i="31"/>
  <c r="X139" i="31"/>
  <c r="X135" i="31"/>
  <c r="X131" i="31"/>
  <c r="X127" i="31"/>
  <c r="X123" i="31"/>
  <c r="X119" i="31"/>
  <c r="X115" i="31"/>
  <c r="X111" i="31"/>
  <c r="X107" i="31"/>
  <c r="X103" i="31"/>
  <c r="X99" i="31"/>
  <c r="X95" i="31"/>
  <c r="X91" i="31"/>
  <c r="X87" i="31"/>
  <c r="X83" i="31"/>
  <c r="X79" i="31"/>
  <c r="X75" i="31"/>
  <c r="X71" i="31"/>
  <c r="X67" i="31"/>
  <c r="X63" i="31"/>
  <c r="X59" i="31"/>
  <c r="X55" i="31"/>
  <c r="X51" i="31"/>
  <c r="X47" i="31"/>
  <c r="X43" i="31"/>
  <c r="X39" i="31"/>
  <c r="X35" i="31"/>
  <c r="X31" i="31"/>
  <c r="X27" i="31"/>
  <c r="X23" i="31"/>
  <c r="X20" i="31"/>
  <c r="X18" i="31"/>
  <c r="X16" i="31"/>
  <c r="X14" i="31"/>
  <c r="X12" i="31"/>
  <c r="X10" i="31"/>
  <c r="X8" i="31"/>
  <c r="X6" i="31"/>
  <c r="X4" i="31"/>
  <c r="U190" i="31"/>
  <c r="U188" i="31"/>
  <c r="U186" i="31"/>
  <c r="U184" i="31"/>
  <c r="U182" i="31"/>
  <c r="U180" i="31"/>
  <c r="U178" i="31"/>
  <c r="U176" i="31"/>
  <c r="U174" i="31"/>
  <c r="U172" i="31"/>
  <c r="U170" i="31"/>
  <c r="U168" i="31"/>
  <c r="U166" i="31"/>
  <c r="U164" i="31"/>
  <c r="U162" i="31"/>
  <c r="U160" i="31"/>
  <c r="U158" i="31"/>
  <c r="U156" i="31"/>
  <c r="U154" i="31"/>
  <c r="U152" i="31"/>
  <c r="U150" i="31"/>
  <c r="U148" i="31"/>
  <c r="U146" i="31"/>
  <c r="U144" i="31"/>
  <c r="U142" i="31"/>
  <c r="U140" i="31"/>
  <c r="U138" i="31"/>
  <c r="U136" i="31"/>
  <c r="U134" i="31"/>
  <c r="U132" i="31"/>
  <c r="U130" i="31"/>
  <c r="U128" i="31"/>
  <c r="U126" i="31"/>
  <c r="U124" i="31"/>
  <c r="U122" i="31"/>
  <c r="U120" i="31"/>
  <c r="U118" i="31"/>
  <c r="U116" i="31"/>
  <c r="U114" i="31"/>
  <c r="U112" i="31"/>
  <c r="U110" i="31"/>
  <c r="U108" i="31"/>
  <c r="U106" i="31"/>
  <c r="U104" i="31"/>
  <c r="U102" i="31"/>
  <c r="U100" i="31"/>
  <c r="U98" i="31"/>
  <c r="U96" i="31"/>
  <c r="U94" i="31"/>
  <c r="U92" i="31"/>
  <c r="U90" i="31"/>
  <c r="U88" i="31"/>
  <c r="U86" i="31"/>
  <c r="U84" i="31"/>
  <c r="U82" i="31"/>
  <c r="U80" i="31"/>
  <c r="U78" i="31"/>
  <c r="U76" i="31"/>
  <c r="U74" i="31"/>
  <c r="U72" i="31"/>
  <c r="U70" i="31"/>
  <c r="U68" i="31"/>
  <c r="U66" i="31"/>
  <c r="U64" i="31"/>
  <c r="U62" i="31"/>
  <c r="U60" i="31"/>
  <c r="U58" i="31"/>
  <c r="U56" i="31"/>
  <c r="U54" i="31"/>
  <c r="U52" i="31"/>
  <c r="U50" i="31"/>
  <c r="U48" i="31"/>
  <c r="U46" i="31"/>
  <c r="U44" i="31"/>
  <c r="U42" i="31"/>
  <c r="U40" i="31"/>
  <c r="U38" i="31"/>
  <c r="U36" i="31"/>
  <c r="U34" i="31"/>
  <c r="U32" i="31"/>
  <c r="U30" i="31"/>
  <c r="U28" i="31"/>
  <c r="U26" i="31"/>
  <c r="U24" i="31"/>
  <c r="U22" i="31"/>
  <c r="U189" i="31"/>
  <c r="U185" i="31"/>
  <c r="U181" i="31"/>
  <c r="U177" i="31"/>
  <c r="U173" i="31"/>
  <c r="U169" i="31"/>
  <c r="U165" i="31"/>
  <c r="U161" i="31"/>
  <c r="U157" i="31"/>
  <c r="U153" i="31"/>
  <c r="U149" i="31"/>
  <c r="U145" i="31"/>
  <c r="U141" i="31"/>
  <c r="U137" i="31"/>
  <c r="U133" i="31"/>
  <c r="U129" i="31"/>
  <c r="U125" i="31"/>
  <c r="U121" i="31"/>
  <c r="U117" i="31"/>
  <c r="U113" i="31"/>
  <c r="U109" i="31"/>
  <c r="U105" i="31"/>
  <c r="U101" i="31"/>
  <c r="U97" i="31"/>
  <c r="U93" i="31"/>
  <c r="U89" i="31"/>
  <c r="U85" i="31"/>
  <c r="U81" i="31"/>
  <c r="U77" i="31"/>
  <c r="U73" i="31"/>
  <c r="U69" i="31"/>
  <c r="U65" i="31"/>
  <c r="U61" i="31"/>
  <c r="U57" i="31"/>
  <c r="U53" i="31"/>
  <c r="U49" i="31"/>
  <c r="U45" i="31"/>
  <c r="U41" i="31"/>
  <c r="U37" i="31"/>
  <c r="U33" i="31"/>
  <c r="U29" i="31"/>
  <c r="U25" i="31"/>
  <c r="U21" i="31"/>
  <c r="U19" i="31"/>
  <c r="U17" i="31"/>
  <c r="U15" i="31"/>
  <c r="U13" i="31"/>
  <c r="U11" i="31"/>
  <c r="U9" i="31"/>
  <c r="U7" i="31"/>
  <c r="U5" i="31"/>
  <c r="U3" i="31"/>
  <c r="U187" i="31"/>
  <c r="U183" i="31"/>
  <c r="U179" i="31"/>
  <c r="U175" i="31"/>
  <c r="U171" i="31"/>
  <c r="U167" i="31"/>
  <c r="U163" i="31"/>
  <c r="U159" i="31"/>
  <c r="U155" i="31"/>
  <c r="U151" i="31"/>
  <c r="U147" i="31"/>
  <c r="U143" i="31"/>
  <c r="U139" i="31"/>
  <c r="U135" i="31"/>
  <c r="U131" i="31"/>
  <c r="U127" i="31"/>
  <c r="U123" i="31"/>
  <c r="U119" i="31"/>
  <c r="U115" i="31"/>
  <c r="U111" i="31"/>
  <c r="U107" i="31"/>
  <c r="U103" i="31"/>
  <c r="U99" i="31"/>
  <c r="U95" i="31"/>
  <c r="U91" i="31"/>
  <c r="U83" i="31"/>
  <c r="U75" i="31"/>
  <c r="U67" i="31"/>
  <c r="U59" i="31"/>
  <c r="U51" i="31"/>
  <c r="U43" i="31"/>
  <c r="U35" i="31"/>
  <c r="U27" i="31"/>
  <c r="U20" i="31"/>
  <c r="U16" i="31"/>
  <c r="U12" i="31"/>
  <c r="U8" i="31"/>
  <c r="U4" i="31"/>
  <c r="U87" i="31"/>
  <c r="U79" i="31"/>
  <c r="U71" i="31"/>
  <c r="U63" i="31"/>
  <c r="U55" i="31"/>
  <c r="U47" i="31"/>
  <c r="U39" i="31"/>
  <c r="U31" i="31"/>
  <c r="U23" i="31"/>
  <c r="U18" i="31"/>
  <c r="U14" i="31"/>
  <c r="U10" i="31"/>
  <c r="U6" i="31"/>
  <c r="T47" i="31"/>
  <c r="T11" i="31"/>
  <c r="T27" i="31"/>
  <c r="T41" i="31"/>
  <c r="T63" i="31"/>
  <c r="T77" i="31"/>
  <c r="T87" i="31"/>
  <c r="T99" i="31"/>
  <c r="T113" i="31"/>
  <c r="T127" i="31"/>
  <c r="T137" i="31"/>
  <c r="T149" i="31"/>
  <c r="T165" i="31"/>
  <c r="T177" i="31"/>
  <c r="T187" i="31"/>
  <c r="T8" i="31"/>
  <c r="T22" i="31"/>
  <c r="T34" i="31"/>
  <c r="T42" i="31"/>
  <c r="T60" i="31"/>
  <c r="T72" i="31"/>
  <c r="T84" i="31"/>
  <c r="T92" i="31"/>
  <c r="T102" i="31"/>
  <c r="T120" i="31"/>
  <c r="T128" i="31"/>
  <c r="T140" i="31"/>
  <c r="T154" i="31"/>
  <c r="T170" i="31"/>
  <c r="T180" i="31"/>
  <c r="T188" i="31"/>
  <c r="T7" i="31"/>
  <c r="T21" i="31"/>
  <c r="T37" i="31"/>
  <c r="T61" i="31"/>
  <c r="T73" i="31"/>
  <c r="T85" i="31"/>
  <c r="T97" i="31"/>
  <c r="T111" i="31"/>
  <c r="T125" i="31"/>
  <c r="T135" i="31"/>
  <c r="T147" i="31"/>
  <c r="T159" i="31"/>
  <c r="T175" i="31"/>
  <c r="T185" i="31"/>
  <c r="T10" i="31"/>
  <c r="T26" i="31"/>
  <c r="T36" i="31"/>
  <c r="T46" i="31"/>
  <c r="T62" i="31"/>
  <c r="T74" i="31"/>
  <c r="T86" i="31"/>
  <c r="T94" i="31"/>
  <c r="T110" i="31"/>
  <c r="T122" i="31"/>
  <c r="T130" i="31"/>
  <c r="T144" i="31"/>
  <c r="T160" i="31"/>
  <c r="T172" i="31"/>
  <c r="T182" i="31"/>
  <c r="T76" i="31"/>
  <c r="T108" i="31"/>
  <c r="T161" i="31"/>
  <c r="T12" i="31"/>
  <c r="T31" i="31"/>
  <c r="T53" i="31"/>
  <c r="T67" i="31"/>
  <c r="T169" i="31"/>
  <c r="T17" i="31"/>
  <c r="T39" i="31"/>
  <c r="T52" i="31"/>
  <c r="T95" i="31"/>
  <c r="T132" i="31"/>
  <c r="T164" i="31"/>
  <c r="T103" i="31"/>
  <c r="T121" i="31"/>
  <c r="T150" i="31"/>
  <c r="T89" i="31"/>
  <c r="T139" i="31"/>
  <c r="T163" i="31"/>
  <c r="T16" i="31"/>
  <c r="T33" i="31"/>
  <c r="T55" i="31"/>
  <c r="T68" i="31"/>
  <c r="T174" i="31"/>
  <c r="T13" i="31"/>
  <c r="T28" i="31"/>
  <c r="T48" i="31"/>
  <c r="T80" i="31"/>
  <c r="T118" i="31"/>
  <c r="T158" i="31"/>
  <c r="T101" i="31"/>
  <c r="T115" i="31"/>
  <c r="T146" i="31"/>
  <c r="T5" i="31"/>
  <c r="T19" i="31"/>
  <c r="T35" i="31"/>
  <c r="T57" i="31"/>
  <c r="T71" i="31"/>
  <c r="T83" i="31"/>
  <c r="T93" i="31"/>
  <c r="T109" i="31"/>
  <c r="T123" i="31"/>
  <c r="T133" i="31"/>
  <c r="T145" i="31"/>
  <c r="T157" i="31"/>
  <c r="T171" i="31"/>
  <c r="T183" i="31"/>
  <c r="T4" i="31"/>
  <c r="T14" i="31"/>
  <c r="T30" i="31"/>
  <c r="T38" i="31"/>
  <c r="T50" i="31"/>
  <c r="T64" i="31"/>
  <c r="T78" i="31"/>
  <c r="T88" i="31"/>
  <c r="T96" i="31"/>
  <c r="T114" i="31"/>
  <c r="T124" i="31"/>
  <c r="T136" i="31"/>
  <c r="T148" i="31"/>
  <c r="T162" i="31"/>
  <c r="T176" i="31"/>
  <c r="T184" i="31"/>
  <c r="T3" i="31"/>
  <c r="T15" i="31"/>
  <c r="T29" i="31"/>
  <c r="T49" i="31"/>
  <c r="T69" i="31"/>
  <c r="T79" i="31"/>
  <c r="T91" i="31"/>
  <c r="T107" i="31"/>
  <c r="T119" i="31"/>
  <c r="T131" i="31"/>
  <c r="T141" i="31"/>
  <c r="T151" i="31"/>
  <c r="T167" i="31"/>
  <c r="T181" i="31"/>
  <c r="T6" i="31"/>
  <c r="T18" i="31"/>
  <c r="T32" i="31"/>
  <c r="T40" i="31"/>
  <c r="T56" i="31"/>
  <c r="T66" i="31"/>
  <c r="T82" i="31"/>
  <c r="T90" i="31"/>
  <c r="T98" i="31"/>
  <c r="T116" i="31"/>
  <c r="T126" i="31"/>
  <c r="T138" i="31"/>
  <c r="T152" i="31"/>
  <c r="T166" i="31"/>
  <c r="T178" i="31"/>
  <c r="T186" i="31"/>
  <c r="T100" i="31"/>
  <c r="T142" i="31"/>
  <c r="T168" i="31"/>
  <c r="T20" i="31"/>
  <c r="T45" i="31"/>
  <c r="T59" i="31"/>
  <c r="T75" i="31"/>
  <c r="T179" i="31"/>
  <c r="T25" i="31"/>
  <c r="T44" i="31"/>
  <c r="T58" i="31"/>
  <c r="T117" i="31"/>
  <c r="T155" i="31"/>
  <c r="T189" i="31"/>
  <c r="T112" i="31"/>
  <c r="T143" i="31"/>
  <c r="T70" i="31"/>
  <c r="T104" i="31"/>
  <c r="T153" i="31"/>
  <c r="T9" i="31"/>
  <c r="T24" i="31"/>
  <c r="T51" i="31"/>
  <c r="T65" i="31"/>
  <c r="T81" i="31"/>
  <c r="T190" i="31"/>
  <c r="T23" i="31"/>
  <c r="T43" i="31"/>
  <c r="T54" i="31"/>
  <c r="T106" i="31"/>
  <c r="T134" i="31"/>
  <c r="T173" i="31"/>
  <c r="T105" i="31"/>
  <c r="T129" i="31"/>
  <c r="T156" i="31"/>
  <c r="S180" i="31"/>
  <c r="S176" i="31"/>
  <c r="S172" i="31"/>
  <c r="S168" i="31"/>
  <c r="S164" i="31"/>
  <c r="S160" i="31"/>
  <c r="S156" i="31"/>
  <c r="S152" i="31"/>
  <c r="S148" i="31"/>
  <c r="S144" i="31"/>
  <c r="S140" i="31"/>
  <c r="S136" i="31"/>
  <c r="S132" i="31"/>
  <c r="S128" i="31"/>
  <c r="S124" i="31"/>
  <c r="S120" i="31"/>
  <c r="S116" i="31"/>
  <c r="S112" i="31"/>
  <c r="S108" i="31"/>
  <c r="S104" i="31"/>
  <c r="S100" i="31"/>
  <c r="S96" i="31"/>
  <c r="S92" i="31"/>
  <c r="S88" i="31"/>
  <c r="S84" i="31"/>
  <c r="S80" i="31"/>
  <c r="S76" i="31"/>
  <c r="S72" i="31"/>
  <c r="S68" i="31"/>
  <c r="S64" i="31"/>
  <c r="S60" i="31"/>
  <c r="S56" i="31"/>
  <c r="S52" i="31"/>
  <c r="S48" i="31"/>
  <c r="S44" i="31"/>
  <c r="S40" i="31"/>
  <c r="S36" i="31"/>
  <c r="S32" i="31"/>
  <c r="S28" i="31"/>
  <c r="S24" i="31"/>
  <c r="S20" i="31"/>
  <c r="S16" i="31"/>
  <c r="S12" i="31"/>
  <c r="S175" i="31"/>
  <c r="S167" i="31"/>
  <c r="S159" i="31"/>
  <c r="S151" i="31"/>
  <c r="S143" i="31"/>
  <c r="S135" i="31"/>
  <c r="S127" i="31"/>
  <c r="S119" i="31"/>
  <c r="S111" i="31"/>
  <c r="S103" i="31"/>
  <c r="S95" i="31"/>
  <c r="S87" i="31"/>
  <c r="S79" i="31"/>
  <c r="S71" i="31"/>
  <c r="S63" i="31"/>
  <c r="S55" i="31"/>
  <c r="S47" i="31"/>
  <c r="S39" i="31"/>
  <c r="S31" i="31"/>
  <c r="S23" i="31"/>
  <c r="S15" i="31"/>
  <c r="S9" i="31"/>
  <c r="S5" i="31"/>
  <c r="S189" i="31"/>
  <c r="S185" i="31"/>
  <c r="S137" i="31"/>
  <c r="S121" i="31"/>
  <c r="S105" i="31"/>
  <c r="S89" i="31"/>
  <c r="S73" i="31"/>
  <c r="S57" i="31"/>
  <c r="S41" i="31"/>
  <c r="S25" i="31"/>
  <c r="S10" i="31"/>
  <c r="S190" i="31"/>
  <c r="S182" i="31"/>
  <c r="S177" i="31"/>
  <c r="S169" i="31"/>
  <c r="S161" i="31"/>
  <c r="S153" i="31"/>
  <c r="S145" i="31"/>
  <c r="S133" i="31"/>
  <c r="S117" i="31"/>
  <c r="S178" i="31"/>
  <c r="S174" i="31"/>
  <c r="S170" i="31"/>
  <c r="S166" i="31"/>
  <c r="S162" i="31"/>
  <c r="S158" i="31"/>
  <c r="S154" i="31"/>
  <c r="S150" i="31"/>
  <c r="S146" i="31"/>
  <c r="S142" i="31"/>
  <c r="S138" i="31"/>
  <c r="S134" i="31"/>
  <c r="S130" i="31"/>
  <c r="S126" i="31"/>
  <c r="S122" i="31"/>
  <c r="S118" i="31"/>
  <c r="S114" i="31"/>
  <c r="S110" i="31"/>
  <c r="S106" i="31"/>
  <c r="S102" i="31"/>
  <c r="S98" i="31"/>
  <c r="S94" i="31"/>
  <c r="S90" i="31"/>
  <c r="S86" i="31"/>
  <c r="S82" i="31"/>
  <c r="S78" i="31"/>
  <c r="S74" i="31"/>
  <c r="S70" i="31"/>
  <c r="S66" i="31"/>
  <c r="S62" i="31"/>
  <c r="S58" i="31"/>
  <c r="S54" i="31"/>
  <c r="S50" i="31"/>
  <c r="S46" i="31"/>
  <c r="S42" i="31"/>
  <c r="S38" i="31"/>
  <c r="S34" i="31"/>
  <c r="S30" i="31"/>
  <c r="S26" i="31"/>
  <c r="S22" i="31"/>
  <c r="S18" i="31"/>
  <c r="S14" i="31"/>
  <c r="S179" i="31"/>
  <c r="S171" i="31"/>
  <c r="S163" i="31"/>
  <c r="S155" i="31"/>
  <c r="S147" i="31"/>
  <c r="S139" i="31"/>
  <c r="S131" i="31"/>
  <c r="S123" i="31"/>
  <c r="S115" i="31"/>
  <c r="S107" i="31"/>
  <c r="S99" i="31"/>
  <c r="S91" i="31"/>
  <c r="S83" i="31"/>
  <c r="S75" i="31"/>
  <c r="S67" i="31"/>
  <c r="S59" i="31"/>
  <c r="S51" i="31"/>
  <c r="S43" i="31"/>
  <c r="S35" i="31"/>
  <c r="S27" i="31"/>
  <c r="S19" i="31"/>
  <c r="S11" i="31"/>
  <c r="S7" i="31"/>
  <c r="S3" i="31"/>
  <c r="S187" i="31"/>
  <c r="S183" i="31"/>
  <c r="S129" i="31"/>
  <c r="S113" i="31"/>
  <c r="S97" i="31"/>
  <c r="S81" i="31"/>
  <c r="S65" i="31"/>
  <c r="S49" i="31"/>
  <c r="S33" i="31"/>
  <c r="S17" i="31"/>
  <c r="S6" i="31"/>
  <c r="S186" i="31"/>
  <c r="S181" i="31"/>
  <c r="S173" i="31"/>
  <c r="S165" i="31"/>
  <c r="S157" i="31"/>
  <c r="S149" i="31"/>
  <c r="S141" i="31"/>
  <c r="S125" i="31"/>
  <c r="S188" i="31"/>
  <c r="S8" i="31"/>
  <c r="S21" i="31"/>
  <c r="S37" i="31"/>
  <c r="S53" i="31"/>
  <c r="S69" i="31"/>
  <c r="S85" i="31"/>
  <c r="S101" i="31"/>
  <c r="S184" i="31"/>
  <c r="S4" i="31"/>
  <c r="S13" i="31"/>
  <c r="S29" i="31"/>
  <c r="S45" i="31"/>
  <c r="S61" i="31"/>
  <c r="S77" i="31"/>
  <c r="S93" i="31"/>
  <c r="S109" i="31"/>
  <c r="AD6" i="21"/>
  <c r="AC10" i="21"/>
  <c r="AD2" i="21"/>
  <c r="AC6" i="21"/>
  <c r="AC7" i="21"/>
  <c r="AD11" i="21"/>
  <c r="AW4" i="15"/>
  <c r="AC2" i="21"/>
  <c r="AD7" i="21"/>
  <c r="AD4" i="21"/>
  <c r="AD10" i="21"/>
  <c r="AD3" i="21"/>
  <c r="AD9" i="21"/>
  <c r="AC7" i="18"/>
  <c r="AC2" i="18"/>
  <c r="AC6" i="18"/>
  <c r="AD3" i="18"/>
  <c r="AD7" i="18"/>
  <c r="AD2" i="18"/>
  <c r="AD6" i="18"/>
  <c r="AC3" i="18"/>
  <c r="AC5" i="18"/>
  <c r="AC4" i="18"/>
  <c r="AD5" i="18"/>
  <c r="AD4" i="18"/>
  <c r="AC4" i="21"/>
  <c r="AC9" i="21"/>
  <c r="AC3" i="21"/>
  <c r="AC11" i="21"/>
  <c r="AW2" i="15"/>
  <c r="AW3" i="15"/>
  <c r="AW6" i="15"/>
  <c r="AX3" i="15"/>
  <c r="AX2" i="15"/>
  <c r="AX7" i="15"/>
  <c r="AW5" i="15"/>
  <c r="AW7" i="15"/>
  <c r="AW8" i="15"/>
  <c r="AX8" i="15"/>
  <c r="AX6" i="15"/>
  <c r="AX5" i="15"/>
  <c r="AX4" i="15"/>
  <c r="AD5" i="21"/>
  <c r="AC5" i="21"/>
  <c r="AA43" i="2"/>
  <c r="R18" i="31" l="1"/>
  <c r="R55" i="31"/>
  <c r="R121" i="31"/>
  <c r="R100" i="31"/>
  <c r="R124" i="31"/>
  <c r="R30" i="31"/>
  <c r="R51" i="31"/>
  <c r="R106" i="31"/>
  <c r="R187" i="31"/>
  <c r="R73" i="31"/>
  <c r="R172" i="31"/>
  <c r="R88" i="31"/>
  <c r="R63" i="31"/>
  <c r="R80" i="31"/>
  <c r="R176" i="31"/>
  <c r="R62" i="31"/>
  <c r="R127" i="31"/>
  <c r="R15" i="31"/>
  <c r="R175" i="31"/>
  <c r="R140" i="31"/>
  <c r="R69" i="31"/>
  <c r="R117" i="31"/>
  <c r="R7" i="31"/>
  <c r="R177" i="31"/>
  <c r="R5" i="31"/>
  <c r="R139" i="31"/>
  <c r="R22" i="31"/>
  <c r="R107" i="31"/>
  <c r="R12" i="31"/>
  <c r="U21" i="40"/>
  <c r="W21" i="40"/>
  <c r="AE21" i="40"/>
  <c r="AC21" i="40"/>
  <c r="AG21" i="40"/>
  <c r="AA21" i="40"/>
  <c r="Y21" i="40"/>
  <c r="S21" i="40"/>
  <c r="F11" i="40"/>
  <c r="F12" i="3"/>
  <c r="Q1" i="31"/>
  <c r="U22" i="3"/>
  <c r="W22" i="3"/>
  <c r="AG22" i="3"/>
  <c r="AE22" i="3"/>
  <c r="AC22" i="3"/>
  <c r="S22" i="3"/>
  <c r="Y22" i="3"/>
  <c r="AA22" i="3"/>
  <c r="S27" i="3"/>
  <c r="AE27" i="3"/>
  <c r="W27" i="3"/>
  <c r="AG27" i="3"/>
  <c r="F17" i="3"/>
  <c r="W26" i="3" s="1"/>
  <c r="F16" i="40"/>
  <c r="U27" i="3"/>
  <c r="AA27" i="3"/>
  <c r="U26" i="40"/>
  <c r="AA26" i="40"/>
  <c r="AC26" i="40"/>
  <c r="AG26" i="40"/>
  <c r="AE26" i="40"/>
  <c r="Y26" i="40"/>
  <c r="W26" i="40"/>
  <c r="S26" i="40"/>
  <c r="Y27" i="3"/>
  <c r="AP124" i="31"/>
  <c r="AP88" i="31"/>
  <c r="AP170" i="31"/>
  <c r="AP40" i="31"/>
  <c r="AP162" i="31"/>
  <c r="AP50" i="31"/>
  <c r="AP11" i="31"/>
  <c r="AP183" i="31"/>
  <c r="AP145" i="31"/>
  <c r="AP109" i="31"/>
  <c r="AP167" i="31"/>
  <c r="AP119" i="31"/>
  <c r="AP188" i="31"/>
  <c r="AP138" i="31"/>
  <c r="AP97" i="31"/>
  <c r="AP171" i="31"/>
  <c r="AP4" i="31"/>
  <c r="AP49" i="31"/>
  <c r="AP160" i="31"/>
  <c r="AP62" i="31"/>
  <c r="AP187" i="31"/>
  <c r="AP177" i="31"/>
  <c r="AP127" i="31"/>
  <c r="AP47" i="31"/>
  <c r="AP175" i="31"/>
  <c r="AP35" i="31"/>
  <c r="AP42" i="31"/>
  <c r="AP147" i="31"/>
  <c r="AP152" i="31"/>
  <c r="AP5" i="31"/>
  <c r="AP185" i="31"/>
  <c r="AP159" i="31"/>
  <c r="AP135" i="31"/>
  <c r="AP41" i="31"/>
  <c r="AP186" i="31"/>
  <c r="AP116" i="31"/>
  <c r="AP18" i="31"/>
  <c r="AP96" i="31"/>
  <c r="AP131" i="31"/>
  <c r="AP113" i="31"/>
  <c r="AP60" i="31"/>
  <c r="AP111" i="31"/>
  <c r="AP166" i="31"/>
  <c r="AP180" i="31"/>
  <c r="AP84" i="31"/>
  <c r="AP14" i="31"/>
  <c r="AP79" i="31"/>
  <c r="AP102" i="31"/>
  <c r="AP71" i="31"/>
  <c r="AP151" i="31"/>
  <c r="AP77" i="31"/>
  <c r="AP3" i="31"/>
  <c r="AP140" i="31"/>
  <c r="AP66" i="31"/>
  <c r="AP83" i="31"/>
  <c r="AP21" i="31"/>
  <c r="AP82" i="31"/>
  <c r="AP133" i="31"/>
  <c r="AP128" i="31"/>
  <c r="AP73" i="31"/>
  <c r="AP61" i="31"/>
  <c r="AP72" i="31"/>
  <c r="AP176" i="31"/>
  <c r="AP136" i="31"/>
  <c r="AP144" i="31"/>
  <c r="AP22" i="31"/>
  <c r="AP90" i="31"/>
  <c r="AP32" i="31"/>
  <c r="AP157" i="31"/>
  <c r="AP107" i="31"/>
  <c r="AP30" i="31"/>
  <c r="AP172" i="31"/>
  <c r="AP86" i="31"/>
  <c r="AP38" i="31"/>
  <c r="AP125" i="31"/>
  <c r="AP57" i="31"/>
  <c r="AP34" i="31"/>
  <c r="AP110" i="31"/>
  <c r="AP165" i="31"/>
  <c r="AP149" i="31"/>
  <c r="AP6" i="31"/>
  <c r="AP122" i="31"/>
  <c r="AP29" i="31"/>
  <c r="AP120" i="31"/>
  <c r="AP27" i="31"/>
  <c r="AP26" i="31"/>
  <c r="AP137" i="31"/>
  <c r="AP184" i="31"/>
  <c r="AP64" i="31"/>
  <c r="AP91" i="31"/>
  <c r="AP87" i="31"/>
  <c r="AP123" i="31"/>
  <c r="AP63" i="31"/>
  <c r="AP178" i="31"/>
  <c r="AP141" i="31"/>
  <c r="AP154" i="31"/>
  <c r="AP37" i="31"/>
  <c r="AP19" i="31"/>
  <c r="AP182" i="31"/>
  <c r="AP94" i="31"/>
  <c r="AP15" i="31"/>
  <c r="AP85" i="31"/>
  <c r="AP126" i="31"/>
  <c r="AP148" i="31"/>
  <c r="AP114" i="31"/>
  <c r="AP69" i="31"/>
  <c r="AP98" i="31"/>
  <c r="AP93" i="31"/>
  <c r="AP130" i="31"/>
  <c r="AP74" i="31"/>
  <c r="AP46" i="31"/>
  <c r="AP36" i="31"/>
  <c r="AP99" i="31"/>
  <c r="AP181" i="31"/>
  <c r="AP7" i="31"/>
  <c r="AP56" i="31"/>
  <c r="AP10" i="31"/>
  <c r="AP92" i="31"/>
  <c r="AP78" i="31"/>
  <c r="AP8" i="31"/>
  <c r="AP53" i="31"/>
  <c r="AP33" i="31"/>
  <c r="AP65" i="31"/>
  <c r="AP48" i="31"/>
  <c r="AP163" i="31"/>
  <c r="AP158" i="31"/>
  <c r="AP89" i="31"/>
  <c r="AP13" i="31"/>
  <c r="AP101" i="31"/>
  <c r="AP51" i="31"/>
  <c r="AP190" i="31"/>
  <c r="AP25" i="31"/>
  <c r="AP58" i="31"/>
  <c r="AP112" i="31"/>
  <c r="AP161" i="31"/>
  <c r="AP16" i="31"/>
  <c r="AP153" i="31"/>
  <c r="AP81" i="31"/>
  <c r="AP44" i="31"/>
  <c r="AP169" i="31"/>
  <c r="AP115" i="31"/>
  <c r="AP55" i="31"/>
  <c r="AP121" i="31"/>
  <c r="AP24" i="31"/>
  <c r="AP168" i="31"/>
  <c r="AP75" i="31"/>
  <c r="AP156" i="31"/>
  <c r="AP12" i="31"/>
  <c r="AP9" i="31"/>
  <c r="AP179" i="31"/>
  <c r="AP142" i="31"/>
  <c r="AP134" i="31"/>
  <c r="AP76" i="31"/>
  <c r="AP39" i="31"/>
  <c r="AP164" i="31"/>
  <c r="AP43" i="31"/>
  <c r="AP20" i="31"/>
  <c r="AP139" i="31"/>
  <c r="AP174" i="31"/>
  <c r="AP70" i="31"/>
  <c r="AP155" i="31"/>
  <c r="AP17" i="31"/>
  <c r="AP100" i="31"/>
  <c r="AP54" i="31"/>
  <c r="AP106" i="31"/>
  <c r="AP95" i="31"/>
  <c r="AP104" i="31"/>
  <c r="AP52" i="31"/>
  <c r="AP59" i="31"/>
  <c r="AP80" i="31"/>
  <c r="AP189" i="31"/>
  <c r="AP45" i="31"/>
  <c r="AP23" i="31"/>
  <c r="AP150" i="31"/>
  <c r="AP108" i="31"/>
  <c r="AP67" i="31"/>
  <c r="AP31" i="31"/>
  <c r="AP118" i="31"/>
  <c r="AP173" i="31"/>
  <c r="AP129" i="31"/>
  <c r="AP143" i="31"/>
  <c r="AP28" i="31"/>
  <c r="AP146" i="31"/>
  <c r="AP103" i="31"/>
  <c r="AP117" i="31"/>
  <c r="AP68" i="31"/>
  <c r="AP132" i="31"/>
  <c r="AP105" i="31"/>
  <c r="AV11" i="31"/>
  <c r="AV8" i="31"/>
  <c r="AV73" i="31"/>
  <c r="AV50" i="31"/>
  <c r="AV180" i="31"/>
  <c r="AV170" i="31"/>
  <c r="AV145" i="31"/>
  <c r="AV7" i="31"/>
  <c r="AV167" i="31"/>
  <c r="AV185" i="31"/>
  <c r="AV93" i="31"/>
  <c r="AV144" i="31"/>
  <c r="AV130" i="31"/>
  <c r="AV74" i="31"/>
  <c r="AV47" i="31"/>
  <c r="AV85" i="31"/>
  <c r="AV157" i="31"/>
  <c r="AV114" i="31"/>
  <c r="AV57" i="31"/>
  <c r="AV72" i="31"/>
  <c r="AV159" i="31"/>
  <c r="AV41" i="31"/>
  <c r="AV136" i="31"/>
  <c r="AV109" i="31"/>
  <c r="AV37" i="31"/>
  <c r="AV10" i="31"/>
  <c r="AV77" i="31"/>
  <c r="AV120" i="31"/>
  <c r="AV148" i="31"/>
  <c r="AV38" i="31"/>
  <c r="AV107" i="31"/>
  <c r="AV40" i="31"/>
  <c r="AV14" i="31"/>
  <c r="AV133" i="31"/>
  <c r="AV42" i="31"/>
  <c r="AV97" i="31"/>
  <c r="AV71" i="31"/>
  <c r="AV176" i="31"/>
  <c r="AV64" i="31"/>
  <c r="AV4" i="31"/>
  <c r="AV91" i="31"/>
  <c r="AV19" i="31"/>
  <c r="AV160" i="31"/>
  <c r="AV62" i="31"/>
  <c r="AV177" i="31"/>
  <c r="AV111" i="31"/>
  <c r="AV27" i="31"/>
  <c r="AV90" i="31"/>
  <c r="AV181" i="31"/>
  <c r="AV69" i="31"/>
  <c r="AV35" i="31"/>
  <c r="AV102" i="31"/>
  <c r="AV61" i="31"/>
  <c r="AV166" i="31"/>
  <c r="AV152" i="31"/>
  <c r="AV34" i="31"/>
  <c r="AV18" i="31"/>
  <c r="AV119" i="31"/>
  <c r="AV135" i="31"/>
  <c r="AV116" i="31"/>
  <c r="AV131" i="31"/>
  <c r="AV125" i="31"/>
  <c r="AV138" i="31"/>
  <c r="AV79" i="31"/>
  <c r="AV186" i="31"/>
  <c r="AV26" i="31"/>
  <c r="AV78" i="31"/>
  <c r="AV187" i="31"/>
  <c r="AV149" i="31"/>
  <c r="AV32" i="31"/>
  <c r="AV188" i="31"/>
  <c r="AV49" i="31"/>
  <c r="AV3" i="31"/>
  <c r="AV184" i="31"/>
  <c r="AV63" i="31"/>
  <c r="AV83" i="31"/>
  <c r="AV162" i="31"/>
  <c r="AV113" i="31"/>
  <c r="AV66" i="31"/>
  <c r="AV21" i="31"/>
  <c r="AV82" i="31"/>
  <c r="AV183" i="31"/>
  <c r="AV182" i="31"/>
  <c r="AV110" i="31"/>
  <c r="AV94" i="31"/>
  <c r="AV165" i="31"/>
  <c r="AV87" i="31"/>
  <c r="AV15" i="31"/>
  <c r="AV92" i="31"/>
  <c r="AV137" i="31"/>
  <c r="AV5" i="31"/>
  <c r="AV46" i="31"/>
  <c r="AV178" i="31"/>
  <c r="AV122" i="31"/>
  <c r="AV60" i="31"/>
  <c r="AV175" i="31"/>
  <c r="AV36" i="31"/>
  <c r="AV127" i="31"/>
  <c r="AV123" i="31"/>
  <c r="AV128" i="31"/>
  <c r="AV171" i="31"/>
  <c r="AV96" i="31"/>
  <c r="AV29" i="31"/>
  <c r="AV6" i="31"/>
  <c r="AV84" i="31"/>
  <c r="AV147" i="31"/>
  <c r="AV124" i="31"/>
  <c r="AV154" i="31"/>
  <c r="AV140" i="31"/>
  <c r="AV22" i="31"/>
  <c r="AV98" i="31"/>
  <c r="AV56" i="31"/>
  <c r="AV30" i="31"/>
  <c r="AV86" i="31"/>
  <c r="AV126" i="31"/>
  <c r="AV151" i="31"/>
  <c r="AV88" i="31"/>
  <c r="AV172" i="31"/>
  <c r="AV99" i="31"/>
  <c r="AV141" i="31"/>
  <c r="AV67" i="31"/>
  <c r="AV103" i="31"/>
  <c r="AV190" i="31"/>
  <c r="AV44" i="31"/>
  <c r="AV58" i="31"/>
  <c r="AV163" i="31"/>
  <c r="AV150" i="31"/>
  <c r="AV9" i="31"/>
  <c r="AV81" i="31"/>
  <c r="AV17" i="31"/>
  <c r="AV146" i="31"/>
  <c r="AV16" i="31"/>
  <c r="AV13" i="31"/>
  <c r="AV33" i="31"/>
  <c r="AV104" i="31"/>
  <c r="AV143" i="31"/>
  <c r="AV48" i="31"/>
  <c r="AV164" i="31"/>
  <c r="AV100" i="31"/>
  <c r="AV54" i="31"/>
  <c r="AV108" i="31"/>
  <c r="AV51" i="31"/>
  <c r="AV55" i="31"/>
  <c r="AV142" i="31"/>
  <c r="AV156" i="31"/>
  <c r="AV80" i="31"/>
  <c r="AV118" i="31"/>
  <c r="AV52" i="31"/>
  <c r="AV76" i="31"/>
  <c r="AV129" i="31"/>
  <c r="AV132" i="31"/>
  <c r="AV189" i="31"/>
  <c r="AV169" i="31"/>
  <c r="AV75" i="31"/>
  <c r="AV23" i="31"/>
  <c r="AV89" i="31"/>
  <c r="AV24" i="31"/>
  <c r="AV115" i="31"/>
  <c r="AV12" i="31"/>
  <c r="AV179" i="31"/>
  <c r="AV161" i="31"/>
  <c r="AV174" i="31"/>
  <c r="AV112" i="31"/>
  <c r="AV53" i="31"/>
  <c r="AV39" i="31"/>
  <c r="AV70" i="31"/>
  <c r="AV25" i="31"/>
  <c r="AV121" i="31"/>
  <c r="AV105" i="31"/>
  <c r="AV28" i="31"/>
  <c r="AV158" i="31"/>
  <c r="AV153" i="31"/>
  <c r="AV65" i="31"/>
  <c r="AV20" i="31"/>
  <c r="AV45" i="31"/>
  <c r="AV43" i="31"/>
  <c r="AV31" i="31"/>
  <c r="AV168" i="31"/>
  <c r="AV106" i="31"/>
  <c r="AV173" i="31"/>
  <c r="AV68" i="31"/>
  <c r="AV95" i="31"/>
  <c r="AV139" i="31"/>
  <c r="AV101" i="31"/>
  <c r="AV155" i="31"/>
  <c r="AV134" i="31"/>
  <c r="AV117" i="31"/>
  <c r="AV59" i="31"/>
  <c r="AI170" i="31"/>
  <c r="AI109" i="31"/>
  <c r="AI7" i="31"/>
  <c r="AI162" i="31"/>
  <c r="AI42" i="31"/>
  <c r="AI11" i="31"/>
  <c r="AI145" i="31"/>
  <c r="AI124" i="31"/>
  <c r="AI180" i="31"/>
  <c r="AI128" i="31"/>
  <c r="AI82" i="31"/>
  <c r="AI50" i="31"/>
  <c r="AI14" i="31"/>
  <c r="AI5" i="31"/>
  <c r="AI72" i="31"/>
  <c r="AI135" i="31"/>
  <c r="AI56" i="31"/>
  <c r="AI19" i="31"/>
  <c r="AI10" i="31"/>
  <c r="AI187" i="31"/>
  <c r="AI177" i="31"/>
  <c r="AI137" i="31"/>
  <c r="AI113" i="31"/>
  <c r="AI47" i="31"/>
  <c r="AI29" i="31"/>
  <c r="AI15" i="31"/>
  <c r="AI140" i="31"/>
  <c r="AI60" i="31"/>
  <c r="AI85" i="31"/>
  <c r="AI178" i="31"/>
  <c r="AI66" i="31"/>
  <c r="AI148" i="31"/>
  <c r="AI181" i="31"/>
  <c r="AI69" i="31"/>
  <c r="AI30" i="31"/>
  <c r="AI8" i="31"/>
  <c r="AI166" i="31"/>
  <c r="AI40" i="31"/>
  <c r="AI88" i="31"/>
  <c r="AI176" i="31"/>
  <c r="AI151" i="31"/>
  <c r="AI3" i="31"/>
  <c r="AI90" i="31"/>
  <c r="AI184" i="31"/>
  <c r="AI186" i="31"/>
  <c r="AI49" i="31"/>
  <c r="AI57" i="31"/>
  <c r="AI119" i="31"/>
  <c r="AI154" i="31"/>
  <c r="AI116" i="31"/>
  <c r="AI93" i="31"/>
  <c r="AI136" i="31"/>
  <c r="AI91" i="31"/>
  <c r="AI172" i="31"/>
  <c r="AI94" i="31"/>
  <c r="AI62" i="31"/>
  <c r="AI149" i="31"/>
  <c r="AI127" i="31"/>
  <c r="AI83" i="31"/>
  <c r="AI78" i="31"/>
  <c r="AI84" i="31"/>
  <c r="AI73" i="31"/>
  <c r="AI138" i="31"/>
  <c r="AI34" i="31"/>
  <c r="AI133" i="31"/>
  <c r="AI183" i="31"/>
  <c r="AI185" i="31"/>
  <c r="AI102" i="31"/>
  <c r="AI97" i="31"/>
  <c r="AI152" i="31"/>
  <c r="AI171" i="31"/>
  <c r="AI37" i="31"/>
  <c r="AI182" i="31"/>
  <c r="AI130" i="31"/>
  <c r="AI110" i="31"/>
  <c r="AI86" i="31"/>
  <c r="AI122" i="31"/>
  <c r="AI165" i="31"/>
  <c r="AI63" i="31"/>
  <c r="AI120" i="31"/>
  <c r="AI111" i="31"/>
  <c r="AI38" i="31"/>
  <c r="AI141" i="31"/>
  <c r="AI6" i="31"/>
  <c r="AI167" i="31"/>
  <c r="AI188" i="31"/>
  <c r="AI74" i="31"/>
  <c r="AI126" i="31"/>
  <c r="AI21" i="31"/>
  <c r="AI98" i="31"/>
  <c r="AI4" i="31"/>
  <c r="AI131" i="31"/>
  <c r="AI22" i="31"/>
  <c r="AI107" i="31"/>
  <c r="AI64" i="31"/>
  <c r="AI77" i="31"/>
  <c r="AI61" i="31"/>
  <c r="AI96" i="31"/>
  <c r="AI157" i="31"/>
  <c r="AI35" i="31"/>
  <c r="AI41" i="31"/>
  <c r="AI114" i="31"/>
  <c r="AI125" i="31"/>
  <c r="AI144" i="31"/>
  <c r="AI175" i="31"/>
  <c r="AI71" i="31"/>
  <c r="AI26" i="31"/>
  <c r="AI99" i="31"/>
  <c r="AI87" i="31"/>
  <c r="AI32" i="31"/>
  <c r="AI159" i="31"/>
  <c r="AI18" i="31"/>
  <c r="AI36" i="31"/>
  <c r="AI92" i="31"/>
  <c r="AI147" i="31"/>
  <c r="AI46" i="31"/>
  <c r="AI123" i="31"/>
  <c r="AI160" i="31"/>
  <c r="AI27" i="31"/>
  <c r="AI79" i="31"/>
  <c r="AI101" i="31"/>
  <c r="AI70" i="31"/>
  <c r="AI143" i="31"/>
  <c r="AI76" i="31"/>
  <c r="AI115" i="31"/>
  <c r="AI53" i="31"/>
  <c r="AI89" i="31"/>
  <c r="AI16" i="31"/>
  <c r="AI95" i="31"/>
  <c r="AI174" i="31"/>
  <c r="AI103" i="31"/>
  <c r="AI9" i="31"/>
  <c r="AI51" i="31"/>
  <c r="AI31" i="31"/>
  <c r="AI164" i="31"/>
  <c r="AI28" i="31"/>
  <c r="AI190" i="31"/>
  <c r="AI121" i="31"/>
  <c r="AI142" i="31"/>
  <c r="AI43" i="31"/>
  <c r="AI161" i="31"/>
  <c r="AI68" i="31"/>
  <c r="AI67" i="31"/>
  <c r="AI80" i="31"/>
  <c r="AI24" i="31"/>
  <c r="AI189" i="31"/>
  <c r="AI45" i="31"/>
  <c r="AI54" i="31"/>
  <c r="AI104" i="31"/>
  <c r="AI81" i="31"/>
  <c r="AI44" i="31"/>
  <c r="AI169" i="31"/>
  <c r="AI13" i="31"/>
  <c r="AI65" i="31"/>
  <c r="AI163" i="31"/>
  <c r="AI17" i="31"/>
  <c r="AI150" i="31"/>
  <c r="AI117" i="31"/>
  <c r="AI112" i="31"/>
  <c r="AI59" i="31"/>
  <c r="AI75" i="31"/>
  <c r="AI108" i="31"/>
  <c r="AI48" i="31"/>
  <c r="AI118" i="31"/>
  <c r="AI55" i="31"/>
  <c r="AI129" i="31"/>
  <c r="AI173" i="31"/>
  <c r="AI155" i="31"/>
  <c r="AI20" i="31"/>
  <c r="AI132" i="31"/>
  <c r="AI12" i="31"/>
  <c r="AI33" i="31"/>
  <c r="AI39" i="31"/>
  <c r="AI25" i="31"/>
  <c r="AI58" i="31"/>
  <c r="AI168" i="31"/>
  <c r="AI179" i="31"/>
  <c r="AI23" i="31"/>
  <c r="AI156" i="31"/>
  <c r="AI134" i="31"/>
  <c r="AI158" i="31"/>
  <c r="AI153" i="31"/>
  <c r="AI106" i="31"/>
  <c r="AI146" i="31"/>
  <c r="AI139" i="31"/>
  <c r="AI52" i="31"/>
  <c r="AI100" i="31"/>
  <c r="AI105" i="31"/>
  <c r="AO166" i="31"/>
  <c r="AO14" i="31"/>
  <c r="AO84" i="31"/>
  <c r="AO170" i="31"/>
  <c r="AO147" i="31"/>
  <c r="AO125" i="31"/>
  <c r="AO7" i="31"/>
  <c r="AO119" i="31"/>
  <c r="AO109" i="31"/>
  <c r="AO88" i="31"/>
  <c r="AO188" i="31"/>
  <c r="AO34" i="31"/>
  <c r="AO18" i="31"/>
  <c r="AO176" i="31"/>
  <c r="AO182" i="31"/>
  <c r="AO122" i="31"/>
  <c r="AO110" i="31"/>
  <c r="AO86" i="31"/>
  <c r="AO46" i="31"/>
  <c r="AO165" i="31"/>
  <c r="AO87" i="31"/>
  <c r="AO77" i="31"/>
  <c r="AO120" i="31"/>
  <c r="AO6" i="31"/>
  <c r="AO184" i="31"/>
  <c r="AO35" i="31"/>
  <c r="AO116" i="31"/>
  <c r="AO11" i="31"/>
  <c r="AO138" i="31"/>
  <c r="AO162" i="31"/>
  <c r="AO154" i="31"/>
  <c r="AO159" i="31"/>
  <c r="AO41" i="31"/>
  <c r="AO30" i="31"/>
  <c r="AO151" i="31"/>
  <c r="AO137" i="31"/>
  <c r="AO127" i="31"/>
  <c r="AO140" i="31"/>
  <c r="AO92" i="31"/>
  <c r="AO85" i="31"/>
  <c r="AO27" i="31"/>
  <c r="AO126" i="31"/>
  <c r="AO8" i="31"/>
  <c r="AO98" i="31"/>
  <c r="AO73" i="31"/>
  <c r="AO40" i="31"/>
  <c r="AO186" i="31"/>
  <c r="AO152" i="31"/>
  <c r="AO171" i="31"/>
  <c r="AO131" i="31"/>
  <c r="AO144" i="31"/>
  <c r="AO74" i="31"/>
  <c r="AO10" i="31"/>
  <c r="AO113" i="31"/>
  <c r="AO99" i="31"/>
  <c r="AO15" i="31"/>
  <c r="AO175" i="31"/>
  <c r="AO178" i="31"/>
  <c r="AO148" i="31"/>
  <c r="AO114" i="31"/>
  <c r="AO181" i="31"/>
  <c r="AO124" i="31"/>
  <c r="AO128" i="31"/>
  <c r="AO42" i="31"/>
  <c r="AO145" i="31"/>
  <c r="AO102" i="31"/>
  <c r="AO135" i="31"/>
  <c r="AO56" i="31"/>
  <c r="AO93" i="31"/>
  <c r="AO71" i="31"/>
  <c r="AO180" i="31"/>
  <c r="AO167" i="31"/>
  <c r="AO37" i="31"/>
  <c r="AO183" i="31"/>
  <c r="AO50" i="31"/>
  <c r="AO79" i="31"/>
  <c r="AO4" i="31"/>
  <c r="AO96" i="31"/>
  <c r="AO91" i="31"/>
  <c r="AO94" i="31"/>
  <c r="AO62" i="31"/>
  <c r="AO29" i="31"/>
  <c r="AO19" i="31"/>
  <c r="AO83" i="31"/>
  <c r="AO21" i="31"/>
  <c r="AO36" i="31"/>
  <c r="AO177" i="31"/>
  <c r="AO66" i="31"/>
  <c r="AO64" i="31"/>
  <c r="AO107" i="31"/>
  <c r="AO136" i="31"/>
  <c r="AO69" i="31"/>
  <c r="AO130" i="31"/>
  <c r="AO187" i="31"/>
  <c r="AO63" i="31"/>
  <c r="AO123" i="31"/>
  <c r="AO185" i="31"/>
  <c r="AO160" i="31"/>
  <c r="AO60" i="31"/>
  <c r="AO32" i="31"/>
  <c r="AO157" i="31"/>
  <c r="AO172" i="31"/>
  <c r="AO57" i="31"/>
  <c r="AO5" i="31"/>
  <c r="AO78" i="31"/>
  <c r="AO82" i="31"/>
  <c r="AO97" i="31"/>
  <c r="AO61" i="31"/>
  <c r="AO133" i="31"/>
  <c r="AO90" i="31"/>
  <c r="AO141" i="31"/>
  <c r="AO26" i="31"/>
  <c r="AO22" i="31"/>
  <c r="AO49" i="31"/>
  <c r="AO3" i="31"/>
  <c r="AO149" i="31"/>
  <c r="AO47" i="31"/>
  <c r="AO38" i="31"/>
  <c r="AO111" i="31"/>
  <c r="AO72" i="31"/>
  <c r="AO161" i="31"/>
  <c r="AO158" i="31"/>
  <c r="AO139" i="31"/>
  <c r="AO174" i="31"/>
  <c r="AO39" i="31"/>
  <c r="AO132" i="31"/>
  <c r="AO153" i="31"/>
  <c r="AO81" i="31"/>
  <c r="AO25" i="31"/>
  <c r="AO31" i="31"/>
  <c r="AO142" i="31"/>
  <c r="AO168" i="31"/>
  <c r="AO20" i="31"/>
  <c r="AO53" i="31"/>
  <c r="AO89" i="31"/>
  <c r="AO108" i="31"/>
  <c r="AO67" i="31"/>
  <c r="AO13" i="31"/>
  <c r="AO44" i="31"/>
  <c r="AO143" i="31"/>
  <c r="AO169" i="31"/>
  <c r="AO48" i="31"/>
  <c r="AO121" i="31"/>
  <c r="AO100" i="31"/>
  <c r="AO12" i="31"/>
  <c r="AO24" i="31"/>
  <c r="AO163" i="31"/>
  <c r="AO52" i="31"/>
  <c r="AO75" i="31"/>
  <c r="AO118" i="31"/>
  <c r="AO68" i="31"/>
  <c r="AO65" i="31"/>
  <c r="AO117" i="31"/>
  <c r="AO112" i="31"/>
  <c r="AO179" i="31"/>
  <c r="AO70" i="31"/>
  <c r="AO59" i="31"/>
  <c r="AO106" i="31"/>
  <c r="AO173" i="31"/>
  <c r="AO129" i="31"/>
  <c r="AO80" i="31"/>
  <c r="AO104" i="31"/>
  <c r="AO58" i="31"/>
  <c r="AO115" i="31"/>
  <c r="AO17" i="31"/>
  <c r="AO23" i="31"/>
  <c r="AO134" i="31"/>
  <c r="AO28" i="31"/>
  <c r="AO51" i="31"/>
  <c r="AO16" i="31"/>
  <c r="AO150" i="31"/>
  <c r="AO146" i="31"/>
  <c r="AO95" i="31"/>
  <c r="AO105" i="31"/>
  <c r="AO156" i="31"/>
  <c r="AO76" i="31"/>
  <c r="AO55" i="31"/>
  <c r="AO43" i="31"/>
  <c r="AO9" i="31"/>
  <c r="AO190" i="31"/>
  <c r="AO155" i="31"/>
  <c r="AO54" i="31"/>
  <c r="AO33" i="31"/>
  <c r="AO103" i="31"/>
  <c r="AO164" i="31"/>
  <c r="AO101" i="31"/>
  <c r="AO189" i="31"/>
  <c r="AO45" i="31"/>
  <c r="AT3" i="31"/>
  <c r="AT73" i="31"/>
  <c r="AT166" i="31"/>
  <c r="AT7" i="31"/>
  <c r="AT88" i="31"/>
  <c r="AT128" i="31"/>
  <c r="AT84" i="31"/>
  <c r="AT14" i="31"/>
  <c r="AT42" i="31"/>
  <c r="AT8" i="31"/>
  <c r="AT125" i="31"/>
  <c r="AT40" i="31"/>
  <c r="AT162" i="31"/>
  <c r="AT124" i="31"/>
  <c r="AT71" i="31"/>
  <c r="AT30" i="31"/>
  <c r="AT62" i="31"/>
  <c r="AT127" i="31"/>
  <c r="AT63" i="31"/>
  <c r="AT178" i="31"/>
  <c r="AT181" i="31"/>
  <c r="AT180" i="31"/>
  <c r="AT135" i="31"/>
  <c r="AT98" i="31"/>
  <c r="AT183" i="31"/>
  <c r="AT145" i="31"/>
  <c r="AT57" i="31"/>
  <c r="AT79" i="31"/>
  <c r="AT188" i="31"/>
  <c r="AT152" i="31"/>
  <c r="AT171" i="31"/>
  <c r="AT136" i="31"/>
  <c r="AT26" i="31"/>
  <c r="AT165" i="31"/>
  <c r="AT149" i="31"/>
  <c r="AT87" i="31"/>
  <c r="AT111" i="31"/>
  <c r="AT90" i="31"/>
  <c r="AT21" i="31"/>
  <c r="AT72" i="31"/>
  <c r="AT147" i="31"/>
  <c r="AT109" i="31"/>
  <c r="AT159" i="31"/>
  <c r="AT41" i="31"/>
  <c r="AT96" i="31"/>
  <c r="AT184" i="31"/>
  <c r="AT138" i="31"/>
  <c r="AT97" i="31"/>
  <c r="AT56" i="31"/>
  <c r="AT4" i="31"/>
  <c r="AT50" i="31"/>
  <c r="AT167" i="31"/>
  <c r="AT119" i="31"/>
  <c r="AT154" i="31"/>
  <c r="AT116" i="31"/>
  <c r="AT102" i="31"/>
  <c r="AT61" i="31"/>
  <c r="AT18" i="31"/>
  <c r="AT93" i="31"/>
  <c r="AT11" i="31"/>
  <c r="AT5" i="31"/>
  <c r="AT34" i="31"/>
  <c r="AT131" i="31"/>
  <c r="AT91" i="31"/>
  <c r="AT172" i="31"/>
  <c r="AT144" i="31"/>
  <c r="AT151" i="31"/>
  <c r="AT36" i="31"/>
  <c r="AT99" i="31"/>
  <c r="AT140" i="31"/>
  <c r="AT114" i="31"/>
  <c r="AT38" i="31"/>
  <c r="AT107" i="31"/>
  <c r="AT148" i="31"/>
  <c r="AT160" i="31"/>
  <c r="AT130" i="31"/>
  <c r="AT85" i="31"/>
  <c r="AT141" i="31"/>
  <c r="AT170" i="31"/>
  <c r="AT37" i="31"/>
  <c r="AT175" i="31"/>
  <c r="AT83" i="31"/>
  <c r="AT186" i="31"/>
  <c r="AT126" i="31"/>
  <c r="AT46" i="31"/>
  <c r="AT22" i="31"/>
  <c r="AT49" i="31"/>
  <c r="AT19" i="31"/>
  <c r="AT122" i="31"/>
  <c r="AT74" i="31"/>
  <c r="AT29" i="31"/>
  <c r="AT78" i="31"/>
  <c r="AT15" i="31"/>
  <c r="AT60" i="31"/>
  <c r="AT6" i="31"/>
  <c r="AT182" i="31"/>
  <c r="AT113" i="31"/>
  <c r="AT157" i="31"/>
  <c r="AT185" i="31"/>
  <c r="AT176" i="31"/>
  <c r="AT10" i="31"/>
  <c r="AT187" i="31"/>
  <c r="AT77" i="31"/>
  <c r="AT120" i="31"/>
  <c r="AT82" i="31"/>
  <c r="AT86" i="31"/>
  <c r="AT177" i="31"/>
  <c r="AT137" i="31"/>
  <c r="AT64" i="31"/>
  <c r="AT27" i="31"/>
  <c r="AT35" i="31"/>
  <c r="AT123" i="31"/>
  <c r="AT133" i="31"/>
  <c r="AT110" i="31"/>
  <c r="AT47" i="31"/>
  <c r="AT66" i="31"/>
  <c r="AT94" i="31"/>
  <c r="AT92" i="31"/>
  <c r="AT32" i="31"/>
  <c r="AT69" i="31"/>
  <c r="AT89" i="31"/>
  <c r="AT16" i="31"/>
  <c r="AT108" i="31"/>
  <c r="AT12" i="31"/>
  <c r="AT80" i="31"/>
  <c r="AT117" i="31"/>
  <c r="AT17" i="31"/>
  <c r="AT121" i="31"/>
  <c r="AT68" i="31"/>
  <c r="AT65" i="31"/>
  <c r="AT118" i="31"/>
  <c r="AT101" i="31"/>
  <c r="AT104" i="31"/>
  <c r="AT155" i="31"/>
  <c r="AT76" i="31"/>
  <c r="AT168" i="31"/>
  <c r="AT179" i="31"/>
  <c r="AT23" i="31"/>
  <c r="AT53" i="31"/>
  <c r="AT139" i="31"/>
  <c r="AT81" i="31"/>
  <c r="AT58" i="31"/>
  <c r="AT112" i="31"/>
  <c r="AT100" i="31"/>
  <c r="AT146" i="31"/>
  <c r="AT103" i="31"/>
  <c r="AT24" i="31"/>
  <c r="AT43" i="31"/>
  <c r="AT106" i="31"/>
  <c r="AT129" i="31"/>
  <c r="AT33" i="31"/>
  <c r="AT105" i="31"/>
  <c r="AT169" i="31"/>
  <c r="AT55" i="31"/>
  <c r="AT158" i="31"/>
  <c r="AT95" i="31"/>
  <c r="AT39" i="31"/>
  <c r="AT9" i="31"/>
  <c r="AT25" i="31"/>
  <c r="AT31" i="31"/>
  <c r="AT156" i="31"/>
  <c r="AT150" i="31"/>
  <c r="AT70" i="31"/>
  <c r="AT173" i="31"/>
  <c r="AT28" i="31"/>
  <c r="AT153" i="31"/>
  <c r="AT190" i="31"/>
  <c r="AT161" i="31"/>
  <c r="AT174" i="31"/>
  <c r="AT44" i="31"/>
  <c r="AT143" i="31"/>
  <c r="AT48" i="31"/>
  <c r="AT115" i="31"/>
  <c r="AT52" i="31"/>
  <c r="AT164" i="31"/>
  <c r="AT142" i="31"/>
  <c r="AT20" i="31"/>
  <c r="AT59" i="31"/>
  <c r="AT75" i="31"/>
  <c r="AT54" i="31"/>
  <c r="AT132" i="31"/>
  <c r="AT189" i="31"/>
  <c r="AT13" i="31"/>
  <c r="AT51" i="31"/>
  <c r="AT45" i="31"/>
  <c r="AT134" i="31"/>
  <c r="AT67" i="31"/>
  <c r="AT163" i="31"/>
  <c r="AJ180" i="31"/>
  <c r="AJ147" i="31"/>
  <c r="AJ88" i="31"/>
  <c r="AJ167" i="31"/>
  <c r="AJ170" i="31"/>
  <c r="AJ125" i="31"/>
  <c r="AJ166" i="31"/>
  <c r="AJ14" i="31"/>
  <c r="AJ79" i="31"/>
  <c r="AJ98" i="31"/>
  <c r="AJ154" i="31"/>
  <c r="AJ102" i="31"/>
  <c r="AJ186" i="31"/>
  <c r="AJ152" i="31"/>
  <c r="AJ71" i="31"/>
  <c r="AJ30" i="31"/>
  <c r="AJ160" i="31"/>
  <c r="AJ144" i="31"/>
  <c r="AJ130" i="31"/>
  <c r="AJ46" i="31"/>
  <c r="AJ99" i="31"/>
  <c r="AJ15" i="31"/>
  <c r="AJ22" i="31"/>
  <c r="AJ157" i="31"/>
  <c r="AJ184" i="31"/>
  <c r="AJ148" i="31"/>
  <c r="AJ78" i="31"/>
  <c r="AJ38" i="31"/>
  <c r="AJ141" i="31"/>
  <c r="AJ50" i="31"/>
  <c r="AJ188" i="31"/>
  <c r="AJ56" i="31"/>
  <c r="AJ128" i="31"/>
  <c r="AJ84" i="31"/>
  <c r="AJ57" i="31"/>
  <c r="AJ116" i="31"/>
  <c r="AJ136" i="31"/>
  <c r="AJ172" i="31"/>
  <c r="AJ62" i="31"/>
  <c r="AJ36" i="31"/>
  <c r="AJ66" i="31"/>
  <c r="AJ42" i="31"/>
  <c r="AJ64" i="31"/>
  <c r="AJ159" i="31"/>
  <c r="AJ93" i="31"/>
  <c r="AJ37" i="31"/>
  <c r="AJ151" i="31"/>
  <c r="AJ94" i="31"/>
  <c r="AJ137" i="31"/>
  <c r="AJ127" i="31"/>
  <c r="AJ87" i="31"/>
  <c r="AJ123" i="31"/>
  <c r="AJ11" i="31"/>
  <c r="AJ40" i="31"/>
  <c r="AJ5" i="31"/>
  <c r="AJ8" i="31"/>
  <c r="AJ138" i="31"/>
  <c r="AJ110" i="31"/>
  <c r="AJ7" i="31"/>
  <c r="AJ97" i="31"/>
  <c r="AJ61" i="31"/>
  <c r="AJ74" i="31"/>
  <c r="AJ177" i="31"/>
  <c r="AJ29" i="31"/>
  <c r="AJ96" i="31"/>
  <c r="AJ91" i="31"/>
  <c r="AJ47" i="31"/>
  <c r="AJ85" i="31"/>
  <c r="AJ171" i="31"/>
  <c r="AJ182" i="31"/>
  <c r="AJ187" i="31"/>
  <c r="AJ92" i="31"/>
  <c r="AJ111" i="31"/>
  <c r="AJ49" i="31"/>
  <c r="AJ109" i="31"/>
  <c r="AJ119" i="31"/>
  <c r="AJ176" i="31"/>
  <c r="AJ4" i="31"/>
  <c r="AJ10" i="31"/>
  <c r="AJ113" i="31"/>
  <c r="AJ32" i="31"/>
  <c r="AJ83" i="31"/>
  <c r="AJ41" i="31"/>
  <c r="AJ21" i="31"/>
  <c r="AJ107" i="31"/>
  <c r="AJ35" i="31"/>
  <c r="AJ133" i="31"/>
  <c r="AJ120" i="31"/>
  <c r="AJ69" i="31"/>
  <c r="AJ86" i="31"/>
  <c r="AJ149" i="31"/>
  <c r="AJ82" i="31"/>
  <c r="AJ178" i="31"/>
  <c r="AJ73" i="31"/>
  <c r="AJ124" i="31"/>
  <c r="AJ18" i="31"/>
  <c r="AJ77" i="31"/>
  <c r="AJ60" i="31"/>
  <c r="AJ90" i="31"/>
  <c r="AJ145" i="31"/>
  <c r="AJ34" i="31"/>
  <c r="AJ185" i="31"/>
  <c r="AJ135" i="31"/>
  <c r="AJ131" i="31"/>
  <c r="AJ165" i="31"/>
  <c r="AJ114" i="31"/>
  <c r="AJ72" i="31"/>
  <c r="AJ26" i="31"/>
  <c r="AJ126" i="31"/>
  <c r="AJ162" i="31"/>
  <c r="AJ19" i="31"/>
  <c r="AJ140" i="31"/>
  <c r="AJ175" i="31"/>
  <c r="AJ6" i="31"/>
  <c r="AJ181" i="31"/>
  <c r="AJ183" i="31"/>
  <c r="AJ122" i="31"/>
  <c r="AJ63" i="31"/>
  <c r="AJ3" i="31"/>
  <c r="AJ27" i="31"/>
  <c r="AJ158" i="31"/>
  <c r="AJ13" i="31"/>
  <c r="AJ44" i="31"/>
  <c r="AJ52" i="31"/>
  <c r="AJ164" i="31"/>
  <c r="AJ168" i="31"/>
  <c r="AJ20" i="31"/>
  <c r="AJ161" i="31"/>
  <c r="AJ12" i="31"/>
  <c r="AJ67" i="31"/>
  <c r="AJ174" i="31"/>
  <c r="AJ39" i="31"/>
  <c r="AJ132" i="31"/>
  <c r="AJ104" i="31"/>
  <c r="AJ24" i="31"/>
  <c r="AJ65" i="31"/>
  <c r="AJ189" i="31"/>
  <c r="AJ143" i="31"/>
  <c r="AJ115" i="31"/>
  <c r="AJ163" i="31"/>
  <c r="AJ146" i="31"/>
  <c r="AJ190" i="31"/>
  <c r="AJ58" i="31"/>
  <c r="AJ48" i="31"/>
  <c r="AJ17" i="31"/>
  <c r="AJ45" i="31"/>
  <c r="AJ179" i="31"/>
  <c r="AJ95" i="31"/>
  <c r="AJ101" i="31"/>
  <c r="AJ9" i="31"/>
  <c r="AJ76" i="31"/>
  <c r="AJ81" i="31"/>
  <c r="AJ142" i="31"/>
  <c r="AJ54" i="31"/>
  <c r="AJ173" i="31"/>
  <c r="AJ139" i="31"/>
  <c r="AJ33" i="31"/>
  <c r="AJ155" i="31"/>
  <c r="AJ31" i="31"/>
  <c r="AJ106" i="31"/>
  <c r="AJ134" i="31"/>
  <c r="AJ153" i="31"/>
  <c r="AJ51" i="31"/>
  <c r="AJ100" i="31"/>
  <c r="AJ150" i="31"/>
  <c r="AJ103" i="31"/>
  <c r="AJ80" i="31"/>
  <c r="AJ70" i="31"/>
  <c r="AJ112" i="31"/>
  <c r="AJ169" i="31"/>
  <c r="AJ23" i="31"/>
  <c r="AJ156" i="31"/>
  <c r="AJ68" i="31"/>
  <c r="AJ43" i="31"/>
  <c r="AJ118" i="31"/>
  <c r="AJ55" i="31"/>
  <c r="AJ105" i="31"/>
  <c r="AJ121" i="31"/>
  <c r="AJ16" i="31"/>
  <c r="AJ117" i="31"/>
  <c r="AJ129" i="31"/>
  <c r="AJ28" i="31"/>
  <c r="AJ89" i="31"/>
  <c r="AJ25" i="31"/>
  <c r="AJ59" i="31"/>
  <c r="AJ75" i="31"/>
  <c r="AJ53" i="31"/>
  <c r="AJ108" i="31"/>
  <c r="AM98" i="31"/>
  <c r="AM82" i="31"/>
  <c r="AM73" i="31"/>
  <c r="AM170" i="31"/>
  <c r="AM42" i="31"/>
  <c r="AM183" i="31"/>
  <c r="AM57" i="31"/>
  <c r="AM128" i="31"/>
  <c r="AM188" i="31"/>
  <c r="AM41" i="31"/>
  <c r="AM56" i="31"/>
  <c r="AM71" i="31"/>
  <c r="AM151" i="31"/>
  <c r="AM36" i="31"/>
  <c r="AM10" i="31"/>
  <c r="AM140" i="31"/>
  <c r="AM60" i="31"/>
  <c r="AM69" i="31"/>
  <c r="AM18" i="31"/>
  <c r="AM133" i="31"/>
  <c r="AM49" i="31"/>
  <c r="AM84" i="31"/>
  <c r="AM138" i="31"/>
  <c r="AM40" i="31"/>
  <c r="AM167" i="31"/>
  <c r="AM30" i="31"/>
  <c r="AM144" i="31"/>
  <c r="AM122" i="31"/>
  <c r="AM110" i="31"/>
  <c r="AM165" i="31"/>
  <c r="AM3" i="31"/>
  <c r="AM126" i="31"/>
  <c r="AM50" i="31"/>
  <c r="AM119" i="31"/>
  <c r="AM79" i="31"/>
  <c r="AM102" i="31"/>
  <c r="AM131" i="31"/>
  <c r="AM166" i="31"/>
  <c r="AM7" i="31"/>
  <c r="AM5" i="31"/>
  <c r="AM34" i="31"/>
  <c r="AM171" i="31"/>
  <c r="AM47" i="31"/>
  <c r="AM29" i="31"/>
  <c r="AM22" i="31"/>
  <c r="AM157" i="31"/>
  <c r="AM35" i="31"/>
  <c r="AM14" i="31"/>
  <c r="AM176" i="31"/>
  <c r="AM180" i="31"/>
  <c r="AM162" i="31"/>
  <c r="AM88" i="31"/>
  <c r="AM159" i="31"/>
  <c r="AM186" i="31"/>
  <c r="AM8" i="31"/>
  <c r="AM147" i="31"/>
  <c r="AM125" i="31"/>
  <c r="AM124" i="31"/>
  <c r="AM154" i="31"/>
  <c r="AM37" i="31"/>
  <c r="AM94" i="31"/>
  <c r="AM111" i="31"/>
  <c r="AM181" i="31"/>
  <c r="AM77" i="31"/>
  <c r="AM83" i="31"/>
  <c r="AM187" i="31"/>
  <c r="AM99" i="31"/>
  <c r="AM63" i="31"/>
  <c r="AM66" i="31"/>
  <c r="AM97" i="31"/>
  <c r="AM123" i="31"/>
  <c r="AM109" i="31"/>
  <c r="AM135" i="31"/>
  <c r="AM61" i="31"/>
  <c r="AM26" i="31"/>
  <c r="AM127" i="31"/>
  <c r="AM6" i="31"/>
  <c r="AM107" i="31"/>
  <c r="AM91" i="31"/>
  <c r="AM74" i="31"/>
  <c r="AM62" i="31"/>
  <c r="AM149" i="31"/>
  <c r="AM137" i="31"/>
  <c r="AM87" i="31"/>
  <c r="AM15" i="31"/>
  <c r="AM27" i="31"/>
  <c r="AM184" i="31"/>
  <c r="AM148" i="31"/>
  <c r="AM175" i="31"/>
  <c r="AM185" i="31"/>
  <c r="AM19" i="31"/>
  <c r="AM160" i="31"/>
  <c r="AM86" i="31"/>
  <c r="AM90" i="31"/>
  <c r="AM64" i="31"/>
  <c r="AM4" i="31"/>
  <c r="AM72" i="31"/>
  <c r="AM38" i="31"/>
  <c r="AM177" i="31"/>
  <c r="AM114" i="31"/>
  <c r="AM145" i="31"/>
  <c r="AM152" i="31"/>
  <c r="AM182" i="31"/>
  <c r="AM32" i="31"/>
  <c r="AM21" i="31"/>
  <c r="AM78" i="31"/>
  <c r="AM141" i="31"/>
  <c r="AM116" i="31"/>
  <c r="AM136" i="31"/>
  <c r="AM96" i="31"/>
  <c r="AM172" i="31"/>
  <c r="AM130" i="31"/>
  <c r="AM113" i="31"/>
  <c r="AM92" i="31"/>
  <c r="AM85" i="31"/>
  <c r="AM11" i="31"/>
  <c r="AM93" i="31"/>
  <c r="AM178" i="31"/>
  <c r="AM46" i="31"/>
  <c r="AM120" i="31"/>
  <c r="AM51" i="31"/>
  <c r="AM17" i="31"/>
  <c r="AM142" i="31"/>
  <c r="AM103" i="31"/>
  <c r="AM153" i="31"/>
  <c r="AM48" i="31"/>
  <c r="AM168" i="31"/>
  <c r="AM28" i="31"/>
  <c r="AM108" i="31"/>
  <c r="AM70" i="31"/>
  <c r="AM169" i="31"/>
  <c r="AM118" i="31"/>
  <c r="AM164" i="31"/>
  <c r="AM54" i="31"/>
  <c r="AM53" i="31"/>
  <c r="AM25" i="31"/>
  <c r="AM112" i="31"/>
  <c r="AM76" i="31"/>
  <c r="AM179" i="31"/>
  <c r="AM106" i="31"/>
  <c r="AM150" i="31"/>
  <c r="AM80" i="31"/>
  <c r="AM101" i="31"/>
  <c r="AM45" i="31"/>
  <c r="AM129" i="31"/>
  <c r="AM105" i="31"/>
  <c r="AM67" i="31"/>
  <c r="AM143" i="31"/>
  <c r="AM52" i="31"/>
  <c r="AM173" i="31"/>
  <c r="AM163" i="31"/>
  <c r="AM55" i="31"/>
  <c r="AM95" i="31"/>
  <c r="AM121" i="31"/>
  <c r="AM156" i="31"/>
  <c r="AM146" i="31"/>
  <c r="AM174" i="31"/>
  <c r="AM24" i="31"/>
  <c r="AM81" i="31"/>
  <c r="AM44" i="31"/>
  <c r="AM117" i="31"/>
  <c r="AM100" i="31"/>
  <c r="AM59" i="31"/>
  <c r="AM75" i="31"/>
  <c r="AM23" i="31"/>
  <c r="AM58" i="31"/>
  <c r="AM43" i="31"/>
  <c r="AM12" i="31"/>
  <c r="AM13" i="31"/>
  <c r="AM33" i="31"/>
  <c r="AM158" i="31"/>
  <c r="AM89" i="31"/>
  <c r="AM68" i="31"/>
  <c r="AM104" i="31"/>
  <c r="AM190" i="31"/>
  <c r="AM155" i="31"/>
  <c r="AM189" i="31"/>
  <c r="AM16" i="31"/>
  <c r="AM139" i="31"/>
  <c r="AM132" i="31"/>
  <c r="AM65" i="31"/>
  <c r="AM31" i="31"/>
  <c r="AM115" i="31"/>
  <c r="AM20" i="31"/>
  <c r="AM134" i="31"/>
  <c r="AM161" i="31"/>
  <c r="AM39" i="31"/>
  <c r="AM9" i="31"/>
  <c r="AK125" i="31"/>
  <c r="AK57" i="31"/>
  <c r="AK8" i="31"/>
  <c r="AK11" i="31"/>
  <c r="AK40" i="31"/>
  <c r="AK88" i="31"/>
  <c r="AK50" i="31"/>
  <c r="AK5" i="31"/>
  <c r="AK98" i="31"/>
  <c r="AK102" i="31"/>
  <c r="AK72" i="31"/>
  <c r="AK159" i="31"/>
  <c r="AK135" i="31"/>
  <c r="AK97" i="31"/>
  <c r="AK93" i="31"/>
  <c r="AK131" i="31"/>
  <c r="AK49" i="31"/>
  <c r="AK122" i="31"/>
  <c r="AK94" i="31"/>
  <c r="AK36" i="31"/>
  <c r="AK127" i="31"/>
  <c r="AK87" i="31"/>
  <c r="AK148" i="31"/>
  <c r="AK38" i="31"/>
  <c r="AK35" i="31"/>
  <c r="AK183" i="31"/>
  <c r="AK162" i="31"/>
  <c r="AK124" i="31"/>
  <c r="AK119" i="31"/>
  <c r="AK41" i="31"/>
  <c r="AK37" i="31"/>
  <c r="AK64" i="31"/>
  <c r="AK30" i="31"/>
  <c r="AK175" i="31"/>
  <c r="AK157" i="31"/>
  <c r="AK83" i="31"/>
  <c r="AK42" i="31"/>
  <c r="AK138" i="31"/>
  <c r="AK167" i="31"/>
  <c r="AK61" i="31"/>
  <c r="AK56" i="31"/>
  <c r="AK176" i="31"/>
  <c r="AK4" i="31"/>
  <c r="AK160" i="31"/>
  <c r="AK130" i="31"/>
  <c r="AK26" i="31"/>
  <c r="AK187" i="31"/>
  <c r="AK165" i="31"/>
  <c r="AK149" i="31"/>
  <c r="AK3" i="31"/>
  <c r="AK140" i="31"/>
  <c r="AK21" i="31"/>
  <c r="AK78" i="31"/>
  <c r="AK166" i="31"/>
  <c r="AK109" i="31"/>
  <c r="AK151" i="31"/>
  <c r="AK7" i="31"/>
  <c r="AK188" i="31"/>
  <c r="AK34" i="31"/>
  <c r="AK82" i="31"/>
  <c r="AK128" i="31"/>
  <c r="AK71" i="31"/>
  <c r="AK96" i="31"/>
  <c r="AK180" i="31"/>
  <c r="AK19" i="31"/>
  <c r="AK113" i="31"/>
  <c r="AK60" i="31"/>
  <c r="AK90" i="31"/>
  <c r="AK6" i="31"/>
  <c r="AK181" i="31"/>
  <c r="AK84" i="31"/>
  <c r="AK171" i="31"/>
  <c r="AK46" i="31"/>
  <c r="AK111" i="31"/>
  <c r="AK14" i="31"/>
  <c r="AK172" i="31"/>
  <c r="AK86" i="31"/>
  <c r="AK92" i="31"/>
  <c r="AK99" i="31"/>
  <c r="AK178" i="31"/>
  <c r="AK18" i="31"/>
  <c r="AK10" i="31"/>
  <c r="AK126" i="31"/>
  <c r="AK123" i="31"/>
  <c r="AK133" i="31"/>
  <c r="AK177" i="31"/>
  <c r="AK63" i="31"/>
  <c r="AK22" i="31"/>
  <c r="AK66" i="31"/>
  <c r="AK114" i="31"/>
  <c r="AK141" i="31"/>
  <c r="AK69" i="31"/>
  <c r="AK154" i="31"/>
  <c r="AK116" i="31"/>
  <c r="AK85" i="31"/>
  <c r="AK32" i="31"/>
  <c r="AK144" i="31"/>
  <c r="AK120" i="31"/>
  <c r="AK15" i="31"/>
  <c r="AK107" i="31"/>
  <c r="AK147" i="31"/>
  <c r="AK136" i="31"/>
  <c r="AK91" i="31"/>
  <c r="AK27" i="31"/>
  <c r="AK184" i="31"/>
  <c r="AK170" i="31"/>
  <c r="AK73" i="31"/>
  <c r="AK186" i="31"/>
  <c r="AK152" i="31"/>
  <c r="AK182" i="31"/>
  <c r="AK137" i="31"/>
  <c r="AK47" i="31"/>
  <c r="AK29" i="31"/>
  <c r="AK145" i="31"/>
  <c r="AK79" i="31"/>
  <c r="AK110" i="31"/>
  <c r="AK62" i="31"/>
  <c r="AK185" i="31"/>
  <c r="AK77" i="31"/>
  <c r="AK74" i="31"/>
  <c r="AK67" i="31"/>
  <c r="AK9" i="31"/>
  <c r="AK143" i="31"/>
  <c r="AK115" i="31"/>
  <c r="AK164" i="31"/>
  <c r="AK28" i="31"/>
  <c r="AK146" i="31"/>
  <c r="AK95" i="31"/>
  <c r="AK150" i="31"/>
  <c r="AK33" i="31"/>
  <c r="AK174" i="31"/>
  <c r="AK58" i="31"/>
  <c r="AK142" i="31"/>
  <c r="AK104" i="31"/>
  <c r="AK189" i="31"/>
  <c r="AK76" i="31"/>
  <c r="AK163" i="31"/>
  <c r="AK100" i="31"/>
  <c r="AK168" i="31"/>
  <c r="AK20" i="31"/>
  <c r="AK75" i="31"/>
  <c r="AK134" i="31"/>
  <c r="AK16" i="31"/>
  <c r="AK68" i="31"/>
  <c r="AK13" i="31"/>
  <c r="AK101" i="31"/>
  <c r="AK103" i="31"/>
  <c r="AK121" i="31"/>
  <c r="AK179" i="31"/>
  <c r="AK70" i="31"/>
  <c r="AK51" i="31"/>
  <c r="AK25" i="31"/>
  <c r="AK112" i="31"/>
  <c r="AK105" i="31"/>
  <c r="AK132" i="31"/>
  <c r="AK45" i="31"/>
  <c r="AK106" i="31"/>
  <c r="AK39" i="31"/>
  <c r="AK31" i="31"/>
  <c r="AK55" i="31"/>
  <c r="AK156" i="31"/>
  <c r="AK23" i="31"/>
  <c r="AK161" i="31"/>
  <c r="AK24" i="31"/>
  <c r="AK118" i="31"/>
  <c r="AK17" i="31"/>
  <c r="AK53" i="31"/>
  <c r="AK12" i="31"/>
  <c r="AK65" i="31"/>
  <c r="AK81" i="31"/>
  <c r="AK117" i="31"/>
  <c r="AK54" i="31"/>
  <c r="AK173" i="31"/>
  <c r="AK129" i="31"/>
  <c r="AK43" i="31"/>
  <c r="AK89" i="31"/>
  <c r="AK80" i="31"/>
  <c r="AK44" i="31"/>
  <c r="AK155" i="31"/>
  <c r="AK52" i="31"/>
  <c r="AK59" i="31"/>
  <c r="AK158" i="31"/>
  <c r="AK108" i="31"/>
  <c r="AK153" i="31"/>
  <c r="AK48" i="31"/>
  <c r="AK190" i="31"/>
  <c r="AK169" i="31"/>
  <c r="AK139" i="31"/>
  <c r="AW27" i="31"/>
  <c r="AW42" i="31"/>
  <c r="AW11" i="31"/>
  <c r="AW145" i="31"/>
  <c r="AW57" i="31"/>
  <c r="AW170" i="31"/>
  <c r="AW166" i="31"/>
  <c r="AW138" i="31"/>
  <c r="AW7" i="31"/>
  <c r="AW124" i="31"/>
  <c r="AW50" i="31"/>
  <c r="AW98" i="31"/>
  <c r="AW40" i="31"/>
  <c r="AW109" i="31"/>
  <c r="AW119" i="31"/>
  <c r="AW8" i="31"/>
  <c r="AW183" i="31"/>
  <c r="AW56" i="31"/>
  <c r="AW171" i="31"/>
  <c r="AW182" i="31"/>
  <c r="AW130" i="31"/>
  <c r="AW149" i="31"/>
  <c r="AW99" i="31"/>
  <c r="AW77" i="31"/>
  <c r="AW3" i="31"/>
  <c r="AW140" i="31"/>
  <c r="AW107" i="31"/>
  <c r="AW102" i="31"/>
  <c r="AW147" i="31"/>
  <c r="AW125" i="31"/>
  <c r="AW88" i="31"/>
  <c r="AW72" i="31"/>
  <c r="AW135" i="31"/>
  <c r="AW61" i="31"/>
  <c r="AW186" i="31"/>
  <c r="AW110" i="31"/>
  <c r="AW46" i="31"/>
  <c r="AW177" i="31"/>
  <c r="AW29" i="31"/>
  <c r="AW120" i="31"/>
  <c r="AW22" i="31"/>
  <c r="AW178" i="31"/>
  <c r="AW184" i="31"/>
  <c r="AW114" i="31"/>
  <c r="AW78" i="31"/>
  <c r="AW38" i="31"/>
  <c r="AW128" i="31"/>
  <c r="AW93" i="31"/>
  <c r="AW176" i="31"/>
  <c r="AW4" i="31"/>
  <c r="AW79" i="31"/>
  <c r="AW37" i="31"/>
  <c r="AW136" i="31"/>
  <c r="AW49" i="31"/>
  <c r="AW86" i="31"/>
  <c r="AW36" i="31"/>
  <c r="AW26" i="31"/>
  <c r="AW137" i="31"/>
  <c r="AW63" i="31"/>
  <c r="AW123" i="31"/>
  <c r="AW34" i="31"/>
  <c r="AW96" i="31"/>
  <c r="AW159" i="31"/>
  <c r="AW152" i="31"/>
  <c r="AW84" i="31"/>
  <c r="AW71" i="31"/>
  <c r="AW73" i="31"/>
  <c r="AW18" i="31"/>
  <c r="AW122" i="31"/>
  <c r="AW94" i="31"/>
  <c r="AW82" i="31"/>
  <c r="AW5" i="31"/>
  <c r="AW185" i="31"/>
  <c r="AW41" i="31"/>
  <c r="AW172" i="31"/>
  <c r="AW10" i="31"/>
  <c r="AW66" i="31"/>
  <c r="AW91" i="31"/>
  <c r="AW148" i="31"/>
  <c r="AW141" i="31"/>
  <c r="AW133" i="31"/>
  <c r="AW131" i="31"/>
  <c r="AW165" i="31"/>
  <c r="AW15" i="31"/>
  <c r="AW175" i="31"/>
  <c r="AW90" i="31"/>
  <c r="AW180" i="31"/>
  <c r="AW162" i="31"/>
  <c r="AW14" i="31"/>
  <c r="AW154" i="31"/>
  <c r="AW151" i="31"/>
  <c r="AW144" i="31"/>
  <c r="AW113" i="31"/>
  <c r="AW21" i="31"/>
  <c r="AW181" i="31"/>
  <c r="AW6" i="31"/>
  <c r="AW87" i="31"/>
  <c r="AW85" i="31"/>
  <c r="AW116" i="31"/>
  <c r="AW19" i="31"/>
  <c r="AW64" i="31"/>
  <c r="AW62" i="31"/>
  <c r="AW60" i="31"/>
  <c r="AW157" i="31"/>
  <c r="AW83" i="31"/>
  <c r="AW35" i="31"/>
  <c r="AW97" i="31"/>
  <c r="AW30" i="31"/>
  <c r="AW160" i="31"/>
  <c r="AW187" i="31"/>
  <c r="AW127" i="31"/>
  <c r="AW126" i="31"/>
  <c r="AW32" i="31"/>
  <c r="AW74" i="31"/>
  <c r="AW47" i="31"/>
  <c r="AW92" i="31"/>
  <c r="AW111" i="31"/>
  <c r="AW69" i="31"/>
  <c r="AW167" i="31"/>
  <c r="AW188" i="31"/>
  <c r="AW68" i="31"/>
  <c r="AW33" i="31"/>
  <c r="AW155" i="31"/>
  <c r="AW55" i="31"/>
  <c r="AW161" i="31"/>
  <c r="AW104" i="31"/>
  <c r="AW153" i="31"/>
  <c r="AW24" i="31"/>
  <c r="AW143" i="31"/>
  <c r="AW115" i="31"/>
  <c r="AW95" i="31"/>
  <c r="AW101" i="31"/>
  <c r="AW58" i="31"/>
  <c r="AW117" i="31"/>
  <c r="AW112" i="31"/>
  <c r="AW31" i="31"/>
  <c r="AW118" i="31"/>
  <c r="AW17" i="31"/>
  <c r="AW45" i="31"/>
  <c r="AW59" i="31"/>
  <c r="AW12" i="31"/>
  <c r="AW81" i="31"/>
  <c r="AW190" i="31"/>
  <c r="AW164" i="31"/>
  <c r="AW179" i="31"/>
  <c r="AW54" i="31"/>
  <c r="AW129" i="31"/>
  <c r="AW28" i="31"/>
  <c r="AW108" i="31"/>
  <c r="AW174" i="31"/>
  <c r="AW25" i="31"/>
  <c r="AW48" i="31"/>
  <c r="AW100" i="31"/>
  <c r="AW44" i="31"/>
  <c r="AW23" i="31"/>
  <c r="AW156" i="31"/>
  <c r="AW13" i="31"/>
  <c r="AW52" i="31"/>
  <c r="AW75" i="31"/>
  <c r="AW89" i="31"/>
  <c r="AW121" i="31"/>
  <c r="AW142" i="31"/>
  <c r="AW20" i="31"/>
  <c r="AW43" i="31"/>
  <c r="AW158" i="31"/>
  <c r="AW67" i="31"/>
  <c r="AW146" i="31"/>
  <c r="AW134" i="31"/>
  <c r="AW53" i="31"/>
  <c r="AW16" i="31"/>
  <c r="AW139" i="31"/>
  <c r="AW132" i="31"/>
  <c r="AW70" i="31"/>
  <c r="AW9" i="31"/>
  <c r="AW189" i="31"/>
  <c r="AW169" i="31"/>
  <c r="AW168" i="31"/>
  <c r="AW106" i="31"/>
  <c r="AW163" i="31"/>
  <c r="AW80" i="31"/>
  <c r="AW51" i="31"/>
  <c r="AW65" i="31"/>
  <c r="AW150" i="31"/>
  <c r="AW103" i="31"/>
  <c r="AW76" i="31"/>
  <c r="AW39" i="31"/>
  <c r="AW173" i="31"/>
  <c r="AW105" i="31"/>
  <c r="AX180" i="31"/>
  <c r="AX128" i="31"/>
  <c r="AX125" i="31"/>
  <c r="AX138" i="31"/>
  <c r="AX162" i="31"/>
  <c r="AX147" i="31"/>
  <c r="AX82" i="31"/>
  <c r="AX57" i="31"/>
  <c r="AX84" i="31"/>
  <c r="AX11" i="31"/>
  <c r="AX79" i="31"/>
  <c r="AX185" i="31"/>
  <c r="AX96" i="31"/>
  <c r="AX113" i="31"/>
  <c r="AX63" i="31"/>
  <c r="AX29" i="31"/>
  <c r="AX178" i="31"/>
  <c r="AX123" i="31"/>
  <c r="AX119" i="31"/>
  <c r="AX152" i="31"/>
  <c r="AX37" i="31"/>
  <c r="AX42" i="31"/>
  <c r="AX73" i="31"/>
  <c r="AX7" i="31"/>
  <c r="AX124" i="31"/>
  <c r="AX102" i="31"/>
  <c r="AX34" i="31"/>
  <c r="AX97" i="31"/>
  <c r="AX56" i="31"/>
  <c r="AX91" i="31"/>
  <c r="AX122" i="31"/>
  <c r="AX187" i="31"/>
  <c r="AX87" i="31"/>
  <c r="AX60" i="31"/>
  <c r="AX66" i="31"/>
  <c r="AX157" i="31"/>
  <c r="AX107" i="31"/>
  <c r="AX154" i="31"/>
  <c r="AX170" i="31"/>
  <c r="AX183" i="31"/>
  <c r="AX167" i="31"/>
  <c r="AX188" i="31"/>
  <c r="AX61" i="31"/>
  <c r="AX71" i="31"/>
  <c r="AX19" i="31"/>
  <c r="AX182" i="31"/>
  <c r="AX144" i="31"/>
  <c r="AX165" i="31"/>
  <c r="AX137" i="31"/>
  <c r="AX47" i="31"/>
  <c r="AX120" i="31"/>
  <c r="AX92" i="31"/>
  <c r="AX126" i="31"/>
  <c r="AX6" i="31"/>
  <c r="AX21" i="31"/>
  <c r="AX148" i="31"/>
  <c r="AX141" i="31"/>
  <c r="AX116" i="31"/>
  <c r="AX64" i="31"/>
  <c r="AX14" i="31"/>
  <c r="AX18" i="31"/>
  <c r="AX40" i="31"/>
  <c r="AX109" i="31"/>
  <c r="AX50" i="31"/>
  <c r="AX5" i="31"/>
  <c r="AX41" i="31"/>
  <c r="AX88" i="31"/>
  <c r="AX135" i="31"/>
  <c r="AX133" i="31"/>
  <c r="AX177" i="31"/>
  <c r="AX175" i="31"/>
  <c r="AX83" i="31"/>
  <c r="AX114" i="31"/>
  <c r="AX98" i="31"/>
  <c r="AX151" i="31"/>
  <c r="AX130" i="31"/>
  <c r="AX46" i="31"/>
  <c r="AX10" i="31"/>
  <c r="AX149" i="31"/>
  <c r="AX145" i="31"/>
  <c r="AX49" i="31"/>
  <c r="AX94" i="31"/>
  <c r="AX36" i="31"/>
  <c r="AX127" i="31"/>
  <c r="AX3" i="31"/>
  <c r="AX4" i="31"/>
  <c r="AX160" i="31"/>
  <c r="AX86" i="31"/>
  <c r="AX186" i="31"/>
  <c r="AX171" i="31"/>
  <c r="AX136" i="31"/>
  <c r="AX131" i="31"/>
  <c r="AX62" i="31"/>
  <c r="AX27" i="31"/>
  <c r="AX90" i="31"/>
  <c r="AX110" i="31"/>
  <c r="AX78" i="31"/>
  <c r="AX181" i="31"/>
  <c r="AX159" i="31"/>
  <c r="AX32" i="31"/>
  <c r="AX69" i="31"/>
  <c r="AX93" i="31"/>
  <c r="AX30" i="31"/>
  <c r="AX74" i="31"/>
  <c r="AX140" i="31"/>
  <c r="AX85" i="31"/>
  <c r="AX166" i="31"/>
  <c r="AX72" i="31"/>
  <c r="AX172" i="31"/>
  <c r="AX77" i="31"/>
  <c r="AX184" i="31"/>
  <c r="AX35" i="31"/>
  <c r="AX8" i="31"/>
  <c r="AX111" i="31"/>
  <c r="AX38" i="31"/>
  <c r="AX99" i="31"/>
  <c r="AX176" i="31"/>
  <c r="AX15" i="31"/>
  <c r="AX26" i="31"/>
  <c r="AX22" i="31"/>
  <c r="AX53" i="31"/>
  <c r="AX95" i="31"/>
  <c r="AX103" i="31"/>
  <c r="AX104" i="31"/>
  <c r="AX9" i="31"/>
  <c r="AX13" i="31"/>
  <c r="AX132" i="31"/>
  <c r="AX81" i="31"/>
  <c r="AX190" i="31"/>
  <c r="AX155" i="31"/>
  <c r="AX158" i="31"/>
  <c r="AX89" i="31"/>
  <c r="AX139" i="31"/>
  <c r="AX174" i="31"/>
  <c r="AX70" i="31"/>
  <c r="AX51" i="31"/>
  <c r="AX25" i="31"/>
  <c r="AX112" i="31"/>
  <c r="AX169" i="31"/>
  <c r="AX142" i="31"/>
  <c r="AX150" i="31"/>
  <c r="AX80" i="31"/>
  <c r="AX31" i="31"/>
  <c r="AX20" i="31"/>
  <c r="AX106" i="31"/>
  <c r="AX173" i="31"/>
  <c r="AX164" i="31"/>
  <c r="AX161" i="31"/>
  <c r="AX168" i="31"/>
  <c r="AX45" i="31"/>
  <c r="AX65" i="31"/>
  <c r="AX143" i="31"/>
  <c r="AX118" i="31"/>
  <c r="AX54" i="31"/>
  <c r="AX129" i="31"/>
  <c r="AX67" i="31"/>
  <c r="AX17" i="31"/>
  <c r="AX43" i="31"/>
  <c r="AX146" i="31"/>
  <c r="AX189" i="31"/>
  <c r="AX76" i="31"/>
  <c r="AX163" i="31"/>
  <c r="AX52" i="31"/>
  <c r="AX75" i="31"/>
  <c r="AX134" i="31"/>
  <c r="AX156" i="31"/>
  <c r="AX101" i="31"/>
  <c r="AX115" i="31"/>
  <c r="AX48" i="31"/>
  <c r="AX59" i="31"/>
  <c r="AX68" i="31"/>
  <c r="AX108" i="31"/>
  <c r="AX58" i="31"/>
  <c r="AX105" i="31"/>
  <c r="AX28" i="31"/>
  <c r="AX12" i="31"/>
  <c r="AX39" i="31"/>
  <c r="AX44" i="31"/>
  <c r="AX55" i="31"/>
  <c r="AX16" i="31"/>
  <c r="AX24" i="31"/>
  <c r="AX117" i="31"/>
  <c r="AX23" i="31"/>
  <c r="AX33" i="31"/>
  <c r="AX153" i="31"/>
  <c r="AX121" i="31"/>
  <c r="AX100" i="31"/>
  <c r="AX179" i="31"/>
  <c r="AQ98" i="31"/>
  <c r="AQ14" i="31"/>
  <c r="AQ147" i="31"/>
  <c r="AQ82" i="31"/>
  <c r="AQ40" i="31"/>
  <c r="AQ183" i="31"/>
  <c r="AQ145" i="31"/>
  <c r="AQ167" i="31"/>
  <c r="AQ109" i="31"/>
  <c r="AQ7" i="31"/>
  <c r="AQ88" i="31"/>
  <c r="AQ57" i="31"/>
  <c r="AQ5" i="31"/>
  <c r="AQ159" i="31"/>
  <c r="AQ171" i="31"/>
  <c r="AQ37" i="31"/>
  <c r="AQ136" i="31"/>
  <c r="AQ182" i="31"/>
  <c r="AQ110" i="31"/>
  <c r="AQ137" i="31"/>
  <c r="AQ3" i="31"/>
  <c r="AQ22" i="31"/>
  <c r="AQ38" i="31"/>
  <c r="AQ84" i="31"/>
  <c r="AQ73" i="31"/>
  <c r="AQ138" i="31"/>
  <c r="AQ42" i="31"/>
  <c r="AQ102" i="31"/>
  <c r="AQ56" i="31"/>
  <c r="AQ176" i="31"/>
  <c r="AQ96" i="31"/>
  <c r="AQ49" i="31"/>
  <c r="AQ160" i="31"/>
  <c r="AQ86" i="31"/>
  <c r="AQ26" i="31"/>
  <c r="AQ10" i="31"/>
  <c r="AQ113" i="31"/>
  <c r="AQ15" i="31"/>
  <c r="AQ140" i="31"/>
  <c r="AQ85" i="31"/>
  <c r="AQ126" i="31"/>
  <c r="AQ6" i="31"/>
  <c r="AQ123" i="31"/>
  <c r="AQ83" i="31"/>
  <c r="AQ35" i="31"/>
  <c r="AQ170" i="31"/>
  <c r="AQ188" i="31"/>
  <c r="AQ61" i="31"/>
  <c r="AQ30" i="31"/>
  <c r="AQ91" i="31"/>
  <c r="AQ125" i="31"/>
  <c r="AQ124" i="31"/>
  <c r="AQ79" i="31"/>
  <c r="AQ97" i="31"/>
  <c r="AQ18" i="31"/>
  <c r="AQ133" i="31"/>
  <c r="AQ93" i="31"/>
  <c r="AQ4" i="31"/>
  <c r="AQ19" i="31"/>
  <c r="AQ122" i="31"/>
  <c r="AQ46" i="31"/>
  <c r="AQ165" i="31"/>
  <c r="AQ99" i="31"/>
  <c r="AQ29" i="31"/>
  <c r="AQ120" i="31"/>
  <c r="AQ27" i="31"/>
  <c r="AQ184" i="31"/>
  <c r="AQ180" i="31"/>
  <c r="AQ186" i="31"/>
  <c r="AQ162" i="31"/>
  <c r="AQ72" i="31"/>
  <c r="AQ119" i="31"/>
  <c r="AQ41" i="31"/>
  <c r="AQ128" i="31"/>
  <c r="AQ172" i="31"/>
  <c r="AQ187" i="31"/>
  <c r="AQ149" i="31"/>
  <c r="AQ175" i="31"/>
  <c r="AQ78" i="31"/>
  <c r="AQ34" i="31"/>
  <c r="AQ152" i="31"/>
  <c r="AQ127" i="31"/>
  <c r="AQ8" i="31"/>
  <c r="AQ74" i="31"/>
  <c r="AQ177" i="31"/>
  <c r="AQ60" i="31"/>
  <c r="AQ154" i="31"/>
  <c r="AQ94" i="31"/>
  <c r="AQ50" i="31"/>
  <c r="AQ185" i="31"/>
  <c r="AQ151" i="31"/>
  <c r="AQ36" i="31"/>
  <c r="AQ77" i="31"/>
  <c r="AQ21" i="31"/>
  <c r="AQ69" i="31"/>
  <c r="AQ63" i="31"/>
  <c r="AQ141" i="31"/>
  <c r="AQ62" i="31"/>
  <c r="AQ47" i="31"/>
  <c r="AQ32" i="31"/>
  <c r="AQ166" i="31"/>
  <c r="AQ135" i="31"/>
  <c r="AQ116" i="31"/>
  <c r="AQ130" i="31"/>
  <c r="AQ92" i="31"/>
  <c r="AQ111" i="31"/>
  <c r="AQ178" i="31"/>
  <c r="AQ181" i="31"/>
  <c r="AQ107" i="31"/>
  <c r="AQ64" i="31"/>
  <c r="AQ87" i="31"/>
  <c r="AQ90" i="31"/>
  <c r="AQ157" i="31"/>
  <c r="AQ144" i="31"/>
  <c r="AQ114" i="31"/>
  <c r="AQ71" i="31"/>
  <c r="AQ131" i="31"/>
  <c r="AQ148" i="31"/>
  <c r="AQ11" i="31"/>
  <c r="AQ66" i="31"/>
  <c r="AQ146" i="31"/>
  <c r="AQ95" i="31"/>
  <c r="AQ132" i="31"/>
  <c r="AQ25" i="31"/>
  <c r="AQ189" i="31"/>
  <c r="AQ164" i="31"/>
  <c r="AQ100" i="31"/>
  <c r="AQ150" i="31"/>
  <c r="AQ139" i="31"/>
  <c r="AQ190" i="31"/>
  <c r="AQ142" i="31"/>
  <c r="AQ161" i="31"/>
  <c r="AQ89" i="31"/>
  <c r="AQ12" i="31"/>
  <c r="AQ80" i="31"/>
  <c r="AQ117" i="31"/>
  <c r="AQ155" i="31"/>
  <c r="AQ143" i="31"/>
  <c r="AQ163" i="31"/>
  <c r="AQ59" i="31"/>
  <c r="AQ23" i="31"/>
  <c r="AQ158" i="31"/>
  <c r="AQ174" i="31"/>
  <c r="AQ39" i="31"/>
  <c r="AQ65" i="31"/>
  <c r="AQ169" i="31"/>
  <c r="AQ129" i="31"/>
  <c r="AQ156" i="31"/>
  <c r="AQ28" i="31"/>
  <c r="AQ13" i="31"/>
  <c r="AQ70" i="31"/>
  <c r="AQ51" i="31"/>
  <c r="AQ20" i="31"/>
  <c r="AQ105" i="31"/>
  <c r="AQ52" i="31"/>
  <c r="AQ101" i="31"/>
  <c r="AQ168" i="31"/>
  <c r="AQ24" i="31"/>
  <c r="AQ31" i="31"/>
  <c r="AQ108" i="31"/>
  <c r="AQ81" i="31"/>
  <c r="AQ44" i="31"/>
  <c r="AQ179" i="31"/>
  <c r="AQ103" i="31"/>
  <c r="AQ104" i="31"/>
  <c r="AQ9" i="31"/>
  <c r="AQ48" i="31"/>
  <c r="AQ75" i="31"/>
  <c r="AQ45" i="31"/>
  <c r="AQ53" i="31"/>
  <c r="AQ16" i="31"/>
  <c r="AQ134" i="31"/>
  <c r="AQ33" i="31"/>
  <c r="AQ112" i="31"/>
  <c r="AQ17" i="31"/>
  <c r="AQ121" i="31"/>
  <c r="AQ106" i="31"/>
  <c r="AQ67" i="31"/>
  <c r="AQ153" i="31"/>
  <c r="AQ76" i="31"/>
  <c r="AQ118" i="31"/>
  <c r="AQ43" i="31"/>
  <c r="AQ173" i="31"/>
  <c r="AQ68" i="31"/>
  <c r="AQ58" i="31"/>
  <c r="AQ115" i="31"/>
  <c r="AQ55" i="31"/>
  <c r="AQ54" i="31"/>
  <c r="AR40" i="31"/>
  <c r="AR50" i="31"/>
  <c r="AR8" i="31"/>
  <c r="AR125" i="31"/>
  <c r="AR183" i="31"/>
  <c r="AR109" i="31"/>
  <c r="AR162" i="31"/>
  <c r="AR84" i="31"/>
  <c r="AR82" i="31"/>
  <c r="AR42" i="31"/>
  <c r="AR147" i="31"/>
  <c r="AR73" i="31"/>
  <c r="AR57" i="31"/>
  <c r="AR167" i="31"/>
  <c r="AR119" i="31"/>
  <c r="AR5" i="31"/>
  <c r="AR154" i="31"/>
  <c r="AR135" i="31"/>
  <c r="AR41" i="31"/>
  <c r="AR186" i="31"/>
  <c r="AR18" i="31"/>
  <c r="AR93" i="31"/>
  <c r="AR64" i="31"/>
  <c r="AR4" i="31"/>
  <c r="AR49" i="31"/>
  <c r="AR19" i="31"/>
  <c r="AR86" i="31"/>
  <c r="AR36" i="31"/>
  <c r="AR10" i="31"/>
  <c r="AR92" i="31"/>
  <c r="AR22" i="31"/>
  <c r="AR32" i="31"/>
  <c r="AR188" i="31"/>
  <c r="AR171" i="31"/>
  <c r="AR172" i="31"/>
  <c r="AR144" i="31"/>
  <c r="AR74" i="31"/>
  <c r="AR46" i="31"/>
  <c r="AR99" i="31"/>
  <c r="AR27" i="31"/>
  <c r="AR69" i="31"/>
  <c r="AR145" i="31"/>
  <c r="AR97" i="31"/>
  <c r="AR166" i="31"/>
  <c r="AR138" i="31"/>
  <c r="AR98" i="31"/>
  <c r="AR102" i="31"/>
  <c r="AR185" i="31"/>
  <c r="AR133" i="31"/>
  <c r="AR94" i="31"/>
  <c r="AR187" i="31"/>
  <c r="AR63" i="31"/>
  <c r="AR175" i="31"/>
  <c r="AR178" i="31"/>
  <c r="AR126" i="31"/>
  <c r="AR66" i="31"/>
  <c r="AR6" i="31"/>
  <c r="AR157" i="31"/>
  <c r="AR123" i="31"/>
  <c r="AR114" i="31"/>
  <c r="AR38" i="31"/>
  <c r="AR79" i="31"/>
  <c r="AR71" i="31"/>
  <c r="AR170" i="31"/>
  <c r="AR72" i="31"/>
  <c r="AR37" i="31"/>
  <c r="AR7" i="31"/>
  <c r="AR124" i="31"/>
  <c r="AR159" i="31"/>
  <c r="AR56" i="31"/>
  <c r="AR96" i="31"/>
  <c r="AR160" i="31"/>
  <c r="AR137" i="31"/>
  <c r="AR127" i="31"/>
  <c r="AR113" i="31"/>
  <c r="AR87" i="31"/>
  <c r="AR184" i="31"/>
  <c r="AR34" i="31"/>
  <c r="AR15" i="31"/>
  <c r="AR148" i="31"/>
  <c r="AR60" i="31"/>
  <c r="AR62" i="31"/>
  <c r="AR47" i="31"/>
  <c r="AR152" i="31"/>
  <c r="AR136" i="31"/>
  <c r="AR149" i="31"/>
  <c r="AR78" i="31"/>
  <c r="AR35" i="31"/>
  <c r="AR26" i="31"/>
  <c r="AR85" i="31"/>
  <c r="AR83" i="31"/>
  <c r="AR141" i="31"/>
  <c r="AR107" i="31"/>
  <c r="AR88" i="31"/>
  <c r="AR116" i="31"/>
  <c r="AR91" i="31"/>
  <c r="AR29" i="31"/>
  <c r="AR11" i="31"/>
  <c r="AR14" i="31"/>
  <c r="AR30" i="31"/>
  <c r="AR90" i="31"/>
  <c r="AR180" i="31"/>
  <c r="AR130" i="31"/>
  <c r="AR165" i="31"/>
  <c r="AR181" i="31"/>
  <c r="AR61" i="31"/>
  <c r="AR176" i="31"/>
  <c r="AR151" i="31"/>
  <c r="AR131" i="31"/>
  <c r="AR122" i="31"/>
  <c r="AR110" i="31"/>
  <c r="AR77" i="31"/>
  <c r="AR3" i="31"/>
  <c r="AR140" i="31"/>
  <c r="AR177" i="31"/>
  <c r="AR128" i="31"/>
  <c r="AR182" i="31"/>
  <c r="AR120" i="31"/>
  <c r="AR111" i="31"/>
  <c r="AR21" i="31"/>
  <c r="AR89" i="31"/>
  <c r="AR150" i="31"/>
  <c r="AR51" i="31"/>
  <c r="AR190" i="31"/>
  <c r="AR169" i="31"/>
  <c r="AR100" i="31"/>
  <c r="AR146" i="31"/>
  <c r="AR80" i="31"/>
  <c r="AR70" i="31"/>
  <c r="AR65" i="31"/>
  <c r="AR117" i="31"/>
  <c r="AR112" i="31"/>
  <c r="AR52" i="31"/>
  <c r="AR158" i="31"/>
  <c r="AR68" i="31"/>
  <c r="AR33" i="31"/>
  <c r="AR39" i="31"/>
  <c r="AR24" i="31"/>
  <c r="AR25" i="31"/>
  <c r="AR118" i="31"/>
  <c r="AR139" i="31"/>
  <c r="AR143" i="31"/>
  <c r="AR115" i="31"/>
  <c r="AR75" i="31"/>
  <c r="AR134" i="31"/>
  <c r="AR173" i="31"/>
  <c r="AR95" i="31"/>
  <c r="AR132" i="31"/>
  <c r="AR153" i="31"/>
  <c r="AR189" i="31"/>
  <c r="AR55" i="31"/>
  <c r="AR59" i="31"/>
  <c r="AR48" i="31"/>
  <c r="AR13" i="31"/>
  <c r="AR44" i="31"/>
  <c r="AR179" i="31"/>
  <c r="AR9" i="31"/>
  <c r="AR161" i="31"/>
  <c r="AR155" i="31"/>
  <c r="AR76" i="31"/>
  <c r="AR168" i="31"/>
  <c r="AR20" i="31"/>
  <c r="AR43" i="31"/>
  <c r="AR106" i="31"/>
  <c r="AR105" i="31"/>
  <c r="AR28" i="31"/>
  <c r="AR67" i="31"/>
  <c r="AR101" i="31"/>
  <c r="AR174" i="31"/>
  <c r="AR104" i="31"/>
  <c r="AR31" i="31"/>
  <c r="AR163" i="31"/>
  <c r="AR121" i="31"/>
  <c r="AR54" i="31"/>
  <c r="AR129" i="31"/>
  <c r="AR53" i="31"/>
  <c r="AR108" i="31"/>
  <c r="AR12" i="31"/>
  <c r="AR81" i="31"/>
  <c r="AR17" i="31"/>
  <c r="AR164" i="31"/>
  <c r="AR45" i="31"/>
  <c r="AR156" i="31"/>
  <c r="AR16" i="31"/>
  <c r="AR142" i="31"/>
  <c r="AR103" i="31"/>
  <c r="AR58" i="31"/>
  <c r="AR23" i="31"/>
  <c r="AU128" i="31"/>
  <c r="AU42" i="31"/>
  <c r="AU8" i="31"/>
  <c r="AU124" i="31"/>
  <c r="AU180" i="31"/>
  <c r="AU138" i="31"/>
  <c r="AU82" i="31"/>
  <c r="AU40" i="31"/>
  <c r="AU145" i="31"/>
  <c r="AU50" i="31"/>
  <c r="AU170" i="31"/>
  <c r="AU84" i="31"/>
  <c r="AU73" i="31"/>
  <c r="AU119" i="31"/>
  <c r="AU79" i="31"/>
  <c r="AU97" i="31"/>
  <c r="AU176" i="31"/>
  <c r="AU136" i="31"/>
  <c r="AU64" i="31"/>
  <c r="AU131" i="31"/>
  <c r="AU165" i="31"/>
  <c r="AU120" i="31"/>
  <c r="AU60" i="31"/>
  <c r="AU27" i="31"/>
  <c r="AU32" i="31"/>
  <c r="AU21" i="31"/>
  <c r="AU184" i="31"/>
  <c r="AU11" i="31"/>
  <c r="AU125" i="31"/>
  <c r="AU183" i="31"/>
  <c r="AU154" i="31"/>
  <c r="AU185" i="31"/>
  <c r="AU159" i="31"/>
  <c r="AU133" i="31"/>
  <c r="AU151" i="31"/>
  <c r="AU62" i="31"/>
  <c r="AU26" i="31"/>
  <c r="AU149" i="31"/>
  <c r="AU15" i="31"/>
  <c r="AU114" i="31"/>
  <c r="AU107" i="31"/>
  <c r="AU35" i="31"/>
  <c r="AU109" i="31"/>
  <c r="AU57" i="31"/>
  <c r="AU5" i="31"/>
  <c r="AU102" i="31"/>
  <c r="AU72" i="31"/>
  <c r="AU135" i="31"/>
  <c r="AU18" i="31"/>
  <c r="AU182" i="31"/>
  <c r="AU172" i="31"/>
  <c r="AU130" i="31"/>
  <c r="AU74" i="31"/>
  <c r="AU177" i="31"/>
  <c r="AU113" i="31"/>
  <c r="AU99" i="31"/>
  <c r="AU85" i="31"/>
  <c r="AU126" i="31"/>
  <c r="AU66" i="31"/>
  <c r="AU78" i="31"/>
  <c r="AU141" i="31"/>
  <c r="AU147" i="31"/>
  <c r="AU162" i="31"/>
  <c r="AU61" i="31"/>
  <c r="AU41" i="31"/>
  <c r="AU171" i="31"/>
  <c r="AU7" i="31"/>
  <c r="AU88" i="31"/>
  <c r="AU34" i="31"/>
  <c r="AU98" i="31"/>
  <c r="AU167" i="31"/>
  <c r="AU188" i="31"/>
  <c r="AU30" i="31"/>
  <c r="AU14" i="31"/>
  <c r="AU116" i="31"/>
  <c r="AU56" i="31"/>
  <c r="AU49" i="31"/>
  <c r="AU160" i="31"/>
  <c r="AU122" i="31"/>
  <c r="AU110" i="31"/>
  <c r="AU94" i="31"/>
  <c r="AU77" i="31"/>
  <c r="AU63" i="31"/>
  <c r="AU47" i="31"/>
  <c r="AU157" i="31"/>
  <c r="AU83" i="31"/>
  <c r="AU152" i="31"/>
  <c r="AU71" i="31"/>
  <c r="AU127" i="31"/>
  <c r="AU93" i="31"/>
  <c r="AU140" i="31"/>
  <c r="AU181" i="31"/>
  <c r="AU69" i="31"/>
  <c r="AU19" i="31"/>
  <c r="AU46" i="31"/>
  <c r="AU36" i="31"/>
  <c r="AU29" i="31"/>
  <c r="AU92" i="31"/>
  <c r="AU178" i="31"/>
  <c r="AU6" i="31"/>
  <c r="AU38" i="31"/>
  <c r="AU37" i="31"/>
  <c r="AU4" i="31"/>
  <c r="AU3" i="31"/>
  <c r="AU87" i="31"/>
  <c r="AU90" i="31"/>
  <c r="AU10" i="31"/>
  <c r="AU144" i="31"/>
  <c r="AU86" i="31"/>
  <c r="AU111" i="31"/>
  <c r="AU123" i="31"/>
  <c r="AU148" i="31"/>
  <c r="AU187" i="31"/>
  <c r="AU166" i="31"/>
  <c r="AU137" i="31"/>
  <c r="AU22" i="31"/>
  <c r="AU186" i="31"/>
  <c r="AU175" i="31"/>
  <c r="AU96" i="31"/>
  <c r="AU91" i="31"/>
  <c r="AU108" i="31"/>
  <c r="AU174" i="31"/>
  <c r="AU9" i="31"/>
  <c r="AU24" i="31"/>
  <c r="AU81" i="31"/>
  <c r="AU31" i="31"/>
  <c r="AU48" i="31"/>
  <c r="AU168" i="31"/>
  <c r="AU161" i="31"/>
  <c r="AU139" i="31"/>
  <c r="AU33" i="31"/>
  <c r="AU103" i="31"/>
  <c r="AU189" i="31"/>
  <c r="AU17" i="31"/>
  <c r="AU100" i="31"/>
  <c r="AU20" i="31"/>
  <c r="AU95" i="31"/>
  <c r="AU150" i="31"/>
  <c r="AU67" i="31"/>
  <c r="AU39" i="31"/>
  <c r="AU190" i="31"/>
  <c r="AU44" i="31"/>
  <c r="AU55" i="31"/>
  <c r="AU121" i="31"/>
  <c r="AU75" i="31"/>
  <c r="AU158" i="31"/>
  <c r="AU146" i="31"/>
  <c r="AU70" i="31"/>
  <c r="AU118" i="31"/>
  <c r="AU105" i="31"/>
  <c r="AU155" i="31"/>
  <c r="AU134" i="31"/>
  <c r="AU115" i="31"/>
  <c r="AU117" i="31"/>
  <c r="AU54" i="31"/>
  <c r="AU12" i="31"/>
  <c r="AU80" i="31"/>
  <c r="AU53" i="31"/>
  <c r="AU101" i="31"/>
  <c r="AU153" i="31"/>
  <c r="AU112" i="31"/>
  <c r="AU143" i="31"/>
  <c r="AU23" i="31"/>
  <c r="AU129" i="31"/>
  <c r="AU173" i="31"/>
  <c r="AU106" i="31"/>
  <c r="AU45" i="31"/>
  <c r="AU132" i="31"/>
  <c r="AU28" i="31"/>
  <c r="AU89" i="31"/>
  <c r="AU65" i="31"/>
  <c r="AU58" i="31"/>
  <c r="AU16" i="31"/>
  <c r="AU51" i="31"/>
  <c r="AU25" i="31"/>
  <c r="AU76" i="31"/>
  <c r="AU59" i="31"/>
  <c r="AU43" i="31"/>
  <c r="AU156" i="31"/>
  <c r="AU52" i="31"/>
  <c r="AU164" i="31"/>
  <c r="AU68" i="31"/>
  <c r="AU13" i="31"/>
  <c r="AU104" i="31"/>
  <c r="AU169" i="31"/>
  <c r="AU142" i="31"/>
  <c r="AU163" i="31"/>
  <c r="AU179" i="31"/>
  <c r="AH162" i="31"/>
  <c r="AH88" i="31"/>
  <c r="AH180" i="31"/>
  <c r="AH84" i="31"/>
  <c r="AH73" i="31"/>
  <c r="AH82" i="31"/>
  <c r="AH170" i="31"/>
  <c r="AH8" i="31"/>
  <c r="AH188" i="31"/>
  <c r="AH166" i="31"/>
  <c r="AH145" i="31"/>
  <c r="AH102" i="31"/>
  <c r="AH186" i="31"/>
  <c r="AH116" i="31"/>
  <c r="AH151" i="31"/>
  <c r="AH172" i="31"/>
  <c r="AH74" i="31"/>
  <c r="AH149" i="31"/>
  <c r="AH92" i="31"/>
  <c r="AH66" i="31"/>
  <c r="AH5" i="31"/>
  <c r="AH61" i="31"/>
  <c r="AH98" i="31"/>
  <c r="AH50" i="31"/>
  <c r="AH72" i="31"/>
  <c r="AH135" i="31"/>
  <c r="AH93" i="31"/>
  <c r="AH136" i="31"/>
  <c r="AH91" i="31"/>
  <c r="AH19" i="31"/>
  <c r="AH94" i="31"/>
  <c r="AH87" i="31"/>
  <c r="AH22" i="31"/>
  <c r="AH85" i="31"/>
  <c r="AH32" i="31"/>
  <c r="AH78" i="31"/>
  <c r="AH38" i="31"/>
  <c r="AH124" i="31"/>
  <c r="AH37" i="31"/>
  <c r="AH41" i="31"/>
  <c r="AH96" i="31"/>
  <c r="AH64" i="31"/>
  <c r="AH131" i="31"/>
  <c r="AH110" i="31"/>
  <c r="AH62" i="31"/>
  <c r="AH10" i="31"/>
  <c r="AH113" i="31"/>
  <c r="AH15" i="31"/>
  <c r="AH60" i="31"/>
  <c r="AH6" i="31"/>
  <c r="AH157" i="31"/>
  <c r="AH184" i="31"/>
  <c r="AH107" i="31"/>
  <c r="AH69" i="31"/>
  <c r="AH133" i="31"/>
  <c r="AH183" i="31"/>
  <c r="AH79" i="31"/>
  <c r="AH185" i="31"/>
  <c r="AH125" i="31"/>
  <c r="AH109" i="31"/>
  <c r="AH154" i="31"/>
  <c r="AH18" i="31"/>
  <c r="AH171" i="31"/>
  <c r="AH182" i="31"/>
  <c r="AH27" i="31"/>
  <c r="AH123" i="31"/>
  <c r="AH35" i="31"/>
  <c r="AH40" i="31"/>
  <c r="AH159" i="31"/>
  <c r="AH176" i="31"/>
  <c r="AH167" i="31"/>
  <c r="AH144" i="31"/>
  <c r="AH36" i="31"/>
  <c r="AH126" i="31"/>
  <c r="AH181" i="31"/>
  <c r="AH141" i="31"/>
  <c r="AH71" i="31"/>
  <c r="AH34" i="31"/>
  <c r="AH130" i="31"/>
  <c r="AH148" i="31"/>
  <c r="AH128" i="31"/>
  <c r="AH42" i="31"/>
  <c r="AH147" i="31"/>
  <c r="AH97" i="31"/>
  <c r="AH30" i="31"/>
  <c r="AH160" i="31"/>
  <c r="AH177" i="31"/>
  <c r="AH175" i="31"/>
  <c r="AH122" i="31"/>
  <c r="AH165" i="31"/>
  <c r="AH3" i="31"/>
  <c r="AH90" i="31"/>
  <c r="AH114" i="31"/>
  <c r="AH29" i="31"/>
  <c r="AH83" i="31"/>
  <c r="AH14" i="31"/>
  <c r="AH86" i="31"/>
  <c r="AH99" i="31"/>
  <c r="AH7" i="31"/>
  <c r="AH119" i="31"/>
  <c r="AH4" i="31"/>
  <c r="AH63" i="31"/>
  <c r="AH47" i="31"/>
  <c r="AH140" i="31"/>
  <c r="AH56" i="31"/>
  <c r="AH49" i="31"/>
  <c r="AH26" i="31"/>
  <c r="AH127" i="31"/>
  <c r="AH120" i="31"/>
  <c r="AH111" i="31"/>
  <c r="AH178" i="31"/>
  <c r="AH11" i="31"/>
  <c r="AH77" i="31"/>
  <c r="AH138" i="31"/>
  <c r="AH57" i="31"/>
  <c r="AH152" i="31"/>
  <c r="AH21" i="31"/>
  <c r="AH46" i="31"/>
  <c r="AH187" i="31"/>
  <c r="AH137" i="31"/>
  <c r="AH161" i="31"/>
  <c r="AH139" i="31"/>
  <c r="AH70" i="31"/>
  <c r="AH112" i="31"/>
  <c r="AH76" i="31"/>
  <c r="AH169" i="31"/>
  <c r="AH118" i="31"/>
  <c r="AH163" i="31"/>
  <c r="AH142" i="31"/>
  <c r="AH20" i="31"/>
  <c r="AH28" i="31"/>
  <c r="AH68" i="31"/>
  <c r="AH95" i="31"/>
  <c r="AH80" i="31"/>
  <c r="AH58" i="31"/>
  <c r="AH17" i="31"/>
  <c r="AH52" i="31"/>
  <c r="AH33" i="31"/>
  <c r="AH174" i="31"/>
  <c r="AH48" i="31"/>
  <c r="AH164" i="31"/>
  <c r="AH43" i="31"/>
  <c r="AH54" i="31"/>
  <c r="AH104" i="31"/>
  <c r="AH44" i="31"/>
  <c r="AH100" i="31"/>
  <c r="AH23" i="31"/>
  <c r="AH146" i="31"/>
  <c r="AH16" i="31"/>
  <c r="AH190" i="31"/>
  <c r="AH31" i="31"/>
  <c r="AH59" i="31"/>
  <c r="AH55" i="31"/>
  <c r="AH121" i="31"/>
  <c r="AH173" i="31"/>
  <c r="AH156" i="31"/>
  <c r="AH39" i="31"/>
  <c r="AH81" i="31"/>
  <c r="AH53" i="31"/>
  <c r="AH25" i="31"/>
  <c r="AH132" i="31"/>
  <c r="AH168" i="31"/>
  <c r="AH134" i="31"/>
  <c r="AH89" i="31"/>
  <c r="AH150" i="31"/>
  <c r="AH67" i="31"/>
  <c r="AH103" i="31"/>
  <c r="AH153" i="31"/>
  <c r="AH65" i="31"/>
  <c r="AH115" i="31"/>
  <c r="AH105" i="31"/>
  <c r="AH129" i="31"/>
  <c r="AH158" i="31"/>
  <c r="AH106" i="31"/>
  <c r="AH51" i="31"/>
  <c r="AH117" i="31"/>
  <c r="AH155" i="31"/>
  <c r="AH75" i="31"/>
  <c r="AH13" i="31"/>
  <c r="AH9" i="31"/>
  <c r="AH24" i="31"/>
  <c r="AH143" i="31"/>
  <c r="AH179" i="31"/>
  <c r="AH108" i="31"/>
  <c r="AH101" i="31"/>
  <c r="AH189" i="31"/>
  <c r="AH12" i="31"/>
  <c r="AH45" i="31"/>
  <c r="AS84" i="31"/>
  <c r="AS8" i="31"/>
  <c r="AS183" i="31"/>
  <c r="AS145" i="31"/>
  <c r="AS109" i="31"/>
  <c r="AS128" i="31"/>
  <c r="AS124" i="31"/>
  <c r="AS166" i="31"/>
  <c r="AS138" i="31"/>
  <c r="AS98" i="31"/>
  <c r="AS82" i="31"/>
  <c r="AS167" i="31"/>
  <c r="AS188" i="31"/>
  <c r="AS154" i="31"/>
  <c r="AS180" i="31"/>
  <c r="AS125" i="31"/>
  <c r="AS11" i="31"/>
  <c r="AS119" i="31"/>
  <c r="AS18" i="31"/>
  <c r="AS96" i="31"/>
  <c r="AS91" i="31"/>
  <c r="AS86" i="31"/>
  <c r="AS99" i="31"/>
  <c r="AS87" i="31"/>
  <c r="AS175" i="31"/>
  <c r="AS126" i="31"/>
  <c r="AS123" i="31"/>
  <c r="AS37" i="31"/>
  <c r="AS64" i="31"/>
  <c r="AS151" i="31"/>
  <c r="AS170" i="31"/>
  <c r="AS73" i="31"/>
  <c r="AS7" i="31"/>
  <c r="AS79" i="31"/>
  <c r="AS185" i="31"/>
  <c r="AS97" i="31"/>
  <c r="AS176" i="31"/>
  <c r="AS131" i="31"/>
  <c r="AS165" i="31"/>
  <c r="AS63" i="31"/>
  <c r="AS120" i="31"/>
  <c r="AS90" i="31"/>
  <c r="AS6" i="31"/>
  <c r="AS184" i="31"/>
  <c r="AS14" i="31"/>
  <c r="AS34" i="31"/>
  <c r="AS135" i="31"/>
  <c r="AS61" i="31"/>
  <c r="AS133" i="31"/>
  <c r="AS30" i="31"/>
  <c r="AS74" i="31"/>
  <c r="AS149" i="31"/>
  <c r="AS92" i="31"/>
  <c r="AS111" i="31"/>
  <c r="AS35" i="31"/>
  <c r="AS147" i="31"/>
  <c r="AS152" i="31"/>
  <c r="AS171" i="31"/>
  <c r="AS42" i="31"/>
  <c r="AS40" i="31"/>
  <c r="AS162" i="31"/>
  <c r="AS186" i="31"/>
  <c r="AS49" i="31"/>
  <c r="AS19" i="31"/>
  <c r="AS182" i="31"/>
  <c r="AS50" i="31"/>
  <c r="AS4" i="31"/>
  <c r="AS26" i="31"/>
  <c r="AS127" i="31"/>
  <c r="AS85" i="31"/>
  <c r="AS21" i="31"/>
  <c r="AS114" i="31"/>
  <c r="AS141" i="31"/>
  <c r="AS107" i="31"/>
  <c r="AS69" i="31"/>
  <c r="AS10" i="31"/>
  <c r="AS29" i="31"/>
  <c r="AS60" i="31"/>
  <c r="AS110" i="31"/>
  <c r="AS177" i="31"/>
  <c r="AS137" i="31"/>
  <c r="AS77" i="31"/>
  <c r="AS15" i="31"/>
  <c r="AS22" i="31"/>
  <c r="AS27" i="31"/>
  <c r="AS32" i="31"/>
  <c r="AS78" i="31"/>
  <c r="AS88" i="31"/>
  <c r="AS130" i="31"/>
  <c r="AS66" i="31"/>
  <c r="AS116" i="31"/>
  <c r="AS56" i="31"/>
  <c r="AS71" i="31"/>
  <c r="AS136" i="31"/>
  <c r="AS122" i="31"/>
  <c r="AS94" i="31"/>
  <c r="AS47" i="31"/>
  <c r="AS140" i="31"/>
  <c r="AS157" i="31"/>
  <c r="AS38" i="31"/>
  <c r="AS181" i="31"/>
  <c r="AS148" i="31"/>
  <c r="AS57" i="31"/>
  <c r="AS36" i="31"/>
  <c r="AS93" i="31"/>
  <c r="AS102" i="31"/>
  <c r="AS41" i="31"/>
  <c r="AS172" i="31"/>
  <c r="AS159" i="31"/>
  <c r="AS160" i="31"/>
  <c r="AS46" i="31"/>
  <c r="AS113" i="31"/>
  <c r="AS3" i="31"/>
  <c r="AS178" i="31"/>
  <c r="AS83" i="31"/>
  <c r="AS5" i="31"/>
  <c r="AS144" i="31"/>
  <c r="AS62" i="31"/>
  <c r="AS187" i="31"/>
  <c r="AS72" i="31"/>
  <c r="AS28" i="31"/>
  <c r="AS16" i="31"/>
  <c r="AS67" i="31"/>
  <c r="AS80" i="31"/>
  <c r="AS65" i="31"/>
  <c r="AS58" i="31"/>
  <c r="AS169" i="31"/>
  <c r="AS52" i="31"/>
  <c r="AS108" i="31"/>
  <c r="AS39" i="31"/>
  <c r="AS24" i="31"/>
  <c r="AS81" i="31"/>
  <c r="AS163" i="31"/>
  <c r="AS121" i="31"/>
  <c r="AS20" i="31"/>
  <c r="AS45" i="31"/>
  <c r="AS139" i="31"/>
  <c r="AS132" i="31"/>
  <c r="AS103" i="31"/>
  <c r="AS9" i="31"/>
  <c r="AS51" i="31"/>
  <c r="AS112" i="31"/>
  <c r="AS76" i="31"/>
  <c r="AS100" i="31"/>
  <c r="AS89" i="31"/>
  <c r="AS33" i="31"/>
  <c r="AS153" i="31"/>
  <c r="AS117" i="31"/>
  <c r="AS155" i="31"/>
  <c r="AS48" i="31"/>
  <c r="AS59" i="31"/>
  <c r="AS23" i="31"/>
  <c r="AS129" i="31"/>
  <c r="AS161" i="31"/>
  <c r="AS53" i="31"/>
  <c r="AS12" i="31"/>
  <c r="AS143" i="31"/>
  <c r="AS173" i="31"/>
  <c r="AS43" i="31"/>
  <c r="AS106" i="31"/>
  <c r="AS190" i="31"/>
  <c r="AS174" i="31"/>
  <c r="AS142" i="31"/>
  <c r="AS54" i="31"/>
  <c r="AS158" i="31"/>
  <c r="AS68" i="31"/>
  <c r="AS13" i="31"/>
  <c r="AS179" i="31"/>
  <c r="AS156" i="31"/>
  <c r="AS146" i="31"/>
  <c r="AS55" i="31"/>
  <c r="AS164" i="31"/>
  <c r="AS95" i="31"/>
  <c r="AS101" i="31"/>
  <c r="AS105" i="31"/>
  <c r="AS25" i="31"/>
  <c r="AS189" i="31"/>
  <c r="AS118" i="31"/>
  <c r="AS115" i="31"/>
  <c r="AS75" i="31"/>
  <c r="AS150" i="31"/>
  <c r="AS70" i="31"/>
  <c r="AS168" i="31"/>
  <c r="AS104" i="31"/>
  <c r="AS44" i="31"/>
  <c r="AS31" i="31"/>
  <c r="AS17" i="31"/>
  <c r="AS134" i="31"/>
  <c r="AL170" i="31"/>
  <c r="AL84" i="31"/>
  <c r="AL82" i="31"/>
  <c r="AL180" i="31"/>
  <c r="AL128" i="31"/>
  <c r="AL42" i="31"/>
  <c r="AL8" i="31"/>
  <c r="AL73" i="31"/>
  <c r="AL11" i="31"/>
  <c r="AL166" i="31"/>
  <c r="AL98" i="31"/>
  <c r="AL109" i="31"/>
  <c r="AL147" i="31"/>
  <c r="AL138" i="31"/>
  <c r="AL88" i="31"/>
  <c r="AL5" i="31"/>
  <c r="AL50" i="31"/>
  <c r="AL34" i="31"/>
  <c r="AL61" i="31"/>
  <c r="AL152" i="31"/>
  <c r="AL131" i="31"/>
  <c r="AL149" i="31"/>
  <c r="AL90" i="31"/>
  <c r="AL32" i="31"/>
  <c r="AL157" i="31"/>
  <c r="AL141" i="31"/>
  <c r="AL79" i="31"/>
  <c r="AL154" i="31"/>
  <c r="AL185" i="31"/>
  <c r="AL167" i="31"/>
  <c r="AL133" i="31"/>
  <c r="AL64" i="31"/>
  <c r="AL4" i="31"/>
  <c r="AL160" i="31"/>
  <c r="AL130" i="31"/>
  <c r="AL94" i="31"/>
  <c r="AL74" i="31"/>
  <c r="AL62" i="31"/>
  <c r="AL36" i="31"/>
  <c r="AL113" i="31"/>
  <c r="AL60" i="31"/>
  <c r="AL175" i="31"/>
  <c r="AL123" i="31"/>
  <c r="AL7" i="31"/>
  <c r="AL40" i="31"/>
  <c r="AL183" i="31"/>
  <c r="AL162" i="31"/>
  <c r="AL124" i="31"/>
  <c r="AL188" i="31"/>
  <c r="AL56" i="31"/>
  <c r="AL30" i="31"/>
  <c r="AL151" i="31"/>
  <c r="AL49" i="31"/>
  <c r="AL10" i="31"/>
  <c r="AL187" i="31"/>
  <c r="AL63" i="31"/>
  <c r="AL29" i="31"/>
  <c r="AL3" i="31"/>
  <c r="AL85" i="31"/>
  <c r="AL69" i="31"/>
  <c r="AL91" i="31"/>
  <c r="AL37" i="31"/>
  <c r="AL14" i="31"/>
  <c r="AL119" i="31"/>
  <c r="AL135" i="31"/>
  <c r="AL186" i="31"/>
  <c r="AL145" i="31"/>
  <c r="AL57" i="31"/>
  <c r="AL41" i="31"/>
  <c r="AL93" i="31"/>
  <c r="AL71" i="31"/>
  <c r="AL176" i="31"/>
  <c r="AL19" i="31"/>
  <c r="AL144" i="31"/>
  <c r="AL46" i="31"/>
  <c r="AL92" i="31"/>
  <c r="AL27" i="31"/>
  <c r="AL97" i="31"/>
  <c r="AL182" i="31"/>
  <c r="AL87" i="31"/>
  <c r="AL178" i="31"/>
  <c r="AL181" i="31"/>
  <c r="AL159" i="31"/>
  <c r="AL6" i="31"/>
  <c r="AL125" i="31"/>
  <c r="AL18" i="31"/>
  <c r="AL148" i="31"/>
  <c r="AL38" i="31"/>
  <c r="AL72" i="31"/>
  <c r="AL172" i="31"/>
  <c r="AL99" i="31"/>
  <c r="AL120" i="31"/>
  <c r="AL22" i="31"/>
  <c r="AL35" i="31"/>
  <c r="AL21" i="31"/>
  <c r="AL171" i="31"/>
  <c r="AL26" i="31"/>
  <c r="AL102" i="31"/>
  <c r="AL116" i="31"/>
  <c r="AL77" i="31"/>
  <c r="AL140" i="31"/>
  <c r="AL111" i="31"/>
  <c r="AL96" i="31"/>
  <c r="AL110" i="31"/>
  <c r="AL177" i="31"/>
  <c r="AL137" i="31"/>
  <c r="AL15" i="31"/>
  <c r="AL78" i="31"/>
  <c r="AL107" i="31"/>
  <c r="AL165" i="31"/>
  <c r="AL47" i="31"/>
  <c r="AL66" i="31"/>
  <c r="AL136" i="31"/>
  <c r="AL122" i="31"/>
  <c r="AL127" i="31"/>
  <c r="AL83" i="31"/>
  <c r="AL184" i="31"/>
  <c r="AL86" i="31"/>
  <c r="AL126" i="31"/>
  <c r="AL114" i="31"/>
  <c r="AL108" i="31"/>
  <c r="AL174" i="31"/>
  <c r="AL117" i="31"/>
  <c r="AL189" i="31"/>
  <c r="AL31" i="31"/>
  <c r="AL55" i="31"/>
  <c r="AL121" i="31"/>
  <c r="AL76" i="31"/>
  <c r="AL163" i="31"/>
  <c r="AL168" i="31"/>
  <c r="AL53" i="31"/>
  <c r="AL13" i="31"/>
  <c r="AL70" i="31"/>
  <c r="AL9" i="31"/>
  <c r="AL51" i="31"/>
  <c r="AL115" i="31"/>
  <c r="AL179" i="31"/>
  <c r="AL95" i="31"/>
  <c r="AL39" i="31"/>
  <c r="AL132" i="31"/>
  <c r="AL17" i="31"/>
  <c r="AL33" i="31"/>
  <c r="AL153" i="31"/>
  <c r="AL44" i="31"/>
  <c r="AL75" i="31"/>
  <c r="AL156" i="31"/>
  <c r="AL169" i="31"/>
  <c r="AL161" i="31"/>
  <c r="AL190" i="31"/>
  <c r="AL105" i="31"/>
  <c r="AL155" i="31"/>
  <c r="AL52" i="31"/>
  <c r="AL68" i="31"/>
  <c r="AL12" i="31"/>
  <c r="AL81" i="31"/>
  <c r="AL118" i="31"/>
  <c r="AL164" i="31"/>
  <c r="AL45" i="31"/>
  <c r="AL43" i="31"/>
  <c r="AL134" i="31"/>
  <c r="AL106" i="31"/>
  <c r="AL146" i="31"/>
  <c r="AL16" i="31"/>
  <c r="AL139" i="31"/>
  <c r="AL142" i="31"/>
  <c r="AL112" i="31"/>
  <c r="AL100" i="31"/>
  <c r="AL80" i="31"/>
  <c r="AL101" i="31"/>
  <c r="AL103" i="31"/>
  <c r="AL23" i="31"/>
  <c r="AL59" i="31"/>
  <c r="AL150" i="31"/>
  <c r="AL25" i="31"/>
  <c r="AL58" i="31"/>
  <c r="AL48" i="31"/>
  <c r="AL129" i="31"/>
  <c r="AL28" i="31"/>
  <c r="AL158" i="31"/>
  <c r="AL67" i="31"/>
  <c r="AL65" i="31"/>
  <c r="AL54" i="31"/>
  <c r="AL173" i="31"/>
  <c r="AL89" i="31"/>
  <c r="AL104" i="31"/>
  <c r="AL24" i="31"/>
  <c r="AL143" i="31"/>
  <c r="AL20" i="31"/>
  <c r="AN147" i="31"/>
  <c r="AN183" i="31"/>
  <c r="AN109" i="31"/>
  <c r="AN98" i="31"/>
  <c r="AN145" i="31"/>
  <c r="AN57" i="31"/>
  <c r="AN14" i="31"/>
  <c r="AN180" i="31"/>
  <c r="AN138" i="31"/>
  <c r="AN162" i="31"/>
  <c r="AN124" i="31"/>
  <c r="AN154" i="31"/>
  <c r="AN152" i="31"/>
  <c r="AN96" i="31"/>
  <c r="AN91" i="31"/>
  <c r="AN144" i="31"/>
  <c r="AN94" i="31"/>
  <c r="AN137" i="31"/>
  <c r="AN111" i="31"/>
  <c r="AN27" i="31"/>
  <c r="AN123" i="31"/>
  <c r="AN78" i="31"/>
  <c r="AN34" i="31"/>
  <c r="AN97" i="31"/>
  <c r="AN30" i="31"/>
  <c r="AN102" i="31"/>
  <c r="AN116" i="31"/>
  <c r="AN93" i="31"/>
  <c r="AN4" i="31"/>
  <c r="AN49" i="31"/>
  <c r="AN19" i="31"/>
  <c r="AN182" i="31"/>
  <c r="AN160" i="31"/>
  <c r="AN47" i="31"/>
  <c r="AN6" i="31"/>
  <c r="AN21" i="31"/>
  <c r="AN148" i="31"/>
  <c r="AN181" i="31"/>
  <c r="AN141" i="31"/>
  <c r="AN69" i="31"/>
  <c r="AN35" i="31"/>
  <c r="AN73" i="31"/>
  <c r="AN159" i="31"/>
  <c r="AN56" i="31"/>
  <c r="AN171" i="31"/>
  <c r="AN128" i="31"/>
  <c r="AN88" i="31"/>
  <c r="AN119" i="31"/>
  <c r="AN185" i="31"/>
  <c r="AN18" i="31"/>
  <c r="AN172" i="31"/>
  <c r="AN122" i="31"/>
  <c r="AN46" i="31"/>
  <c r="AN32" i="31"/>
  <c r="AN125" i="31"/>
  <c r="AN82" i="31"/>
  <c r="AN167" i="31"/>
  <c r="AN61" i="31"/>
  <c r="AN170" i="31"/>
  <c r="AN166" i="31"/>
  <c r="AN133" i="31"/>
  <c r="AN42" i="31"/>
  <c r="AN8" i="31"/>
  <c r="AN11" i="31"/>
  <c r="AN131" i="31"/>
  <c r="AN74" i="31"/>
  <c r="AN15" i="31"/>
  <c r="AN126" i="31"/>
  <c r="AN178" i="31"/>
  <c r="AN90" i="31"/>
  <c r="AN110" i="31"/>
  <c r="AN157" i="31"/>
  <c r="AN184" i="31"/>
  <c r="AN38" i="31"/>
  <c r="AN84" i="31"/>
  <c r="AN62" i="31"/>
  <c r="AN63" i="31"/>
  <c r="AN3" i="31"/>
  <c r="AN79" i="31"/>
  <c r="AN41" i="31"/>
  <c r="AN10" i="31"/>
  <c r="AN127" i="31"/>
  <c r="AN77" i="31"/>
  <c r="AN140" i="31"/>
  <c r="AN175" i="31"/>
  <c r="AN114" i="31"/>
  <c r="AN50" i="31"/>
  <c r="AN113" i="31"/>
  <c r="AN120" i="31"/>
  <c r="AN176" i="31"/>
  <c r="AN187" i="31"/>
  <c r="AN83" i="31"/>
  <c r="AN5" i="31"/>
  <c r="AN37" i="31"/>
  <c r="AN151" i="31"/>
  <c r="AN72" i="31"/>
  <c r="AN36" i="31"/>
  <c r="AN26" i="31"/>
  <c r="AN22" i="31"/>
  <c r="AN7" i="31"/>
  <c r="AN188" i="31"/>
  <c r="AN64" i="31"/>
  <c r="AN86" i="31"/>
  <c r="AN177" i="31"/>
  <c r="AN149" i="31"/>
  <c r="AN87" i="31"/>
  <c r="AN29" i="31"/>
  <c r="AN60" i="31"/>
  <c r="AN85" i="31"/>
  <c r="AN135" i="31"/>
  <c r="AN40" i="31"/>
  <c r="AN136" i="31"/>
  <c r="AN92" i="31"/>
  <c r="AN66" i="31"/>
  <c r="AN107" i="31"/>
  <c r="AN130" i="31"/>
  <c r="AN165" i="31"/>
  <c r="AN99" i="31"/>
  <c r="AN186" i="31"/>
  <c r="AN71" i="31"/>
  <c r="AN28" i="31"/>
  <c r="AN146" i="31"/>
  <c r="AN13" i="31"/>
  <c r="AN24" i="31"/>
  <c r="AN48" i="31"/>
  <c r="AN108" i="31"/>
  <c r="AN12" i="31"/>
  <c r="AN33" i="31"/>
  <c r="AN25" i="31"/>
  <c r="AN44" i="31"/>
  <c r="AN31" i="31"/>
  <c r="AN169" i="31"/>
  <c r="AN164" i="31"/>
  <c r="AN16" i="31"/>
  <c r="AN150" i="31"/>
  <c r="AN80" i="31"/>
  <c r="AN103" i="31"/>
  <c r="AN65" i="31"/>
  <c r="AN189" i="31"/>
  <c r="AN168" i="31"/>
  <c r="AN20" i="31"/>
  <c r="AN45" i="31"/>
  <c r="AN89" i="31"/>
  <c r="AN174" i="31"/>
  <c r="AN70" i="31"/>
  <c r="AN115" i="31"/>
  <c r="AN52" i="31"/>
  <c r="AN43" i="31"/>
  <c r="AN105" i="31"/>
  <c r="AN158" i="31"/>
  <c r="AN139" i="31"/>
  <c r="AN9" i="31"/>
  <c r="AN51" i="31"/>
  <c r="AN155" i="31"/>
  <c r="AN59" i="31"/>
  <c r="AN23" i="31"/>
  <c r="AN153" i="31"/>
  <c r="AN129" i="31"/>
  <c r="AN190" i="31"/>
  <c r="AN58" i="31"/>
  <c r="AN117" i="31"/>
  <c r="AN53" i="31"/>
  <c r="AN67" i="31"/>
  <c r="AN101" i="31"/>
  <c r="AN132" i="31"/>
  <c r="AN112" i="31"/>
  <c r="AN173" i="31"/>
  <c r="AN118" i="31"/>
  <c r="AN76" i="31"/>
  <c r="AN121" i="31"/>
  <c r="AN54" i="31"/>
  <c r="AN81" i="31"/>
  <c r="AN39" i="31"/>
  <c r="AN55" i="31"/>
  <c r="AN17" i="31"/>
  <c r="AN106" i="31"/>
  <c r="AN134" i="31"/>
  <c r="AN161" i="31"/>
  <c r="AN100" i="31"/>
  <c r="AN142" i="31"/>
  <c r="AN104" i="31"/>
  <c r="AN163" i="31"/>
  <c r="AN75" i="31"/>
  <c r="AN179" i="31"/>
  <c r="AN95" i="31"/>
  <c r="AN143" i="31"/>
  <c r="AN156" i="31"/>
  <c r="AN68" i="31"/>
  <c r="Q39" i="31" l="1"/>
  <c r="Q164" i="31"/>
  <c r="Q53" i="31"/>
  <c r="Q124" i="31"/>
  <c r="Q178" i="31"/>
  <c r="Q157" i="31"/>
  <c r="Q47" i="31"/>
  <c r="Q101" i="31"/>
  <c r="Q14" i="31"/>
  <c r="Q172" i="31"/>
  <c r="Q66" i="31"/>
  <c r="Q149" i="31"/>
  <c r="Q65" i="31"/>
  <c r="Q29" i="31"/>
  <c r="Q57" i="31"/>
  <c r="Q130" i="31"/>
  <c r="Q5" i="31"/>
  <c r="Q92" i="31"/>
  <c r="Q59" i="31"/>
  <c r="Q76" i="31"/>
  <c r="Q17" i="31"/>
  <c r="Q145" i="31"/>
  <c r="Q26" i="31"/>
  <c r="Q107" i="31"/>
  <c r="Q175" i="31"/>
  <c r="Q162" i="31"/>
  <c r="Q129" i="31"/>
  <c r="Q48" i="31"/>
  <c r="Q117" i="31"/>
  <c r="Q21" i="31"/>
  <c r="Q110" i="31"/>
  <c r="Q72" i="31"/>
  <c r="Q161" i="31"/>
  <c r="Q23" i="31"/>
  <c r="Q112" i="31"/>
  <c r="Q89" i="31"/>
  <c r="Q173" i="31"/>
  <c r="Q97" i="31"/>
  <c r="Q114" i="31"/>
  <c r="Q138" i="31"/>
  <c r="Q87" i="31"/>
  <c r="Q54" i="31"/>
  <c r="Q60" i="31"/>
  <c r="Q6" i="31"/>
  <c r="Q115" i="31"/>
  <c r="Q102" i="31"/>
  <c r="Q32" i="31"/>
  <c r="Q44" i="31"/>
  <c r="Q78" i="31"/>
  <c r="Q169" i="31"/>
  <c r="Q96" i="31"/>
  <c r="Q152" i="31"/>
  <c r="Q46" i="31"/>
  <c r="Q190" i="31"/>
  <c r="Q146" i="31"/>
  <c r="Q179" i="31"/>
  <c r="Q181" i="31"/>
  <c r="Q144" i="31"/>
  <c r="Q40" i="31"/>
  <c r="Q13" i="31"/>
  <c r="Q123" i="31"/>
  <c r="Q86" i="31"/>
  <c r="Q42" i="31"/>
  <c r="Q55" i="31"/>
  <c r="Q58" i="31"/>
  <c r="Q93" i="31"/>
  <c r="Q165" i="31"/>
  <c r="Q49" i="31"/>
  <c r="Q128" i="31"/>
  <c r="Q168" i="31"/>
  <c r="Q103" i="31"/>
  <c r="Q62" i="31"/>
  <c r="Q186" i="31"/>
  <c r="Q141" i="31"/>
  <c r="Q22" i="31"/>
  <c r="Q154" i="31"/>
  <c r="Q174" i="31"/>
  <c r="Q153" i="31"/>
  <c r="Q155" i="31"/>
  <c r="Q73" i="31"/>
  <c r="Q127" i="31"/>
  <c r="Q7" i="31"/>
  <c r="Q88" i="31"/>
  <c r="Q63" i="31"/>
  <c r="Q33" i="31"/>
  <c r="Q134" i="31"/>
  <c r="Q136" i="31"/>
  <c r="Q171" i="31"/>
  <c r="Q163" i="31"/>
  <c r="Q176" i="31"/>
  <c r="Q135" i="31"/>
  <c r="Q19" i="31"/>
  <c r="Q95" i="31"/>
  <c r="Q27" i="31"/>
  <c r="Q158" i="31"/>
  <c r="Q9" i="31"/>
  <c r="Q50" i="31"/>
  <c r="Q98" i="31"/>
  <c r="Q187" i="31"/>
  <c r="Q143" i="31"/>
  <c r="Q100" i="31"/>
  <c r="Q41" i="31"/>
  <c r="Q126" i="31"/>
  <c r="Q147" i="31"/>
  <c r="Q142" i="31"/>
  <c r="Q188" i="31"/>
  <c r="Q64" i="31"/>
  <c r="Q116" i="31"/>
  <c r="Q36" i="31"/>
  <c r="Q166" i="31"/>
  <c r="Q119" i="31"/>
  <c r="Q185" i="31"/>
  <c r="Q184" i="31"/>
  <c r="Q105" i="31"/>
  <c r="Q28" i="31"/>
  <c r="Q24" i="31"/>
  <c r="Q37" i="31"/>
  <c r="Q122" i="31"/>
  <c r="Q84" i="31"/>
  <c r="Q148" i="31"/>
  <c r="Q75" i="31"/>
  <c r="Q108" i="31"/>
  <c r="Q70" i="31"/>
  <c r="Q133" i="31"/>
  <c r="Q10" i="31"/>
  <c r="Q91" i="31"/>
  <c r="Q159" i="31"/>
  <c r="Q156" i="31"/>
  <c r="Q80" i="31"/>
  <c r="Q43" i="31"/>
  <c r="Q18" i="31"/>
  <c r="Q99" i="31"/>
  <c r="Q67" i="31"/>
  <c r="Q25" i="31"/>
  <c r="Q68" i="31"/>
  <c r="Q85" i="31"/>
  <c r="Q137" i="31"/>
  <c r="Q81" i="31"/>
  <c r="Q170" i="31"/>
  <c r="Q30" i="31"/>
  <c r="Q111" i="31"/>
  <c r="Q182" i="31"/>
  <c r="Q31" i="31"/>
  <c r="Q8" i="31"/>
  <c r="Q139" i="31"/>
  <c r="Q51" i="31"/>
  <c r="Q82" i="31"/>
  <c r="Q3" i="31"/>
  <c r="Q104" i="31"/>
  <c r="Q131" i="31"/>
  <c r="Q11" i="31"/>
  <c r="Q77" i="31"/>
  <c r="Q52" i="31"/>
  <c r="Q16" i="31"/>
  <c r="Q125" i="31"/>
  <c r="Q71" i="31"/>
  <c r="Q118" i="31"/>
  <c r="Q20" i="31"/>
  <c r="Q38" i="31"/>
  <c r="Q90" i="31"/>
  <c r="Q109" i="31"/>
  <c r="Q177" i="31"/>
  <c r="Q69" i="31"/>
  <c r="Q140" i="31"/>
  <c r="Q150" i="31"/>
  <c r="Q74" i="31"/>
  <c r="Q151" i="31"/>
  <c r="Q34" i="31"/>
  <c r="Q180" i="31"/>
  <c r="Q83" i="31"/>
  <c r="Q35" i="31"/>
  <c r="Q120" i="31"/>
  <c r="Q132" i="31"/>
  <c r="Q106" i="31"/>
  <c r="Q12" i="31"/>
  <c r="Q94" i="31"/>
  <c r="Q183" i="31"/>
  <c r="Q121" i="31"/>
  <c r="Q167" i="31"/>
  <c r="Q61" i="31"/>
  <c r="Q113" i="31"/>
  <c r="Q45" i="31"/>
  <c r="Q4" i="31"/>
  <c r="Q160" i="31"/>
  <c r="Q56" i="31"/>
  <c r="Q189" i="31"/>
  <c r="Q79" i="31"/>
  <c r="Q15" i="31"/>
  <c r="AA21" i="3"/>
  <c r="W21" i="3"/>
  <c r="AG21" i="3"/>
  <c r="Y21" i="3"/>
  <c r="AE21" i="3"/>
  <c r="S21" i="3"/>
  <c r="U21" i="3"/>
  <c r="AC21" i="3"/>
  <c r="AG20" i="40"/>
  <c r="AE20" i="40"/>
  <c r="S20" i="40"/>
  <c r="U20" i="40"/>
  <c r="AC20" i="40"/>
  <c r="W20" i="40"/>
  <c r="Y20" i="40"/>
  <c r="AA20" i="40"/>
  <c r="AA26" i="3"/>
  <c r="S26" i="3"/>
  <c r="AE26" i="3"/>
  <c r="AC26" i="3"/>
  <c r="U26" i="3"/>
  <c r="AG26" i="3"/>
  <c r="Y26" i="3"/>
  <c r="U25" i="40"/>
  <c r="AG25" i="40"/>
  <c r="AA25" i="40"/>
  <c r="AC25" i="40"/>
  <c r="Y25" i="40"/>
  <c r="AE25" i="40"/>
  <c r="W25" i="40"/>
  <c r="S25" i="40"/>
  <c r="AJ1" i="31"/>
  <c r="AP1" i="31"/>
  <c r="AU1" i="31"/>
  <c r="AW1" i="31"/>
  <c r="AV1" i="31"/>
  <c r="AM1" i="31"/>
  <c r="AS1" i="31"/>
  <c r="AX1" i="31"/>
  <c r="AN1" i="31"/>
  <c r="AL1" i="31"/>
  <c r="AK1" i="31"/>
  <c r="AI1" i="31"/>
  <c r="AO1" i="31"/>
  <c r="AR1" i="31"/>
  <c r="AH1" i="31"/>
  <c r="AQ1" i="31"/>
  <c r="AT1" i="31"/>
  <c r="Q78" i="2" l="1"/>
  <c r="Q72" i="2"/>
  <c r="Q37" i="2"/>
  <c r="X43" i="2"/>
  <c r="W43" i="2"/>
  <c r="S43" i="2"/>
  <c r="R43" i="2"/>
  <c r="Q47" i="2"/>
  <c r="R47" i="2"/>
  <c r="V48" i="2"/>
  <c r="U48" i="2"/>
  <c r="T48" i="2"/>
  <c r="S48" i="2"/>
  <c r="R48" i="2"/>
  <c r="Q48" i="2"/>
  <c r="E13" i="19" l="1"/>
  <c r="E12" i="19"/>
  <c r="E11" i="19"/>
  <c r="E10" i="19"/>
  <c r="E9" i="19"/>
  <c r="E8" i="19"/>
  <c r="E7" i="19"/>
  <c r="E6" i="19"/>
  <c r="E5" i="19"/>
  <c r="E4" i="19"/>
  <c r="E3" i="19"/>
  <c r="C15" i="19"/>
  <c r="F13" i="19" s="1"/>
  <c r="C14" i="19"/>
  <c r="F12" i="19" s="1"/>
  <c r="C13" i="19"/>
  <c r="F11" i="19" s="1"/>
  <c r="C12" i="19"/>
  <c r="F10" i="19" s="1"/>
  <c r="C10" i="19"/>
  <c r="F8" i="19" s="1"/>
  <c r="C11" i="19"/>
  <c r="F9" i="19" s="1"/>
  <c r="C9" i="19"/>
  <c r="C8" i="19"/>
  <c r="F7" i="19" s="1"/>
  <c r="C7" i="19"/>
  <c r="C5" i="19"/>
  <c r="F5" i="19" s="1"/>
  <c r="C6" i="19"/>
  <c r="F6" i="19" s="1"/>
  <c r="C4" i="19"/>
  <c r="F4" i="19" s="1"/>
  <c r="C3" i="19"/>
  <c r="F3" i="19" s="1"/>
  <c r="M2" i="21" l="1"/>
  <c r="N3" i="21"/>
  <c r="P3" i="21" s="1"/>
  <c r="M3" i="21"/>
  <c r="N2" i="21"/>
  <c r="P2" i="21" s="1"/>
  <c r="H11" i="21"/>
  <c r="H10" i="21"/>
  <c r="H9" i="21"/>
  <c r="H7" i="21"/>
  <c r="H6" i="21"/>
  <c r="H5" i="21"/>
  <c r="H4" i="21"/>
  <c r="H3" i="21"/>
  <c r="D30" i="21"/>
  <c r="C30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H2" i="21"/>
  <c r="D2" i="21"/>
  <c r="C2" i="21"/>
  <c r="H9" i="20"/>
  <c r="H8" i="20"/>
  <c r="H7" i="20"/>
  <c r="H6" i="20"/>
  <c r="H5" i="20"/>
  <c r="H4" i="20"/>
  <c r="H3" i="20"/>
  <c r="H2" i="20"/>
  <c r="D10" i="20"/>
  <c r="D9" i="20"/>
  <c r="D8" i="20"/>
  <c r="D7" i="20"/>
  <c r="D6" i="20"/>
  <c r="D5" i="20"/>
  <c r="D4" i="20"/>
  <c r="D3" i="20"/>
  <c r="D2" i="20"/>
  <c r="C7" i="20"/>
  <c r="C10" i="20"/>
  <c r="C9" i="20"/>
  <c r="C8" i="20"/>
  <c r="C6" i="20"/>
  <c r="C5" i="20"/>
  <c r="C4" i="20"/>
  <c r="C3" i="20"/>
  <c r="C2" i="20"/>
  <c r="D30" i="20"/>
  <c r="C30" i="20"/>
  <c r="E7" i="20" l="1"/>
  <c r="G6" i="20" s="1"/>
  <c r="E9" i="20"/>
  <c r="G8" i="20" s="1"/>
  <c r="E2" i="21"/>
  <c r="G2" i="21" s="1"/>
  <c r="E3" i="21"/>
  <c r="G3" i="21" s="1"/>
  <c r="E5" i="21"/>
  <c r="G5" i="21" s="1"/>
  <c r="E7" i="21"/>
  <c r="G9" i="21" s="1"/>
  <c r="E9" i="21"/>
  <c r="G7" i="21" s="1"/>
  <c r="O3" i="21"/>
  <c r="O2" i="21"/>
  <c r="E3" i="20"/>
  <c r="G3" i="20" s="1"/>
  <c r="E5" i="20"/>
  <c r="E2" i="20"/>
  <c r="G2" i="20" s="1"/>
  <c r="E4" i="20"/>
  <c r="G4" i="20" s="1"/>
  <c r="E6" i="20"/>
  <c r="G5" i="20" s="1"/>
  <c r="E8" i="20"/>
  <c r="G7" i="20" s="1"/>
  <c r="E10" i="20"/>
  <c r="G9" i="20" s="1"/>
  <c r="N1" i="21"/>
  <c r="E4" i="21"/>
  <c r="G4" i="21" s="1"/>
  <c r="E6" i="21"/>
  <c r="G6" i="21" s="1"/>
  <c r="E8" i="21"/>
  <c r="G10" i="21" s="1"/>
  <c r="E10" i="21"/>
  <c r="G11" i="21" s="1"/>
  <c r="M1" i="21" l="1"/>
  <c r="C4" i="18"/>
  <c r="C7" i="18" s="1"/>
  <c r="E29" i="18"/>
  <c r="D29" i="18"/>
  <c r="H6" i="18"/>
  <c r="E6" i="18"/>
  <c r="D6" i="18"/>
  <c r="H5" i="18"/>
  <c r="E5" i="18"/>
  <c r="D5" i="18"/>
  <c r="H3" i="18"/>
  <c r="E3" i="18"/>
  <c r="D3" i="18"/>
  <c r="H2" i="18"/>
  <c r="E2" i="18"/>
  <c r="D2" i="18"/>
  <c r="F6" i="18" l="1"/>
  <c r="I6" i="18" s="1"/>
  <c r="D4" i="18"/>
  <c r="D7" i="18" s="1"/>
  <c r="F3" i="18"/>
  <c r="I3" i="18" s="1"/>
  <c r="F5" i="18"/>
  <c r="I5" i="18" s="1"/>
  <c r="E4" i="18"/>
  <c r="B4" i="18" s="1"/>
  <c r="EB2" i="23" s="1"/>
  <c r="EB193" i="23" s="1"/>
  <c r="F2" i="18"/>
  <c r="I2" i="18" s="1"/>
  <c r="H4" i="18" l="1"/>
  <c r="U4" i="18"/>
  <c r="E7" i="18"/>
  <c r="B7" i="18" s="1"/>
  <c r="EE2" i="23" s="1"/>
  <c r="EE193" i="23" s="1"/>
  <c r="Y54" i="31" s="1"/>
  <c r="F4" i="18"/>
  <c r="I4" i="18" s="1"/>
  <c r="G7" i="17"/>
  <c r="G6" i="17"/>
  <c r="G5" i="17"/>
  <c r="G4" i="17"/>
  <c r="G3" i="17"/>
  <c r="G2" i="17"/>
  <c r="D6" i="17"/>
  <c r="D5" i="17"/>
  <c r="D3" i="17"/>
  <c r="D2" i="17"/>
  <c r="C6" i="17"/>
  <c r="C5" i="17"/>
  <c r="C3" i="17"/>
  <c r="C2" i="17"/>
  <c r="C27" i="17"/>
  <c r="D27" i="17"/>
  <c r="Y174" i="31" l="1"/>
  <c r="Y32" i="31"/>
  <c r="Y19" i="31"/>
  <c r="Y137" i="31"/>
  <c r="Y154" i="31"/>
  <c r="Y99" i="31"/>
  <c r="Y74" i="31"/>
  <c r="Y178" i="31"/>
  <c r="Y180" i="31"/>
  <c r="Y25" i="31"/>
  <c r="Y73" i="31"/>
  <c r="Y35" i="31"/>
  <c r="Y52" i="31"/>
  <c r="Y63" i="31"/>
  <c r="Y175" i="31"/>
  <c r="Y27" i="31"/>
  <c r="Y131" i="31"/>
  <c r="Y88" i="31"/>
  <c r="Y40" i="31"/>
  <c r="Y6" i="31"/>
  <c r="Y118" i="31"/>
  <c r="Y89" i="31"/>
  <c r="Y130" i="31"/>
  <c r="Y123" i="31"/>
  <c r="Y152" i="31"/>
  <c r="Y173" i="31"/>
  <c r="Y71" i="31"/>
  <c r="Y177" i="31"/>
  <c r="Y29" i="31"/>
  <c r="Y133" i="31"/>
  <c r="Y90" i="31"/>
  <c r="Y42" i="31"/>
  <c r="Y8" i="31"/>
  <c r="Y158" i="31"/>
  <c r="Y105" i="31"/>
  <c r="Y92" i="31"/>
  <c r="Y156" i="31"/>
  <c r="Y100" i="31"/>
  <c r="Y112" i="31"/>
  <c r="Y65" i="31"/>
  <c r="Y75" i="31"/>
  <c r="Y161" i="31"/>
  <c r="Y117" i="31"/>
  <c r="Y78" i="31"/>
  <c r="Y51" i="31"/>
  <c r="Y164" i="31"/>
  <c r="Y55" i="31"/>
  <c r="Y165" i="31"/>
  <c r="Y182" i="31"/>
  <c r="Y57" i="31"/>
  <c r="Y167" i="31"/>
  <c r="Y21" i="31"/>
  <c r="Y125" i="31"/>
  <c r="Y82" i="31"/>
  <c r="Y34" i="31"/>
  <c r="Y3" i="31"/>
  <c r="Y101" i="31"/>
  <c r="Y135" i="31"/>
  <c r="Y102" i="31"/>
  <c r="Y45" i="31"/>
  <c r="Y87" i="31"/>
  <c r="Y187" i="31"/>
  <c r="Y61" i="31"/>
  <c r="Y149" i="31"/>
  <c r="Y116" i="31"/>
  <c r="Y86" i="31"/>
  <c r="Y22" i="31"/>
  <c r="Y142" i="31"/>
  <c r="Y49" i="31"/>
  <c r="Y5" i="31"/>
  <c r="Y141" i="31"/>
  <c r="Y64" i="31"/>
  <c r="Y139" i="31"/>
  <c r="Y97" i="31"/>
  <c r="Y38" i="31"/>
  <c r="Y69" i="31"/>
  <c r="Y157" i="31"/>
  <c r="Y120" i="31"/>
  <c r="Y94" i="31"/>
  <c r="Y26" i="31"/>
  <c r="Y115" i="31"/>
  <c r="Y129" i="31"/>
  <c r="Y162" i="31"/>
  <c r="Y163" i="31"/>
  <c r="Y43" i="31"/>
  <c r="Y143" i="31"/>
  <c r="Y81" i="31"/>
  <c r="Y104" i="31"/>
  <c r="Y31" i="31"/>
  <c r="Y134" i="31"/>
  <c r="Y124" i="31"/>
  <c r="Y108" i="31"/>
  <c r="Y103" i="31"/>
  <c r="Y68" i="31"/>
  <c r="Y62" i="31"/>
  <c r="Y70" i="31"/>
  <c r="Y79" i="31"/>
  <c r="Y185" i="31"/>
  <c r="Y37" i="31"/>
  <c r="Y147" i="31"/>
  <c r="Y110" i="31"/>
  <c r="Y66" i="31"/>
  <c r="Y14" i="31"/>
  <c r="Y12" i="31"/>
  <c r="Y183" i="31"/>
  <c r="Y184" i="31"/>
  <c r="Y7" i="31"/>
  <c r="Y119" i="31"/>
  <c r="Y72" i="31"/>
  <c r="Y85" i="31"/>
  <c r="Y181" i="31"/>
  <c r="Y144" i="31"/>
  <c r="Y138" i="31"/>
  <c r="Y114" i="31"/>
  <c r="Y20" i="31"/>
  <c r="Y111" i="31"/>
  <c r="Y77" i="31"/>
  <c r="Y60" i="31"/>
  <c r="Y170" i="31"/>
  <c r="Y11" i="31"/>
  <c r="Y127" i="31"/>
  <c r="Y98" i="31"/>
  <c r="Y91" i="31"/>
  <c r="Y30" i="31"/>
  <c r="Y148" i="31"/>
  <c r="Y160" i="31"/>
  <c r="Y136" i="31"/>
  <c r="Y67" i="31"/>
  <c r="Y168" i="31"/>
  <c r="Y28" i="31"/>
  <c r="Y16" i="31"/>
  <c r="Y58" i="31"/>
  <c r="Y153" i="31"/>
  <c r="Y23" i="31"/>
  <c r="Y80" i="31"/>
  <c r="Y53" i="31"/>
  <c r="Y106" i="31"/>
  <c r="Y189" i="31"/>
  <c r="Y13" i="31"/>
  <c r="Y121" i="31"/>
  <c r="Y155" i="31"/>
  <c r="Y128" i="31"/>
  <c r="Y179" i="31"/>
  <c r="Y113" i="31"/>
  <c r="Y56" i="31"/>
  <c r="Y83" i="31"/>
  <c r="Y171" i="31"/>
  <c r="Y140" i="31"/>
  <c r="Y126" i="31"/>
  <c r="Y84" i="31"/>
  <c r="Y15" i="31"/>
  <c r="Y46" i="31"/>
  <c r="Y10" i="31"/>
  <c r="Y41" i="31"/>
  <c r="Y145" i="31"/>
  <c r="Y166" i="31"/>
  <c r="Y107" i="31"/>
  <c r="Y122" i="31"/>
  <c r="Y186" i="31"/>
  <c r="Y188" i="31"/>
  <c r="Y39" i="31"/>
  <c r="Y59" i="31"/>
  <c r="Y159" i="31"/>
  <c r="Y93" i="31"/>
  <c r="Y96" i="31"/>
  <c r="Y50" i="31"/>
  <c r="Y47" i="31"/>
  <c r="Y151" i="31"/>
  <c r="Y172" i="31"/>
  <c r="Y109" i="31"/>
  <c r="Y36" i="31"/>
  <c r="Y4" i="31"/>
  <c r="Y176" i="31"/>
  <c r="Y44" i="31"/>
  <c r="Y17" i="31"/>
  <c r="Y76" i="31"/>
  <c r="Y48" i="31"/>
  <c r="Y190" i="31"/>
  <c r="Y132" i="31"/>
  <c r="Y24" i="31"/>
  <c r="Y146" i="31"/>
  <c r="Y150" i="31"/>
  <c r="Y169" i="31"/>
  <c r="Y18" i="31"/>
  <c r="Y9" i="31"/>
  <c r="Y95" i="31"/>
  <c r="Y33" i="31"/>
  <c r="F7" i="18"/>
  <c r="I7" i="18" s="1"/>
  <c r="AB4" i="18"/>
  <c r="H7" i="18"/>
  <c r="U7" i="18"/>
  <c r="E3" i="17"/>
  <c r="H3" i="17" s="1"/>
  <c r="E6" i="17"/>
  <c r="H6" i="17" s="1"/>
  <c r="C4" i="17"/>
  <c r="C7" i="17" s="1"/>
  <c r="E2" i="17"/>
  <c r="H2" i="17" s="1"/>
  <c r="E5" i="17"/>
  <c r="H5" i="17" s="1"/>
  <c r="D4" i="17"/>
  <c r="W3" i="13"/>
  <c r="W2" i="13"/>
  <c r="P3" i="12"/>
  <c r="P2" i="12"/>
  <c r="Q3" i="12"/>
  <c r="S3" i="12" s="1"/>
  <c r="Q2" i="12"/>
  <c r="S2" i="12" s="1"/>
  <c r="AB7" i="18" l="1"/>
  <c r="Q1" i="12"/>
  <c r="R2" i="12"/>
  <c r="R3" i="12"/>
  <c r="E4" i="17"/>
  <c r="H4" i="17" s="1"/>
  <c r="D7" i="17"/>
  <c r="E7" i="17" s="1"/>
  <c r="H7" i="17" s="1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M87" i="12"/>
  <c r="M86" i="12"/>
  <c r="M85" i="12"/>
  <c r="M84" i="12"/>
  <c r="M83" i="12"/>
  <c r="M82" i="12"/>
  <c r="M81" i="12"/>
  <c r="M80" i="12"/>
  <c r="M79" i="12"/>
  <c r="M78" i="12"/>
  <c r="M77" i="12"/>
  <c r="M76" i="12"/>
  <c r="M75" i="12"/>
  <c r="M74" i="12"/>
  <c r="M73" i="12"/>
  <c r="M72" i="12"/>
  <c r="M71" i="12"/>
  <c r="M70" i="12"/>
  <c r="M69" i="12"/>
  <c r="M68" i="12"/>
  <c r="M67" i="12"/>
  <c r="M6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P1" i="12" l="1"/>
  <c r="Y5" i="14"/>
  <c r="X5" i="14"/>
  <c r="Y4" i="14"/>
  <c r="AA4" i="14" s="1"/>
  <c r="X4" i="14"/>
  <c r="AA5" i="14"/>
  <c r="Q83" i="14"/>
  <c r="Q82" i="14"/>
  <c r="Q81" i="14"/>
  <c r="Q80" i="14"/>
  <c r="Q79" i="14"/>
  <c r="Q78" i="14"/>
  <c r="Q77" i="14"/>
  <c r="Q76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R83" i="14"/>
  <c r="R82" i="14"/>
  <c r="R81" i="14"/>
  <c r="R80" i="14"/>
  <c r="R79" i="14"/>
  <c r="R78" i="14"/>
  <c r="R77" i="14"/>
  <c r="R76" i="14"/>
  <c r="R75" i="14"/>
  <c r="R74" i="14"/>
  <c r="R73" i="14"/>
  <c r="R72" i="14"/>
  <c r="R71" i="14"/>
  <c r="R70" i="14"/>
  <c r="R69" i="14"/>
  <c r="R68" i="14"/>
  <c r="R67" i="14"/>
  <c r="R66" i="14"/>
  <c r="R65" i="14"/>
  <c r="R64" i="14"/>
  <c r="R63" i="14"/>
  <c r="R62" i="14"/>
  <c r="R61" i="14"/>
  <c r="R60" i="14"/>
  <c r="R59" i="14"/>
  <c r="R58" i="14"/>
  <c r="R57" i="14"/>
  <c r="R56" i="14"/>
  <c r="R55" i="14"/>
  <c r="R54" i="14"/>
  <c r="R53" i="14"/>
  <c r="R52" i="14"/>
  <c r="R51" i="14"/>
  <c r="R50" i="14"/>
  <c r="Q50" i="14"/>
  <c r="R49" i="14"/>
  <c r="Q49" i="14"/>
  <c r="R48" i="14"/>
  <c r="Q48" i="14"/>
  <c r="R47" i="14"/>
  <c r="Q47" i="14"/>
  <c r="R46" i="14"/>
  <c r="Q46" i="14"/>
  <c r="R45" i="14"/>
  <c r="Q45" i="14"/>
  <c r="R44" i="14"/>
  <c r="Q44" i="14"/>
  <c r="R43" i="14"/>
  <c r="Q43" i="14"/>
  <c r="R42" i="14"/>
  <c r="Q42" i="14"/>
  <c r="R41" i="14"/>
  <c r="Q41" i="14"/>
  <c r="R40" i="14"/>
  <c r="Q40" i="14"/>
  <c r="R39" i="14"/>
  <c r="Q39" i="14"/>
  <c r="R38" i="14"/>
  <c r="Q38" i="14"/>
  <c r="R37" i="14"/>
  <c r="Q37" i="14"/>
  <c r="R36" i="14"/>
  <c r="Q36" i="14"/>
  <c r="R35" i="14"/>
  <c r="Q35" i="14"/>
  <c r="R34" i="14"/>
  <c r="Q34" i="14"/>
  <c r="R33" i="14"/>
  <c r="Q33" i="14"/>
  <c r="R32" i="14"/>
  <c r="Q32" i="14"/>
  <c r="R31" i="14"/>
  <c r="Q31" i="14"/>
  <c r="R30" i="14"/>
  <c r="Q30" i="14"/>
  <c r="R29" i="14"/>
  <c r="Q29" i="14"/>
  <c r="R28" i="14"/>
  <c r="Q28" i="14"/>
  <c r="R27" i="14"/>
  <c r="Q27" i="14"/>
  <c r="R26" i="14"/>
  <c r="Q26" i="14"/>
  <c r="R25" i="14"/>
  <c r="Q25" i="14"/>
  <c r="R24" i="14"/>
  <c r="Q24" i="14"/>
  <c r="R23" i="14"/>
  <c r="Q23" i="14"/>
  <c r="R22" i="14"/>
  <c r="Q22" i="14"/>
  <c r="R21" i="14"/>
  <c r="Q21" i="14"/>
  <c r="R20" i="14"/>
  <c r="Q20" i="14"/>
  <c r="R19" i="14"/>
  <c r="Q19" i="14"/>
  <c r="R18" i="14"/>
  <c r="Q18" i="14"/>
  <c r="R17" i="14"/>
  <c r="Q17" i="14"/>
  <c r="R16" i="14"/>
  <c r="Q16" i="14"/>
  <c r="R15" i="14"/>
  <c r="Q15" i="14"/>
  <c r="R14" i="14"/>
  <c r="Q14" i="14"/>
  <c r="R13" i="14"/>
  <c r="Q13" i="14"/>
  <c r="R12" i="14"/>
  <c r="Q12" i="14"/>
  <c r="R11" i="14"/>
  <c r="Q11" i="14"/>
  <c r="R10" i="14"/>
  <c r="Q10" i="14"/>
  <c r="R9" i="14"/>
  <c r="Q9" i="14"/>
  <c r="R8" i="14"/>
  <c r="Q8" i="14"/>
  <c r="R7" i="14"/>
  <c r="Q7" i="14"/>
  <c r="R6" i="14"/>
  <c r="Q6" i="14"/>
  <c r="R5" i="14"/>
  <c r="Q5" i="14"/>
  <c r="R4" i="14"/>
  <c r="Q4" i="14"/>
  <c r="R3" i="14"/>
  <c r="Q3" i="14"/>
  <c r="Y3" i="14" l="1"/>
  <c r="Z4" i="14"/>
  <c r="Z5" i="14"/>
  <c r="X3" i="14" l="1"/>
  <c r="X3" i="13"/>
  <c r="Z3" i="13" s="1"/>
  <c r="X2" i="13"/>
  <c r="Z2" i="13" s="1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T29" i="13"/>
  <c r="S29" i="13"/>
  <c r="T28" i="13"/>
  <c r="S28" i="13"/>
  <c r="T27" i="13"/>
  <c r="S27" i="13"/>
  <c r="T26" i="13"/>
  <c r="S26" i="13"/>
  <c r="T25" i="13"/>
  <c r="S25" i="13"/>
  <c r="T24" i="13"/>
  <c r="S24" i="13"/>
  <c r="T23" i="13"/>
  <c r="S23" i="13"/>
  <c r="T22" i="13"/>
  <c r="S22" i="13"/>
  <c r="T21" i="13"/>
  <c r="S21" i="13"/>
  <c r="T20" i="13"/>
  <c r="S20" i="13"/>
  <c r="T19" i="13"/>
  <c r="S19" i="13"/>
  <c r="T18" i="13"/>
  <c r="S18" i="13"/>
  <c r="T17" i="13"/>
  <c r="S17" i="13"/>
  <c r="T16" i="13"/>
  <c r="S16" i="13"/>
  <c r="T15" i="13"/>
  <c r="S15" i="13"/>
  <c r="T14" i="13"/>
  <c r="S14" i="13"/>
  <c r="T13" i="13"/>
  <c r="S13" i="13"/>
  <c r="T12" i="13"/>
  <c r="S12" i="13"/>
  <c r="T11" i="13"/>
  <c r="S11" i="13"/>
  <c r="T10" i="13"/>
  <c r="S10" i="13"/>
  <c r="T9" i="13"/>
  <c r="S9" i="13"/>
  <c r="T8" i="13"/>
  <c r="S8" i="13"/>
  <c r="T7" i="13"/>
  <c r="S7" i="13"/>
  <c r="T6" i="13"/>
  <c r="S6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M47" i="13"/>
  <c r="L47" i="13"/>
  <c r="M46" i="13"/>
  <c r="L46" i="13"/>
  <c r="M45" i="13"/>
  <c r="L45" i="13"/>
  <c r="M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B11" i="15"/>
  <c r="B10" i="15"/>
  <c r="B9" i="15"/>
  <c r="B8" i="15"/>
  <c r="B7" i="15"/>
  <c r="B6" i="15"/>
  <c r="B5" i="15"/>
  <c r="B4" i="15"/>
  <c r="B11" i="11"/>
  <c r="B10" i="11"/>
  <c r="B9" i="11"/>
  <c r="B8" i="11"/>
  <c r="B7" i="11"/>
  <c r="B6" i="11"/>
  <c r="B5" i="11"/>
  <c r="B4" i="11"/>
  <c r="Y2" i="13" l="1"/>
  <c r="B13" i="11"/>
  <c r="B13" i="15"/>
  <c r="N6" i="13"/>
  <c r="N8" i="13"/>
  <c r="N10" i="13"/>
  <c r="N12" i="13"/>
  <c r="N14" i="13"/>
  <c r="N16" i="13"/>
  <c r="N18" i="13"/>
  <c r="N20" i="13"/>
  <c r="N22" i="13"/>
  <c r="N24" i="13"/>
  <c r="N26" i="13"/>
  <c r="N28" i="13"/>
  <c r="N30" i="13"/>
  <c r="N32" i="13"/>
  <c r="N34" i="13"/>
  <c r="N36" i="13"/>
  <c r="N38" i="13"/>
  <c r="N40" i="13"/>
  <c r="N42" i="13"/>
  <c r="N50" i="13"/>
  <c r="N52" i="13"/>
  <c r="N54" i="13"/>
  <c r="N56" i="13"/>
  <c r="N58" i="13"/>
  <c r="N60" i="13"/>
  <c r="N66" i="13"/>
  <c r="N5" i="13"/>
  <c r="N46" i="13"/>
  <c r="X1" i="13"/>
  <c r="Y3" i="13"/>
  <c r="N7" i="13"/>
  <c r="N9" i="13"/>
  <c r="N11" i="13"/>
  <c r="N13" i="13"/>
  <c r="N15" i="13"/>
  <c r="N17" i="13"/>
  <c r="N19" i="13"/>
  <c r="N21" i="13"/>
  <c r="N23" i="13"/>
  <c r="N25" i="13"/>
  <c r="N27" i="13"/>
  <c r="N29" i="13"/>
  <c r="N31" i="13"/>
  <c r="N33" i="13"/>
  <c r="N35" i="13"/>
  <c r="N37" i="13"/>
  <c r="N39" i="13"/>
  <c r="N41" i="13"/>
  <c r="N43" i="13"/>
  <c r="N45" i="13"/>
  <c r="N47" i="13"/>
  <c r="N49" i="13"/>
  <c r="N51" i="13"/>
  <c r="N53" i="13"/>
  <c r="N55" i="13"/>
  <c r="N57" i="13"/>
  <c r="N59" i="13"/>
  <c r="N61" i="13"/>
  <c r="N62" i="13"/>
  <c r="N63" i="13"/>
  <c r="N64" i="13"/>
  <c r="N65" i="13"/>
  <c r="N67" i="13"/>
  <c r="N68" i="13"/>
  <c r="N69" i="13"/>
  <c r="M4" i="10"/>
  <c r="M9" i="10"/>
  <c r="M8" i="10"/>
  <c r="M7" i="10"/>
  <c r="M6" i="10"/>
  <c r="M5" i="10"/>
  <c r="L9" i="10"/>
  <c r="L8" i="10"/>
  <c r="L7" i="10"/>
  <c r="L6" i="10"/>
  <c r="L5" i="10"/>
  <c r="L4" i="10"/>
  <c r="W1" i="13" l="1"/>
  <c r="B27" i="1"/>
  <c r="B28" i="1"/>
  <c r="A26" i="3" s="1"/>
  <c r="C11" i="15"/>
  <c r="W11" i="15" s="1"/>
  <c r="Y10" i="15" s="1"/>
  <c r="C9" i="15"/>
  <c r="W9" i="15" s="1"/>
  <c r="Y8" i="15" s="1"/>
  <c r="C33" i="15"/>
  <c r="C10" i="15"/>
  <c r="W10" i="15" s="1"/>
  <c r="Y9" i="15" s="1"/>
  <c r="C8" i="15"/>
  <c r="W8" i="15" s="1"/>
  <c r="Y7" i="15" s="1"/>
  <c r="C7" i="15"/>
  <c r="W7" i="15" s="1"/>
  <c r="C6" i="15"/>
  <c r="W6" i="15" s="1"/>
  <c r="Y6" i="15" s="1"/>
  <c r="C5" i="15"/>
  <c r="W5" i="15" s="1"/>
  <c r="Y5" i="15" s="1"/>
  <c r="L4" i="15"/>
  <c r="R7" i="15" s="1"/>
  <c r="AO5" i="15" s="1"/>
  <c r="K4" i="15"/>
  <c r="Q7" i="15" s="1"/>
  <c r="J4" i="15"/>
  <c r="P5" i="15" s="1"/>
  <c r="AM3" i="15" s="1"/>
  <c r="C4" i="15"/>
  <c r="W4" i="15" s="1"/>
  <c r="Y4" i="15" s="1"/>
  <c r="H85" i="14"/>
  <c r="L48" i="13"/>
  <c r="N48" i="13" s="1"/>
  <c r="L44" i="13"/>
  <c r="N44" i="13" s="1"/>
  <c r="C26" i="3" l="1"/>
  <c r="AD35" i="3"/>
  <c r="AE35" i="3" s="1"/>
  <c r="D26" i="3"/>
  <c r="E26" i="3" s="1"/>
  <c r="B26" i="3"/>
  <c r="T35" i="3"/>
  <c r="U35" i="3" s="1"/>
  <c r="AF35" i="3"/>
  <c r="AG35" i="3" s="1"/>
  <c r="AB35" i="3"/>
  <c r="AC35" i="3" s="1"/>
  <c r="R35" i="3"/>
  <c r="S35" i="3" s="1"/>
  <c r="A24" i="40"/>
  <c r="A25" i="3"/>
  <c r="AN5" i="15"/>
  <c r="DL2" i="23"/>
  <c r="DL193" i="23" s="1"/>
  <c r="Q50" i="2"/>
  <c r="R9" i="15"/>
  <c r="AO7" i="15" s="1"/>
  <c r="R5" i="15"/>
  <c r="AO3" i="15" s="1"/>
  <c r="P8" i="15"/>
  <c r="T7" i="15"/>
  <c r="X7" i="15"/>
  <c r="R11" i="15"/>
  <c r="AO9" i="15" s="1"/>
  <c r="P10" i="15"/>
  <c r="P6" i="15"/>
  <c r="I73" i="13"/>
  <c r="H71" i="13"/>
  <c r="R10" i="15"/>
  <c r="R8" i="15"/>
  <c r="R6" i="15"/>
  <c r="P11" i="15"/>
  <c r="P9" i="15"/>
  <c r="AM7" i="15" s="1"/>
  <c r="P7" i="15"/>
  <c r="Q6" i="15"/>
  <c r="R4" i="15"/>
  <c r="Q8" i="15"/>
  <c r="Q11" i="15"/>
  <c r="Q10" i="15"/>
  <c r="Q4" i="15"/>
  <c r="DI2" i="23" s="1"/>
  <c r="DI193" i="23" s="1"/>
  <c r="S5" i="15"/>
  <c r="U7" i="15"/>
  <c r="C13" i="15"/>
  <c r="P4" i="15"/>
  <c r="Q5" i="15"/>
  <c r="Q9" i="15"/>
  <c r="I76" i="13"/>
  <c r="I75" i="13"/>
  <c r="I74" i="13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4" i="12"/>
  <c r="F23" i="12"/>
  <c r="F22" i="12"/>
  <c r="F21" i="12"/>
  <c r="F20" i="12"/>
  <c r="F19" i="12"/>
  <c r="F18" i="12"/>
  <c r="F16" i="12"/>
  <c r="F15" i="12"/>
  <c r="F14" i="12"/>
  <c r="F13" i="12"/>
  <c r="F12" i="12"/>
  <c r="F10" i="12"/>
  <c r="F9" i="12"/>
  <c r="F8" i="12"/>
  <c r="F7" i="12"/>
  <c r="F6" i="12"/>
  <c r="F5" i="12"/>
  <c r="F4" i="12"/>
  <c r="F3" i="12"/>
  <c r="E93" i="12"/>
  <c r="E92" i="12"/>
  <c r="S9" i="15" l="1"/>
  <c r="Z35" i="3"/>
  <c r="AA35" i="3" s="1"/>
  <c r="X35" i="3"/>
  <c r="Y35" i="3" s="1"/>
  <c r="V35" i="3"/>
  <c r="W35" i="3" s="1"/>
  <c r="AN8" i="15"/>
  <c r="DO2" i="23"/>
  <c r="DO193" i="23" s="1"/>
  <c r="AN4" i="15"/>
  <c r="AV4" i="15" s="1"/>
  <c r="DK2" i="23"/>
  <c r="DK193" i="23" s="1"/>
  <c r="AN7" i="15"/>
  <c r="DN2" i="23"/>
  <c r="DN193" i="23" s="1"/>
  <c r="AN9" i="15"/>
  <c r="DP2" i="23"/>
  <c r="DP193" i="23" s="1"/>
  <c r="C25" i="3"/>
  <c r="T34" i="3"/>
  <c r="U34" i="3" s="1"/>
  <c r="AF34" i="3"/>
  <c r="AG34" i="3" s="1"/>
  <c r="AB34" i="3"/>
  <c r="AC34" i="3" s="1"/>
  <c r="B25" i="3"/>
  <c r="D25" i="3"/>
  <c r="E25" i="3" s="1"/>
  <c r="AD34" i="3"/>
  <c r="AE34" i="3" s="1"/>
  <c r="R34" i="3"/>
  <c r="S34" i="3" s="1"/>
  <c r="AN3" i="15"/>
  <c r="DJ2" i="23"/>
  <c r="DJ193" i="23" s="1"/>
  <c r="AN6" i="15"/>
  <c r="DM2" i="23"/>
  <c r="DM193" i="23" s="1"/>
  <c r="C24" i="40"/>
  <c r="AF33" i="40"/>
  <c r="AG33" i="40" s="1"/>
  <c r="D24" i="40"/>
  <c r="E24" i="40" s="1"/>
  <c r="T33" i="40"/>
  <c r="U33" i="40" s="1"/>
  <c r="AD33" i="40"/>
  <c r="AE33" i="40" s="1"/>
  <c r="B24" i="40"/>
  <c r="AB33" i="40"/>
  <c r="AC33" i="40" s="1"/>
  <c r="R33" i="40"/>
  <c r="S33" i="40" s="1"/>
  <c r="U9" i="15"/>
  <c r="U11" i="15"/>
  <c r="U5" i="15"/>
  <c r="S8" i="15"/>
  <c r="AM6" i="15"/>
  <c r="S4" i="15"/>
  <c r="AM2" i="15"/>
  <c r="AV8" i="15"/>
  <c r="U6" i="15"/>
  <c r="AO4" i="15"/>
  <c r="U10" i="15"/>
  <c r="AO8" i="15"/>
  <c r="S10" i="15"/>
  <c r="AM8" i="15"/>
  <c r="AV6" i="15"/>
  <c r="AV3" i="15"/>
  <c r="AV7" i="15"/>
  <c r="AV5" i="15"/>
  <c r="U4" i="15"/>
  <c r="AO2" i="15"/>
  <c r="S7" i="15"/>
  <c r="AM5" i="15"/>
  <c r="S11" i="15"/>
  <c r="AM9" i="15"/>
  <c r="U8" i="15"/>
  <c r="AO6" i="15"/>
  <c r="S6" i="15"/>
  <c r="AM4" i="15"/>
  <c r="X4" i="15"/>
  <c r="Z4" i="15" s="1"/>
  <c r="AN2" i="15"/>
  <c r="J71" i="13"/>
  <c r="I71" i="13" s="1"/>
  <c r="I79" i="13" s="1"/>
  <c r="T4" i="15"/>
  <c r="T9" i="15"/>
  <c r="X9" i="15"/>
  <c r="Z8" i="15" s="1"/>
  <c r="T5" i="15"/>
  <c r="X5" i="15"/>
  <c r="Z5" i="15" s="1"/>
  <c r="T11" i="15"/>
  <c r="X11" i="15"/>
  <c r="Z10" i="15" s="1"/>
  <c r="T6" i="15"/>
  <c r="X6" i="15"/>
  <c r="Z6" i="15" s="1"/>
  <c r="T10" i="15"/>
  <c r="X10" i="15"/>
  <c r="Z9" i="15" s="1"/>
  <c r="T8" i="15"/>
  <c r="X8" i="15"/>
  <c r="Z7" i="15" s="1"/>
  <c r="E94" i="12"/>
  <c r="F92" i="12"/>
  <c r="W190" i="31" l="1"/>
  <c r="S13" i="15"/>
  <c r="P13" i="15" s="1"/>
  <c r="U13" i="15"/>
  <c r="R13" i="15" s="1"/>
  <c r="Z34" i="3"/>
  <c r="AA34" i="3" s="1"/>
  <c r="X34" i="3"/>
  <c r="Y34" i="3" s="1"/>
  <c r="V34" i="3"/>
  <c r="W34" i="3" s="1"/>
  <c r="W104" i="31"/>
  <c r="W134" i="31"/>
  <c r="W108" i="31"/>
  <c r="W129" i="31"/>
  <c r="W161" i="31"/>
  <c r="W125" i="31"/>
  <c r="W140" i="31"/>
  <c r="W111" i="31"/>
  <c r="W90" i="31"/>
  <c r="W166" i="31"/>
  <c r="W114" i="31"/>
  <c r="W102" i="31"/>
  <c r="W118" i="31"/>
  <c r="W45" i="31"/>
  <c r="W95" i="31"/>
  <c r="W33" i="31"/>
  <c r="W174" i="31"/>
  <c r="W107" i="31"/>
  <c r="W88" i="31"/>
  <c r="W79" i="31"/>
  <c r="W185" i="31"/>
  <c r="W122" i="31"/>
  <c r="W78" i="31"/>
  <c r="W66" i="31"/>
  <c r="W189" i="31"/>
  <c r="W106" i="31"/>
  <c r="W69" i="31"/>
  <c r="W157" i="31"/>
  <c r="W41" i="31"/>
  <c r="W145" i="31"/>
  <c r="W38" i="31"/>
  <c r="W8" i="31"/>
  <c r="W186" i="31"/>
  <c r="W188" i="31"/>
  <c r="W101" i="31"/>
  <c r="W17" i="31"/>
  <c r="W112" i="31"/>
  <c r="W65" i="31"/>
  <c r="W5" i="31"/>
  <c r="W123" i="31"/>
  <c r="W120" i="31"/>
  <c r="W97" i="31"/>
  <c r="W36" i="31"/>
  <c r="W154" i="31"/>
  <c r="W92" i="31"/>
  <c r="W94" i="31"/>
  <c r="W156" i="31"/>
  <c r="W80" i="31"/>
  <c r="W37" i="31"/>
  <c r="W105" i="31"/>
  <c r="W168" i="31"/>
  <c r="W31" i="31"/>
  <c r="W147" i="31"/>
  <c r="W15" i="31"/>
  <c r="W135" i="31"/>
  <c r="W144" i="31"/>
  <c r="W3" i="31"/>
  <c r="W182" i="31"/>
  <c r="W170" i="31"/>
  <c r="W173" i="31"/>
  <c r="W59" i="31"/>
  <c r="W164" i="31"/>
  <c r="W55" i="31"/>
  <c r="W27" i="31"/>
  <c r="W131" i="31"/>
  <c r="W148" i="31"/>
  <c r="W113" i="31"/>
  <c r="W96" i="31"/>
  <c r="W172" i="31"/>
  <c r="W124" i="31"/>
  <c r="W126" i="31"/>
  <c r="W9" i="31"/>
  <c r="W146" i="31"/>
  <c r="W91" i="31"/>
  <c r="W30" i="31"/>
  <c r="W63" i="31"/>
  <c r="W175" i="31"/>
  <c r="W72" i="31"/>
  <c r="W22" i="31"/>
  <c r="W40" i="31"/>
  <c r="W25" i="31"/>
  <c r="W115" i="31"/>
  <c r="W43" i="31"/>
  <c r="W143" i="31"/>
  <c r="W81" i="31"/>
  <c r="W35" i="31"/>
  <c r="W141" i="31"/>
  <c r="W11" i="31"/>
  <c r="W127" i="31"/>
  <c r="W128" i="31"/>
  <c r="W184" i="31"/>
  <c r="W162" i="31"/>
  <c r="W160" i="31"/>
  <c r="W163" i="31"/>
  <c r="W150" i="31"/>
  <c r="W169" i="31"/>
  <c r="W83" i="31"/>
  <c r="W21" i="31"/>
  <c r="W139" i="31"/>
  <c r="W171" i="31"/>
  <c r="W49" i="31"/>
  <c r="W159" i="31"/>
  <c r="W56" i="31"/>
  <c r="W14" i="31"/>
  <c r="W32" i="31"/>
  <c r="W39" i="31"/>
  <c r="W142" i="31"/>
  <c r="W75" i="31"/>
  <c r="W103" i="31"/>
  <c r="W68" i="31"/>
  <c r="W61" i="31"/>
  <c r="W149" i="31"/>
  <c r="W19" i="31"/>
  <c r="W137" i="31"/>
  <c r="W152" i="31"/>
  <c r="W6" i="31"/>
  <c r="W178" i="31"/>
  <c r="W180" i="31"/>
  <c r="W51" i="31"/>
  <c r="W179" i="31"/>
  <c r="W109" i="31"/>
  <c r="W110" i="31"/>
  <c r="W87" i="31"/>
  <c r="W187" i="31"/>
  <c r="W130" i="31"/>
  <c r="W84" i="31"/>
  <c r="W86" i="31"/>
  <c r="W44" i="31"/>
  <c r="W12" i="31"/>
  <c r="W58" i="31"/>
  <c r="W153" i="31"/>
  <c r="W117" i="31"/>
  <c r="W77" i="31"/>
  <c r="W165" i="31"/>
  <c r="W47" i="31"/>
  <c r="W151" i="31"/>
  <c r="W46" i="31"/>
  <c r="W10" i="31"/>
  <c r="W4" i="31"/>
  <c r="W28" i="31"/>
  <c r="W16" i="31"/>
  <c r="Z33" i="40"/>
  <c r="AA33" i="40" s="1"/>
  <c r="V33" i="40"/>
  <c r="W33" i="40" s="1"/>
  <c r="X33" i="40"/>
  <c r="Y33" i="40" s="1"/>
  <c r="W53" i="31"/>
  <c r="W76" i="31"/>
  <c r="W100" i="31"/>
  <c r="W89" i="31"/>
  <c r="W99" i="31"/>
  <c r="W82" i="31"/>
  <c r="W73" i="31"/>
  <c r="W183" i="31"/>
  <c r="W98" i="31"/>
  <c r="W50" i="31"/>
  <c r="W64" i="31"/>
  <c r="W52" i="31"/>
  <c r="W20" i="31"/>
  <c r="W54" i="31"/>
  <c r="W121" i="31"/>
  <c r="W155" i="31"/>
  <c r="W85" i="31"/>
  <c r="W181" i="31"/>
  <c r="W57" i="31"/>
  <c r="W167" i="31"/>
  <c r="W60" i="31"/>
  <c r="W18" i="31"/>
  <c r="W34" i="31"/>
  <c r="W23" i="31"/>
  <c r="W13" i="31"/>
  <c r="W29" i="31"/>
  <c r="W133" i="31"/>
  <c r="W7" i="31"/>
  <c r="W119" i="31"/>
  <c r="W116" i="31"/>
  <c r="W176" i="31"/>
  <c r="W136" i="31"/>
  <c r="W138" i="31"/>
  <c r="W158" i="31"/>
  <c r="W67" i="31"/>
  <c r="W132" i="31"/>
  <c r="W24" i="31"/>
  <c r="W70" i="31"/>
  <c r="W93" i="31"/>
  <c r="W62" i="31"/>
  <c r="W71" i="31"/>
  <c r="W177" i="31"/>
  <c r="W74" i="31"/>
  <c r="W26" i="31"/>
  <c r="W42" i="31"/>
  <c r="W48" i="31"/>
  <c r="AV2" i="15"/>
  <c r="AN11" i="15"/>
  <c r="C21" i="1" s="1"/>
  <c r="F18" i="40" s="1"/>
  <c r="AO11" i="15"/>
  <c r="E21" i="1" s="1"/>
  <c r="D34" i="3" s="1"/>
  <c r="AM11" i="15"/>
  <c r="F21" i="1" s="1"/>
  <c r="E34" i="3" s="1"/>
  <c r="T13" i="15"/>
  <c r="Q13" i="15" s="1"/>
  <c r="I78" i="13"/>
  <c r="I80" i="13"/>
  <c r="Q25" i="2" s="1"/>
  <c r="I81" i="13"/>
  <c r="E97" i="12"/>
  <c r="Y43" i="2"/>
  <c r="E96" i="12"/>
  <c r="U27" i="40" l="1"/>
  <c r="AA27" i="40"/>
  <c r="AE27" i="40"/>
  <c r="AC27" i="40"/>
  <c r="W27" i="40"/>
  <c r="Y27" i="40"/>
  <c r="AG27" i="40"/>
  <c r="S27" i="40"/>
  <c r="B34" i="3"/>
  <c r="F34" i="3" s="1"/>
  <c r="F19" i="3"/>
  <c r="Z43" i="2"/>
  <c r="V43" i="2"/>
  <c r="C9" i="11"/>
  <c r="W9" i="11" s="1"/>
  <c r="Y8" i="11" s="1"/>
  <c r="C33" i="11"/>
  <c r="C11" i="11"/>
  <c r="W11" i="11" s="1"/>
  <c r="Y10" i="11" s="1"/>
  <c r="C5" i="11"/>
  <c r="W5" i="11" s="1"/>
  <c r="Y5" i="11" s="1"/>
  <c r="L4" i="11"/>
  <c r="R6" i="11" s="1"/>
  <c r="AM4" i="11" s="1"/>
  <c r="K4" i="11"/>
  <c r="Q9" i="11" s="1"/>
  <c r="DD2" i="23" s="1"/>
  <c r="DD193" i="23" s="1"/>
  <c r="J4" i="11"/>
  <c r="P11" i="11" s="1"/>
  <c r="AK9" i="11" s="1"/>
  <c r="C10" i="11"/>
  <c r="W10" i="11" s="1"/>
  <c r="Y9" i="11" s="1"/>
  <c r="C8" i="11"/>
  <c r="W8" i="11" s="1"/>
  <c r="Y7" i="11" s="1"/>
  <c r="C7" i="11"/>
  <c r="W7" i="11" s="1"/>
  <c r="C6" i="11"/>
  <c r="W6" i="11" s="1"/>
  <c r="Y6" i="11" s="1"/>
  <c r="C4" i="11"/>
  <c r="W4" i="11" s="1"/>
  <c r="Y4" i="11" s="1"/>
  <c r="G34" i="3" l="1"/>
  <c r="U28" i="3"/>
  <c r="Y28" i="3"/>
  <c r="W28" i="3"/>
  <c r="AC28" i="3"/>
  <c r="AA28" i="3"/>
  <c r="AE28" i="3"/>
  <c r="AG28" i="3"/>
  <c r="S28" i="3"/>
  <c r="X9" i="11"/>
  <c r="Z8" i="11" s="1"/>
  <c r="AL7" i="11"/>
  <c r="P8" i="11"/>
  <c r="AK6" i="11" s="1"/>
  <c r="P7" i="11"/>
  <c r="AK5" i="11" s="1"/>
  <c r="R8" i="11"/>
  <c r="AM6" i="11" s="1"/>
  <c r="P9" i="11"/>
  <c r="AK7" i="11" s="1"/>
  <c r="P10" i="11"/>
  <c r="AK8" i="11" s="1"/>
  <c r="P4" i="11"/>
  <c r="AK2" i="11" s="1"/>
  <c r="S11" i="11"/>
  <c r="P5" i="11"/>
  <c r="AK3" i="11" s="1"/>
  <c r="P6" i="11"/>
  <c r="AK4" i="11" s="1"/>
  <c r="U6" i="11"/>
  <c r="T9" i="11"/>
  <c r="Q11" i="11"/>
  <c r="Q4" i="11"/>
  <c r="CY2" i="23" s="1"/>
  <c r="CY193" i="23" s="1"/>
  <c r="R9" i="11"/>
  <c r="R4" i="11"/>
  <c r="Q7" i="11"/>
  <c r="DB2" i="23" s="1"/>
  <c r="DB193" i="23" s="1"/>
  <c r="R7" i="11"/>
  <c r="Q10" i="11"/>
  <c r="Q5" i="11"/>
  <c r="R10" i="11"/>
  <c r="R5" i="11"/>
  <c r="Q8" i="11"/>
  <c r="Q6" i="11"/>
  <c r="R11" i="11"/>
  <c r="C13" i="11"/>
  <c r="AL3" i="11" l="1"/>
  <c r="CZ2" i="23"/>
  <c r="CZ193" i="23" s="1"/>
  <c r="AL9" i="11"/>
  <c r="DF2" i="23"/>
  <c r="DF193" i="23" s="1"/>
  <c r="AL4" i="11"/>
  <c r="AT4" i="11" s="1"/>
  <c r="DA2" i="23"/>
  <c r="DA193" i="23" s="1"/>
  <c r="AL6" i="11"/>
  <c r="AT5" i="11" s="1"/>
  <c r="DC2" i="23"/>
  <c r="DC193" i="23" s="1"/>
  <c r="AL8" i="11"/>
  <c r="DE2" i="23"/>
  <c r="DE193" i="23" s="1"/>
  <c r="T4" i="11"/>
  <c r="S8" i="11"/>
  <c r="U8" i="11"/>
  <c r="S7" i="11"/>
  <c r="U7" i="11"/>
  <c r="AM5" i="11"/>
  <c r="U9" i="11"/>
  <c r="AM7" i="11"/>
  <c r="AK11" i="11"/>
  <c r="F13" i="1" s="1"/>
  <c r="E32" i="3" s="1"/>
  <c r="U11" i="11"/>
  <c r="AM9" i="11"/>
  <c r="U4" i="11"/>
  <c r="AM2" i="11"/>
  <c r="AT8" i="11"/>
  <c r="U5" i="11"/>
  <c r="AM3" i="11"/>
  <c r="U10" i="11"/>
  <c r="AM8" i="11"/>
  <c r="X7" i="11"/>
  <c r="AL5" i="11"/>
  <c r="X4" i="11"/>
  <c r="Z4" i="11" s="1"/>
  <c r="AL2" i="11"/>
  <c r="AT2" i="11" s="1"/>
  <c r="S5" i="11"/>
  <c r="AT3" i="11"/>
  <c r="S4" i="11"/>
  <c r="S9" i="11"/>
  <c r="AT6" i="11"/>
  <c r="S6" i="11"/>
  <c r="S10" i="11"/>
  <c r="AT7" i="11"/>
  <c r="T8" i="11"/>
  <c r="X8" i="11"/>
  <c r="Z7" i="11" s="1"/>
  <c r="T5" i="11"/>
  <c r="X5" i="11"/>
  <c r="Z5" i="11" s="1"/>
  <c r="T6" i="11"/>
  <c r="X6" i="11"/>
  <c r="Z6" i="11" s="1"/>
  <c r="T10" i="11"/>
  <c r="X10" i="11"/>
  <c r="Z9" i="11" s="1"/>
  <c r="T7" i="11"/>
  <c r="T11" i="11"/>
  <c r="X11" i="11"/>
  <c r="Z10" i="11" s="1"/>
  <c r="V62" i="31" l="1"/>
  <c r="O62" i="31" s="1"/>
  <c r="S13" i="11"/>
  <c r="P13" i="11" s="1"/>
  <c r="V184" i="31"/>
  <c r="V126" i="31"/>
  <c r="O126" i="31" s="1"/>
  <c r="V159" i="31"/>
  <c r="O159" i="31" s="1"/>
  <c r="V17" i="31"/>
  <c r="V156" i="31"/>
  <c r="V138" i="31"/>
  <c r="O138" i="31" s="1"/>
  <c r="V74" i="31"/>
  <c r="V169" i="31"/>
  <c r="O169" i="31" s="1"/>
  <c r="V41" i="31"/>
  <c r="V119" i="31"/>
  <c r="V6" i="31"/>
  <c r="V35" i="31"/>
  <c r="V21" i="31"/>
  <c r="V149" i="31"/>
  <c r="V64" i="31"/>
  <c r="V128" i="31"/>
  <c r="V158" i="31"/>
  <c r="V113" i="31"/>
  <c r="O113" i="31" s="1"/>
  <c r="V27" i="31"/>
  <c r="V173" i="31"/>
  <c r="O173" i="31" s="1"/>
  <c r="V182" i="31"/>
  <c r="O182" i="31" s="1"/>
  <c r="V118" i="31"/>
  <c r="O118" i="31" s="1"/>
  <c r="V54" i="31"/>
  <c r="O54" i="31" s="1"/>
  <c r="V129" i="31"/>
  <c r="O129" i="31" s="1"/>
  <c r="V11" i="31"/>
  <c r="O11" i="31" s="1"/>
  <c r="V79" i="31"/>
  <c r="O79" i="31" s="1"/>
  <c r="V59" i="31"/>
  <c r="V139" i="31"/>
  <c r="V61" i="31"/>
  <c r="O61" i="31" s="1"/>
  <c r="V189" i="31"/>
  <c r="O189" i="31" s="1"/>
  <c r="V84" i="31"/>
  <c r="O84" i="31" s="1"/>
  <c r="V148" i="31"/>
  <c r="V142" i="31"/>
  <c r="V81" i="31"/>
  <c r="O81" i="31" s="1"/>
  <c r="V115" i="31"/>
  <c r="V44" i="31"/>
  <c r="O44" i="31" s="1"/>
  <c r="V188" i="31"/>
  <c r="V130" i="31"/>
  <c r="V66" i="31"/>
  <c r="O66" i="31" s="1"/>
  <c r="V153" i="31"/>
  <c r="O153" i="31" s="1"/>
  <c r="V25" i="31"/>
  <c r="O25" i="31" s="1"/>
  <c r="V103" i="31"/>
  <c r="V107" i="31"/>
  <c r="V12" i="31"/>
  <c r="V37" i="31"/>
  <c r="V165" i="31"/>
  <c r="O165" i="31" s="1"/>
  <c r="V72" i="31"/>
  <c r="V136" i="31"/>
  <c r="O136" i="31" s="1"/>
  <c r="V109" i="31"/>
  <c r="V186" i="31"/>
  <c r="O186" i="31" s="1"/>
  <c r="V122" i="31"/>
  <c r="O122" i="31" s="1"/>
  <c r="V58" i="31"/>
  <c r="V137" i="31"/>
  <c r="O137" i="31" s="1"/>
  <c r="V15" i="31"/>
  <c r="O15" i="31" s="1"/>
  <c r="V87" i="31"/>
  <c r="V75" i="31"/>
  <c r="O75" i="31" s="1"/>
  <c r="V131" i="31"/>
  <c r="V53" i="31"/>
  <c r="O53" i="31" s="1"/>
  <c r="V181" i="31"/>
  <c r="O181" i="31" s="1"/>
  <c r="V80" i="31"/>
  <c r="O80" i="31" s="1"/>
  <c r="V144" i="31"/>
  <c r="V110" i="31"/>
  <c r="V19" i="31"/>
  <c r="V51" i="31"/>
  <c r="O51" i="31" s="1"/>
  <c r="V60" i="31"/>
  <c r="V166" i="31"/>
  <c r="O166" i="31" s="1"/>
  <c r="V102" i="31"/>
  <c r="V38" i="31"/>
  <c r="O38" i="31" s="1"/>
  <c r="V97" i="31"/>
  <c r="V175" i="31"/>
  <c r="O175" i="31" s="1"/>
  <c r="V47" i="31"/>
  <c r="V8" i="31"/>
  <c r="O8" i="31" s="1"/>
  <c r="V171" i="31"/>
  <c r="V93" i="31"/>
  <c r="V36" i="31"/>
  <c r="V100" i="31"/>
  <c r="V164" i="31"/>
  <c r="O164" i="31" s="1"/>
  <c r="V94" i="31"/>
  <c r="V3" i="31"/>
  <c r="V155" i="31"/>
  <c r="V76" i="31"/>
  <c r="O76" i="31" s="1"/>
  <c r="V178" i="31"/>
  <c r="V114" i="31"/>
  <c r="V50" i="31"/>
  <c r="V121" i="31"/>
  <c r="O121" i="31" s="1"/>
  <c r="V7" i="31"/>
  <c r="V71" i="31"/>
  <c r="V43" i="31"/>
  <c r="O43" i="31" s="1"/>
  <c r="V147" i="31"/>
  <c r="V69" i="31"/>
  <c r="O69" i="31" s="1"/>
  <c r="V24" i="31"/>
  <c r="V88" i="31"/>
  <c r="V152" i="31"/>
  <c r="V63" i="31"/>
  <c r="V145" i="31"/>
  <c r="V91" i="31"/>
  <c r="V28" i="31"/>
  <c r="V170" i="31"/>
  <c r="V106" i="31"/>
  <c r="O106" i="31" s="1"/>
  <c r="V42" i="31"/>
  <c r="V105" i="31"/>
  <c r="O105" i="31" s="1"/>
  <c r="V183" i="31"/>
  <c r="O183" i="31" s="1"/>
  <c r="V55" i="31"/>
  <c r="O55" i="31" s="1"/>
  <c r="V16" i="31"/>
  <c r="O16" i="31" s="1"/>
  <c r="V163" i="31"/>
  <c r="O163" i="31" s="1"/>
  <c r="V85" i="31"/>
  <c r="O85" i="31" s="1"/>
  <c r="V32" i="31"/>
  <c r="V96" i="31"/>
  <c r="V160" i="31"/>
  <c r="O160" i="31" s="1"/>
  <c r="V78" i="31"/>
  <c r="O78" i="31" s="1"/>
  <c r="V127" i="31"/>
  <c r="O127" i="31" s="1"/>
  <c r="V187" i="31"/>
  <c r="V108" i="31"/>
  <c r="O108" i="31" s="1"/>
  <c r="V150" i="31"/>
  <c r="O150" i="31" s="1"/>
  <c r="V86" i="31"/>
  <c r="O86" i="31" s="1"/>
  <c r="V22" i="31"/>
  <c r="V65" i="31"/>
  <c r="V143" i="31"/>
  <c r="O143" i="31" s="1"/>
  <c r="V18" i="31"/>
  <c r="O18" i="31" s="1"/>
  <c r="V83" i="31"/>
  <c r="O83" i="31" s="1"/>
  <c r="V9" i="31"/>
  <c r="V125" i="31"/>
  <c r="V52" i="31"/>
  <c r="V116" i="31"/>
  <c r="V180" i="31"/>
  <c r="V46" i="31"/>
  <c r="V95" i="31"/>
  <c r="V45" i="31"/>
  <c r="V124" i="31"/>
  <c r="V162" i="31"/>
  <c r="V98" i="31"/>
  <c r="V34" i="31"/>
  <c r="O34" i="31" s="1"/>
  <c r="V89" i="31"/>
  <c r="O89" i="31" s="1"/>
  <c r="V167" i="31"/>
  <c r="V39" i="31"/>
  <c r="V190" i="31"/>
  <c r="O190" i="31" s="1"/>
  <c r="V179" i="31"/>
  <c r="V101" i="31"/>
  <c r="O101" i="31" s="1"/>
  <c r="V40" i="31"/>
  <c r="V104" i="31"/>
  <c r="O104" i="31" s="1"/>
  <c r="V168" i="31"/>
  <c r="O168" i="31" s="1"/>
  <c r="U13" i="11"/>
  <c r="R13" i="11" s="1"/>
  <c r="V49" i="31"/>
  <c r="O49" i="31" s="1"/>
  <c r="V4" i="31"/>
  <c r="V92" i="31"/>
  <c r="V154" i="31"/>
  <c r="V90" i="31"/>
  <c r="V26" i="31"/>
  <c r="O26" i="31" s="1"/>
  <c r="V73" i="31"/>
  <c r="V151" i="31"/>
  <c r="O151" i="31" s="1"/>
  <c r="V23" i="31"/>
  <c r="V99" i="31"/>
  <c r="V5" i="31"/>
  <c r="V117" i="31"/>
  <c r="V48" i="31"/>
  <c r="V112" i="31"/>
  <c r="O112" i="31" s="1"/>
  <c r="V176" i="31"/>
  <c r="V30" i="31"/>
  <c r="V31" i="31"/>
  <c r="O31" i="31" s="1"/>
  <c r="V77" i="31"/>
  <c r="O77" i="31" s="1"/>
  <c r="V140" i="31"/>
  <c r="V134" i="31"/>
  <c r="O134" i="31" s="1"/>
  <c r="V70" i="31"/>
  <c r="O70" i="31" s="1"/>
  <c r="V161" i="31"/>
  <c r="O161" i="31" s="1"/>
  <c r="V33" i="31"/>
  <c r="O33" i="31" s="1"/>
  <c r="V111" i="31"/>
  <c r="V123" i="31"/>
  <c r="O123" i="31" s="1"/>
  <c r="V20" i="31"/>
  <c r="O20" i="31" s="1"/>
  <c r="V29" i="31"/>
  <c r="V157" i="31"/>
  <c r="V68" i="31"/>
  <c r="O68" i="31" s="1"/>
  <c r="V132" i="31"/>
  <c r="O132" i="31" s="1"/>
  <c r="V174" i="31"/>
  <c r="O174" i="31" s="1"/>
  <c r="V177" i="31"/>
  <c r="V10" i="31"/>
  <c r="O10" i="31" s="1"/>
  <c r="V141" i="31"/>
  <c r="O141" i="31" s="1"/>
  <c r="V172" i="31"/>
  <c r="V146" i="31"/>
  <c r="O146" i="31" s="1"/>
  <c r="V82" i="31"/>
  <c r="V185" i="31"/>
  <c r="V57" i="31"/>
  <c r="V135" i="31"/>
  <c r="O135" i="31" s="1"/>
  <c r="V14" i="31"/>
  <c r="V67" i="31"/>
  <c r="V13" i="31"/>
  <c r="O13" i="31" s="1"/>
  <c r="V133" i="31"/>
  <c r="V56" i="31"/>
  <c r="V120" i="31"/>
  <c r="T13" i="11"/>
  <c r="Q13" i="11" s="1"/>
  <c r="AL11" i="11"/>
  <c r="C13" i="1" s="1"/>
  <c r="F10" i="40" s="1"/>
  <c r="AM11" i="11"/>
  <c r="E13" i="1" s="1"/>
  <c r="D32" i="3" s="1"/>
  <c r="F9" i="10"/>
  <c r="F8" i="10"/>
  <c r="F7" i="10"/>
  <c r="F6" i="10"/>
  <c r="F5" i="10"/>
  <c r="F4" i="10"/>
  <c r="I9" i="10"/>
  <c r="J9" i="10" s="1"/>
  <c r="I8" i="10"/>
  <c r="I7" i="10"/>
  <c r="I6" i="10"/>
  <c r="I5" i="10"/>
  <c r="I4" i="10"/>
  <c r="C11" i="10"/>
  <c r="D9" i="10"/>
  <c r="D8" i="10"/>
  <c r="D7" i="10"/>
  <c r="D6" i="10"/>
  <c r="D5" i="10"/>
  <c r="D4" i="10"/>
  <c r="J8" i="10" l="1"/>
  <c r="J7" i="10"/>
  <c r="Y19" i="40"/>
  <c r="Y9" i="40" s="1"/>
  <c r="AG19" i="40"/>
  <c r="AG9" i="40" s="1"/>
  <c r="U19" i="40"/>
  <c r="U9" i="40" s="1"/>
  <c r="AA19" i="40"/>
  <c r="AA9" i="40" s="1"/>
  <c r="AE19" i="40"/>
  <c r="AE9" i="40" s="1"/>
  <c r="AC19" i="40"/>
  <c r="AC9" i="40" s="1"/>
  <c r="S19" i="40"/>
  <c r="S9" i="40" s="1"/>
  <c r="W19" i="40"/>
  <c r="W9" i="40" s="1"/>
  <c r="B32" i="3"/>
  <c r="F11" i="3"/>
  <c r="U43" i="2"/>
  <c r="J6" i="10"/>
  <c r="I11" i="10"/>
  <c r="D11" i="10"/>
  <c r="B11" i="10" s="1"/>
  <c r="J4" i="10"/>
  <c r="J5" i="10"/>
  <c r="I19" i="2"/>
  <c r="W5" i="40" l="1"/>
  <c r="W7" i="40"/>
  <c r="W8" i="40" s="1"/>
  <c r="S5" i="40"/>
  <c r="S7" i="40"/>
  <c r="S8" i="40" s="1"/>
  <c r="AC7" i="40"/>
  <c r="AC8" i="40" s="1"/>
  <c r="AC5" i="40"/>
  <c r="AG5" i="40"/>
  <c r="AG7" i="40"/>
  <c r="AG8" i="40" s="1"/>
  <c r="AE7" i="40"/>
  <c r="AE8" i="40" s="1"/>
  <c r="AE5" i="40"/>
  <c r="AA7" i="40"/>
  <c r="AA8" i="40" s="1"/>
  <c r="AA5" i="40"/>
  <c r="U7" i="40"/>
  <c r="U8" i="40" s="1"/>
  <c r="Y5" i="40"/>
  <c r="Y7" i="40"/>
  <c r="Y8" i="40" s="1"/>
  <c r="Y20" i="3"/>
  <c r="Y9" i="3" s="1"/>
  <c r="W20" i="3"/>
  <c r="W9" i="3" s="1"/>
  <c r="AG20" i="3"/>
  <c r="AG9" i="3" s="1"/>
  <c r="AC20" i="3"/>
  <c r="AC9" i="3" s="1"/>
  <c r="AA20" i="3"/>
  <c r="AA9" i="3" s="1"/>
  <c r="U20" i="3"/>
  <c r="U9" i="3" s="1"/>
  <c r="U7" i="3" s="1"/>
  <c r="U8" i="3" s="1"/>
  <c r="S20" i="3"/>
  <c r="S9" i="3" s="1"/>
  <c r="AE20" i="3"/>
  <c r="AE9" i="3" s="1"/>
  <c r="F32" i="3"/>
  <c r="G32" i="3"/>
  <c r="J11" i="10"/>
  <c r="F11" i="10" s="1"/>
  <c r="T43" i="2"/>
  <c r="Q43" i="2"/>
  <c r="R28" i="2"/>
  <c r="Q28" i="2"/>
  <c r="Q8" i="40" l="1"/>
  <c r="S4" i="40" s="1"/>
  <c r="AJ3" i="40" s="1"/>
  <c r="AK3" i="40" s="1"/>
  <c r="Y5" i="3"/>
  <c r="Y7" i="3"/>
  <c r="Y8" i="3" s="1"/>
  <c r="S7" i="3"/>
  <c r="S8" i="3" s="1"/>
  <c r="S5" i="3"/>
  <c r="AC5" i="3"/>
  <c r="AC7" i="3"/>
  <c r="AC8" i="3" s="1"/>
  <c r="AG5" i="3"/>
  <c r="AG7" i="3"/>
  <c r="AG8" i="3" s="1"/>
  <c r="AE5" i="3"/>
  <c r="AE7" i="3"/>
  <c r="AE8" i="3" s="1"/>
  <c r="AA7" i="3"/>
  <c r="AA8" i="3" s="1"/>
  <c r="AA5" i="3"/>
  <c r="W5" i="3"/>
  <c r="W7" i="3"/>
  <c r="W8" i="3" s="1"/>
  <c r="K19" i="2"/>
  <c r="D19" i="2" s="1"/>
  <c r="J19" i="2"/>
  <c r="C19" i="2" s="1"/>
  <c r="AG4" i="40" l="1"/>
  <c r="AJ4" i="40" s="1"/>
  <c r="AK4" i="40" s="1"/>
  <c r="W4" i="40"/>
  <c r="AJ9" i="40" s="1"/>
  <c r="AK9" i="40" s="1"/>
  <c r="U4" i="40"/>
  <c r="AJ2" i="40" s="1"/>
  <c r="AK2" i="40" s="1"/>
  <c r="AA4" i="40"/>
  <c r="AJ7" i="40" s="1"/>
  <c r="AK7" i="40" s="1"/>
  <c r="AC4" i="40"/>
  <c r="AJ5" i="40" s="1"/>
  <c r="AK5" i="40" s="1"/>
  <c r="AE4" i="40"/>
  <c r="AJ6" i="40" s="1"/>
  <c r="AK6" i="40" s="1"/>
  <c r="Y4" i="40"/>
  <c r="AJ8" i="40" s="1"/>
  <c r="AK8" i="40" s="1"/>
  <c r="Q8" i="3"/>
  <c r="S4" i="3" s="1"/>
  <c r="AJ3" i="3" s="1"/>
  <c r="AK3" i="3" s="1"/>
  <c r="G7" i="2"/>
  <c r="G5" i="2"/>
  <c r="G4" i="2"/>
  <c r="G6" i="2"/>
  <c r="G3" i="2"/>
  <c r="H7" i="2"/>
  <c r="H5" i="2"/>
  <c r="H4" i="2"/>
  <c r="H6" i="2"/>
  <c r="H3" i="2"/>
  <c r="H18" i="2"/>
  <c r="H8" i="2"/>
  <c r="G18" i="2"/>
  <c r="G8" i="2"/>
  <c r="H9" i="2"/>
  <c r="H10" i="2"/>
  <c r="H11" i="2"/>
  <c r="H12" i="2"/>
  <c r="G13" i="2"/>
  <c r="H15" i="2"/>
  <c r="H16" i="2"/>
  <c r="H17" i="2"/>
  <c r="H14" i="2"/>
  <c r="G9" i="2"/>
  <c r="G10" i="2"/>
  <c r="G11" i="2"/>
  <c r="G12" i="2"/>
  <c r="H13" i="2"/>
  <c r="G15" i="2"/>
  <c r="G16" i="2"/>
  <c r="G17" i="2"/>
  <c r="G14" i="2"/>
  <c r="H19" i="2"/>
  <c r="G19" i="2"/>
  <c r="L19" i="2"/>
  <c r="M19" i="2"/>
  <c r="A20" i="2"/>
  <c r="B20" i="2" l="1"/>
  <c r="H20" i="2" s="1"/>
  <c r="O20" i="2"/>
  <c r="N20" i="2"/>
  <c r="AC4" i="3"/>
  <c r="AJ5" i="3" s="1"/>
  <c r="AK5" i="3" s="1"/>
  <c r="AG4" i="3"/>
  <c r="AJ4" i="3" s="1"/>
  <c r="AK4" i="3" s="1"/>
  <c r="AA4" i="3"/>
  <c r="AJ7" i="3" s="1"/>
  <c r="AK7" i="3" s="1"/>
  <c r="U4" i="3"/>
  <c r="AJ2" i="3" s="1"/>
  <c r="AK2" i="3" s="1"/>
  <c r="AE4" i="3"/>
  <c r="AJ6" i="3" s="1"/>
  <c r="AK6" i="3" s="1"/>
  <c r="W4" i="3"/>
  <c r="AJ9" i="3" s="1"/>
  <c r="AK9" i="3" s="1"/>
  <c r="Y4" i="3"/>
  <c r="AJ8" i="3" s="1"/>
  <c r="AK8" i="3" s="1"/>
  <c r="I20" i="2"/>
  <c r="A21" i="2"/>
  <c r="K20" i="2"/>
  <c r="D20" i="2" s="1"/>
  <c r="J20" i="2"/>
  <c r="C20" i="2" s="1"/>
  <c r="F19" i="2"/>
  <c r="E19" i="2"/>
  <c r="G20" i="2" l="1"/>
  <c r="B21" i="2"/>
  <c r="AY2" i="31" s="1"/>
  <c r="AY19" i="31" s="1"/>
  <c r="N21" i="2"/>
  <c r="O21" i="2"/>
  <c r="H21" i="2"/>
  <c r="F20" i="2"/>
  <c r="I21" i="2"/>
  <c r="E20" i="2"/>
  <c r="L20" i="2"/>
  <c r="M20" i="2"/>
  <c r="A22" i="2"/>
  <c r="J21" i="2"/>
  <c r="C21" i="2" s="1"/>
  <c r="K21" i="2"/>
  <c r="D21" i="2" s="1"/>
  <c r="G21" i="2" l="1"/>
  <c r="B22" i="2"/>
  <c r="N22" i="2"/>
  <c r="O22" i="2"/>
  <c r="AY181" i="31"/>
  <c r="AY163" i="31"/>
  <c r="AY165" i="31"/>
  <c r="AY58" i="31"/>
  <c r="AY77" i="31"/>
  <c r="AY24" i="31"/>
  <c r="AY40" i="31"/>
  <c r="AY103" i="31"/>
  <c r="AY99" i="31"/>
  <c r="AY26" i="31"/>
  <c r="AY147" i="31"/>
  <c r="AY189" i="31"/>
  <c r="AY172" i="31"/>
  <c r="AY110" i="31"/>
  <c r="AY85" i="31"/>
  <c r="AY11" i="31"/>
  <c r="AY46" i="31"/>
  <c r="AY71" i="31"/>
  <c r="AY106" i="31"/>
  <c r="AY53" i="31"/>
  <c r="AY133" i="31"/>
  <c r="AY16" i="31"/>
  <c r="AY27" i="31"/>
  <c r="AY28" i="31"/>
  <c r="AY94" i="31"/>
  <c r="AY87" i="31"/>
  <c r="AY153" i="31"/>
  <c r="AY3" i="31"/>
  <c r="AY60" i="31"/>
  <c r="AY80" i="31"/>
  <c r="AY42" i="31"/>
  <c r="AY140" i="31"/>
  <c r="AY107" i="31"/>
  <c r="AY70" i="31"/>
  <c r="AY111" i="31"/>
  <c r="AY127" i="31"/>
  <c r="AY49" i="31"/>
  <c r="AY130" i="31"/>
  <c r="AY62" i="31"/>
  <c r="AY136" i="31"/>
  <c r="AY20" i="31"/>
  <c r="AY73" i="31"/>
  <c r="AY35" i="31"/>
  <c r="AY104" i="31"/>
  <c r="AY118" i="31"/>
  <c r="AY68" i="31"/>
  <c r="AY44" i="31"/>
  <c r="AY7" i="31"/>
  <c r="AY186" i="31"/>
  <c r="AY152" i="31"/>
  <c r="AY6" i="31"/>
  <c r="AY184" i="31"/>
  <c r="AY41" i="31"/>
  <c r="AY183" i="31"/>
  <c r="AY164" i="31"/>
  <c r="AY29" i="31"/>
  <c r="AY177" i="31"/>
  <c r="AY146" i="31"/>
  <c r="AY59" i="31"/>
  <c r="AY39" i="31"/>
  <c r="AY4" i="31"/>
  <c r="AY125" i="31"/>
  <c r="AY79" i="31"/>
  <c r="AY182" i="31"/>
  <c r="AY38" i="31"/>
  <c r="AY69" i="31"/>
  <c r="AY56" i="31"/>
  <c r="AY168" i="31"/>
  <c r="AY33" i="31"/>
  <c r="AY145" i="31"/>
  <c r="AY122" i="31"/>
  <c r="AY15" i="31"/>
  <c r="AY100" i="31"/>
  <c r="AY174" i="31"/>
  <c r="AY57" i="31"/>
  <c r="AY72" i="31"/>
  <c r="AY162" i="31"/>
  <c r="AY31" i="31"/>
  <c r="AY74" i="31"/>
  <c r="AY158" i="31"/>
  <c r="AY131" i="31"/>
  <c r="AY86" i="31"/>
  <c r="AY108" i="31"/>
  <c r="AY67" i="31"/>
  <c r="AY142" i="31"/>
  <c r="AY149" i="31"/>
  <c r="AY37" i="31"/>
  <c r="AY101" i="31"/>
  <c r="AY17" i="31"/>
  <c r="AY61" i="31"/>
  <c r="AY135" i="31"/>
  <c r="AY96" i="31"/>
  <c r="AY83" i="31"/>
  <c r="AY78" i="31"/>
  <c r="AY98" i="31"/>
  <c r="AY117" i="31"/>
  <c r="AY82" i="31"/>
  <c r="AY95" i="31"/>
  <c r="AY64" i="31"/>
  <c r="AY161" i="31"/>
  <c r="AY176" i="31"/>
  <c r="AY34" i="31"/>
  <c r="AY151" i="31"/>
  <c r="AY157" i="31"/>
  <c r="AY119" i="31"/>
  <c r="AY14" i="31"/>
  <c r="AY102" i="31"/>
  <c r="AY178" i="31"/>
  <c r="AY22" i="31"/>
  <c r="AY32" i="31"/>
  <c r="AY76" i="31"/>
  <c r="AY47" i="31"/>
  <c r="AY179" i="31"/>
  <c r="AY148" i="31"/>
  <c r="AY169" i="31"/>
  <c r="AY84" i="31"/>
  <c r="AY138" i="31"/>
  <c r="AY126" i="31"/>
  <c r="AY188" i="31"/>
  <c r="AY36" i="31"/>
  <c r="AY143" i="31"/>
  <c r="AY91" i="31"/>
  <c r="AY137" i="31"/>
  <c r="AY90" i="31"/>
  <c r="AY92" i="31"/>
  <c r="AY113" i="31"/>
  <c r="AY170" i="31"/>
  <c r="AY9" i="31"/>
  <c r="AY97" i="31"/>
  <c r="AY75" i="31"/>
  <c r="AY123" i="31"/>
  <c r="AY48" i="31"/>
  <c r="AY185" i="31"/>
  <c r="AY180" i="31"/>
  <c r="AY160" i="31"/>
  <c r="AY81" i="31"/>
  <c r="AY156" i="31"/>
  <c r="AY54" i="31"/>
  <c r="AY105" i="31"/>
  <c r="AY23" i="31"/>
  <c r="AY173" i="31"/>
  <c r="AY12" i="31"/>
  <c r="AY134" i="31"/>
  <c r="AY43" i="31"/>
  <c r="AY51" i="31"/>
  <c r="AY187" i="31"/>
  <c r="AY66" i="31"/>
  <c r="AY63" i="31"/>
  <c r="AY116" i="31"/>
  <c r="AY89" i="31"/>
  <c r="AY154" i="31"/>
  <c r="AY25" i="31"/>
  <c r="AY175" i="31"/>
  <c r="AY8" i="31"/>
  <c r="AY167" i="31"/>
  <c r="AY55" i="31"/>
  <c r="AY114" i="31"/>
  <c r="AY120" i="31"/>
  <c r="AY45" i="31"/>
  <c r="AY141" i="31"/>
  <c r="AY93" i="31"/>
  <c r="AY121" i="31"/>
  <c r="AY18" i="31"/>
  <c r="AY88" i="31"/>
  <c r="AY52" i="31"/>
  <c r="AY159" i="31"/>
  <c r="AY109" i="31"/>
  <c r="AY132" i="31"/>
  <c r="AY166" i="31"/>
  <c r="AY128" i="31"/>
  <c r="AY124" i="31"/>
  <c r="AY171" i="31"/>
  <c r="AY129" i="31"/>
  <c r="AY5" i="31"/>
  <c r="AY50" i="31"/>
  <c r="AY155" i="31"/>
  <c r="AY21" i="31"/>
  <c r="AY65" i="31"/>
  <c r="AY10" i="31"/>
  <c r="AY115" i="31"/>
  <c r="AY139" i="31"/>
  <c r="AY30" i="31"/>
  <c r="AY112" i="31"/>
  <c r="AY13" i="31"/>
  <c r="AY144" i="31"/>
  <c r="AY190" i="31"/>
  <c r="AY150" i="31"/>
  <c r="AZ2" i="31"/>
  <c r="AZ120" i="31" s="1"/>
  <c r="H22" i="2"/>
  <c r="G22" i="2"/>
  <c r="I22" i="2"/>
  <c r="M21" i="2"/>
  <c r="L21" i="2"/>
  <c r="A23" i="2"/>
  <c r="J22" i="2"/>
  <c r="C22" i="2" s="1"/>
  <c r="K22" i="2"/>
  <c r="D22" i="2" s="1"/>
  <c r="F21" i="2"/>
  <c r="E21" i="2"/>
  <c r="B23" i="2" l="1"/>
  <c r="N23" i="2"/>
  <c r="O23" i="2"/>
  <c r="AZ12" i="31"/>
  <c r="AZ44" i="31"/>
  <c r="AZ60" i="31"/>
  <c r="AZ131" i="31"/>
  <c r="AZ5" i="31"/>
  <c r="AZ133" i="31"/>
  <c r="AZ107" i="31"/>
  <c r="AZ91" i="31"/>
  <c r="AZ40" i="31"/>
  <c r="AZ18" i="31"/>
  <c r="AZ126" i="31"/>
  <c r="AZ16" i="31"/>
  <c r="AZ132" i="31"/>
  <c r="AZ187" i="31"/>
  <c r="AZ178" i="31"/>
  <c r="AZ10" i="31"/>
  <c r="AZ162" i="31"/>
  <c r="AZ41" i="31"/>
  <c r="AZ183" i="31"/>
  <c r="AZ79" i="31"/>
  <c r="AZ24" i="31"/>
  <c r="AZ45" i="31"/>
  <c r="AZ35" i="31"/>
  <c r="AZ166" i="31"/>
  <c r="AZ163" i="31"/>
  <c r="AZ82" i="31"/>
  <c r="AZ51" i="31"/>
  <c r="AZ116" i="31"/>
  <c r="AY1" i="31"/>
  <c r="AZ136" i="31"/>
  <c r="AZ127" i="31"/>
  <c r="AZ185" i="31"/>
  <c r="AZ28" i="31"/>
  <c r="AZ89" i="31"/>
  <c r="AZ106" i="31"/>
  <c r="AZ25" i="31"/>
  <c r="AZ65" i="31"/>
  <c r="AZ26" i="31"/>
  <c r="AZ174" i="31"/>
  <c r="AZ96" i="31"/>
  <c r="AZ181" i="31"/>
  <c r="AZ92" i="31"/>
  <c r="AZ66" i="31"/>
  <c r="AZ23" i="31"/>
  <c r="AZ9" i="31"/>
  <c r="AZ75" i="31"/>
  <c r="AZ161" i="31"/>
  <c r="AZ43" i="31"/>
  <c r="AZ156" i="31"/>
  <c r="AZ182" i="31"/>
  <c r="AZ128" i="31"/>
  <c r="AZ98" i="31"/>
  <c r="AZ47" i="31"/>
  <c r="AZ145" i="31"/>
  <c r="AZ104" i="31"/>
  <c r="AZ103" i="31"/>
  <c r="AZ14" i="31"/>
  <c r="AZ30" i="31"/>
  <c r="AZ113" i="31"/>
  <c r="AZ31" i="31"/>
  <c r="AZ58" i="31"/>
  <c r="AZ56" i="31"/>
  <c r="AZ70" i="31"/>
  <c r="AZ54" i="31"/>
  <c r="AZ67" i="31"/>
  <c r="AZ177" i="31"/>
  <c r="AZ108" i="31"/>
  <c r="AZ17" i="31"/>
  <c r="AZ142" i="31"/>
  <c r="AZ49" i="31"/>
  <c r="AZ72" i="31"/>
  <c r="AZ3" i="31"/>
  <c r="AZ153" i="31"/>
  <c r="AZ190" i="31"/>
  <c r="AZ86" i="31"/>
  <c r="AZ180" i="31"/>
  <c r="AZ42" i="31"/>
  <c r="AZ154" i="31"/>
  <c r="AZ160" i="31"/>
  <c r="AZ189" i="31"/>
  <c r="AZ20" i="31"/>
  <c r="AZ184" i="31"/>
  <c r="AZ150" i="31"/>
  <c r="AZ148" i="31"/>
  <c r="AZ34" i="31"/>
  <c r="AZ173" i="31"/>
  <c r="AZ155" i="31"/>
  <c r="AZ130" i="31"/>
  <c r="AZ151" i="31"/>
  <c r="AZ122" i="31"/>
  <c r="AZ8" i="31"/>
  <c r="AZ74" i="31"/>
  <c r="AZ38" i="31"/>
  <c r="AZ83" i="31"/>
  <c r="AZ118" i="31"/>
  <c r="AZ146" i="31"/>
  <c r="AZ69" i="31"/>
  <c r="AZ159" i="31"/>
  <c r="AZ152" i="31"/>
  <c r="AZ123" i="31"/>
  <c r="AZ138" i="31"/>
  <c r="AZ125" i="31"/>
  <c r="AZ50" i="31"/>
  <c r="AZ84" i="31"/>
  <c r="AZ4" i="31"/>
  <c r="AZ29" i="31"/>
  <c r="AZ22" i="31"/>
  <c r="AZ149" i="31"/>
  <c r="AZ137" i="31"/>
  <c r="AZ165" i="31"/>
  <c r="AZ147" i="31"/>
  <c r="AZ6" i="31"/>
  <c r="AZ77" i="31"/>
  <c r="AZ27" i="31"/>
  <c r="AZ140" i="31"/>
  <c r="AZ172" i="31"/>
  <c r="AZ157" i="31"/>
  <c r="AZ143" i="31"/>
  <c r="AZ59" i="31"/>
  <c r="AZ33" i="31"/>
  <c r="AZ134" i="31"/>
  <c r="AZ37" i="31"/>
  <c r="AZ71" i="31"/>
  <c r="AZ11" i="31"/>
  <c r="AZ135" i="31"/>
  <c r="AZ32" i="31"/>
  <c r="AZ186" i="31"/>
  <c r="AZ80" i="31"/>
  <c r="AZ124" i="31"/>
  <c r="AZ170" i="31"/>
  <c r="AZ21" i="31"/>
  <c r="AZ109" i="31"/>
  <c r="AZ85" i="31"/>
  <c r="AZ57" i="31"/>
  <c r="AZ53" i="31"/>
  <c r="AZ164" i="31"/>
  <c r="AZ39" i="31"/>
  <c r="AZ105" i="31"/>
  <c r="AZ100" i="31"/>
  <c r="AZ94" i="31"/>
  <c r="AZ78" i="31"/>
  <c r="AZ87" i="31"/>
  <c r="AZ63" i="31"/>
  <c r="AZ121" i="31"/>
  <c r="AZ112" i="31"/>
  <c r="AZ76" i="31"/>
  <c r="AZ90" i="31"/>
  <c r="AZ36" i="31"/>
  <c r="AZ81" i="31"/>
  <c r="AZ111" i="31"/>
  <c r="AZ141" i="31"/>
  <c r="AZ15" i="31"/>
  <c r="AZ99" i="31"/>
  <c r="AZ139" i="31"/>
  <c r="AZ179" i="31"/>
  <c r="AZ129" i="31"/>
  <c r="AZ46" i="31"/>
  <c r="AZ101" i="31"/>
  <c r="AZ73" i="31"/>
  <c r="AZ19" i="31"/>
  <c r="AZ97" i="31"/>
  <c r="AZ110" i="31"/>
  <c r="AZ68" i="31"/>
  <c r="AZ55" i="31"/>
  <c r="AZ168" i="31"/>
  <c r="AZ7" i="31"/>
  <c r="AZ188" i="31"/>
  <c r="AZ48" i="31"/>
  <c r="AZ167" i="31"/>
  <c r="AZ88" i="31"/>
  <c r="AZ102" i="31"/>
  <c r="AZ114" i="31"/>
  <c r="AZ13" i="31"/>
  <c r="AZ115" i="31"/>
  <c r="AZ158" i="31"/>
  <c r="AZ176" i="31"/>
  <c r="AZ144" i="31"/>
  <c r="AZ64" i="31"/>
  <c r="AZ61" i="31"/>
  <c r="AZ119" i="31"/>
  <c r="AZ52" i="31"/>
  <c r="AZ175" i="31"/>
  <c r="AZ93" i="31"/>
  <c r="AZ62" i="31"/>
  <c r="AZ169" i="31"/>
  <c r="AZ95" i="31"/>
  <c r="AZ117" i="31"/>
  <c r="AZ171" i="31"/>
  <c r="BA2" i="31"/>
  <c r="BA88" i="31" s="1"/>
  <c r="BE88" i="31" s="1"/>
  <c r="H23" i="2"/>
  <c r="G23" i="2"/>
  <c r="I23" i="2"/>
  <c r="E22" i="2"/>
  <c r="F22" i="2"/>
  <c r="M22" i="2"/>
  <c r="L22" i="2"/>
  <c r="A24" i="2"/>
  <c r="J23" i="2"/>
  <c r="C23" i="2" s="1"/>
  <c r="K23" i="2"/>
  <c r="D23" i="2" s="1"/>
  <c r="B24" i="2" l="1"/>
  <c r="O24" i="2"/>
  <c r="N24" i="2"/>
  <c r="BA178" i="31"/>
  <c r="BE178" i="31" s="1"/>
  <c r="BA89" i="31"/>
  <c r="BE89" i="31" s="1"/>
  <c r="BA116" i="31"/>
  <c r="BE116" i="31" s="1"/>
  <c r="BA68" i="31"/>
  <c r="BE68" i="31" s="1"/>
  <c r="BA74" i="31"/>
  <c r="BE74" i="31" s="1"/>
  <c r="BA85" i="31"/>
  <c r="BE85" i="31" s="1"/>
  <c r="BA45" i="31"/>
  <c r="BE45" i="31" s="1"/>
  <c r="BA6" i="31"/>
  <c r="BE6" i="31" s="1"/>
  <c r="BA186" i="31"/>
  <c r="BE186" i="31" s="1"/>
  <c r="BA32" i="31"/>
  <c r="BE32" i="31" s="1"/>
  <c r="BA10" i="31"/>
  <c r="BE10" i="31" s="1"/>
  <c r="BA3" i="31"/>
  <c r="BA29" i="31"/>
  <c r="BE29" i="31" s="1"/>
  <c r="BA190" i="31"/>
  <c r="BE190" i="31" s="1"/>
  <c r="BA150" i="31"/>
  <c r="BE150" i="31" s="1"/>
  <c r="BA39" i="31"/>
  <c r="BE39" i="31" s="1"/>
  <c r="BA172" i="31"/>
  <c r="BE172" i="31" s="1"/>
  <c r="BA94" i="31"/>
  <c r="BE94" i="31" s="1"/>
  <c r="BA154" i="31"/>
  <c r="BE154" i="31" s="1"/>
  <c r="BA49" i="31"/>
  <c r="BE49" i="31" s="1"/>
  <c r="BA160" i="31"/>
  <c r="BE160" i="31" s="1"/>
  <c r="BA129" i="31"/>
  <c r="BE129" i="31" s="1"/>
  <c r="BA51" i="31"/>
  <c r="BE51" i="31" s="1"/>
  <c r="BA90" i="31"/>
  <c r="BE90" i="31" s="1"/>
  <c r="BA144" i="31"/>
  <c r="BE144" i="31" s="1"/>
  <c r="BA142" i="31"/>
  <c r="BE142" i="31" s="1"/>
  <c r="BA147" i="31"/>
  <c r="BE147" i="31" s="1"/>
  <c r="BA119" i="31"/>
  <c r="BE119" i="31" s="1"/>
  <c r="BA63" i="31"/>
  <c r="BE63" i="31" s="1"/>
  <c r="BA108" i="31"/>
  <c r="BE108" i="31" s="1"/>
  <c r="BA92" i="31"/>
  <c r="BE92" i="31" s="1"/>
  <c r="BA140" i="31"/>
  <c r="BE140" i="31" s="1"/>
  <c r="BA105" i="31"/>
  <c r="BE105" i="31" s="1"/>
  <c r="BA91" i="31"/>
  <c r="BE91" i="31" s="1"/>
  <c r="BA4" i="31"/>
  <c r="BE4" i="31" s="1"/>
  <c r="BA20" i="31"/>
  <c r="BE20" i="31" s="1"/>
  <c r="BA141" i="31"/>
  <c r="BE141" i="31" s="1"/>
  <c r="BA135" i="31"/>
  <c r="BE135" i="31" s="1"/>
  <c r="BA17" i="31"/>
  <c r="BE17" i="31" s="1"/>
  <c r="BA66" i="31"/>
  <c r="BE66" i="31" s="1"/>
  <c r="BA87" i="31"/>
  <c r="BE87" i="31" s="1"/>
  <c r="BA25" i="31"/>
  <c r="BE25" i="31" s="1"/>
  <c r="BA22" i="31"/>
  <c r="BE22" i="31" s="1"/>
  <c r="BA69" i="31"/>
  <c r="BE69" i="31" s="1"/>
  <c r="BA139" i="31"/>
  <c r="BE139" i="31" s="1"/>
  <c r="BA157" i="31"/>
  <c r="BE157" i="31" s="1"/>
  <c r="BA187" i="31"/>
  <c r="BE187" i="31" s="1"/>
  <c r="BA103" i="31"/>
  <c r="BE103" i="31" s="1"/>
  <c r="BA38" i="31"/>
  <c r="BE38" i="31" s="1"/>
  <c r="BA52" i="31"/>
  <c r="BE52" i="31" s="1"/>
  <c r="BA86" i="31"/>
  <c r="BE86" i="31" s="1"/>
  <c r="BA101" i="31"/>
  <c r="BE101" i="31" s="1"/>
  <c r="BA27" i="31"/>
  <c r="BE27" i="31" s="1"/>
  <c r="BA76" i="31"/>
  <c r="BE76" i="31" s="1"/>
  <c r="BA109" i="31"/>
  <c r="BE109" i="31" s="1"/>
  <c r="BA21" i="31"/>
  <c r="BE21" i="31" s="1"/>
  <c r="BA28" i="31"/>
  <c r="BE28" i="31" s="1"/>
  <c r="BA163" i="31"/>
  <c r="BE163" i="31" s="1"/>
  <c r="BA40" i="31"/>
  <c r="BE40" i="31" s="1"/>
  <c r="BA70" i="31"/>
  <c r="BE70" i="31" s="1"/>
  <c r="BA123" i="31"/>
  <c r="BE123" i="31" s="1"/>
  <c r="BA7" i="31"/>
  <c r="BE7" i="31" s="1"/>
  <c r="BA81" i="31"/>
  <c r="BE81" i="31" s="1"/>
  <c r="BA60" i="31"/>
  <c r="BE60" i="31" s="1"/>
  <c r="BA133" i="31"/>
  <c r="BE133" i="31" s="1"/>
  <c r="BA24" i="31"/>
  <c r="BE24" i="31" s="1"/>
  <c r="BA177" i="31"/>
  <c r="BE177" i="31" s="1"/>
  <c r="BA138" i="31"/>
  <c r="BE138" i="31" s="1"/>
  <c r="BA153" i="31"/>
  <c r="BE153" i="31" s="1"/>
  <c r="BA176" i="31"/>
  <c r="BE176" i="31" s="1"/>
  <c r="BA162" i="31"/>
  <c r="BE162" i="31" s="1"/>
  <c r="BA16" i="31"/>
  <c r="BE16" i="31" s="1"/>
  <c r="BA67" i="31"/>
  <c r="BE67" i="31" s="1"/>
  <c r="BA151" i="31"/>
  <c r="BE151" i="31" s="1"/>
  <c r="BA35" i="31"/>
  <c r="BE35" i="31" s="1"/>
  <c r="BA47" i="31"/>
  <c r="BE47" i="31" s="1"/>
  <c r="BA145" i="31"/>
  <c r="BE145" i="31" s="1"/>
  <c r="BA118" i="31"/>
  <c r="BE118" i="31" s="1"/>
  <c r="BA115" i="31"/>
  <c r="BE115" i="31" s="1"/>
  <c r="BA42" i="31"/>
  <c r="BE42" i="31" s="1"/>
  <c r="BA64" i="31"/>
  <c r="BE64" i="31" s="1"/>
  <c r="BA99" i="31"/>
  <c r="BE99" i="31" s="1"/>
  <c r="BA23" i="31"/>
  <c r="BE23" i="31" s="1"/>
  <c r="BA58" i="31"/>
  <c r="BE58" i="31" s="1"/>
  <c r="BA107" i="31"/>
  <c r="BE107" i="31" s="1"/>
  <c r="BA130" i="31"/>
  <c r="BE130" i="31" s="1"/>
  <c r="BA98" i="31"/>
  <c r="BE98" i="31" s="1"/>
  <c r="BA180" i="31"/>
  <c r="BE180" i="31" s="1"/>
  <c r="BA12" i="31"/>
  <c r="BE12" i="31" s="1"/>
  <c r="BA31" i="31"/>
  <c r="BE31" i="31" s="1"/>
  <c r="BA111" i="31"/>
  <c r="BE111" i="31" s="1"/>
  <c r="BA73" i="31"/>
  <c r="BE73" i="31" s="1"/>
  <c r="BA122" i="31"/>
  <c r="BE122" i="31" s="1"/>
  <c r="BA62" i="31"/>
  <c r="BE62" i="31" s="1"/>
  <c r="AZ1" i="31"/>
  <c r="BA121" i="31"/>
  <c r="BE121" i="31" s="1"/>
  <c r="BA175" i="31"/>
  <c r="BE175" i="31" s="1"/>
  <c r="BA166" i="31"/>
  <c r="BE166" i="31" s="1"/>
  <c r="BA185" i="31"/>
  <c r="BE185" i="31" s="1"/>
  <c r="BA127" i="31"/>
  <c r="BE127" i="31" s="1"/>
  <c r="BA79" i="31"/>
  <c r="BE79" i="31" s="1"/>
  <c r="BA112" i="31"/>
  <c r="BE112" i="31" s="1"/>
  <c r="BA171" i="31"/>
  <c r="BE171" i="31" s="1"/>
  <c r="BA167" i="31"/>
  <c r="BE167" i="31" s="1"/>
  <c r="BA155" i="31"/>
  <c r="BE155" i="31" s="1"/>
  <c r="BA78" i="31"/>
  <c r="BE78" i="31" s="1"/>
  <c r="BA14" i="31"/>
  <c r="BE14" i="31" s="1"/>
  <c r="BA33" i="31"/>
  <c r="BE33" i="31" s="1"/>
  <c r="BA19" i="31"/>
  <c r="BE19" i="31" s="1"/>
  <c r="BA72" i="31"/>
  <c r="BE72" i="31" s="1"/>
  <c r="BA36" i="31"/>
  <c r="BE36" i="31" s="1"/>
  <c r="BA168" i="31"/>
  <c r="BE168" i="31" s="1"/>
  <c r="BA170" i="31"/>
  <c r="BE170" i="31" s="1"/>
  <c r="BA71" i="31"/>
  <c r="BE71" i="31" s="1"/>
  <c r="BA53" i="31"/>
  <c r="BE53" i="31" s="1"/>
  <c r="BA100" i="31"/>
  <c r="BE100" i="31" s="1"/>
  <c r="BA113" i="31"/>
  <c r="BE113" i="31" s="1"/>
  <c r="BA124" i="31"/>
  <c r="BE124" i="31" s="1"/>
  <c r="BA164" i="31"/>
  <c r="BE164" i="31" s="1"/>
  <c r="BA48" i="31"/>
  <c r="BE48" i="31" s="1"/>
  <c r="BA84" i="31"/>
  <c r="BE84" i="31" s="1"/>
  <c r="BA126" i="31"/>
  <c r="BE126" i="31" s="1"/>
  <c r="BA152" i="31"/>
  <c r="BE152" i="31" s="1"/>
  <c r="BA181" i="31"/>
  <c r="BE181" i="31" s="1"/>
  <c r="BA106" i="31"/>
  <c r="BE106" i="31" s="1"/>
  <c r="BA173" i="31"/>
  <c r="BE173" i="31" s="1"/>
  <c r="BA104" i="31"/>
  <c r="BE104" i="31" s="1"/>
  <c r="BA30" i="31"/>
  <c r="BE30" i="31" s="1"/>
  <c r="BA183" i="31"/>
  <c r="BE183" i="31" s="1"/>
  <c r="BA110" i="31"/>
  <c r="BE110" i="31" s="1"/>
  <c r="BA169" i="31"/>
  <c r="BE169" i="31" s="1"/>
  <c r="BA156" i="31"/>
  <c r="BE156" i="31" s="1"/>
  <c r="BA132" i="31"/>
  <c r="BE132" i="31" s="1"/>
  <c r="BA128" i="31"/>
  <c r="BE128" i="31" s="1"/>
  <c r="BA136" i="31"/>
  <c r="BE136" i="31" s="1"/>
  <c r="BA18" i="31"/>
  <c r="BE18" i="31" s="1"/>
  <c r="BA75" i="31"/>
  <c r="BE75" i="31" s="1"/>
  <c r="BA43" i="31"/>
  <c r="BE43" i="31" s="1"/>
  <c r="BA95" i="31"/>
  <c r="BE95" i="31" s="1"/>
  <c r="BA96" i="31"/>
  <c r="BE96" i="31" s="1"/>
  <c r="BA93" i="31"/>
  <c r="BE93" i="31" s="1"/>
  <c r="BA56" i="31"/>
  <c r="BE56" i="31" s="1"/>
  <c r="BA174" i="31"/>
  <c r="BE174" i="31" s="1"/>
  <c r="BA54" i="31"/>
  <c r="BE54" i="31" s="1"/>
  <c r="BA59" i="31"/>
  <c r="BE59" i="31" s="1"/>
  <c r="BA80" i="31"/>
  <c r="BE80" i="31" s="1"/>
  <c r="BA146" i="31"/>
  <c r="BE146" i="31" s="1"/>
  <c r="BA50" i="31"/>
  <c r="BE50" i="31" s="1"/>
  <c r="BA26" i="31"/>
  <c r="BE26" i="31" s="1"/>
  <c r="BA15" i="31"/>
  <c r="BE15" i="31" s="1"/>
  <c r="BA34" i="31"/>
  <c r="BE34" i="31" s="1"/>
  <c r="BA159" i="31"/>
  <c r="BE159" i="31" s="1"/>
  <c r="BA61" i="31"/>
  <c r="BE61" i="31" s="1"/>
  <c r="BA57" i="31"/>
  <c r="BE57" i="31" s="1"/>
  <c r="BA13" i="31"/>
  <c r="BE13" i="31" s="1"/>
  <c r="BA143" i="31"/>
  <c r="BE143" i="31" s="1"/>
  <c r="BA117" i="31"/>
  <c r="BE117" i="31" s="1"/>
  <c r="BA158" i="31"/>
  <c r="BE158" i="31" s="1"/>
  <c r="BA97" i="31"/>
  <c r="BE97" i="31" s="1"/>
  <c r="BA114" i="31"/>
  <c r="BE114" i="31" s="1"/>
  <c r="BA8" i="31"/>
  <c r="BE8" i="31" s="1"/>
  <c r="BA120" i="31"/>
  <c r="BE120" i="31" s="1"/>
  <c r="BA188" i="31"/>
  <c r="BE188" i="31" s="1"/>
  <c r="BA41" i="31"/>
  <c r="BE41" i="31" s="1"/>
  <c r="BA82" i="31"/>
  <c r="BE82" i="31" s="1"/>
  <c r="BA125" i="31"/>
  <c r="BE125" i="31" s="1"/>
  <c r="BA9" i="31"/>
  <c r="BE9" i="31" s="1"/>
  <c r="BA189" i="31"/>
  <c r="BE189" i="31" s="1"/>
  <c r="BA161" i="31"/>
  <c r="BE161" i="31" s="1"/>
  <c r="BA44" i="31"/>
  <c r="BE44" i="31" s="1"/>
  <c r="BA83" i="31"/>
  <c r="BE83" i="31" s="1"/>
  <c r="BA184" i="31"/>
  <c r="BE184" i="31" s="1"/>
  <c r="BA37" i="31"/>
  <c r="BE37" i="31" s="1"/>
  <c r="BA102" i="31"/>
  <c r="BE102" i="31" s="1"/>
  <c r="BA46" i="31"/>
  <c r="BE46" i="31" s="1"/>
  <c r="BA149" i="31"/>
  <c r="BE149" i="31" s="1"/>
  <c r="BA77" i="31"/>
  <c r="BE77" i="31" s="1"/>
  <c r="BA179" i="31"/>
  <c r="BE179" i="31" s="1"/>
  <c r="BA65" i="31"/>
  <c r="BE65" i="31" s="1"/>
  <c r="BA134" i="31"/>
  <c r="BE134" i="31" s="1"/>
  <c r="BA55" i="31"/>
  <c r="BE55" i="31" s="1"/>
  <c r="BA137" i="31"/>
  <c r="BE137" i="31" s="1"/>
  <c r="BA165" i="31"/>
  <c r="BE165" i="31" s="1"/>
  <c r="BA5" i="31"/>
  <c r="BE5" i="31" s="1"/>
  <c r="BA182" i="31"/>
  <c r="BE182" i="31" s="1"/>
  <c r="BA11" i="31"/>
  <c r="BE11" i="31" s="1"/>
  <c r="BA148" i="31"/>
  <c r="BE148" i="31" s="1"/>
  <c r="BA131" i="31"/>
  <c r="BE131" i="31" s="1"/>
  <c r="BB2" i="31"/>
  <c r="BB180" i="31" s="1"/>
  <c r="BF180" i="31" s="1"/>
  <c r="H24" i="2"/>
  <c r="G24" i="2"/>
  <c r="BE3" i="31"/>
  <c r="I24" i="2"/>
  <c r="F23" i="2"/>
  <c r="E23" i="2"/>
  <c r="M23" i="2"/>
  <c r="L23" i="2"/>
  <c r="A25" i="2"/>
  <c r="K24" i="2"/>
  <c r="D24" i="2" s="1"/>
  <c r="J24" i="2"/>
  <c r="C24" i="2" s="1"/>
  <c r="B25" i="2" l="1"/>
  <c r="N25" i="2"/>
  <c r="O25" i="2"/>
  <c r="BB57" i="31"/>
  <c r="BF57" i="31" s="1"/>
  <c r="BB169" i="31"/>
  <c r="BF169" i="31" s="1"/>
  <c r="BB69" i="31"/>
  <c r="BF69" i="31" s="1"/>
  <c r="BB161" i="31"/>
  <c r="BF161" i="31" s="1"/>
  <c r="BB11" i="31"/>
  <c r="BF11" i="31" s="1"/>
  <c r="BB64" i="31"/>
  <c r="BF64" i="31" s="1"/>
  <c r="BB84" i="31"/>
  <c r="BF84" i="31" s="1"/>
  <c r="BB79" i="31"/>
  <c r="BF79" i="31" s="1"/>
  <c r="BB110" i="31"/>
  <c r="BF110" i="31" s="1"/>
  <c r="BB151" i="31"/>
  <c r="BF151" i="31" s="1"/>
  <c r="BB120" i="31"/>
  <c r="BF120" i="31" s="1"/>
  <c r="BB159" i="31"/>
  <c r="BF159" i="31" s="1"/>
  <c r="BB16" i="31"/>
  <c r="BF16" i="31" s="1"/>
  <c r="BB78" i="31"/>
  <c r="BF78" i="31" s="1"/>
  <c r="BB108" i="31"/>
  <c r="BF108" i="31" s="1"/>
  <c r="BB149" i="31"/>
  <c r="BF149" i="31" s="1"/>
  <c r="BB112" i="31"/>
  <c r="BF112" i="31" s="1"/>
  <c r="BB71" i="31"/>
  <c r="BF71" i="31" s="1"/>
  <c r="BB18" i="31"/>
  <c r="BF18" i="31" s="1"/>
  <c r="BB6" i="31"/>
  <c r="BF6" i="31" s="1"/>
  <c r="BB42" i="31"/>
  <c r="BF42" i="31" s="1"/>
  <c r="BB37" i="31"/>
  <c r="BF37" i="31" s="1"/>
  <c r="BB29" i="31"/>
  <c r="BF29" i="31" s="1"/>
  <c r="BB53" i="31"/>
  <c r="BF53" i="31" s="1"/>
  <c r="BB73" i="31"/>
  <c r="BF73" i="31" s="1"/>
  <c r="BB148" i="31"/>
  <c r="BF148" i="31" s="1"/>
  <c r="BB155" i="31"/>
  <c r="BF155" i="31" s="1"/>
  <c r="BB67" i="31"/>
  <c r="BF67" i="31" s="1"/>
  <c r="BB26" i="31"/>
  <c r="BF26" i="31" s="1"/>
  <c r="BB77" i="31"/>
  <c r="BF77" i="31" s="1"/>
  <c r="BB83" i="31"/>
  <c r="BF83" i="31" s="1"/>
  <c r="BB55" i="31"/>
  <c r="BF55" i="31" s="1"/>
  <c r="BB104" i="31"/>
  <c r="BF104" i="31" s="1"/>
  <c r="BB124" i="31"/>
  <c r="BF124" i="31" s="1"/>
  <c r="BB75" i="31"/>
  <c r="BF75" i="31" s="1"/>
  <c r="BB190" i="31"/>
  <c r="BF190" i="31" s="1"/>
  <c r="BB165" i="31"/>
  <c r="BF165" i="31" s="1"/>
  <c r="BB24" i="31"/>
  <c r="BF24" i="31" s="1"/>
  <c r="BB174" i="31"/>
  <c r="BF174" i="31" s="1"/>
  <c r="BB107" i="31"/>
  <c r="BF107" i="31" s="1"/>
  <c r="BB101" i="31"/>
  <c r="BF101" i="31" s="1"/>
  <c r="BB89" i="31"/>
  <c r="BF89" i="31" s="1"/>
  <c r="BB32" i="31"/>
  <c r="BF32" i="31" s="1"/>
  <c r="BB184" i="31"/>
  <c r="BF184" i="31" s="1"/>
  <c r="BB43" i="31"/>
  <c r="BF43" i="31" s="1"/>
  <c r="BB90" i="31"/>
  <c r="BF90" i="31" s="1"/>
  <c r="BB44" i="31"/>
  <c r="BF44" i="31" s="1"/>
  <c r="BB131" i="31"/>
  <c r="BF131" i="31" s="1"/>
  <c r="BB93" i="31"/>
  <c r="BF93" i="31" s="1"/>
  <c r="BB51" i="31"/>
  <c r="BF51" i="31" s="1"/>
  <c r="BB92" i="31"/>
  <c r="BF92" i="31" s="1"/>
  <c r="BB50" i="31"/>
  <c r="BF50" i="31" s="1"/>
  <c r="BB19" i="31"/>
  <c r="BF19" i="31" s="1"/>
  <c r="BB144" i="31"/>
  <c r="BF144" i="31" s="1"/>
  <c r="BB186" i="31"/>
  <c r="BF186" i="31" s="1"/>
  <c r="BB185" i="31"/>
  <c r="BF185" i="31" s="1"/>
  <c r="BB74" i="31"/>
  <c r="BF74" i="31" s="1"/>
  <c r="BB47" i="31"/>
  <c r="BF47" i="31" s="1"/>
  <c r="BB38" i="31"/>
  <c r="BF38" i="31" s="1"/>
  <c r="BB39" i="31"/>
  <c r="BF39" i="31" s="1"/>
  <c r="BB168" i="31"/>
  <c r="BF168" i="31" s="1"/>
  <c r="BB134" i="31"/>
  <c r="BF134" i="31" s="1"/>
  <c r="BB150" i="31"/>
  <c r="BF150" i="31" s="1"/>
  <c r="BB183" i="31"/>
  <c r="BF183" i="31" s="1"/>
  <c r="BB27" i="31"/>
  <c r="BF27" i="31" s="1"/>
  <c r="BB137" i="31"/>
  <c r="BF137" i="31" s="1"/>
  <c r="BB60" i="31"/>
  <c r="BF60" i="31" s="1"/>
  <c r="BB34" i="31"/>
  <c r="BF34" i="31" s="1"/>
  <c r="BB46" i="31"/>
  <c r="BF46" i="31" s="1"/>
  <c r="BB21" i="31"/>
  <c r="BF21" i="31" s="1"/>
  <c r="BB118" i="31"/>
  <c r="BF118" i="31" s="1"/>
  <c r="BB20" i="31"/>
  <c r="BF20" i="31" s="1"/>
  <c r="BB105" i="31"/>
  <c r="BF105" i="31" s="1"/>
  <c r="BB80" i="31"/>
  <c r="BF80" i="31" s="1"/>
  <c r="BB14" i="31"/>
  <c r="BF14" i="31" s="1"/>
  <c r="BB114" i="31"/>
  <c r="BF114" i="31" s="1"/>
  <c r="BB136" i="31"/>
  <c r="BF136" i="31" s="1"/>
  <c r="BB176" i="31"/>
  <c r="BF176" i="31" s="1"/>
  <c r="BB63" i="31"/>
  <c r="BF63" i="31" s="1"/>
  <c r="BB30" i="31"/>
  <c r="BF30" i="31" s="1"/>
  <c r="BB132" i="31"/>
  <c r="BF132" i="31" s="1"/>
  <c r="BB59" i="31"/>
  <c r="BF59" i="31" s="1"/>
  <c r="BB33" i="31"/>
  <c r="BF33" i="31" s="1"/>
  <c r="BB99" i="31"/>
  <c r="BF99" i="31" s="1"/>
  <c r="BB102" i="31"/>
  <c r="BF102" i="31" s="1"/>
  <c r="BB48" i="31"/>
  <c r="BF48" i="31" s="1"/>
  <c r="BB125" i="31"/>
  <c r="BF125" i="31" s="1"/>
  <c r="BB141" i="31"/>
  <c r="BF141" i="31" s="1"/>
  <c r="BB145" i="31"/>
  <c r="BF145" i="31" s="1"/>
  <c r="BB160" i="31"/>
  <c r="BF160" i="31" s="1"/>
  <c r="BB3" i="31"/>
  <c r="BF3" i="31" s="1"/>
  <c r="BB36" i="31"/>
  <c r="BF36" i="31" s="1"/>
  <c r="BB65" i="31"/>
  <c r="BF65" i="31" s="1"/>
  <c r="BB70" i="31"/>
  <c r="BF70" i="31" s="1"/>
  <c r="BB143" i="31"/>
  <c r="BF143" i="31" s="1"/>
  <c r="BB61" i="31"/>
  <c r="BF61" i="31" s="1"/>
  <c r="BB35" i="31"/>
  <c r="BF35" i="31" s="1"/>
  <c r="BB153" i="31"/>
  <c r="BF153" i="31" s="1"/>
  <c r="BB166" i="31"/>
  <c r="BF166" i="31" s="1"/>
  <c r="BB8" i="31"/>
  <c r="BF8" i="31" s="1"/>
  <c r="BB72" i="31"/>
  <c r="BF72" i="31" s="1"/>
  <c r="BB162" i="31"/>
  <c r="BF162" i="31" s="1"/>
  <c r="BB109" i="31"/>
  <c r="BF109" i="31" s="1"/>
  <c r="BB157" i="31"/>
  <c r="BF157" i="31" s="1"/>
  <c r="BB17" i="31"/>
  <c r="BF17" i="31" s="1"/>
  <c r="BB139" i="31"/>
  <c r="BF139" i="31" s="1"/>
  <c r="BB54" i="31"/>
  <c r="BF54" i="31" s="1"/>
  <c r="BB135" i="31"/>
  <c r="BF135" i="31" s="1"/>
  <c r="BB189" i="31"/>
  <c r="BF189" i="31" s="1"/>
  <c r="BB147" i="31"/>
  <c r="BF147" i="31" s="1"/>
  <c r="BB172" i="31"/>
  <c r="BF172" i="31" s="1"/>
  <c r="BB140" i="31"/>
  <c r="BF140" i="31" s="1"/>
  <c r="BB171" i="31"/>
  <c r="BF171" i="31" s="1"/>
  <c r="BB113" i="31"/>
  <c r="BF113" i="31" s="1"/>
  <c r="BB167" i="31"/>
  <c r="BF167" i="31" s="1"/>
  <c r="BB100" i="31"/>
  <c r="BF100" i="31" s="1"/>
  <c r="BB23" i="31"/>
  <c r="BF23" i="31" s="1"/>
  <c r="BB81" i="31"/>
  <c r="BF81" i="31" s="1"/>
  <c r="BB40" i="31"/>
  <c r="BF40" i="31" s="1"/>
  <c r="BB111" i="31"/>
  <c r="BF111" i="31" s="1"/>
  <c r="BB12" i="31"/>
  <c r="BF12" i="31" s="1"/>
  <c r="BB163" i="31"/>
  <c r="BF163" i="31" s="1"/>
  <c r="BB68" i="31"/>
  <c r="BF68" i="31" s="1"/>
  <c r="BB129" i="31"/>
  <c r="BF129" i="31" s="1"/>
  <c r="BB182" i="31"/>
  <c r="BF182" i="31" s="1"/>
  <c r="BB4" i="31"/>
  <c r="BF4" i="31" s="1"/>
  <c r="BB187" i="31"/>
  <c r="BF187" i="31" s="1"/>
  <c r="BB25" i="31"/>
  <c r="BF25" i="31" s="1"/>
  <c r="BB170" i="31"/>
  <c r="BF170" i="31" s="1"/>
  <c r="BB15" i="31"/>
  <c r="BF15" i="31" s="1"/>
  <c r="BB87" i="31"/>
  <c r="BF87" i="31" s="1"/>
  <c r="BB91" i="31"/>
  <c r="BF91" i="31" s="1"/>
  <c r="BB122" i="31"/>
  <c r="BF122" i="31" s="1"/>
  <c r="BB106" i="31"/>
  <c r="BF106" i="31" s="1"/>
  <c r="BB88" i="31"/>
  <c r="BF88" i="31" s="1"/>
  <c r="BB156" i="31"/>
  <c r="BF156" i="31" s="1"/>
  <c r="BB41" i="31"/>
  <c r="BF41" i="31" s="1"/>
  <c r="BB45" i="31"/>
  <c r="BF45" i="31" s="1"/>
  <c r="BB119" i="31"/>
  <c r="BF119" i="31" s="1"/>
  <c r="BB181" i="31"/>
  <c r="BF181" i="31" s="1"/>
  <c r="BB164" i="31"/>
  <c r="BF164" i="31" s="1"/>
  <c r="BB127" i="31"/>
  <c r="BF127" i="31" s="1"/>
  <c r="BB123" i="31"/>
  <c r="BF123" i="31" s="1"/>
  <c r="BB121" i="31"/>
  <c r="BF121" i="31" s="1"/>
  <c r="BB97" i="31"/>
  <c r="BF97" i="31" s="1"/>
  <c r="BB13" i="31"/>
  <c r="BF13" i="31" s="1"/>
  <c r="BB116" i="31"/>
  <c r="BF116" i="31" s="1"/>
  <c r="BB58" i="31"/>
  <c r="BF58" i="31" s="1"/>
  <c r="BB146" i="31"/>
  <c r="BF146" i="31" s="1"/>
  <c r="BB152" i="31"/>
  <c r="BF152" i="31" s="1"/>
  <c r="BB82" i="31"/>
  <c r="BF82" i="31" s="1"/>
  <c r="BB22" i="31"/>
  <c r="BF22" i="31" s="1"/>
  <c r="BB62" i="31"/>
  <c r="BF62" i="31" s="1"/>
  <c r="BB95" i="31"/>
  <c r="BF95" i="31" s="1"/>
  <c r="BB9" i="31"/>
  <c r="BF9" i="31" s="1"/>
  <c r="BB56" i="31"/>
  <c r="BF56" i="31" s="1"/>
  <c r="BB96" i="31"/>
  <c r="BF96" i="31" s="1"/>
  <c r="BB154" i="31"/>
  <c r="BF154" i="31" s="1"/>
  <c r="BB138" i="31"/>
  <c r="BF138" i="31" s="1"/>
  <c r="BB179" i="31"/>
  <c r="BF179" i="31" s="1"/>
  <c r="BB117" i="31"/>
  <c r="BF117" i="31" s="1"/>
  <c r="BB126" i="31"/>
  <c r="BF126" i="31" s="1"/>
  <c r="BB177" i="31"/>
  <c r="BF177" i="31" s="1"/>
  <c r="BB128" i="31"/>
  <c r="BF128" i="31" s="1"/>
  <c r="BB188" i="31"/>
  <c r="BF188" i="31" s="1"/>
  <c r="BB142" i="31"/>
  <c r="BF142" i="31" s="1"/>
  <c r="BB28" i="31"/>
  <c r="BF28" i="31" s="1"/>
  <c r="BB85" i="31"/>
  <c r="BF85" i="31" s="1"/>
  <c r="BB10" i="31"/>
  <c r="BF10" i="31" s="1"/>
  <c r="BB173" i="31"/>
  <c r="BF173" i="31" s="1"/>
  <c r="BB130" i="31"/>
  <c r="BF130" i="31" s="1"/>
  <c r="BB115" i="31"/>
  <c r="BF115" i="31" s="1"/>
  <c r="BB52" i="31"/>
  <c r="BF52" i="31" s="1"/>
  <c r="BB5" i="31"/>
  <c r="BF5" i="31" s="1"/>
  <c r="BB86" i="31"/>
  <c r="BF86" i="31" s="1"/>
  <c r="BB103" i="31"/>
  <c r="BF103" i="31" s="1"/>
  <c r="BB158" i="31"/>
  <c r="BF158" i="31" s="1"/>
  <c r="BB49" i="31"/>
  <c r="BF49" i="31" s="1"/>
  <c r="BB175" i="31"/>
  <c r="BF175" i="31" s="1"/>
  <c r="BB98" i="31"/>
  <c r="BF98" i="31" s="1"/>
  <c r="BB133" i="31"/>
  <c r="BF133" i="31" s="1"/>
  <c r="BB76" i="31"/>
  <c r="BF76" i="31" s="1"/>
  <c r="BB31" i="31"/>
  <c r="BF31" i="31" s="1"/>
  <c r="BB94" i="31"/>
  <c r="BF94" i="31" s="1"/>
  <c r="BB178" i="31"/>
  <c r="BF178" i="31" s="1"/>
  <c r="BB66" i="31"/>
  <c r="BF66" i="31" s="1"/>
  <c r="BB7" i="31"/>
  <c r="BF7" i="31" s="1"/>
  <c r="BE2" i="31"/>
  <c r="BE1" i="31" s="1"/>
  <c r="BA1" i="31"/>
  <c r="BC2" i="31"/>
  <c r="BC82" i="31" s="1"/>
  <c r="BG82" i="31" s="1"/>
  <c r="H25" i="2"/>
  <c r="G25" i="2"/>
  <c r="I25" i="2"/>
  <c r="E24" i="2"/>
  <c r="F24" i="2"/>
  <c r="L24" i="2"/>
  <c r="M24" i="2"/>
  <c r="A26" i="2"/>
  <c r="J25" i="2"/>
  <c r="C25" i="2" s="1"/>
  <c r="K25" i="2"/>
  <c r="D25" i="2" s="1"/>
  <c r="B26" i="2" l="1"/>
  <c r="N26" i="2"/>
  <c r="O26" i="2"/>
  <c r="BC44" i="31"/>
  <c r="BG44" i="31" s="1"/>
  <c r="BC161" i="31"/>
  <c r="BG161" i="31" s="1"/>
  <c r="BC32" i="31"/>
  <c r="BG32" i="31" s="1"/>
  <c r="BC73" i="31"/>
  <c r="BG73" i="31" s="1"/>
  <c r="BC112" i="31"/>
  <c r="BG112" i="31" s="1"/>
  <c r="BC107" i="31"/>
  <c r="BG107" i="31" s="1"/>
  <c r="BC110" i="31"/>
  <c r="BG110" i="31" s="1"/>
  <c r="BC94" i="31"/>
  <c r="BG94" i="31" s="1"/>
  <c r="BC40" i="31"/>
  <c r="BG40" i="31" s="1"/>
  <c r="BC158" i="31"/>
  <c r="BG158" i="31" s="1"/>
  <c r="BC152" i="31"/>
  <c r="BG152" i="31" s="1"/>
  <c r="BC129" i="31"/>
  <c r="BG129" i="31" s="1"/>
  <c r="BC65" i="31"/>
  <c r="BG65" i="31" s="1"/>
  <c r="BC126" i="31"/>
  <c r="BG126" i="31" s="1"/>
  <c r="BC12" i="31"/>
  <c r="BG12" i="31" s="1"/>
  <c r="BC122" i="31"/>
  <c r="BG122" i="31" s="1"/>
  <c r="BC4" i="31"/>
  <c r="BG4" i="31" s="1"/>
  <c r="BC75" i="31"/>
  <c r="BG75" i="31" s="1"/>
  <c r="BB1" i="31"/>
  <c r="BC31" i="31"/>
  <c r="BG31" i="31" s="1"/>
  <c r="BC52" i="31"/>
  <c r="BG52" i="31" s="1"/>
  <c r="BC11" i="31"/>
  <c r="BG11" i="31" s="1"/>
  <c r="BC181" i="31"/>
  <c r="BG181" i="31" s="1"/>
  <c r="BC16" i="31"/>
  <c r="BG16" i="31" s="1"/>
  <c r="BC151" i="31"/>
  <c r="BG151" i="31" s="1"/>
  <c r="BC102" i="31"/>
  <c r="BG102" i="31" s="1"/>
  <c r="BC9" i="31"/>
  <c r="BG9" i="31" s="1"/>
  <c r="BC29" i="31"/>
  <c r="BG29" i="31" s="1"/>
  <c r="BC71" i="31"/>
  <c r="BG71" i="31" s="1"/>
  <c r="BC133" i="31"/>
  <c r="BG133" i="31" s="1"/>
  <c r="BC137" i="31"/>
  <c r="BG137" i="31" s="1"/>
  <c r="BC13" i="31"/>
  <c r="BG13" i="31" s="1"/>
  <c r="BC116" i="31"/>
  <c r="BG116" i="31" s="1"/>
  <c r="BC141" i="31"/>
  <c r="BG141" i="31" s="1"/>
  <c r="BC132" i="31"/>
  <c r="BG132" i="31" s="1"/>
  <c r="BC170" i="31"/>
  <c r="BG170" i="31" s="1"/>
  <c r="BC148" i="31"/>
  <c r="BG148" i="31" s="1"/>
  <c r="BC103" i="31"/>
  <c r="BG103" i="31" s="1"/>
  <c r="BC20" i="31"/>
  <c r="BG20" i="31" s="1"/>
  <c r="BC8" i="31"/>
  <c r="BG8" i="31" s="1"/>
  <c r="BC64" i="31"/>
  <c r="BG64" i="31" s="1"/>
  <c r="BC121" i="31"/>
  <c r="BG121" i="31" s="1"/>
  <c r="BC135" i="31"/>
  <c r="BG135" i="31" s="1"/>
  <c r="BC185" i="31"/>
  <c r="BG185" i="31" s="1"/>
  <c r="BC163" i="31"/>
  <c r="BG163" i="31" s="1"/>
  <c r="BC130" i="31"/>
  <c r="BG130" i="31" s="1"/>
  <c r="BC139" i="31"/>
  <c r="BG139" i="31" s="1"/>
  <c r="BC114" i="31"/>
  <c r="BG114" i="31" s="1"/>
  <c r="BC98" i="31"/>
  <c r="BG98" i="31" s="1"/>
  <c r="BC69" i="31"/>
  <c r="BG69" i="31" s="1"/>
  <c r="BC38" i="31"/>
  <c r="BG38" i="31" s="1"/>
  <c r="BC7" i="31"/>
  <c r="BG7" i="31" s="1"/>
  <c r="BC183" i="31"/>
  <c r="BG183" i="31" s="1"/>
  <c r="BC10" i="31"/>
  <c r="BG10" i="31" s="1"/>
  <c r="BC117" i="31"/>
  <c r="BG117" i="31" s="1"/>
  <c r="BC28" i="31"/>
  <c r="BG28" i="31" s="1"/>
  <c r="BC105" i="31"/>
  <c r="BG105" i="31" s="1"/>
  <c r="BC142" i="31"/>
  <c r="BG142" i="31" s="1"/>
  <c r="BC41" i="31"/>
  <c r="BG41" i="31" s="1"/>
  <c r="BC63" i="31"/>
  <c r="BG63" i="31" s="1"/>
  <c r="BC30" i="31"/>
  <c r="BG30" i="31" s="1"/>
  <c r="BC147" i="31"/>
  <c r="BG147" i="31" s="1"/>
  <c r="BC92" i="31"/>
  <c r="BG92" i="31" s="1"/>
  <c r="BC123" i="31"/>
  <c r="BG123" i="31" s="1"/>
  <c r="BC175" i="31"/>
  <c r="BG175" i="31" s="1"/>
  <c r="BC189" i="31"/>
  <c r="BG189" i="31" s="1"/>
  <c r="BC101" i="31"/>
  <c r="BG101" i="31" s="1"/>
  <c r="BC24" i="31"/>
  <c r="BG24" i="31" s="1"/>
  <c r="BC54" i="31"/>
  <c r="BG54" i="31" s="1"/>
  <c r="BC162" i="31"/>
  <c r="BG162" i="31" s="1"/>
  <c r="BC171" i="31"/>
  <c r="BG171" i="31" s="1"/>
  <c r="BC188" i="31"/>
  <c r="BG188" i="31" s="1"/>
  <c r="BC145" i="31"/>
  <c r="BG145" i="31" s="1"/>
  <c r="BC3" i="31"/>
  <c r="BG3" i="31" s="1"/>
  <c r="BC172" i="31"/>
  <c r="BG172" i="31" s="1"/>
  <c r="BC19" i="31"/>
  <c r="BG19" i="31" s="1"/>
  <c r="BC144" i="31"/>
  <c r="BG144" i="31" s="1"/>
  <c r="BC118" i="31"/>
  <c r="BG118" i="31" s="1"/>
  <c r="BC150" i="31"/>
  <c r="BG150" i="31" s="1"/>
  <c r="BC76" i="31"/>
  <c r="BG76" i="31" s="1"/>
  <c r="BC59" i="31"/>
  <c r="BG59" i="31" s="1"/>
  <c r="BC42" i="31"/>
  <c r="BG42" i="31" s="1"/>
  <c r="BC166" i="31"/>
  <c r="BG166" i="31" s="1"/>
  <c r="BC72" i="31"/>
  <c r="BG72" i="31" s="1"/>
  <c r="BC159" i="31"/>
  <c r="BG159" i="31" s="1"/>
  <c r="BC21" i="31"/>
  <c r="BG21" i="31" s="1"/>
  <c r="BC165" i="31"/>
  <c r="BG165" i="31" s="1"/>
  <c r="BC184" i="31"/>
  <c r="BG184" i="31" s="1"/>
  <c r="BC89" i="31"/>
  <c r="BG89" i="31" s="1"/>
  <c r="BC55" i="31"/>
  <c r="BG55" i="31" s="1"/>
  <c r="BC190" i="31"/>
  <c r="BG190" i="31" s="1"/>
  <c r="BC173" i="31"/>
  <c r="BG173" i="31" s="1"/>
  <c r="BC80" i="31"/>
  <c r="BG80" i="31" s="1"/>
  <c r="BC177" i="31"/>
  <c r="BG177" i="31" s="1"/>
  <c r="BC26" i="31"/>
  <c r="BG26" i="31" s="1"/>
  <c r="BC138" i="31"/>
  <c r="BG138" i="31" s="1"/>
  <c r="BC79" i="31"/>
  <c r="BG79" i="31" s="1"/>
  <c r="BC58" i="31"/>
  <c r="BG58" i="31" s="1"/>
  <c r="BC67" i="31"/>
  <c r="BG67" i="31" s="1"/>
  <c r="BC85" i="31"/>
  <c r="BG85" i="31" s="1"/>
  <c r="BC140" i="31"/>
  <c r="BG140" i="31" s="1"/>
  <c r="BC119" i="31"/>
  <c r="BG119" i="31" s="1"/>
  <c r="BC97" i="31"/>
  <c r="BG97" i="31" s="1"/>
  <c r="BC143" i="31"/>
  <c r="BG143" i="31" s="1"/>
  <c r="BC70" i="31"/>
  <c r="BG70" i="31" s="1"/>
  <c r="BC83" i="31"/>
  <c r="BG83" i="31" s="1"/>
  <c r="BC22" i="31"/>
  <c r="BG22" i="31" s="1"/>
  <c r="BC87" i="31"/>
  <c r="BG87" i="31" s="1"/>
  <c r="BC15" i="31"/>
  <c r="BG15" i="31" s="1"/>
  <c r="BC23" i="31"/>
  <c r="BG23" i="31" s="1"/>
  <c r="BC51" i="31"/>
  <c r="BG51" i="31" s="1"/>
  <c r="BC14" i="31"/>
  <c r="BG14" i="31" s="1"/>
  <c r="BC93" i="31"/>
  <c r="BG93" i="31" s="1"/>
  <c r="BC120" i="31"/>
  <c r="BG120" i="31" s="1"/>
  <c r="BC39" i="31"/>
  <c r="BG39" i="31" s="1"/>
  <c r="BC95" i="31"/>
  <c r="BG95" i="31" s="1"/>
  <c r="BC17" i="31"/>
  <c r="BG17" i="31" s="1"/>
  <c r="BC136" i="31"/>
  <c r="BG136" i="31" s="1"/>
  <c r="BC153" i="31"/>
  <c r="BG153" i="31" s="1"/>
  <c r="BC43" i="31"/>
  <c r="BG43" i="31" s="1"/>
  <c r="BC127" i="31"/>
  <c r="BG127" i="31" s="1"/>
  <c r="BC125" i="31"/>
  <c r="BG125" i="31" s="1"/>
  <c r="BC81" i="31"/>
  <c r="BG81" i="31" s="1"/>
  <c r="BC156" i="31"/>
  <c r="BG156" i="31" s="1"/>
  <c r="BC100" i="31"/>
  <c r="BG100" i="31" s="1"/>
  <c r="BC18" i="31"/>
  <c r="BG18" i="31" s="1"/>
  <c r="BC45" i="31"/>
  <c r="BG45" i="31" s="1"/>
  <c r="BC154" i="31"/>
  <c r="BG154" i="31" s="1"/>
  <c r="BC124" i="31"/>
  <c r="BG124" i="31" s="1"/>
  <c r="BC88" i="31"/>
  <c r="BG88" i="31" s="1"/>
  <c r="BC68" i="31"/>
  <c r="BG68" i="31" s="1"/>
  <c r="BC167" i="31"/>
  <c r="BG167" i="31" s="1"/>
  <c r="BC99" i="31"/>
  <c r="BG99" i="31" s="1"/>
  <c r="BC108" i="31"/>
  <c r="BG108" i="31" s="1"/>
  <c r="BC179" i="31"/>
  <c r="BG179" i="31" s="1"/>
  <c r="BC96" i="31"/>
  <c r="BG96" i="31" s="1"/>
  <c r="BC46" i="31"/>
  <c r="BG46" i="31" s="1"/>
  <c r="BC182" i="31"/>
  <c r="BG182" i="31" s="1"/>
  <c r="BC86" i="31"/>
  <c r="BG86" i="31" s="1"/>
  <c r="BC113" i="31"/>
  <c r="BG113" i="31" s="1"/>
  <c r="BC33" i="31"/>
  <c r="BG33" i="31" s="1"/>
  <c r="BC56" i="31"/>
  <c r="BG56" i="31" s="1"/>
  <c r="BC131" i="31"/>
  <c r="BG131" i="31" s="1"/>
  <c r="BC115" i="31"/>
  <c r="BG115" i="31" s="1"/>
  <c r="BC78" i="31"/>
  <c r="BG78" i="31" s="1"/>
  <c r="BC66" i="31"/>
  <c r="BG66" i="31" s="1"/>
  <c r="BC90" i="31"/>
  <c r="BG90" i="31" s="1"/>
  <c r="BC128" i="31"/>
  <c r="BG128" i="31" s="1"/>
  <c r="BC60" i="31"/>
  <c r="BG60" i="31" s="1"/>
  <c r="BC53" i="31"/>
  <c r="BG53" i="31" s="1"/>
  <c r="BC5" i="31"/>
  <c r="BG5" i="31" s="1"/>
  <c r="BC186" i="31"/>
  <c r="BG186" i="31" s="1"/>
  <c r="BC134" i="31"/>
  <c r="BG134" i="31" s="1"/>
  <c r="BC111" i="31"/>
  <c r="BG111" i="31" s="1"/>
  <c r="BC180" i="31"/>
  <c r="BG180" i="31" s="1"/>
  <c r="BC168" i="31"/>
  <c r="BG168" i="31" s="1"/>
  <c r="BC178" i="31"/>
  <c r="BG178" i="31" s="1"/>
  <c r="BC34" i="31"/>
  <c r="BG34" i="31" s="1"/>
  <c r="BC48" i="31"/>
  <c r="BG48" i="31" s="1"/>
  <c r="BC149" i="31"/>
  <c r="BG149" i="31" s="1"/>
  <c r="BC57" i="31"/>
  <c r="BG57" i="31" s="1"/>
  <c r="BC146" i="31"/>
  <c r="BG146" i="31" s="1"/>
  <c r="BC25" i="31"/>
  <c r="BG25" i="31" s="1"/>
  <c r="BC27" i="31"/>
  <c r="BG27" i="31" s="1"/>
  <c r="BC77" i="31"/>
  <c r="BG77" i="31" s="1"/>
  <c r="BC36" i="31"/>
  <c r="BG36" i="31" s="1"/>
  <c r="BC187" i="31"/>
  <c r="BG187" i="31" s="1"/>
  <c r="BC106" i="31"/>
  <c r="BG106" i="31" s="1"/>
  <c r="BC174" i="31"/>
  <c r="BG174" i="31" s="1"/>
  <c r="BC157" i="31"/>
  <c r="BG157" i="31" s="1"/>
  <c r="BC35" i="31"/>
  <c r="BG35" i="31" s="1"/>
  <c r="BC49" i="31"/>
  <c r="BG49" i="31" s="1"/>
  <c r="BC160" i="31"/>
  <c r="BG160" i="31" s="1"/>
  <c r="BC104" i="31"/>
  <c r="BG104" i="31" s="1"/>
  <c r="BC169" i="31"/>
  <c r="BG169" i="31" s="1"/>
  <c r="BC91" i="31"/>
  <c r="BG91" i="31" s="1"/>
  <c r="BC62" i="31"/>
  <c r="BG62" i="31" s="1"/>
  <c r="BC50" i="31"/>
  <c r="BG50" i="31" s="1"/>
  <c r="BC109" i="31"/>
  <c r="BG109" i="31" s="1"/>
  <c r="BC164" i="31"/>
  <c r="BG164" i="31" s="1"/>
  <c r="BC155" i="31"/>
  <c r="BG155" i="31" s="1"/>
  <c r="BC6" i="31"/>
  <c r="BG6" i="31" s="1"/>
  <c r="BC84" i="31"/>
  <c r="BG84" i="31" s="1"/>
  <c r="BC47" i="31"/>
  <c r="BG47" i="31" s="1"/>
  <c r="BC37" i="31"/>
  <c r="BG37" i="31" s="1"/>
  <c r="BC176" i="31"/>
  <c r="BG176" i="31" s="1"/>
  <c r="BC74" i="31"/>
  <c r="BG74" i="31" s="1"/>
  <c r="BC61" i="31"/>
  <c r="BG61" i="31" s="1"/>
  <c r="BF2" i="31"/>
  <c r="BF1" i="31" s="1"/>
  <c r="H26" i="2"/>
  <c r="G26" i="2"/>
  <c r="I26" i="2"/>
  <c r="A27" i="2"/>
  <c r="K26" i="2"/>
  <c r="D26" i="2" s="1"/>
  <c r="J26" i="2"/>
  <c r="C26" i="2" s="1"/>
  <c r="E25" i="2"/>
  <c r="F25" i="2"/>
  <c r="M25" i="2"/>
  <c r="L25" i="2"/>
  <c r="B27" i="2" l="1"/>
  <c r="G27" i="2" s="1"/>
  <c r="N27" i="2"/>
  <c r="O27" i="2"/>
  <c r="BC1" i="31"/>
  <c r="BG2" i="31"/>
  <c r="BG1" i="31" s="1"/>
  <c r="H27" i="2"/>
  <c r="I27" i="2"/>
  <c r="M26" i="2"/>
  <c r="L26" i="2"/>
  <c r="A28" i="2"/>
  <c r="J27" i="2"/>
  <c r="C27" i="2" s="1"/>
  <c r="K27" i="2"/>
  <c r="D27" i="2" s="1"/>
  <c r="E26" i="2"/>
  <c r="F26" i="2"/>
  <c r="B28" i="2" l="1"/>
  <c r="H28" i="2" s="1"/>
  <c r="O28" i="2"/>
  <c r="N28" i="2"/>
  <c r="G28" i="2"/>
  <c r="I28" i="2"/>
  <c r="F27" i="2"/>
  <c r="E27" i="2"/>
  <c r="L27" i="2"/>
  <c r="M27" i="2"/>
  <c r="A29" i="2"/>
  <c r="K28" i="2"/>
  <c r="D28" i="2" s="1"/>
  <c r="J28" i="2"/>
  <c r="C28" i="2" s="1"/>
  <c r="B29" i="2" l="1"/>
  <c r="H29" i="2" s="1"/>
  <c r="N29" i="2"/>
  <c r="O29" i="2"/>
  <c r="I29" i="2"/>
  <c r="A30" i="2"/>
  <c r="J29" i="2"/>
  <c r="C29" i="2" s="1"/>
  <c r="K29" i="2"/>
  <c r="D29" i="2" s="1"/>
  <c r="E28" i="2"/>
  <c r="F28" i="2"/>
  <c r="L28" i="2"/>
  <c r="M28" i="2"/>
  <c r="G29" i="2" l="1"/>
  <c r="B30" i="2"/>
  <c r="H30" i="2" s="1"/>
  <c r="N30" i="2"/>
  <c r="O30" i="2"/>
  <c r="G30" i="2"/>
  <c r="I30" i="2"/>
  <c r="M29" i="2"/>
  <c r="L29" i="2"/>
  <c r="A31" i="2"/>
  <c r="J30" i="2"/>
  <c r="C30" i="2" s="1"/>
  <c r="K30" i="2"/>
  <c r="D30" i="2" s="1"/>
  <c r="F29" i="2"/>
  <c r="E29" i="2"/>
  <c r="B31" i="2" l="1"/>
  <c r="H31" i="2" s="1"/>
  <c r="N31" i="2"/>
  <c r="O31" i="2"/>
  <c r="I31" i="2"/>
  <c r="M30" i="2"/>
  <c r="L30" i="2"/>
  <c r="A32" i="2"/>
  <c r="J31" i="2"/>
  <c r="C31" i="2" s="1"/>
  <c r="K31" i="2"/>
  <c r="D31" i="2" s="1"/>
  <c r="E30" i="2"/>
  <c r="F30" i="2"/>
  <c r="G31" i="2" l="1"/>
  <c r="B32" i="2"/>
  <c r="H32" i="2" s="1"/>
  <c r="O32" i="2"/>
  <c r="N32" i="2"/>
  <c r="G32" i="2"/>
  <c r="I32" i="2"/>
  <c r="A33" i="2"/>
  <c r="K32" i="2"/>
  <c r="D32" i="2" s="1"/>
  <c r="J32" i="2"/>
  <c r="C32" i="2" s="1"/>
  <c r="F31" i="2"/>
  <c r="E31" i="2"/>
  <c r="M31" i="2"/>
  <c r="L31" i="2"/>
  <c r="B33" i="2" l="1"/>
  <c r="N33" i="2"/>
  <c r="O33" i="2"/>
  <c r="H33" i="2"/>
  <c r="G33" i="2"/>
  <c r="I33" i="2"/>
  <c r="E32" i="2"/>
  <c r="F32" i="2"/>
  <c r="L32" i="2"/>
  <c r="M32" i="2"/>
  <c r="A34" i="2"/>
  <c r="J33" i="2"/>
  <c r="C33" i="2" s="1"/>
  <c r="K33" i="2"/>
  <c r="D33" i="2" s="1"/>
  <c r="B34" i="2" l="1"/>
  <c r="N34" i="2"/>
  <c r="O34" i="2"/>
  <c r="H34" i="2"/>
  <c r="G34" i="2"/>
  <c r="I34" i="2"/>
  <c r="A35" i="2"/>
  <c r="K34" i="2"/>
  <c r="D34" i="2" s="1"/>
  <c r="J34" i="2"/>
  <c r="C34" i="2" s="1"/>
  <c r="E33" i="2"/>
  <c r="F33" i="2"/>
  <c r="M33" i="2"/>
  <c r="L33" i="2"/>
  <c r="B35" i="2" l="1"/>
  <c r="H35" i="2" s="1"/>
  <c r="N35" i="2"/>
  <c r="O35" i="2"/>
  <c r="I35" i="2"/>
  <c r="M34" i="2"/>
  <c r="L34" i="2"/>
  <c r="A36" i="2"/>
  <c r="J35" i="2"/>
  <c r="C35" i="2" s="1"/>
  <c r="K35" i="2"/>
  <c r="D35" i="2" s="1"/>
  <c r="E34" i="2"/>
  <c r="F34" i="2"/>
  <c r="B36" i="2" l="1"/>
  <c r="O36" i="2"/>
  <c r="N36" i="2"/>
  <c r="G35" i="2"/>
  <c r="H36" i="2"/>
  <c r="G36" i="2"/>
  <c r="I36" i="2"/>
  <c r="L35" i="2"/>
  <c r="M35" i="2"/>
  <c r="A37" i="2"/>
  <c r="K36" i="2"/>
  <c r="D36" i="2" s="1"/>
  <c r="J36" i="2"/>
  <c r="C36" i="2" s="1"/>
  <c r="F35" i="2"/>
  <c r="E35" i="2"/>
  <c r="B37" i="2" l="1"/>
  <c r="N37" i="2"/>
  <c r="O37" i="2"/>
  <c r="H37" i="2"/>
  <c r="G37" i="2"/>
  <c r="I37" i="2"/>
  <c r="L36" i="2"/>
  <c r="M36" i="2"/>
  <c r="A38" i="2"/>
  <c r="J37" i="2"/>
  <c r="C37" i="2" s="1"/>
  <c r="K37" i="2"/>
  <c r="D37" i="2" s="1"/>
  <c r="E36" i="2"/>
  <c r="F36" i="2"/>
  <c r="B38" i="2" l="1"/>
  <c r="H38" i="2" s="1"/>
  <c r="N38" i="2"/>
  <c r="O38" i="2"/>
  <c r="I38" i="2"/>
  <c r="M37" i="2"/>
  <c r="L37" i="2"/>
  <c r="A39" i="2"/>
  <c r="J38" i="2"/>
  <c r="C38" i="2" s="1"/>
  <c r="K38" i="2"/>
  <c r="D38" i="2" s="1"/>
  <c r="F37" i="2"/>
  <c r="E37" i="2"/>
  <c r="B39" i="2" l="1"/>
  <c r="N39" i="2"/>
  <c r="O39" i="2"/>
  <c r="G38" i="2"/>
  <c r="H39" i="2"/>
  <c r="G39" i="2"/>
  <c r="I39" i="2"/>
  <c r="M38" i="2"/>
  <c r="L38" i="2"/>
  <c r="A40" i="2"/>
  <c r="J39" i="2"/>
  <c r="C39" i="2" s="1"/>
  <c r="K39" i="2"/>
  <c r="D39" i="2" s="1"/>
  <c r="E38" i="2"/>
  <c r="F38" i="2"/>
  <c r="B40" i="2" l="1"/>
  <c r="H40" i="2" s="1"/>
  <c r="O40" i="2"/>
  <c r="N40" i="2"/>
  <c r="I40" i="2"/>
  <c r="M39" i="2"/>
  <c r="L39" i="2"/>
  <c r="A41" i="2"/>
  <c r="K40" i="2"/>
  <c r="D40" i="2" s="1"/>
  <c r="J40" i="2"/>
  <c r="C40" i="2" s="1"/>
  <c r="F39" i="2"/>
  <c r="E39" i="2"/>
  <c r="G40" i="2" l="1"/>
  <c r="B41" i="2"/>
  <c r="H41" i="2" s="1"/>
  <c r="N41" i="2"/>
  <c r="O41" i="2"/>
  <c r="G41" i="2"/>
  <c r="I41" i="2"/>
  <c r="A42" i="2"/>
  <c r="J41" i="2"/>
  <c r="C41" i="2" s="1"/>
  <c r="K41" i="2"/>
  <c r="D41" i="2" s="1"/>
  <c r="E40" i="2"/>
  <c r="F40" i="2"/>
  <c r="L40" i="2"/>
  <c r="M40" i="2"/>
  <c r="B42" i="2" l="1"/>
  <c r="H42" i="2" s="1"/>
  <c r="N42" i="2"/>
  <c r="O42" i="2"/>
  <c r="G42" i="2"/>
  <c r="I42" i="2"/>
  <c r="M41" i="2"/>
  <c r="L41" i="2"/>
  <c r="A43" i="2"/>
  <c r="K42" i="2"/>
  <c r="D42" i="2" s="1"/>
  <c r="J42" i="2"/>
  <c r="C42" i="2" s="1"/>
  <c r="E41" i="2"/>
  <c r="F41" i="2"/>
  <c r="B43" i="2" l="1"/>
  <c r="H1" i="31" s="1"/>
  <c r="M2" i="31" s="1"/>
  <c r="N3" i="31" s="1"/>
  <c r="N43" i="2"/>
  <c r="O43" i="2"/>
  <c r="G43" i="2"/>
  <c r="I43" i="2"/>
  <c r="A44" i="2"/>
  <c r="J43" i="2"/>
  <c r="C43" i="2" s="1"/>
  <c r="K43" i="2"/>
  <c r="D43" i="2" s="1"/>
  <c r="E42" i="2"/>
  <c r="F42" i="2"/>
  <c r="M42" i="2"/>
  <c r="L42" i="2"/>
  <c r="H43" i="2" l="1"/>
  <c r="B44" i="2"/>
  <c r="G44" i="2" s="1"/>
  <c r="O44" i="2"/>
  <c r="N44" i="2"/>
  <c r="N130" i="31"/>
  <c r="H44" i="2"/>
  <c r="K2" i="31"/>
  <c r="I2" i="31"/>
  <c r="I44" i="2"/>
  <c r="L43" i="2"/>
  <c r="M43" i="2"/>
  <c r="A45" i="2"/>
  <c r="K44" i="2"/>
  <c r="D44" i="2" s="1"/>
  <c r="J44" i="2"/>
  <c r="C44" i="2" s="1"/>
  <c r="F43" i="2"/>
  <c r="E43" i="2"/>
  <c r="B45" i="2" l="1"/>
  <c r="N45" i="2"/>
  <c r="O45" i="2"/>
  <c r="N36" i="31"/>
  <c r="N53" i="31"/>
  <c r="AC53" i="31" s="1"/>
  <c r="N87" i="31"/>
  <c r="N108" i="31"/>
  <c r="AC108" i="31" s="1"/>
  <c r="N182" i="31"/>
  <c r="AC182" i="31" s="1"/>
  <c r="N100" i="31"/>
  <c r="N143" i="31"/>
  <c r="AC143" i="31" s="1"/>
  <c r="N66" i="31"/>
  <c r="AC66" i="31" s="1"/>
  <c r="N26" i="31"/>
  <c r="AC26" i="31" s="1"/>
  <c r="N75" i="31"/>
  <c r="AC75" i="31" s="1"/>
  <c r="N19" i="31"/>
  <c r="N104" i="31"/>
  <c r="AC104" i="31" s="1"/>
  <c r="N160" i="31"/>
  <c r="AC160" i="31" s="1"/>
  <c r="N115" i="31"/>
  <c r="N134" i="31"/>
  <c r="AC134" i="31" s="1"/>
  <c r="N78" i="31"/>
  <c r="AC78" i="31" s="1"/>
  <c r="N110" i="31"/>
  <c r="N119" i="31"/>
  <c r="N147" i="31"/>
  <c r="N74" i="31"/>
  <c r="N92" i="31"/>
  <c r="N5" i="31"/>
  <c r="N79" i="31"/>
  <c r="AC79" i="31" s="1"/>
  <c r="N164" i="31"/>
  <c r="AC164" i="31" s="1"/>
  <c r="N58" i="31"/>
  <c r="N38" i="31"/>
  <c r="AC38" i="31" s="1"/>
  <c r="N124" i="31"/>
  <c r="N64" i="31"/>
  <c r="N101" i="31"/>
  <c r="AC101" i="31" s="1"/>
  <c r="N24" i="31"/>
  <c r="N174" i="31"/>
  <c r="AC174" i="31" s="1"/>
  <c r="N152" i="31"/>
  <c r="N123" i="31"/>
  <c r="AC123" i="31" s="1"/>
  <c r="N49" i="31"/>
  <c r="AC49" i="31" s="1"/>
  <c r="N42" i="31"/>
  <c r="N17" i="31"/>
  <c r="N12" i="31"/>
  <c r="N95" i="31"/>
  <c r="N34" i="31"/>
  <c r="AC34" i="31" s="1"/>
  <c r="N157" i="31"/>
  <c r="N73" i="31"/>
  <c r="N139" i="31"/>
  <c r="N43" i="31"/>
  <c r="AC43" i="31" s="1"/>
  <c r="N112" i="31"/>
  <c r="AC112" i="31" s="1"/>
  <c r="N156" i="31"/>
  <c r="N29" i="31"/>
  <c r="N7" i="31"/>
  <c r="N25" i="31"/>
  <c r="AC25" i="31" s="1"/>
  <c r="N142" i="31"/>
  <c r="N67" i="31"/>
  <c r="N103" i="31"/>
  <c r="N136" i="31"/>
  <c r="AC136" i="31" s="1"/>
  <c r="N175" i="31"/>
  <c r="AC175" i="31" s="1"/>
  <c r="N131" i="31"/>
  <c r="N120" i="31"/>
  <c r="N60" i="31"/>
  <c r="N122" i="31"/>
  <c r="AC122" i="31" s="1"/>
  <c r="N41" i="31"/>
  <c r="N69" i="31"/>
  <c r="AC69" i="31" s="1"/>
  <c r="N81" i="31"/>
  <c r="AC81" i="31" s="1"/>
  <c r="N146" i="31"/>
  <c r="AC146" i="31" s="1"/>
  <c r="N168" i="31"/>
  <c r="AC168" i="31" s="1"/>
  <c r="N161" i="31"/>
  <c r="AC161" i="31" s="1"/>
  <c r="N52" i="31"/>
  <c r="N109" i="31"/>
  <c r="N107" i="31"/>
  <c r="N181" i="31"/>
  <c r="AC181" i="31" s="1"/>
  <c r="N88" i="31"/>
  <c r="N35" i="31"/>
  <c r="N22" i="31"/>
  <c r="N96" i="31"/>
  <c r="N55" i="31"/>
  <c r="AC55" i="31" s="1"/>
  <c r="N80" i="31"/>
  <c r="AC80" i="31" s="1"/>
  <c r="N72" i="31"/>
  <c r="N159" i="31"/>
  <c r="AC159" i="31" s="1"/>
  <c r="N165" i="31"/>
  <c r="AC165" i="31" s="1"/>
  <c r="N190" i="31"/>
  <c r="AC190" i="31" s="1"/>
  <c r="N48" i="31"/>
  <c r="N169" i="31"/>
  <c r="AC169" i="31" s="1"/>
  <c r="N47" i="31"/>
  <c r="N177" i="31"/>
  <c r="N84" i="31"/>
  <c r="AC84" i="31" s="1"/>
  <c r="N28" i="31"/>
  <c r="N153" i="31"/>
  <c r="AC153" i="31" s="1"/>
  <c r="N8" i="31"/>
  <c r="AC8" i="31" s="1"/>
  <c r="N149" i="31"/>
  <c r="N125" i="31"/>
  <c r="N56" i="31"/>
  <c r="N37" i="31"/>
  <c r="N89" i="31"/>
  <c r="AC89" i="31" s="1"/>
  <c r="N173" i="31"/>
  <c r="AC173" i="31" s="1"/>
  <c r="N20" i="31"/>
  <c r="AC20" i="31" s="1"/>
  <c r="N65" i="31"/>
  <c r="N44" i="31"/>
  <c r="AC44" i="31" s="1"/>
  <c r="N13" i="31"/>
  <c r="AC13" i="31" s="1"/>
  <c r="N118" i="31"/>
  <c r="AC118" i="31" s="1"/>
  <c r="N133" i="31"/>
  <c r="N93" i="31"/>
  <c r="N40" i="31"/>
  <c r="N90" i="31"/>
  <c r="N162" i="31"/>
  <c r="N102" i="31"/>
  <c r="N4" i="31"/>
  <c r="N111" i="31"/>
  <c r="N135" i="31"/>
  <c r="AC135" i="31" s="1"/>
  <c r="N126" i="31"/>
  <c r="AC126" i="31" s="1"/>
  <c r="N98" i="31"/>
  <c r="N21" i="31"/>
  <c r="N114" i="31"/>
  <c r="N27" i="31"/>
  <c r="N151" i="31"/>
  <c r="AC151" i="31" s="1"/>
  <c r="N172" i="31"/>
  <c r="N50" i="31"/>
  <c r="N167" i="31"/>
  <c r="N15" i="31"/>
  <c r="AC15" i="31" s="1"/>
  <c r="N83" i="31"/>
  <c r="AC83" i="31" s="1"/>
  <c r="N127" i="31"/>
  <c r="AC127" i="31" s="1"/>
  <c r="N178" i="31"/>
  <c r="N94" i="31"/>
  <c r="N10" i="31"/>
  <c r="AC10" i="31" s="1"/>
  <c r="N141" i="31"/>
  <c r="AC141" i="31" s="1"/>
  <c r="N137" i="31"/>
  <c r="AC137" i="31" s="1"/>
  <c r="N171" i="31"/>
  <c r="N46" i="31"/>
  <c r="N30" i="31"/>
  <c r="N144" i="31"/>
  <c r="N176" i="31"/>
  <c r="N166" i="31"/>
  <c r="AC166" i="31" s="1"/>
  <c r="N77" i="31"/>
  <c r="AC77" i="31" s="1"/>
  <c r="N148" i="31"/>
  <c r="N82" i="31"/>
  <c r="N6" i="31"/>
  <c r="N97" i="31"/>
  <c r="N11" i="31"/>
  <c r="AC11" i="31" s="1"/>
  <c r="N91" i="31"/>
  <c r="N18" i="31"/>
  <c r="AC18" i="31" s="1"/>
  <c r="N85" i="31"/>
  <c r="AC85" i="31" s="1"/>
  <c r="N57" i="31"/>
  <c r="N32" i="31"/>
  <c r="N71" i="31"/>
  <c r="N180" i="31"/>
  <c r="N116" i="31"/>
  <c r="N61" i="31"/>
  <c r="AC61" i="31" s="1"/>
  <c r="N170" i="31"/>
  <c r="N140" i="31"/>
  <c r="N138" i="31"/>
  <c r="AC138" i="31" s="1"/>
  <c r="N14" i="31"/>
  <c r="N185" i="31"/>
  <c r="N99" i="31"/>
  <c r="N145" i="31"/>
  <c r="N154" i="31"/>
  <c r="N183" i="31"/>
  <c r="AC183" i="31" s="1"/>
  <c r="N128" i="31"/>
  <c r="N186" i="31"/>
  <c r="AC186" i="31" s="1"/>
  <c r="N113" i="31"/>
  <c r="AC113" i="31" s="1"/>
  <c r="N187" i="31"/>
  <c r="N188" i="31"/>
  <c r="N63" i="31"/>
  <c r="N184" i="31"/>
  <c r="N86" i="31"/>
  <c r="AC86" i="31" s="1"/>
  <c r="N62" i="31"/>
  <c r="AC62" i="31" s="1"/>
  <c r="N59" i="31"/>
  <c r="N23" i="31"/>
  <c r="N51" i="31"/>
  <c r="AC51" i="31" s="1"/>
  <c r="N105" i="31"/>
  <c r="AC105" i="31" s="1"/>
  <c r="N189" i="31"/>
  <c r="AC189" i="31" s="1"/>
  <c r="N179" i="31"/>
  <c r="N45" i="31"/>
  <c r="N31" i="31"/>
  <c r="AC31" i="31" s="1"/>
  <c r="N33" i="31"/>
  <c r="AC33" i="31" s="1"/>
  <c r="N68" i="31"/>
  <c r="AC68" i="31" s="1"/>
  <c r="N163" i="31"/>
  <c r="AC163" i="31" s="1"/>
  <c r="N117" i="31"/>
  <c r="N132" i="31"/>
  <c r="AC132" i="31" s="1"/>
  <c r="N70" i="31"/>
  <c r="AC70" i="31" s="1"/>
  <c r="N150" i="31"/>
  <c r="AC150" i="31" s="1"/>
  <c r="N54" i="31"/>
  <c r="AC54" i="31" s="1"/>
  <c r="N16" i="31"/>
  <c r="AC16" i="31" s="1"/>
  <c r="N9" i="31"/>
  <c r="N155" i="31"/>
  <c r="N76" i="31"/>
  <c r="AC76" i="31" s="1"/>
  <c r="N121" i="31"/>
  <c r="AC121" i="31" s="1"/>
  <c r="N129" i="31"/>
  <c r="AC129" i="31" s="1"/>
  <c r="N106" i="31"/>
  <c r="AC106" i="31" s="1"/>
  <c r="N39" i="31"/>
  <c r="N158" i="31"/>
  <c r="H45" i="2"/>
  <c r="G45" i="2"/>
  <c r="J4" i="31"/>
  <c r="J6" i="31"/>
  <c r="J8" i="31"/>
  <c r="J11" i="31"/>
  <c r="J19" i="31"/>
  <c r="J26" i="31"/>
  <c r="J30" i="31"/>
  <c r="J34" i="31"/>
  <c r="J37" i="31"/>
  <c r="J41" i="31"/>
  <c r="J50" i="31"/>
  <c r="J62" i="31"/>
  <c r="J63" i="31"/>
  <c r="J66" i="31"/>
  <c r="J73" i="31"/>
  <c r="J78" i="31"/>
  <c r="J86" i="31"/>
  <c r="J91" i="31"/>
  <c r="J97" i="31"/>
  <c r="J102" i="31"/>
  <c r="J111" i="31"/>
  <c r="J114" i="31"/>
  <c r="J122" i="31"/>
  <c r="J124" i="31"/>
  <c r="J128" i="31"/>
  <c r="J136" i="31"/>
  <c r="J145" i="31"/>
  <c r="J148" i="31"/>
  <c r="J151" i="31"/>
  <c r="J159" i="31"/>
  <c r="J178" i="31"/>
  <c r="J182" i="31"/>
  <c r="J3" i="31"/>
  <c r="J15" i="31"/>
  <c r="J21" i="31"/>
  <c r="J32" i="31"/>
  <c r="J46" i="31"/>
  <c r="J56" i="31"/>
  <c r="J60" i="31"/>
  <c r="J71" i="31"/>
  <c r="J82" i="31"/>
  <c r="J85" i="31"/>
  <c r="J87" i="31"/>
  <c r="J93" i="31"/>
  <c r="J99" i="31"/>
  <c r="J110" i="31"/>
  <c r="J126" i="31"/>
  <c r="J130" i="31"/>
  <c r="J137" i="31"/>
  <c r="J144" i="31"/>
  <c r="J149" i="31"/>
  <c r="J157" i="31"/>
  <c r="J166" i="31"/>
  <c r="J170" i="31"/>
  <c r="J175" i="31"/>
  <c r="J180" i="31"/>
  <c r="J184" i="31"/>
  <c r="J187" i="31"/>
  <c r="J5" i="31"/>
  <c r="J10" i="31"/>
  <c r="J18" i="31"/>
  <c r="J27" i="31"/>
  <c r="J35" i="31"/>
  <c r="J38" i="31"/>
  <c r="J40" i="31"/>
  <c r="J49" i="31"/>
  <c r="J64" i="31"/>
  <c r="J77" i="31"/>
  <c r="J94" i="31"/>
  <c r="J107" i="31"/>
  <c r="J116" i="31"/>
  <c r="J135" i="31"/>
  <c r="J141" i="31"/>
  <c r="J152" i="31"/>
  <c r="J160" i="31"/>
  <c r="J167" i="31"/>
  <c r="J177" i="31"/>
  <c r="J185" i="31"/>
  <c r="J72" i="31"/>
  <c r="J83" i="31"/>
  <c r="J90" i="31"/>
  <c r="J98" i="31"/>
  <c r="J119" i="31"/>
  <c r="J125" i="31"/>
  <c r="J131" i="31"/>
  <c r="J138" i="31"/>
  <c r="J147" i="31"/>
  <c r="J172" i="31"/>
  <c r="J181" i="31"/>
  <c r="J7" i="31"/>
  <c r="J186" i="31"/>
  <c r="J171" i="31"/>
  <c r="J162" i="31"/>
  <c r="J154" i="31"/>
  <c r="J127" i="31"/>
  <c r="J123" i="31"/>
  <c r="J109" i="31"/>
  <c r="J96" i="31"/>
  <c r="J88" i="31"/>
  <c r="J79" i="31"/>
  <c r="J57" i="31"/>
  <c r="J42" i="31"/>
  <c r="J36" i="31"/>
  <c r="J14" i="31"/>
  <c r="J188" i="31"/>
  <c r="J183" i="31"/>
  <c r="J176" i="31"/>
  <c r="J165" i="31"/>
  <c r="J140" i="31"/>
  <c r="J133" i="31"/>
  <c r="J120" i="31"/>
  <c r="J113" i="31"/>
  <c r="J92" i="31"/>
  <c r="J84" i="31"/>
  <c r="J74" i="31"/>
  <c r="J69" i="31"/>
  <c r="J61" i="31"/>
  <c r="J47" i="31"/>
  <c r="J29" i="31"/>
  <c r="J22" i="31"/>
  <c r="J174" i="31"/>
  <c r="J143" i="31"/>
  <c r="J121" i="31"/>
  <c r="J67" i="31"/>
  <c r="J51" i="31"/>
  <c r="J24" i="31"/>
  <c r="J12" i="31"/>
  <c r="J142" i="31"/>
  <c r="J89" i="31"/>
  <c r="J173" i="31"/>
  <c r="J158" i="31"/>
  <c r="J106" i="31"/>
  <c r="J190" i="31"/>
  <c r="J156" i="31"/>
  <c r="J146" i="31"/>
  <c r="J112" i="31"/>
  <c r="J101" i="31"/>
  <c r="J68" i="31"/>
  <c r="J55" i="31"/>
  <c r="J33" i="31"/>
  <c r="J16" i="31"/>
  <c r="J168" i="31"/>
  <c r="J153" i="31"/>
  <c r="J104" i="31"/>
  <c r="J76" i="31"/>
  <c r="J189" i="31"/>
  <c r="J134" i="31"/>
  <c r="J117" i="31"/>
  <c r="J80" i="31"/>
  <c r="J54" i="31"/>
  <c r="J48" i="31"/>
  <c r="J43" i="31"/>
  <c r="J28" i="31"/>
  <c r="J23" i="31"/>
  <c r="J13" i="31"/>
  <c r="J17" i="31"/>
  <c r="J39" i="31"/>
  <c r="J52" i="31"/>
  <c r="J95" i="31"/>
  <c r="J132" i="31"/>
  <c r="J164" i="31"/>
  <c r="J70" i="31"/>
  <c r="J108" i="31"/>
  <c r="J161" i="31"/>
  <c r="J20" i="31"/>
  <c r="J45" i="31"/>
  <c r="J59" i="31"/>
  <c r="J75" i="31"/>
  <c r="J103" i="31"/>
  <c r="J115" i="31"/>
  <c r="J150" i="31"/>
  <c r="J169" i="31"/>
  <c r="J9" i="31"/>
  <c r="J25" i="31"/>
  <c r="J44" i="31"/>
  <c r="J58" i="31"/>
  <c r="J118" i="31"/>
  <c r="J155" i="31"/>
  <c r="J100" i="31"/>
  <c r="J139" i="31"/>
  <c r="J163" i="31"/>
  <c r="J31" i="31"/>
  <c r="J53" i="31"/>
  <c r="J65" i="31"/>
  <c r="J81" i="31"/>
  <c r="J105" i="31"/>
  <c r="J129" i="31"/>
  <c r="J179" i="31"/>
  <c r="L182" i="31"/>
  <c r="L178" i="31"/>
  <c r="L159" i="31"/>
  <c r="L151" i="31"/>
  <c r="L148" i="31"/>
  <c r="L145" i="31"/>
  <c r="L136" i="31"/>
  <c r="L128" i="31"/>
  <c r="L124" i="31"/>
  <c r="L122" i="31"/>
  <c r="L114" i="31"/>
  <c r="L111" i="31"/>
  <c r="L102" i="31"/>
  <c r="L97" i="31"/>
  <c r="L91" i="31"/>
  <c r="L86" i="31"/>
  <c r="L78" i="31"/>
  <c r="L73" i="31"/>
  <c r="L66" i="31"/>
  <c r="L63" i="31"/>
  <c r="L62" i="31"/>
  <c r="L50" i="31"/>
  <c r="L41" i="31"/>
  <c r="L37" i="31"/>
  <c r="L34" i="31"/>
  <c r="L30" i="31"/>
  <c r="L26" i="31"/>
  <c r="L19" i="31"/>
  <c r="L11" i="31"/>
  <c r="L8" i="31"/>
  <c r="L6" i="31"/>
  <c r="L4" i="31"/>
  <c r="L185" i="31"/>
  <c r="L181" i="31"/>
  <c r="L177" i="31"/>
  <c r="L172" i="31"/>
  <c r="L167" i="31"/>
  <c r="L160" i="31"/>
  <c r="L152" i="31"/>
  <c r="L147" i="31"/>
  <c r="L141" i="31"/>
  <c r="L138" i="31"/>
  <c r="L135" i="31"/>
  <c r="L131" i="31"/>
  <c r="L125" i="31"/>
  <c r="L119" i="31"/>
  <c r="L116" i="31"/>
  <c r="L107" i="31"/>
  <c r="L98" i="31"/>
  <c r="L94" i="31"/>
  <c r="L90" i="31"/>
  <c r="L83" i="31"/>
  <c r="L77" i="31"/>
  <c r="L72" i="31"/>
  <c r="L64" i="31"/>
  <c r="L49" i="31"/>
  <c r="L40" i="31"/>
  <c r="L38" i="31"/>
  <c r="L35" i="31"/>
  <c r="L27" i="31"/>
  <c r="L18" i="31"/>
  <c r="L10" i="31"/>
  <c r="L5" i="31"/>
  <c r="L3" i="31"/>
  <c r="L187" i="31"/>
  <c r="L184" i="31"/>
  <c r="L180" i="31"/>
  <c r="L175" i="31"/>
  <c r="L170" i="31"/>
  <c r="L166" i="31"/>
  <c r="L157" i="31"/>
  <c r="L149" i="31"/>
  <c r="L144" i="31"/>
  <c r="L137" i="31"/>
  <c r="L130" i="31"/>
  <c r="L126" i="31"/>
  <c r="L110" i="31"/>
  <c r="L99" i="31"/>
  <c r="L93" i="31"/>
  <c r="L87" i="31"/>
  <c r="L85" i="31"/>
  <c r="L82" i="31"/>
  <c r="L71" i="31"/>
  <c r="L60" i="31"/>
  <c r="L56" i="31"/>
  <c r="L46" i="31"/>
  <c r="L32" i="31"/>
  <c r="L21" i="31"/>
  <c r="L15" i="31"/>
  <c r="L188" i="31"/>
  <c r="L186" i="31"/>
  <c r="L183" i="31"/>
  <c r="L176" i="31"/>
  <c r="L171" i="31"/>
  <c r="L165" i="31"/>
  <c r="L162" i="31"/>
  <c r="L154" i="31"/>
  <c r="L140" i="31"/>
  <c r="L133" i="31"/>
  <c r="L127" i="31"/>
  <c r="L123" i="31"/>
  <c r="L120" i="31"/>
  <c r="L113" i="31"/>
  <c r="L109" i="31"/>
  <c r="L96" i="31"/>
  <c r="L92" i="31"/>
  <c r="L88" i="31"/>
  <c r="L84" i="31"/>
  <c r="L79" i="31"/>
  <c r="L74" i="31"/>
  <c r="L69" i="31"/>
  <c r="L61" i="31"/>
  <c r="L57" i="31"/>
  <c r="L47" i="31"/>
  <c r="L42" i="31"/>
  <c r="L36" i="31"/>
  <c r="L29" i="31"/>
  <c r="L22" i="31"/>
  <c r="L14" i="31"/>
  <c r="L7" i="31"/>
  <c r="L13" i="31"/>
  <c r="L23" i="31"/>
  <c r="L28" i="31"/>
  <c r="L43" i="31"/>
  <c r="L48" i="31"/>
  <c r="L54" i="31"/>
  <c r="L80" i="31"/>
  <c r="L106" i="31"/>
  <c r="L118" i="31"/>
  <c r="L134" i="31"/>
  <c r="L158" i="31"/>
  <c r="L173" i="31"/>
  <c r="L76" i="31"/>
  <c r="L100" i="31"/>
  <c r="L108" i="31"/>
  <c r="L142" i="31"/>
  <c r="L161" i="31"/>
  <c r="L168" i="31"/>
  <c r="L12" i="31"/>
  <c r="L20" i="31"/>
  <c r="L31" i="31"/>
  <c r="L45" i="31"/>
  <c r="L53" i="31"/>
  <c r="L59" i="31"/>
  <c r="L67" i="31"/>
  <c r="L75" i="31"/>
  <c r="L103" i="31"/>
  <c r="L112" i="31"/>
  <c r="L121" i="31"/>
  <c r="L143" i="31"/>
  <c r="L150" i="31"/>
  <c r="L174" i="31"/>
  <c r="L190" i="31"/>
  <c r="L17" i="31"/>
  <c r="L25" i="31"/>
  <c r="L39" i="31"/>
  <c r="L44" i="31"/>
  <c r="L52" i="31"/>
  <c r="L58" i="31"/>
  <c r="L95" i="31"/>
  <c r="L117" i="31"/>
  <c r="L132" i="31"/>
  <c r="L155" i="31"/>
  <c r="L164" i="31"/>
  <c r="L189" i="31"/>
  <c r="L70" i="31"/>
  <c r="L89" i="31"/>
  <c r="L104" i="31"/>
  <c r="L139" i="31"/>
  <c r="L153" i="31"/>
  <c r="L163" i="31"/>
  <c r="L9" i="31"/>
  <c r="L16" i="31"/>
  <c r="L24" i="31"/>
  <c r="L33" i="31"/>
  <c r="L51" i="31"/>
  <c r="L55" i="31"/>
  <c r="L65" i="31"/>
  <c r="L68" i="31"/>
  <c r="L81" i="31"/>
  <c r="L101" i="31"/>
  <c r="L105" i="31"/>
  <c r="L115" i="31"/>
  <c r="L129" i="31"/>
  <c r="L146" i="31"/>
  <c r="L156" i="31"/>
  <c r="L169" i="31"/>
  <c r="L179" i="31"/>
  <c r="I45" i="2"/>
  <c r="L44" i="2"/>
  <c r="M44" i="2"/>
  <c r="A46" i="2"/>
  <c r="J45" i="2"/>
  <c r="C45" i="2" s="1"/>
  <c r="K45" i="2"/>
  <c r="D45" i="2" s="1"/>
  <c r="E44" i="2"/>
  <c r="F44" i="2"/>
  <c r="B46" i="2" l="1"/>
  <c r="G46" i="2" s="1"/>
  <c r="N46" i="2"/>
  <c r="O46" i="2"/>
  <c r="N1" i="31"/>
  <c r="AC2" i="31"/>
  <c r="Z17" i="31" s="1"/>
  <c r="O17" i="31" s="1"/>
  <c r="H46" i="2"/>
  <c r="L1" i="31"/>
  <c r="J1" i="31"/>
  <c r="I46" i="2"/>
  <c r="M45" i="2"/>
  <c r="L45" i="2"/>
  <c r="A47" i="2"/>
  <c r="J46" i="2"/>
  <c r="C46" i="2" s="1"/>
  <c r="K46" i="2"/>
  <c r="D46" i="2" s="1"/>
  <c r="F45" i="2"/>
  <c r="E45" i="2"/>
  <c r="B47" i="2" l="1"/>
  <c r="N47" i="2"/>
  <c r="O47" i="2"/>
  <c r="Z124" i="31"/>
  <c r="O124" i="31" s="1"/>
  <c r="Z154" i="31"/>
  <c r="O154" i="31" s="1"/>
  <c r="Z120" i="31"/>
  <c r="O120" i="31" s="1"/>
  <c r="Z64" i="31"/>
  <c r="O64" i="31" s="1"/>
  <c r="Z58" i="31"/>
  <c r="O58" i="31" s="1"/>
  <c r="Z36" i="31"/>
  <c r="O36" i="31" s="1"/>
  <c r="Z87" i="31"/>
  <c r="O87" i="31" s="1"/>
  <c r="Z140" i="31"/>
  <c r="O140" i="31" s="1"/>
  <c r="Z28" i="31"/>
  <c r="O28" i="31" s="1"/>
  <c r="Z92" i="31"/>
  <c r="O92" i="31" s="1"/>
  <c r="Z57" i="31"/>
  <c r="O57" i="31" s="1"/>
  <c r="Z95" i="31"/>
  <c r="O95" i="31" s="1"/>
  <c r="Z39" i="31"/>
  <c r="O39" i="31" s="1"/>
  <c r="Z52" i="31"/>
  <c r="O52" i="31" s="1"/>
  <c r="Z88" i="31"/>
  <c r="O88" i="31" s="1"/>
  <c r="Z133" i="31"/>
  <c r="O133" i="31" s="1"/>
  <c r="Z5" i="31"/>
  <c r="O5" i="31" s="1"/>
  <c r="Z142" i="31"/>
  <c r="O142" i="31" s="1"/>
  <c r="Z125" i="31"/>
  <c r="O125" i="31" s="1"/>
  <c r="Z73" i="31"/>
  <c r="O73" i="31" s="1"/>
  <c r="Z139" i="31"/>
  <c r="O139" i="31" s="1"/>
  <c r="Z14" i="31"/>
  <c r="O14" i="31" s="1"/>
  <c r="Z72" i="31"/>
  <c r="O72" i="31" s="1"/>
  <c r="Z41" i="31"/>
  <c r="O41" i="31" s="1"/>
  <c r="Z9" i="31"/>
  <c r="O9" i="31" s="1"/>
  <c r="Z111" i="31"/>
  <c r="O111" i="31" s="1"/>
  <c r="Z67" i="31"/>
  <c r="O67" i="31" s="1"/>
  <c r="Z149" i="31"/>
  <c r="O149" i="31" s="1"/>
  <c r="Z65" i="31"/>
  <c r="O65" i="31" s="1"/>
  <c r="Z40" i="31"/>
  <c r="O40" i="31" s="1"/>
  <c r="Z47" i="31"/>
  <c r="O47" i="31" s="1"/>
  <c r="Z158" i="31"/>
  <c r="O158" i="31" s="1"/>
  <c r="Z188" i="31"/>
  <c r="O188" i="31" s="1"/>
  <c r="Z56" i="31"/>
  <c r="O56" i="31" s="1"/>
  <c r="Z97" i="31"/>
  <c r="O97" i="31" s="1"/>
  <c r="Z115" i="31"/>
  <c r="O115" i="31" s="1"/>
  <c r="Z110" i="31"/>
  <c r="O110" i="31" s="1"/>
  <c r="Z90" i="31"/>
  <c r="O90" i="31" s="1"/>
  <c r="Z109" i="31"/>
  <c r="O109" i="31" s="1"/>
  <c r="Z102" i="31"/>
  <c r="O102" i="31" s="1"/>
  <c r="Z130" i="31"/>
  <c r="O130" i="31" s="1"/>
  <c r="Z19" i="31"/>
  <c r="O19" i="31" s="1"/>
  <c r="Z59" i="31"/>
  <c r="O59" i="31" s="1"/>
  <c r="Z30" i="31"/>
  <c r="O30" i="31" s="1"/>
  <c r="Z93" i="31"/>
  <c r="O93" i="31" s="1"/>
  <c r="Z107" i="31"/>
  <c r="O107" i="31" s="1"/>
  <c r="Z42" i="31"/>
  <c r="O42" i="31" s="1"/>
  <c r="Z27" i="31"/>
  <c r="O27" i="31" s="1"/>
  <c r="Z24" i="31"/>
  <c r="O24" i="31" s="1"/>
  <c r="Z7" i="31"/>
  <c r="O7" i="31" s="1"/>
  <c r="Z152" i="31"/>
  <c r="O152" i="31" s="1"/>
  <c r="Z100" i="31"/>
  <c r="O100" i="31" s="1"/>
  <c r="Z32" i="31"/>
  <c r="O32" i="31" s="1"/>
  <c r="Z156" i="31"/>
  <c r="O156" i="31" s="1"/>
  <c r="Z131" i="31"/>
  <c r="O131" i="31" s="1"/>
  <c r="Z48" i="31"/>
  <c r="O48" i="31" s="1"/>
  <c r="Z147" i="31"/>
  <c r="O147" i="31" s="1"/>
  <c r="Z119" i="31"/>
  <c r="O119" i="31" s="1"/>
  <c r="Z155" i="31"/>
  <c r="O155" i="31" s="1"/>
  <c r="Z3" i="31"/>
  <c r="O3" i="31" s="1"/>
  <c r="Z45" i="31"/>
  <c r="O45" i="31" s="1"/>
  <c r="Z176" i="31"/>
  <c r="O176" i="31" s="1"/>
  <c r="Z29" i="31"/>
  <c r="O29" i="31" s="1"/>
  <c r="Z157" i="31"/>
  <c r="O157" i="31" s="1"/>
  <c r="Z12" i="31"/>
  <c r="O12" i="31" s="1"/>
  <c r="Z60" i="31"/>
  <c r="O60" i="31" s="1"/>
  <c r="Z22" i="31"/>
  <c r="O22" i="31" s="1"/>
  <c r="Z74" i="31"/>
  <c r="O74" i="31" s="1"/>
  <c r="Z96" i="31"/>
  <c r="O96" i="31" s="1"/>
  <c r="Z91" i="31"/>
  <c r="O91" i="31" s="1"/>
  <c r="Z103" i="31"/>
  <c r="O103" i="31" s="1"/>
  <c r="Z162" i="31"/>
  <c r="O162" i="31" s="1"/>
  <c r="Z35" i="31"/>
  <c r="O35" i="31" s="1"/>
  <c r="Z117" i="31"/>
  <c r="O117" i="31" s="1"/>
  <c r="Z23" i="31"/>
  <c r="O23" i="31" s="1"/>
  <c r="Z187" i="31"/>
  <c r="O187" i="31" s="1"/>
  <c r="Z148" i="31"/>
  <c r="O148" i="31" s="1"/>
  <c r="Z179" i="31"/>
  <c r="O179" i="31" s="1"/>
  <c r="Z184" i="31"/>
  <c r="O184" i="31" s="1"/>
  <c r="Z145" i="31"/>
  <c r="O145" i="31" s="1"/>
  <c r="Z37" i="31"/>
  <c r="O37" i="31" s="1"/>
  <c r="Z99" i="31"/>
  <c r="O99" i="31" s="1"/>
  <c r="Z170" i="31"/>
  <c r="O170" i="31" s="1"/>
  <c r="Z46" i="31"/>
  <c r="O46" i="31" s="1"/>
  <c r="Z114" i="31"/>
  <c r="O114" i="31" s="1"/>
  <c r="Z177" i="31"/>
  <c r="O177" i="31" s="1"/>
  <c r="Z180" i="31"/>
  <c r="O180" i="31" s="1"/>
  <c r="Z167" i="31"/>
  <c r="O167" i="31" s="1"/>
  <c r="Z116" i="31"/>
  <c r="O116" i="31" s="1"/>
  <c r="Z128" i="31"/>
  <c r="O128" i="31" s="1"/>
  <c r="Z71" i="31"/>
  <c r="O71" i="31" s="1"/>
  <c r="Z6" i="31"/>
  <c r="O6" i="31" s="1"/>
  <c r="Z144" i="31"/>
  <c r="O144" i="31" s="1"/>
  <c r="Z94" i="31"/>
  <c r="O94" i="31" s="1"/>
  <c r="Z172" i="31"/>
  <c r="O172" i="31" s="1"/>
  <c r="Z185" i="31"/>
  <c r="O185" i="31" s="1"/>
  <c r="Z82" i="31"/>
  <c r="O82" i="31" s="1"/>
  <c r="Z178" i="31"/>
  <c r="O178" i="31" s="1"/>
  <c r="Z21" i="31"/>
  <c r="O21" i="31" s="1"/>
  <c r="Z63" i="31"/>
  <c r="O63" i="31" s="1"/>
  <c r="Z171" i="31"/>
  <c r="O171" i="31" s="1"/>
  <c r="Z4" i="31"/>
  <c r="O4" i="31" s="1"/>
  <c r="Z50" i="31"/>
  <c r="O50" i="31" s="1"/>
  <c r="Z98" i="31"/>
  <c r="O98" i="31" s="1"/>
  <c r="H47" i="2"/>
  <c r="G47" i="2"/>
  <c r="I47" i="2"/>
  <c r="M46" i="2"/>
  <c r="L46" i="2"/>
  <c r="A48" i="2"/>
  <c r="J47" i="2"/>
  <c r="C47" i="2" s="1"/>
  <c r="K47" i="2"/>
  <c r="D47" i="2" s="1"/>
  <c r="E46" i="2"/>
  <c r="F46" i="2"/>
  <c r="B48" i="2" l="1"/>
  <c r="O48" i="2"/>
  <c r="N48" i="2"/>
  <c r="H48" i="2"/>
  <c r="G48" i="2"/>
  <c r="I48" i="2"/>
  <c r="A49" i="2"/>
  <c r="K48" i="2"/>
  <c r="D48" i="2" s="1"/>
  <c r="J48" i="2"/>
  <c r="C48" i="2" s="1"/>
  <c r="F47" i="2"/>
  <c r="E47" i="2"/>
  <c r="M47" i="2"/>
  <c r="L47" i="2"/>
  <c r="B49" i="2" l="1"/>
  <c r="H49" i="2" s="1"/>
  <c r="N49" i="2"/>
  <c r="O49" i="2"/>
  <c r="I49" i="2"/>
  <c r="E48" i="2"/>
  <c r="F48" i="2"/>
  <c r="L48" i="2"/>
  <c r="M48" i="2"/>
  <c r="A50" i="2"/>
  <c r="J49" i="2"/>
  <c r="C49" i="2" s="1"/>
  <c r="K49" i="2"/>
  <c r="D49" i="2" s="1"/>
  <c r="G49" i="2" l="1"/>
  <c r="B50" i="2"/>
  <c r="H50" i="2" s="1"/>
  <c r="N50" i="2"/>
  <c r="O50" i="2"/>
  <c r="G50" i="2"/>
  <c r="I50" i="2"/>
  <c r="A51" i="2"/>
  <c r="K50" i="2"/>
  <c r="D50" i="2" s="1"/>
  <c r="J50" i="2"/>
  <c r="C50" i="2" s="1"/>
  <c r="F49" i="2"/>
  <c r="E49" i="2"/>
  <c r="M49" i="2"/>
  <c r="L49" i="2"/>
  <c r="B51" i="2" l="1"/>
  <c r="H51" i="2" s="1"/>
  <c r="N51" i="2"/>
  <c r="O51" i="2"/>
  <c r="G51" i="2"/>
  <c r="I51" i="2"/>
  <c r="E50" i="2"/>
  <c r="F50" i="2"/>
  <c r="M50" i="2"/>
  <c r="L50" i="2"/>
  <c r="A52" i="2"/>
  <c r="J51" i="2"/>
  <c r="C51" i="2" s="1"/>
  <c r="K51" i="2"/>
  <c r="D51" i="2" s="1"/>
  <c r="B52" i="2" l="1"/>
  <c r="H52" i="2" s="1"/>
  <c r="O52" i="2"/>
  <c r="N52" i="2"/>
  <c r="G52" i="2"/>
  <c r="I52" i="2"/>
  <c r="E51" i="2"/>
  <c r="F51" i="2"/>
  <c r="A53" i="2"/>
  <c r="K52" i="2"/>
  <c r="D52" i="2" s="1"/>
  <c r="J52" i="2"/>
  <c r="C52" i="2" s="1"/>
  <c r="L51" i="2"/>
  <c r="M51" i="2"/>
  <c r="B53" i="2" l="1"/>
  <c r="H53" i="2" s="1"/>
  <c r="N53" i="2"/>
  <c r="O53" i="2"/>
  <c r="G53" i="2"/>
  <c r="I53" i="2"/>
  <c r="E52" i="2"/>
  <c r="F52" i="2"/>
  <c r="L52" i="2"/>
  <c r="M52" i="2"/>
  <c r="A54" i="2"/>
  <c r="J53" i="2"/>
  <c r="C53" i="2" s="1"/>
  <c r="K53" i="2"/>
  <c r="D53" i="2" s="1"/>
  <c r="B54" i="2" l="1"/>
  <c r="H54" i="2" s="1"/>
  <c r="N54" i="2"/>
  <c r="O54" i="2"/>
  <c r="G54" i="2"/>
  <c r="I54" i="2"/>
  <c r="E53" i="2"/>
  <c r="F53" i="2"/>
  <c r="M53" i="2"/>
  <c r="L53" i="2"/>
  <c r="A55" i="2"/>
  <c r="J54" i="2"/>
  <c r="C54" i="2" s="1"/>
  <c r="K54" i="2"/>
  <c r="D54" i="2" s="1"/>
  <c r="B55" i="2" l="1"/>
  <c r="G55" i="2" s="1"/>
  <c r="N55" i="2"/>
  <c r="O55" i="2"/>
  <c r="I55" i="2"/>
  <c r="E54" i="2"/>
  <c r="F54" i="2"/>
  <c r="M54" i="2"/>
  <c r="L54" i="2"/>
  <c r="A56" i="2"/>
  <c r="J55" i="2"/>
  <c r="C55" i="2" s="1"/>
  <c r="K55" i="2"/>
  <c r="D55" i="2" s="1"/>
  <c r="H55" i="2" l="1"/>
  <c r="B56" i="2"/>
  <c r="H56" i="2" s="1"/>
  <c r="O56" i="2"/>
  <c r="N56" i="2"/>
  <c r="I56" i="2"/>
  <c r="E55" i="2"/>
  <c r="F55" i="2"/>
  <c r="A57" i="2"/>
  <c r="K56" i="2"/>
  <c r="D56" i="2" s="1"/>
  <c r="J56" i="2"/>
  <c r="C56" i="2" s="1"/>
  <c r="M55" i="2"/>
  <c r="L55" i="2"/>
  <c r="G56" i="2" l="1"/>
  <c r="B57" i="2"/>
  <c r="H57" i="2" s="1"/>
  <c r="N57" i="2"/>
  <c r="O57" i="2"/>
  <c r="I57" i="2"/>
  <c r="E56" i="2"/>
  <c r="F56" i="2"/>
  <c r="L56" i="2"/>
  <c r="M56" i="2"/>
  <c r="A58" i="2"/>
  <c r="K57" i="2"/>
  <c r="D57" i="2" s="1"/>
  <c r="J57" i="2"/>
  <c r="C57" i="2" s="1"/>
  <c r="G57" i="2" l="1"/>
  <c r="B58" i="2"/>
  <c r="H58" i="2" s="1"/>
  <c r="N58" i="2"/>
  <c r="O58" i="2"/>
  <c r="I58" i="2"/>
  <c r="E57" i="2"/>
  <c r="F57" i="2"/>
  <c r="A59" i="2"/>
  <c r="K58" i="2"/>
  <c r="D58" i="2" s="1"/>
  <c r="J58" i="2"/>
  <c r="C58" i="2" s="1"/>
  <c r="M57" i="2"/>
  <c r="L57" i="2"/>
  <c r="G58" i="2" l="1"/>
  <c r="B59" i="2"/>
  <c r="H59" i="2" s="1"/>
  <c r="N59" i="2"/>
  <c r="O59" i="2"/>
  <c r="I59" i="2"/>
  <c r="E58" i="2"/>
  <c r="F58" i="2"/>
  <c r="M58" i="2"/>
  <c r="L58" i="2"/>
  <c r="A60" i="2"/>
  <c r="J59" i="2"/>
  <c r="C59" i="2" s="1"/>
  <c r="K59" i="2"/>
  <c r="D59" i="2" s="1"/>
  <c r="G59" i="2" l="1"/>
  <c r="B60" i="2"/>
  <c r="H60" i="2" s="1"/>
  <c r="O60" i="2"/>
  <c r="N60" i="2"/>
  <c r="G60" i="2"/>
  <c r="I60" i="2"/>
  <c r="E59" i="2"/>
  <c r="F59" i="2"/>
  <c r="L59" i="2"/>
  <c r="M59" i="2"/>
  <c r="A61" i="2"/>
  <c r="K60" i="2"/>
  <c r="D60" i="2" s="1"/>
  <c r="J60" i="2"/>
  <c r="C60" i="2" s="1"/>
  <c r="B61" i="2" l="1"/>
  <c r="H61" i="2" s="1"/>
  <c r="N61" i="2"/>
  <c r="O61" i="2"/>
  <c r="G61" i="2"/>
  <c r="I61" i="2"/>
  <c r="E60" i="2"/>
  <c r="F60" i="2"/>
  <c r="L60" i="2"/>
  <c r="M60" i="2"/>
  <c r="A62" i="2"/>
  <c r="K61" i="2"/>
  <c r="D61" i="2" s="1"/>
  <c r="J61" i="2"/>
  <c r="C61" i="2" s="1"/>
  <c r="B62" i="2" l="1"/>
  <c r="H62" i="2" s="1"/>
  <c r="N62" i="2"/>
  <c r="O62" i="2"/>
  <c r="G62" i="2"/>
  <c r="I62" i="2"/>
  <c r="E61" i="2"/>
  <c r="F61" i="2"/>
  <c r="M61" i="2"/>
  <c r="L61" i="2"/>
  <c r="A63" i="2"/>
  <c r="J62" i="2"/>
  <c r="C62" i="2" s="1"/>
  <c r="K62" i="2"/>
  <c r="D62" i="2" s="1"/>
  <c r="B63" i="2" l="1"/>
  <c r="H63" i="2" s="1"/>
  <c r="N63" i="2"/>
  <c r="O63" i="2"/>
  <c r="G63" i="2"/>
  <c r="I63" i="2"/>
  <c r="E62" i="2"/>
  <c r="F62" i="2"/>
  <c r="M62" i="2"/>
  <c r="L62" i="2"/>
  <c r="A64" i="2"/>
  <c r="J63" i="2"/>
  <c r="C63" i="2" s="1"/>
  <c r="K63" i="2"/>
  <c r="D63" i="2" s="1"/>
  <c r="B64" i="2" l="1"/>
  <c r="H64" i="2" s="1"/>
  <c r="O64" i="2"/>
  <c r="N64" i="2"/>
  <c r="G64" i="2"/>
  <c r="I64" i="2"/>
  <c r="E63" i="2"/>
  <c r="F63" i="2"/>
  <c r="L63" i="2"/>
  <c r="M63" i="2"/>
  <c r="A65" i="2"/>
  <c r="K64" i="2"/>
  <c r="D64" i="2" s="1"/>
  <c r="J64" i="2"/>
  <c r="C64" i="2" s="1"/>
  <c r="B65" i="2" l="1"/>
  <c r="H65" i="2" s="1"/>
  <c r="N65" i="2"/>
  <c r="O65" i="2"/>
  <c r="I65" i="2"/>
  <c r="E64" i="2"/>
  <c r="F64" i="2"/>
  <c r="L64" i="2"/>
  <c r="M64" i="2"/>
  <c r="A66" i="2"/>
  <c r="K65" i="2"/>
  <c r="D65" i="2" s="1"/>
  <c r="J65" i="2"/>
  <c r="C65" i="2" s="1"/>
  <c r="G65" i="2" l="1"/>
  <c r="B66" i="2"/>
  <c r="H66" i="2" s="1"/>
  <c r="N66" i="2"/>
  <c r="O66" i="2"/>
  <c r="I66" i="2"/>
  <c r="E65" i="2"/>
  <c r="F65" i="2"/>
  <c r="M65" i="2"/>
  <c r="L65" i="2"/>
  <c r="A67" i="2"/>
  <c r="K66" i="2"/>
  <c r="D66" i="2" s="1"/>
  <c r="J66" i="2"/>
  <c r="C66" i="2" s="1"/>
  <c r="G66" i="2" l="1"/>
  <c r="B67" i="2"/>
  <c r="H67" i="2" s="1"/>
  <c r="N67" i="2"/>
  <c r="O67" i="2"/>
  <c r="I67" i="2"/>
  <c r="E66" i="2"/>
  <c r="F66" i="2"/>
  <c r="M66" i="2"/>
  <c r="L66" i="2"/>
  <c r="A68" i="2"/>
  <c r="J67" i="2"/>
  <c r="C67" i="2" s="1"/>
  <c r="K67" i="2"/>
  <c r="D67" i="2" s="1"/>
  <c r="G67" i="2" l="1"/>
  <c r="B68" i="2"/>
  <c r="H68" i="2" s="1"/>
  <c r="O68" i="2"/>
  <c r="N68" i="2"/>
  <c r="I68" i="2"/>
  <c r="E67" i="2"/>
  <c r="F67" i="2"/>
  <c r="M67" i="2"/>
  <c r="L67" i="2"/>
  <c r="A69" i="2"/>
  <c r="K68" i="2"/>
  <c r="D68" i="2" s="1"/>
  <c r="J68" i="2"/>
  <c r="C68" i="2" s="1"/>
  <c r="G68" i="2" l="1"/>
  <c r="B69" i="2"/>
  <c r="H69" i="2" s="1"/>
  <c r="N69" i="2"/>
  <c r="O69" i="2"/>
  <c r="I69" i="2"/>
  <c r="A70" i="2"/>
  <c r="E68" i="2"/>
  <c r="F68" i="2"/>
  <c r="L68" i="2"/>
  <c r="M68" i="2"/>
  <c r="K69" i="2"/>
  <c r="D69" i="2" s="1"/>
  <c r="J69" i="2"/>
  <c r="C69" i="2" s="1"/>
  <c r="G69" i="2" l="1"/>
  <c r="B70" i="2"/>
  <c r="H70" i="2" s="1"/>
  <c r="N70" i="2"/>
  <c r="O70" i="2"/>
  <c r="I70" i="2"/>
  <c r="A71" i="2"/>
  <c r="J70" i="2"/>
  <c r="C70" i="2" s="1"/>
  <c r="K70" i="2"/>
  <c r="D70" i="2" s="1"/>
  <c r="E69" i="2"/>
  <c r="F69" i="2"/>
  <c r="M69" i="2"/>
  <c r="L69" i="2"/>
  <c r="G70" i="2" l="1"/>
  <c r="B71" i="2"/>
  <c r="H71" i="2" s="1"/>
  <c r="N71" i="2"/>
  <c r="O71" i="2"/>
  <c r="M70" i="2"/>
  <c r="I71" i="2"/>
  <c r="L70" i="2"/>
  <c r="E70" i="2"/>
  <c r="F70" i="2"/>
  <c r="A72" i="2"/>
  <c r="K71" i="2"/>
  <c r="D71" i="2" s="1"/>
  <c r="J71" i="2"/>
  <c r="C71" i="2" s="1"/>
  <c r="G71" i="2" l="1"/>
  <c r="B72" i="2"/>
  <c r="H72" i="2" s="1"/>
  <c r="O72" i="2"/>
  <c r="N72" i="2"/>
  <c r="I72" i="2"/>
  <c r="E71" i="2"/>
  <c r="M71" i="2"/>
  <c r="L71" i="2"/>
  <c r="F71" i="2"/>
  <c r="A73" i="2"/>
  <c r="J72" i="2"/>
  <c r="C72" i="2" s="1"/>
  <c r="K72" i="2"/>
  <c r="D72" i="2" s="1"/>
  <c r="G72" i="2" l="1"/>
  <c r="B73" i="2"/>
  <c r="H73" i="2" s="1"/>
  <c r="N73" i="2"/>
  <c r="O73" i="2"/>
  <c r="I73" i="2"/>
  <c r="E72" i="2"/>
  <c r="F72" i="2"/>
  <c r="M72" i="2"/>
  <c r="A74" i="2"/>
  <c r="J73" i="2"/>
  <c r="C73" i="2" s="1"/>
  <c r="K73" i="2"/>
  <c r="D73" i="2" s="1"/>
  <c r="L72" i="2"/>
  <c r="G73" i="2" l="1"/>
  <c r="N74" i="2"/>
  <c r="O74" i="2"/>
  <c r="A75" i="2"/>
  <c r="B74" i="2"/>
  <c r="I74" i="2"/>
  <c r="K74" i="2"/>
  <c r="D74" i="2" s="1"/>
  <c r="J74" i="2"/>
  <c r="C74" i="2" s="1"/>
  <c r="M73" i="2"/>
  <c r="L73" i="2"/>
  <c r="E73" i="2"/>
  <c r="F73" i="2"/>
  <c r="B75" i="2" l="1"/>
  <c r="N75" i="2"/>
  <c r="O75" i="2"/>
  <c r="I75" i="2"/>
  <c r="H74" i="2"/>
  <c r="G74" i="2"/>
  <c r="H75" i="2"/>
  <c r="G75" i="2"/>
  <c r="J75" i="2"/>
  <c r="C75" i="2" s="1"/>
  <c r="E75" i="2" s="1"/>
  <c r="K75" i="2"/>
  <c r="D75" i="2" s="1"/>
  <c r="F75" i="2" s="1"/>
  <c r="A76" i="2"/>
  <c r="K76" i="2"/>
  <c r="D76" i="2" s="1"/>
  <c r="F74" i="2"/>
  <c r="L74" i="2"/>
  <c r="M74" i="2"/>
  <c r="E74" i="2"/>
  <c r="B76" i="2" l="1"/>
  <c r="O76" i="2"/>
  <c r="N76" i="2"/>
  <c r="J76" i="2"/>
  <c r="C76" i="2" s="1"/>
  <c r="E76" i="2" s="1"/>
  <c r="H76" i="2"/>
  <c r="G76" i="2"/>
  <c r="L75" i="2"/>
  <c r="M75" i="2"/>
  <c r="I76" i="2"/>
  <c r="M76" i="2" s="1"/>
  <c r="A77" i="2"/>
  <c r="I77" i="2" s="1"/>
  <c r="J77" i="2"/>
  <c r="C77" i="2" s="1"/>
  <c r="F76" i="2"/>
  <c r="B77" i="2" l="1"/>
  <c r="E77" i="2" s="1"/>
  <c r="N77" i="2"/>
  <c r="O77" i="2"/>
  <c r="G77" i="2"/>
  <c r="L76" i="2"/>
  <c r="K77" i="2"/>
  <c r="D77" i="2" s="1"/>
  <c r="A78" i="2"/>
  <c r="L77" i="2"/>
  <c r="B78" i="2" l="1"/>
  <c r="N78" i="2"/>
  <c r="O78" i="2"/>
  <c r="H77" i="2"/>
  <c r="I78" i="2"/>
  <c r="F77" i="2"/>
  <c r="M77" i="2"/>
  <c r="H78" i="2"/>
  <c r="G78" i="2"/>
  <c r="J78" i="2"/>
  <c r="C78" i="2" s="1"/>
  <c r="K78" i="2"/>
  <c r="D78" i="2" s="1"/>
  <c r="F78" i="2" s="1"/>
  <c r="A79" i="2"/>
  <c r="E78" i="2" l="1"/>
  <c r="B79" i="2"/>
  <c r="N79" i="2"/>
  <c r="O79" i="2"/>
  <c r="A80" i="2"/>
  <c r="J79" i="2"/>
  <c r="C79" i="2" s="1"/>
  <c r="L78" i="2"/>
  <c r="H79" i="2"/>
  <c r="G79" i="2"/>
  <c r="M78" i="2"/>
  <c r="K79" i="2"/>
  <c r="D79" i="2" s="1"/>
  <c r="F79" i="2" s="1"/>
  <c r="I79" i="2"/>
  <c r="L79" i="2" s="1"/>
  <c r="E79" i="2"/>
  <c r="K80" i="2" l="1"/>
  <c r="D80" i="2" s="1"/>
  <c r="O80" i="2"/>
  <c r="N80" i="2"/>
  <c r="J80" i="2"/>
  <c r="C80" i="2" s="1"/>
  <c r="B80" i="2"/>
  <c r="A81" i="2"/>
  <c r="I80" i="2"/>
  <c r="M79" i="2"/>
  <c r="M80" i="2" l="1"/>
  <c r="L80" i="2"/>
  <c r="K81" i="2"/>
  <c r="D81" i="2" s="1"/>
  <c r="N81" i="2"/>
  <c r="O81" i="2"/>
  <c r="A82" i="2"/>
  <c r="J81" i="2"/>
  <c r="C81" i="2" s="1"/>
  <c r="B81" i="2"/>
  <c r="I81" i="2"/>
  <c r="E80" i="2"/>
  <c r="F80" i="2"/>
  <c r="G80" i="2"/>
  <c r="H80" i="2"/>
  <c r="K82" i="2" l="1"/>
  <c r="D82" i="2" s="1"/>
  <c r="N82" i="2"/>
  <c r="O82" i="2"/>
  <c r="A83" i="2"/>
  <c r="J82" i="2"/>
  <c r="C82" i="2" s="1"/>
  <c r="B82" i="2"/>
  <c r="I82" i="2"/>
  <c r="F81" i="2"/>
  <c r="E81" i="2"/>
  <c r="H81" i="2"/>
  <c r="G81" i="2"/>
  <c r="M81" i="2"/>
  <c r="L81" i="2"/>
  <c r="K83" i="2" l="1"/>
  <c r="D83" i="2" s="1"/>
  <c r="N83" i="2"/>
  <c r="O83" i="2"/>
  <c r="B83" i="2"/>
  <c r="J83" i="2"/>
  <c r="C83" i="2" s="1"/>
  <c r="I83" i="2"/>
  <c r="M82" i="2"/>
  <c r="L82" i="2"/>
  <c r="E82" i="2"/>
  <c r="F82" i="2"/>
  <c r="H82" i="2"/>
  <c r="G82" i="2"/>
  <c r="E83" i="2" l="1"/>
  <c r="F83" i="2"/>
  <c r="G83" i="2"/>
  <c r="H83" i="2"/>
  <c r="M83" i="2"/>
  <c r="L83" i="2"/>
</calcChain>
</file>

<file path=xl/sharedStrings.xml><?xml version="1.0" encoding="utf-8"?>
<sst xmlns="http://schemas.openxmlformats.org/spreadsheetml/2006/main" count="3742" uniqueCount="695">
  <si>
    <t>Nordhaus 1994a</t>
  </si>
  <si>
    <t>Nordhaus 1994b</t>
  </si>
  <si>
    <t>Fankhauser 1995</t>
  </si>
  <si>
    <t>Tol 1995</t>
  </si>
  <si>
    <t>Nordhaus and Yang 1996</t>
  </si>
  <si>
    <t>Plambeck and Hope 1996</t>
  </si>
  <si>
    <t>Mendelsohn et al. 2000</t>
  </si>
  <si>
    <t>Nordhaus and Boyer 2000</t>
  </si>
  <si>
    <t>Tol 2002</t>
  </si>
  <si>
    <t>Maddison 2003</t>
  </si>
  <si>
    <t>Rehdanz and Maddison 2005</t>
  </si>
  <si>
    <t>Hope 2006</t>
  </si>
  <si>
    <t>Nordhaus 2006</t>
  </si>
  <si>
    <t>warming</t>
  </si>
  <si>
    <t>impact</t>
  </si>
  <si>
    <t>stdev</t>
  </si>
  <si>
    <t>min</t>
  </si>
  <si>
    <t>max</t>
  </si>
  <si>
    <t>Nordhaus 2008</t>
  </si>
  <si>
    <t>Maddison and Rehdanz 2011</t>
  </si>
  <si>
    <t>Bosello et al.  2012</t>
  </si>
  <si>
    <t>Roson and van der Mensbrugghe 2012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</si>
  <si>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</si>
  <si>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</si>
  <si>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</si>
  <si>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</si>
  <si>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</si>
  <si>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</si>
  <si>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</si>
  <si>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</si>
  <si>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</si>
  <si>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</si>
  <si>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</si>
  <si>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</si>
  <si>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</si>
  <si>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</si>
  <si>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</si>
  <si>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</si>
  <si>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</si>
  <si>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</si>
  <si>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</si>
  <si>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</si>
  <si>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</si>
  <si>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</si>
  <si>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</si>
  <si>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</si>
  <si>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</si>
  <si>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</si>
  <si>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SD</t>
  </si>
  <si>
    <t>SD+</t>
  </si>
  <si>
    <t>SD-</t>
  </si>
  <si>
    <t>Nordhaus 2013</t>
  </si>
  <si>
    <t>central</t>
  </si>
  <si>
    <t>sd+</t>
  </si>
  <si>
    <t>sd-</t>
  </si>
  <si>
    <t>upper</t>
  </si>
  <si>
    <t>lower</t>
  </si>
  <si>
    <t>point estimates</t>
  </si>
  <si>
    <t>temp</t>
  </si>
  <si>
    <t>temp-sq</t>
  </si>
  <si>
    <t>Table 1</t>
  </si>
  <si>
    <t>Fig1</t>
  </si>
  <si>
    <t>Figure 1</t>
  </si>
  <si>
    <t>Figure 2</t>
  </si>
  <si>
    <t>Graph</t>
  </si>
  <si>
    <t>Regressions</t>
  </si>
  <si>
    <t>Table 2</t>
  </si>
  <si>
    <t>Documentation</t>
  </si>
  <si>
    <t>Nordhaus 1991</t>
  </si>
  <si>
    <t>p. 933</t>
  </si>
  <si>
    <t>Nordhaus does not specify the exact value</t>
  </si>
  <si>
    <t xml:space="preserve">p. 46 </t>
  </si>
  <si>
    <t>comments</t>
  </si>
  <si>
    <t>"doubling in the atmospheric concentration of carbon dioxide" is typically meant to mean a doubling compared to pre-industrial times</t>
  </si>
  <si>
    <t>p. 4-31</t>
  </si>
  <si>
    <t>p. 3516</t>
  </si>
  <si>
    <t>p. 3517, Table 2</t>
  </si>
  <si>
    <t>p. 47; Fig 2 (scen A)</t>
  </si>
  <si>
    <t>Appendix (var A1)</t>
  </si>
  <si>
    <t>Appendix (eq YY)</t>
  </si>
  <si>
    <t>p. 55, Table 3.15</t>
  </si>
  <si>
    <t>p. 27</t>
  </si>
  <si>
    <t>p. 65, Table VIII</t>
  </si>
  <si>
    <t>p. 355, Table I</t>
  </si>
  <si>
    <t>p. 2</t>
  </si>
  <si>
    <t>p. 140, Fig 22</t>
  </si>
  <si>
    <t>p. 51, Fig 3-3</t>
  </si>
  <si>
    <t>Berz undated</t>
  </si>
  <si>
    <t>Table</t>
  </si>
  <si>
    <t>USA</t>
  </si>
  <si>
    <t>Japan</t>
  </si>
  <si>
    <t>China</t>
  </si>
  <si>
    <t>EU</t>
  </si>
  <si>
    <t>fSU</t>
  </si>
  <si>
    <t>RoW</t>
  </si>
  <si>
    <t>p. 746, Table 2</t>
  </si>
  <si>
    <t>Damage</t>
  </si>
  <si>
    <t>Source</t>
  </si>
  <si>
    <t>GDP</t>
  </si>
  <si>
    <t>Appendix B</t>
  </si>
  <si>
    <t>share</t>
  </si>
  <si>
    <t>Income</t>
  </si>
  <si>
    <t>10^6 $(1990)/year</t>
  </si>
  <si>
    <t>10^9</t>
  </si>
  <si>
    <t>10^12 $(1990)/year</t>
  </si>
  <si>
    <t>10^3 $(1990)/person/year</t>
  </si>
  <si>
    <t>year</t>
  </si>
  <si>
    <t>Population</t>
  </si>
  <si>
    <t>Other OECD</t>
  </si>
  <si>
    <t>fSU + EE</t>
  </si>
  <si>
    <t>South Asia</t>
  </si>
  <si>
    <t>Afr + MDE</t>
  </si>
  <si>
    <t>LA</t>
  </si>
  <si>
    <t>%GDP</t>
  </si>
  <si>
    <t>p. 789</t>
  </si>
  <si>
    <t>p. 789, Table 3</t>
  </si>
  <si>
    <t>Impact</t>
  </si>
  <si>
    <t>CAN</t>
  </si>
  <si>
    <t>WEU</t>
  </si>
  <si>
    <t>JSK</t>
  </si>
  <si>
    <t>ANZ</t>
  </si>
  <si>
    <t>EEU</t>
  </si>
  <si>
    <t>FSU</t>
  </si>
  <si>
    <t>MDE</t>
  </si>
  <si>
    <t>CAM</t>
  </si>
  <si>
    <t>SAM</t>
  </si>
  <si>
    <t>SAS</t>
  </si>
  <si>
    <t>SEA</t>
  </si>
  <si>
    <t>CHI</t>
  </si>
  <si>
    <t>NAF</t>
  </si>
  <si>
    <t>SSA</t>
  </si>
  <si>
    <t>SIS</t>
  </si>
  <si>
    <t>10^9 $</t>
  </si>
  <si>
    <t>Non-economic impact</t>
  </si>
  <si>
    <t>Economic impact</t>
  </si>
  <si>
    <t>Multiplier</t>
  </si>
  <si>
    <t>low</t>
  </si>
  <si>
    <t>mid</t>
  </si>
  <si>
    <t>high</t>
  </si>
  <si>
    <t>p. 46, Table 7, fn a</t>
  </si>
  <si>
    <t>p. 40, Table 2</t>
  </si>
  <si>
    <t>p. 41, Table 3 &amp; p. 46</t>
  </si>
  <si>
    <t>Table 2: $55 bln</t>
  </si>
  <si>
    <t>Table 3: $145 bln; p. 46: $145 bln ~ 0.1% GDP</t>
  </si>
  <si>
    <t>Argentina</t>
  </si>
  <si>
    <t>Australia</t>
  </si>
  <si>
    <t>Austria</t>
  </si>
  <si>
    <t>Bahamas</t>
  </si>
  <si>
    <t>Bangladesh</t>
  </si>
  <si>
    <t>Barbados</t>
  </si>
  <si>
    <t>Belgium</t>
  </si>
  <si>
    <t>Benin</t>
  </si>
  <si>
    <t>Bolivia</t>
  </si>
  <si>
    <t>n.a.</t>
  </si>
  <si>
    <t>Botswana</t>
  </si>
  <si>
    <t>Brazil</t>
  </si>
  <si>
    <t>Cameroon</t>
  </si>
  <si>
    <t>Canada</t>
  </si>
  <si>
    <t>Chile</t>
  </si>
  <si>
    <t>Colombia</t>
  </si>
  <si>
    <t>Congo</t>
  </si>
  <si>
    <t>Costa Rica</t>
  </si>
  <si>
    <t>Denmark</t>
  </si>
  <si>
    <t>Dominica</t>
  </si>
  <si>
    <t>Ecuador</t>
  </si>
  <si>
    <t>Egypt</t>
  </si>
  <si>
    <t>El Salvador</t>
  </si>
  <si>
    <t>Ethiopia</t>
  </si>
  <si>
    <t>Finland</t>
  </si>
  <si>
    <t>France</t>
  </si>
  <si>
    <t>Germany</t>
  </si>
  <si>
    <t>Greece</t>
  </si>
  <si>
    <t>Grenada</t>
  </si>
  <si>
    <t>Guatemala</t>
  </si>
  <si>
    <t>Honduras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</si>
  <si>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</si>
  <si>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</si>
  <si>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</si>
  <si>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</si>
  <si>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</si>
  <si>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</si>
  <si>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</si>
  <si>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</si>
  <si>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</si>
  <si>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Ivory Coast</t>
  </si>
  <si>
    <t>Jamaica</t>
  </si>
  <si>
    <t>Kenya</t>
  </si>
  <si>
    <t>Luxembourg</t>
  </si>
  <si>
    <t>Madagascar</t>
  </si>
  <si>
    <t>Malawi</t>
  </si>
  <si>
    <t>Malaysia</t>
  </si>
  <si>
    <t>Mali</t>
  </si>
  <si>
    <t>Mauritius</t>
  </si>
  <si>
    <t>Mexico</t>
  </si>
  <si>
    <t>Morocco</t>
  </si>
  <si>
    <t>Nepal</t>
  </si>
  <si>
    <t>Netherlands</t>
  </si>
  <si>
    <t>New Zealand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</si>
  <si>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</si>
  <si>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</si>
  <si>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</si>
  <si>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</si>
  <si>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</si>
  <si>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</si>
  <si>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</si>
  <si>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</si>
  <si>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</si>
  <si>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</si>
  <si>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Rwanda</t>
  </si>
  <si>
    <t>Saint Lucia</t>
  </si>
  <si>
    <t>Senegal</t>
  </si>
  <si>
    <t>Sierra Leone</t>
  </si>
  <si>
    <t>South Korea</t>
  </si>
  <si>
    <t>Spain</t>
  </si>
  <si>
    <t>Sri Lanka</t>
  </si>
  <si>
    <t>Suriname</t>
  </si>
  <si>
    <t>Swaziland</t>
  </si>
  <si>
    <t>Sweden</t>
  </si>
  <si>
    <t>Switzerland</t>
  </si>
  <si>
    <t>Syria</t>
  </si>
  <si>
    <t>Tanzania</t>
  </si>
  <si>
    <t>Thailand</t>
  </si>
  <si>
    <t>Trinidad and Tobago</t>
  </si>
  <si>
    <t>Tunisia</t>
  </si>
  <si>
    <t>Turkey</t>
  </si>
  <si>
    <t>United Kingdom</t>
  </si>
  <si>
    <t>United States</t>
  </si>
  <si>
    <t>Uruguay</t>
  </si>
  <si>
    <t>Venezuela</t>
  </si>
  <si>
    <t>Yugoslavia</t>
  </si>
  <si>
    <t>Zambia</t>
  </si>
  <si>
    <t>Zimbabwe</t>
  </si>
  <si>
    <t>%</t>
  </si>
  <si>
    <t>Singapore</t>
  </si>
  <si>
    <t>Cote d'Ivoire</t>
  </si>
  <si>
    <t>Hong Kong, China SAR</t>
  </si>
  <si>
    <t>Iran, Islamic Rep</t>
  </si>
  <si>
    <t>St. Lucia</t>
  </si>
  <si>
    <t>Syrian Arab Rep</t>
  </si>
  <si>
    <t>Tanzania, United Rep</t>
  </si>
  <si>
    <t>Armenia</t>
  </si>
  <si>
    <t>Azerbaijan</t>
  </si>
  <si>
    <t>Belarus</t>
  </si>
  <si>
    <t>Bosnia-Hercegovina</t>
  </si>
  <si>
    <t>Bulgaria</t>
  </si>
  <si>
    <t>Croatia</t>
  </si>
  <si>
    <t>Czechiaa</t>
  </si>
  <si>
    <t>Czechoslovakiaa</t>
  </si>
  <si>
    <t>Dominican Republic</t>
  </si>
  <si>
    <t>Estonia</t>
  </si>
  <si>
    <t>Georgia</t>
  </si>
  <si>
    <t>Germanya</t>
  </si>
  <si>
    <t>Ghana</t>
  </si>
  <si>
    <t>Great Britain</t>
  </si>
  <si>
    <t>Latvia</t>
  </si>
  <si>
    <t>Lithuania</t>
  </si>
  <si>
    <t>Macedonia</t>
  </si>
  <si>
    <t>Moldova</t>
  </si>
  <si>
    <t>Montenegro</t>
  </si>
  <si>
    <t>Northern Ireland</t>
  </si>
  <si>
    <t>Puerto Rico</t>
  </si>
  <si>
    <t>Russia</t>
  </si>
  <si>
    <t>Serbia</t>
  </si>
  <si>
    <t>Slovakia</t>
  </si>
  <si>
    <t>Slovenia</t>
  </si>
  <si>
    <t>South Africa</t>
  </si>
  <si>
    <t>Ukraine</t>
  </si>
  <si>
    <t>p. 171, Table 5</t>
  </si>
  <si>
    <t>p. 119, fn 13</t>
  </si>
  <si>
    <t>Temperature</t>
  </si>
  <si>
    <t>Temperature and precipitation</t>
  </si>
  <si>
    <t>1995 $ per person per year</t>
  </si>
  <si>
    <t>Albania</t>
  </si>
  <si>
    <t>Algeria</t>
  </si>
  <si>
    <t>Bosnia and Herzegovina</t>
  </si>
  <si>
    <t>Burkina Faso</t>
  </si>
  <si>
    <t>Cyprus</t>
  </si>
  <si>
    <t>Czech Republic</t>
  </si>
  <si>
    <t>Iraq</t>
  </si>
  <si>
    <t>Jordan</t>
  </si>
  <si>
    <t>Kyrgyzstan</t>
  </si>
  <si>
    <t>Saudi Arabia</t>
  </si>
  <si>
    <t>Uganda</t>
  </si>
  <si>
    <t>Czech Rep</t>
  </si>
  <si>
    <t>Dominican Rep</t>
  </si>
  <si>
    <t>Korea, Rep</t>
  </si>
  <si>
    <t>Macedonia, FYR</t>
  </si>
  <si>
    <t>Moldova, Rep</t>
  </si>
  <si>
    <t>Russian Federation</t>
  </si>
  <si>
    <t>Viet Nam</t>
  </si>
  <si>
    <t>thousands</t>
  </si>
  <si>
    <t>mln $</t>
  </si>
  <si>
    <t>$1995/p/yr</t>
  </si>
  <si>
    <t>United States of America</t>
  </si>
  <si>
    <t>change in DM</t>
  </si>
  <si>
    <t>comp</t>
  </si>
  <si>
    <t>%income</t>
  </si>
  <si>
    <t>Korea, Republic</t>
  </si>
  <si>
    <t>p. 2441: SRES A2, HadCM3, 2070-2099</t>
  </si>
  <si>
    <t>aggregation in sheet MaddisonRehdanz</t>
  </si>
  <si>
    <t>p. 2443, Table 5</t>
  </si>
  <si>
    <t>p. 120, Table 4</t>
  </si>
  <si>
    <t>aggregation in sheet RehdanzMaddison</t>
  </si>
  <si>
    <t>aggregation in sheet Maddison</t>
  </si>
  <si>
    <t>aggregation in sheet NordhausYang</t>
  </si>
  <si>
    <t>aggregation in sheet PlambeckHope</t>
  </si>
  <si>
    <t>p. 24, Table 5</t>
  </si>
  <si>
    <t>aggregation in sheet Hope</t>
  </si>
  <si>
    <t>p. 283</t>
  </si>
  <si>
    <t>p. 278</t>
  </si>
  <si>
    <t>p. 279, Fig 4</t>
  </si>
  <si>
    <t>Text ambiguous. Roson (pers. comm.): Specified impact is labour productivity only</t>
  </si>
  <si>
    <t>Add 0.6 to temperature per IPCC WG2 AR5</t>
  </si>
  <si>
    <t>pop</t>
  </si>
  <si>
    <t>Hope</t>
  </si>
  <si>
    <t>GDP/cap (PPP)</t>
  </si>
  <si>
    <t>Estimates</t>
  </si>
  <si>
    <t>Study</t>
  </si>
  <si>
    <t>Maddison</t>
  </si>
  <si>
    <t>GDP/cap</t>
  </si>
  <si>
    <t>damage</t>
  </si>
  <si>
    <t>oth OECD</t>
  </si>
  <si>
    <t>ROW</t>
  </si>
  <si>
    <t>Pop</t>
  </si>
  <si>
    <t>Fankhauser</t>
  </si>
  <si>
    <t>Berz</t>
  </si>
  <si>
    <t>World</t>
  </si>
  <si>
    <t>OECD</t>
  </si>
  <si>
    <t>OECD Europe</t>
  </si>
  <si>
    <t>Other high income</t>
  </si>
  <si>
    <t>High income OPEC</t>
  </si>
  <si>
    <t>Eastern Europe</t>
  </si>
  <si>
    <t>Middle Income</t>
  </si>
  <si>
    <t>Lower Middle Income</t>
  </si>
  <si>
    <t>Africa</t>
  </si>
  <si>
    <t>Low Income</t>
  </si>
  <si>
    <t>OECD-America</t>
  </si>
  <si>
    <t>OECD-Europe</t>
  </si>
  <si>
    <t>OECD-Pacific</t>
  </si>
  <si>
    <t>EEFSU</t>
  </si>
  <si>
    <t>Latin America</t>
  </si>
  <si>
    <t>S&amp;SEA</t>
  </si>
  <si>
    <t>OHI</t>
  </si>
  <si>
    <t>Rus+EE</t>
  </si>
  <si>
    <t>MI</t>
  </si>
  <si>
    <t>LMI</t>
  </si>
  <si>
    <t>LI</t>
  </si>
  <si>
    <t>Data organized for Figure 1</t>
  </si>
  <si>
    <t>Data for Table 1 and Figure 1</t>
  </si>
  <si>
    <t>population weighted estimate omitted</t>
  </si>
  <si>
    <t>average value omitted, equity weighted value omitted</t>
  </si>
  <si>
    <t>population, area weighted omitted</t>
  </si>
  <si>
    <t>Nordhaus 1982</t>
  </si>
  <si>
    <t>Nordhaus (1980)</t>
  </si>
  <si>
    <t>p. 242, 243</t>
  </si>
  <si>
    <t>Azarbaijan</t>
  </si>
  <si>
    <t>quadratic</t>
  </si>
  <si>
    <t>piecewise linear</t>
  </si>
  <si>
    <t>absolute numbers only; no relatives; scenarios not provided</t>
  </si>
  <si>
    <t>N Eur</t>
  </si>
  <si>
    <t>Med Eur</t>
  </si>
  <si>
    <t>E Eur</t>
  </si>
  <si>
    <t>Korea, S Afr, Austr</t>
  </si>
  <si>
    <t>Can, Jpn, NZ</t>
  </si>
  <si>
    <t>N Afr</t>
  </si>
  <si>
    <t>M East</t>
  </si>
  <si>
    <t>S Asia</t>
  </si>
  <si>
    <t>E Asia</t>
  </si>
  <si>
    <t>L Am</t>
  </si>
  <si>
    <t>CHN</t>
  </si>
  <si>
    <t>JPN</t>
  </si>
  <si>
    <t>XEA</t>
  </si>
  <si>
    <t>IND</t>
  </si>
  <si>
    <t>XSA</t>
  </si>
  <si>
    <t>BRA</t>
  </si>
  <si>
    <t>RUS</t>
  </si>
  <si>
    <t>XEC</t>
  </si>
  <si>
    <t>EUR</t>
  </si>
  <si>
    <t>MNA</t>
  </si>
  <si>
    <t>RHA</t>
  </si>
  <si>
    <t>RHY</t>
  </si>
  <si>
    <t>XLC</t>
  </si>
  <si>
    <t>Afghanistan</t>
  </si>
  <si>
    <t>Angola</t>
  </si>
  <si>
    <t>Antigua and Barbuda</t>
  </si>
  <si>
    <t>Bahrain</t>
  </si>
  <si>
    <t>Belize</t>
  </si>
  <si>
    <t>Bermuda</t>
  </si>
  <si>
    <t>Bhutan</t>
  </si>
  <si>
    <t>Brunei</t>
  </si>
  <si>
    <t>Burundi</t>
  </si>
  <si>
    <t>CÃ´te d'Ivoire</t>
  </si>
  <si>
    <t>Cambodia</t>
  </si>
  <si>
    <t>Cape Verde</t>
  </si>
  <si>
    <t>Central African Republic</t>
  </si>
  <si>
    <t>Chad</t>
  </si>
  <si>
    <t>Comoros</t>
  </si>
  <si>
    <t>Congo [DRC]</t>
  </si>
  <si>
    <t>Congo [Republic]</t>
  </si>
  <si>
    <t>Cuba</t>
  </si>
  <si>
    <t>Djibouti</t>
  </si>
  <si>
    <t>Equatorial Guinea</t>
  </si>
  <si>
    <t>Eritrea</t>
  </si>
  <si>
    <t>Fiji</t>
  </si>
  <si>
    <t>Gabon</t>
  </si>
  <si>
    <t>Gambia</t>
  </si>
  <si>
    <t>Guinea</t>
  </si>
  <si>
    <t>Guinea-Bissau</t>
  </si>
  <si>
    <t>Guyana</t>
  </si>
  <si>
    <t>Haiti</t>
  </si>
  <si>
    <t>Kazakhstan</t>
  </si>
  <si>
    <t>Kiribati</t>
  </si>
  <si>
    <t>Kosovo</t>
  </si>
  <si>
    <t>Kuwait</t>
  </si>
  <si>
    <t>Laos</t>
  </si>
  <si>
    <t>Lebanon</t>
  </si>
  <si>
    <t>Lesotho</t>
  </si>
  <si>
    <t>Liberia</t>
  </si>
  <si>
    <t>Libya</t>
  </si>
  <si>
    <t>Macau</t>
  </si>
  <si>
    <t>Macedonia [FYROM]</t>
  </si>
  <si>
    <t>Maldives</t>
  </si>
  <si>
    <t>Malta</t>
  </si>
  <si>
    <t>Marshall Islands</t>
  </si>
  <si>
    <t>Mauritania</t>
  </si>
  <si>
    <t>Micronesia</t>
  </si>
  <si>
    <t>Mongolia</t>
  </si>
  <si>
    <t>Mozambique</t>
  </si>
  <si>
    <t>Namibia</t>
  </si>
  <si>
    <t>Nicaragua</t>
  </si>
  <si>
    <t>Niger</t>
  </si>
  <si>
    <t>Oman</t>
  </si>
  <si>
    <t>Palau</t>
  </si>
  <si>
    <t>Palestinian Territories</t>
  </si>
  <si>
    <t>Papua New Guinea</t>
  </si>
  <si>
    <t>Qatar</t>
  </si>
  <si>
    <t>SÃ£o TomÃ© and PrÃ­ncipe</t>
  </si>
  <si>
    <t>Saint Kitts and Nevis</t>
  </si>
  <si>
    <t>Saint Vincent and the Grenadines</t>
  </si>
  <si>
    <t>Samoa</t>
  </si>
  <si>
    <t>Seychelles</t>
  </si>
  <si>
    <t>Solomon Islands</t>
  </si>
  <si>
    <t>Sudan</t>
  </si>
  <si>
    <t>Tajikistan</t>
  </si>
  <si>
    <t>Timor-Leste</t>
  </si>
  <si>
    <t>Togo</t>
  </si>
  <si>
    <t>Tonga</t>
  </si>
  <si>
    <t>Turkmenistan</t>
  </si>
  <si>
    <t>Tuvalu</t>
  </si>
  <si>
    <t>United Arab Emirates</t>
  </si>
  <si>
    <t>Uzbekistan</t>
  </si>
  <si>
    <t>Vanuatu</t>
  </si>
  <si>
    <t>Vietnam</t>
  </si>
  <si>
    <t>Yemen</t>
  </si>
  <si>
    <t>AGGREGATION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</si>
  <si>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</si>
  <si>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</si>
  <si>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</si>
  <si>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</si>
  <si>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</si>
  <si>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</si>
  <si>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</si>
  <si>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</si>
  <si>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</si>
  <si>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</si>
  <si>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</si>
  <si>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</si>
  <si>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MAM</t>
  </si>
  <si>
    <t>JJA</t>
  </si>
  <si>
    <t>SON</t>
  </si>
  <si>
    <t>DJF</t>
  </si>
  <si>
    <t>ANN</t>
  </si>
  <si>
    <t>Actaeon</t>
  </si>
  <si>
    <t>Group</t>
  </si>
  <si>
    <t>Aldabra</t>
  </si>
  <si>
    <t>Isl</t>
  </si>
  <si>
    <t>Aleutians</t>
  </si>
  <si>
    <t>Amsterdam</t>
  </si>
  <si>
    <t>Andaman</t>
  </si>
  <si>
    <t>Antigua</t>
  </si>
  <si>
    <t>Antipodes</t>
  </si>
  <si>
    <t>Ascension</t>
  </si>
  <si>
    <t>Auckland</t>
  </si>
  <si>
    <t>Azores</t>
  </si>
  <si>
    <t>Banaba</t>
  </si>
  <si>
    <t>Barbuda</t>
  </si>
  <si>
    <t>Bassas</t>
  </si>
  <si>
    <t>Bioko</t>
  </si>
  <si>
    <t>Bonin</t>
  </si>
  <si>
    <t>Bosnia-Herzegovinia</t>
  </si>
  <si>
    <t>Burkina</t>
  </si>
  <si>
    <t>Faso</t>
  </si>
  <si>
    <t>Cabinda</t>
  </si>
  <si>
    <t>Campbell</t>
  </si>
  <si>
    <t>Canary</t>
  </si>
  <si>
    <t>Cape</t>
  </si>
  <si>
    <t>Verde</t>
  </si>
  <si>
    <t>Caroline</t>
  </si>
  <si>
    <t>Central</t>
  </si>
  <si>
    <t>African</t>
  </si>
  <si>
    <t>Chagos</t>
  </si>
  <si>
    <t>Archipelago</t>
  </si>
  <si>
    <t>Costa</t>
  </si>
  <si>
    <t>Rica</t>
  </si>
  <si>
    <t>Crozet</t>
  </si>
  <si>
    <t>Czech</t>
  </si>
  <si>
    <t>Republic</t>
  </si>
  <si>
    <t>Dominican</t>
  </si>
  <si>
    <t>Ducie</t>
  </si>
  <si>
    <t>Easter</t>
  </si>
  <si>
    <t>El</t>
  </si>
  <si>
    <t>Salvador</t>
  </si>
  <si>
    <t>Equatorial</t>
  </si>
  <si>
    <t>Fernando</t>
  </si>
  <si>
    <t>Noronha</t>
  </si>
  <si>
    <t>Franz</t>
  </si>
  <si>
    <t>Joseph</t>
  </si>
  <si>
    <t>Galapagos</t>
  </si>
  <si>
    <t>Gough</t>
  </si>
  <si>
    <t>Guadalupe</t>
  </si>
  <si>
    <t>Hawaii</t>
  </si>
  <si>
    <t>Henderson</t>
  </si>
  <si>
    <t>Holland</t>
  </si>
  <si>
    <t>Hong</t>
  </si>
  <si>
    <t>Kong</t>
  </si>
  <si>
    <t>Glorieuses</t>
  </si>
  <si>
    <t>Trindade</t>
  </si>
  <si>
    <t>Horn</t>
  </si>
  <si>
    <t>Andres</t>
  </si>
  <si>
    <t>Bahia</t>
  </si>
  <si>
    <t>Ivory</t>
  </si>
  <si>
    <t>Coast</t>
  </si>
  <si>
    <t>Jan</t>
  </si>
  <si>
    <t>Mayen</t>
  </si>
  <si>
    <t>Juan</t>
  </si>
  <si>
    <t>Fernandez</t>
  </si>
  <si>
    <t>Kara</t>
  </si>
  <si>
    <t>Sea</t>
  </si>
  <si>
    <t>Kerguelen</t>
  </si>
  <si>
    <t>Komandorskiye</t>
  </si>
  <si>
    <t>Kuril</t>
  </si>
  <si>
    <t>La</t>
  </si>
  <si>
    <t>Tortuga</t>
  </si>
  <si>
    <t>Laccadive</t>
  </si>
  <si>
    <t>Lau</t>
  </si>
  <si>
    <t>Line</t>
  </si>
  <si>
    <t>Lord</t>
  </si>
  <si>
    <t>Howe</t>
  </si>
  <si>
    <t>Macquarie</t>
  </si>
  <si>
    <t>Madeira</t>
  </si>
  <si>
    <t>Marianas</t>
  </si>
  <si>
    <t>Marquesas</t>
  </si>
  <si>
    <t>Marshall</t>
  </si>
  <si>
    <t>Moldavia</t>
  </si>
  <si>
    <t>New</t>
  </si>
  <si>
    <t>Siberian</t>
  </si>
  <si>
    <t>Zealand</t>
  </si>
  <si>
    <t>Nicobar</t>
  </si>
  <si>
    <t>Korea</t>
  </si>
  <si>
    <t>Novaya</t>
  </si>
  <si>
    <t>Zemlya</t>
  </si>
  <si>
    <t>Papua</t>
  </si>
  <si>
    <t>Paracel</t>
  </si>
  <si>
    <t>Phoenix</t>
  </si>
  <si>
    <t>Prince</t>
  </si>
  <si>
    <t>Edward</t>
  </si>
  <si>
    <t>Puerto</t>
  </si>
  <si>
    <t>Rodrigues</t>
  </si>
  <si>
    <t>Ryukyu</t>
  </si>
  <si>
    <t>Sao</t>
  </si>
  <si>
    <t>Tome</t>
  </si>
  <si>
    <t>Saudi</t>
  </si>
  <si>
    <t>Arabia</t>
  </si>
  <si>
    <t>Severnaya</t>
  </si>
  <si>
    <t>Sierra</t>
  </si>
  <si>
    <t>Leone</t>
  </si>
  <si>
    <t>Society</t>
  </si>
  <si>
    <t>Socotra</t>
  </si>
  <si>
    <t>Solomon</t>
  </si>
  <si>
    <t>South</t>
  </si>
  <si>
    <t>Sri</t>
  </si>
  <si>
    <t>Lanka</t>
  </si>
  <si>
    <t>St</t>
  </si>
  <si>
    <t>Croix</t>
  </si>
  <si>
    <t>Kitts</t>
  </si>
  <si>
    <t>Lucia</t>
  </si>
  <si>
    <t>Vincent</t>
  </si>
  <si>
    <t>Surinam</t>
  </si>
  <si>
    <t>Svalbard</t>
  </si>
  <si>
    <t>Swan</t>
  </si>
  <si>
    <t>Trinidad</t>
  </si>
  <si>
    <t>Tobago</t>
  </si>
  <si>
    <t>Tristan</t>
  </si>
  <si>
    <t>Cunha</t>
  </si>
  <si>
    <t>Tromelin</t>
  </si>
  <si>
    <t>Truk</t>
  </si>
  <si>
    <t>Tuamotu</t>
  </si>
  <si>
    <t>Tubuai</t>
  </si>
  <si>
    <t>Arab</t>
  </si>
  <si>
    <t>Emirates</t>
  </si>
  <si>
    <t>United</t>
  </si>
  <si>
    <t>Kingdom</t>
  </si>
  <si>
    <t>Vanatu</t>
  </si>
  <si>
    <t>Wrangel</t>
  </si>
  <si>
    <t>Zaire</t>
  </si>
  <si>
    <t>da India</t>
  </si>
  <si>
    <t>New Guinea</t>
  </si>
  <si>
    <t>income</t>
  </si>
  <si>
    <t>Roson</t>
  </si>
  <si>
    <t>Rest of East Asia</t>
  </si>
  <si>
    <t>Rest of South Asia</t>
  </si>
  <si>
    <t>Rest of Eastern Europe and Central Asia</t>
  </si>
  <si>
    <t>Sub-Saharan Africa</t>
  </si>
  <si>
    <t>Europe</t>
  </si>
  <si>
    <t>Middle East and North Africa</t>
  </si>
  <si>
    <t>Rest of high income countries (Kyoto Protocol Annex I)</t>
  </si>
  <si>
    <t>Rest of the World</t>
  </si>
  <si>
    <t>Rest of HIC (non-Annex I)</t>
  </si>
  <si>
    <t>Temp</t>
  </si>
  <si>
    <t>Inc</t>
  </si>
  <si>
    <t>Pos</t>
  </si>
  <si>
    <t>Neg</t>
  </si>
  <si>
    <t>Joint</t>
  </si>
  <si>
    <t>Bosello</t>
  </si>
  <si>
    <t>NordhausBoyer</t>
  </si>
  <si>
    <t>Tol1995</t>
  </si>
  <si>
    <t>NordhausYang</t>
  </si>
  <si>
    <t>PlambeckHope</t>
  </si>
  <si>
    <t>South &amp; East Asia</t>
  </si>
  <si>
    <t>low, neg</t>
  </si>
  <si>
    <t>low, pos</t>
  </si>
  <si>
    <t>high, neg</t>
  </si>
  <si>
    <t>high, pos</t>
  </si>
  <si>
    <t>d'Arge 1979</t>
  </si>
  <si>
    <t>Meta</t>
  </si>
  <si>
    <t>Tol2002</t>
  </si>
  <si>
    <t>Nordhaus: $5 billion damage; $6 trillion global output</t>
  </si>
  <si>
    <t>scaled</t>
  </si>
  <si>
    <t>rain</t>
  </si>
  <si>
    <t>corn</t>
  </si>
  <si>
    <t>world</t>
  </si>
  <si>
    <t>cotton</t>
  </si>
  <si>
    <t>wheat</t>
  </si>
  <si>
    <t>rice</t>
  </si>
  <si>
    <t>forest</t>
  </si>
  <si>
    <t>USSR</t>
  </si>
  <si>
    <t>fir</t>
  </si>
  <si>
    <t>marine</t>
  </si>
  <si>
    <t>water</t>
  </si>
  <si>
    <t>health</t>
  </si>
  <si>
    <t>wages</t>
  </si>
  <si>
    <t>energy</t>
  </si>
  <si>
    <t>power</t>
  </si>
  <si>
    <t>household</t>
  </si>
  <si>
    <t>public</t>
  </si>
  <si>
    <t>total</t>
  </si>
  <si>
    <t>per year</t>
  </si>
  <si>
    <t>annuity</t>
  </si>
  <si>
    <t>Annual GDP</t>
  </si>
  <si>
    <t>agriculture (incl.)</t>
  </si>
  <si>
    <t>agriculture (excl.)</t>
  </si>
  <si>
    <t>T+T^2</t>
  </si>
  <si>
    <t>T^2</t>
  </si>
  <si>
    <t>exp(exp(T))</t>
  </si>
  <si>
    <t>exp(T)</t>
  </si>
  <si>
    <t>T^2+T^7</t>
  </si>
  <si>
    <t>T^2+T^6</t>
  </si>
  <si>
    <t>T</t>
  </si>
  <si>
    <t>Regression analysis of data. Parameters form the basis for the curves shown in Figure 1 and for Table 2.</t>
  </si>
  <si>
    <t>Regions</t>
  </si>
  <si>
    <t>Data for Figure 2</t>
  </si>
  <si>
    <t>Fig2</t>
  </si>
  <si>
    <t>Sheet</t>
  </si>
  <si>
    <t>Description</t>
  </si>
  <si>
    <t>Mapping from regions to countries</t>
  </si>
  <si>
    <t>Country</t>
  </si>
  <si>
    <t>Other sheets</t>
  </si>
  <si>
    <t>Data from eponymous study</t>
  </si>
  <si>
    <t>Linear</t>
  </si>
  <si>
    <t>Piecewise linear</t>
  </si>
  <si>
    <t>Parabolic</t>
  </si>
  <si>
    <t>Quadratic</t>
  </si>
  <si>
    <t>Exponential</t>
  </si>
  <si>
    <t>Double exponential</t>
  </si>
  <si>
    <t>model</t>
  </si>
  <si>
    <t>likelihood</t>
  </si>
  <si>
    <t>t+t^2</t>
  </si>
  <si>
    <t>t^2</t>
  </si>
  <si>
    <t>t^2+t^7</t>
  </si>
  <si>
    <t>t^2+t^6</t>
  </si>
  <si>
    <t>t</t>
  </si>
  <si>
    <t>pwl</t>
  </si>
  <si>
    <t>q</t>
  </si>
  <si>
    <t>two extremes dropped</t>
  </si>
  <si>
    <t>Note that the results in "regressions" differ from the results in the published appendix. I am grateful to Doug McNeall for pointing out three errors in the original spreadsheet. There were two more errors, more important ones. The overall argument in the paper is unchanged.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</si>
</sst>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"/>
    <numFmt numFmtId="167" formatCode="0.000E+00"/>
    <numFmt numFmtId="168" formatCode="0.0%"/>
    <numFmt numFmtId="169" formatCode="0.0E+00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Arial"/>
      <family val="2"/>
    </font>
    <font>
      <sz val="10"/>
      <color indexed="10"/>
      <name val="Courier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 applyFill="1"/>
    <xf numFmtId="2" fontId="0" fillId="0" borderId="0" xfId="0" applyNumberFormat="1"/>
    <xf numFmtId="3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NumberFormat="1" applyFont="1" applyBorder="1" applyAlignment="1" applyProtection="1">
      <alignment horizontal="left"/>
    </xf>
    <xf numFmtId="10" fontId="0" fillId="0" borderId="0" xfId="0" applyNumberFormat="1"/>
    <xf numFmtId="0" fontId="2" fillId="0" borderId="0" xfId="0" applyNumberFormat="1" applyFont="1" applyFill="1" applyBorder="1" applyAlignment="1" applyProtection="1">
      <alignment horizontal="left"/>
    </xf>
    <xf numFmtId="1" fontId="3" fillId="0" borderId="0" xfId="0" applyNumberFormat="1" applyFont="1"/>
    <xf numFmtId="164" fontId="4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164" fontId="0" fillId="3" borderId="0" xfId="0" applyNumberFormat="1" applyFill="1"/>
    <xf numFmtId="164" fontId="4" fillId="3" borderId="0" xfId="0" applyNumberFormat="1" applyFont="1" applyFill="1"/>
    <xf numFmtId="166" fontId="0" fillId="2" borderId="0" xfId="0" applyNumberFormat="1" applyFill="1"/>
    <xf numFmtId="0" fontId="0" fillId="2" borderId="0" xfId="0" applyFill="1"/>
    <xf numFmtId="167" fontId="0" fillId="0" borderId="0" xfId="0" applyNumberFormat="1"/>
    <xf numFmtId="11" fontId="0" fillId="0" borderId="0" xfId="0" applyNumberFormat="1"/>
    <xf numFmtId="168" fontId="0" fillId="0" borderId="0" xfId="0" applyNumberFormat="1"/>
    <xf numFmtId="0" fontId="5" fillId="0" borderId="0" xfId="0" applyFont="1"/>
    <xf numFmtId="0" fontId="6" fillId="0" borderId="0" xfId="0" applyFont="1"/>
    <xf numFmtId="168" fontId="6" fillId="0" borderId="0" xfId="0" applyNumberFormat="1" applyFont="1"/>
    <xf numFmtId="169" fontId="0" fillId="0" borderId="1" xfId="0" applyNumberFormat="1" applyFill="1" applyBorder="1" applyAlignment="1"/>
    <xf numFmtId="169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7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externalLink" Target="externalLinks/externalLink1.xml"/><Relationship Id="rId10" Type="http://schemas.openxmlformats.org/officeDocument/2006/relationships/chartsheet" Target="chartsheets/sheet4.xml"/><Relationship Id="rId19" Type="http://schemas.openxmlformats.org/officeDocument/2006/relationships/worksheet" Target="worksheets/sheet15.xml"/><Relationship Id="rId31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5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graph!$Z$3:$Z$83</c:f>
              <c:numCache>
                <c:formatCode>General</c:formatCode>
                <c:ptCount val="81"/>
                <c:pt idx="40" formatCode="0.00">
                  <c:v>-0.97915753272366335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1-4477-B6BC-0782E4F59EDA}"/>
            </c:ext>
          </c:extLst>
        </c:ser>
        <c:ser>
          <c:idx val="0"/>
          <c:order val="1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graph!$Q$3:$Q$83</c:f>
              <c:numCache>
                <c:formatCode>General</c:formatCode>
                <c:ptCount val="81"/>
                <c:pt idx="5">
                  <c:v>-0.59642907312262095</c:v>
                </c:pt>
                <c:pt idx="22" formatCode="0.0">
                  <c:v>-0.17962065483383896</c:v>
                </c:pt>
                <c:pt idx="25" formatCode="0.0">
                  <c:v>2.2999999999999998</c:v>
                </c:pt>
                <c:pt idx="34" formatCode="0.0">
                  <c:v>-0.5</c:v>
                </c:pt>
                <c:pt idx="40" formatCode="0.00">
                  <c:v>-1.4</c:v>
                </c:pt>
                <c:pt idx="44" formatCode="0.0">
                  <c:v>-1.8</c:v>
                </c:pt>
                <c:pt idx="45" formatCode="0.0">
                  <c:v>-1</c:v>
                </c:pt>
                <c:pt idx="47" formatCode="0.0">
                  <c:v>-5.1135252093739076</c:v>
                </c:pt>
                <c:pt idx="69" formatCode="0.0">
                  <c:v>-4.5999999999999996</c:v>
                </c:pt>
                <c:pt idx="75" formatCode="0.0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1-4477-B6BC-0782E4F59EDA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graph!$R$3:$R$83</c:f>
              <c:numCache>
                <c:formatCode>General</c:formatCode>
                <c:ptCount val="81"/>
                <c:pt idx="25" formatCode="0.0">
                  <c:v>-0.30947656699459297</c:v>
                </c:pt>
                <c:pt idx="40" formatCode="0.00">
                  <c:v>-1.5</c:v>
                </c:pt>
                <c:pt idx="44" formatCode="0.0">
                  <c:v>-2</c:v>
                </c:pt>
                <c:pt idx="45" formatCode="0.0">
                  <c:v>-1.33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E1-4477-B6BC-0782E4F59EDA}"/>
            </c:ext>
          </c:extLst>
        </c:ser>
        <c:ser>
          <c:idx val="3"/>
          <c:order val="3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graph!$S$3:$S$83</c:f>
              <c:numCache>
                <c:formatCode>General</c:formatCode>
                <c:ptCount val="81"/>
                <c:pt idx="40" formatCode="0.00">
                  <c:v>-1.9</c:v>
                </c:pt>
                <c:pt idx="45" formatCode="0.0">
                  <c:v>-3.6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1-4477-B6BC-0782E4F59EDA}"/>
            </c:ext>
          </c:extLst>
        </c:ser>
        <c:ser>
          <c:idx val="7"/>
          <c:order val="4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graph!$T$3:$T$83</c:f>
              <c:numCache>
                <c:formatCode>General</c:formatCode>
                <c:ptCount val="81"/>
                <c:pt idx="40" formatCode="0.00">
                  <c:v>-1.4351033687575427</c:v>
                </c:pt>
                <c:pt idx="45" formatCode="0.0">
                  <c:v>-0.93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1-4477-B6BC-0782E4F59EDA}"/>
            </c:ext>
          </c:extLst>
        </c:ser>
        <c:ser>
          <c:idx val="8"/>
          <c:order val="5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graph!$U$3:$U$83</c:f>
              <c:numCache>
                <c:formatCode>General</c:formatCode>
                <c:ptCount val="81"/>
                <c:pt idx="40" formatCode="0.00">
                  <c:v>-2.8891788330145758</c:v>
                </c:pt>
                <c:pt idx="45" formatCode="0.0">
                  <c:v>-1.05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1-4477-B6BC-0782E4F59EDA}"/>
            </c:ext>
          </c:extLst>
        </c:ser>
        <c:ser>
          <c:idx val="11"/>
          <c:order val="6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graph!$V$3:$V$83</c:f>
              <c:numCache>
                <c:formatCode>General</c:formatCode>
                <c:ptCount val="81"/>
                <c:pt idx="40" formatCode="0.00">
                  <c:v>2.5345622119815666E-2</c:v>
                </c:pt>
                <c:pt idx="45" formatCode="0.0">
                  <c:v>-2.5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E1-4477-B6BC-0782E4F59EDA}"/>
            </c:ext>
          </c:extLst>
        </c:ser>
        <c:ser>
          <c:idx val="12"/>
          <c:order val="7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graph!$W$3:$W$83</c:f>
              <c:numCache>
                <c:formatCode>General</c:formatCode>
                <c:ptCount val="81"/>
                <c:pt idx="40" formatCode="0.00">
                  <c:v>6.6820276497695855E-2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E1-4477-B6BC-0782E4F59EDA}"/>
            </c:ext>
          </c:extLst>
        </c:ser>
        <c:ser>
          <c:idx val="13"/>
          <c:order val="8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graph!$X$3:$X$83</c:f>
              <c:numCache>
                <c:formatCode>General</c:formatCode>
                <c:ptCount val="81"/>
                <c:pt idx="40" formatCode="0.00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E1-4477-B6BC-0782E4F59EDA}"/>
            </c:ext>
          </c:extLst>
        </c:ser>
        <c:ser>
          <c:idx val="14"/>
          <c:order val="9"/>
          <c:spPr>
            <a:ln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graph!$Y$3:$Y$83</c:f>
              <c:numCache>
                <c:formatCode>General</c:formatCode>
                <c:ptCount val="81"/>
                <c:pt idx="40" formatCode="0.00">
                  <c:v>3.3000365094043249E-2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E1-4477-B6BC-0782E4F59EDA}"/>
            </c:ext>
          </c:extLst>
        </c:ser>
        <c:ser>
          <c:idx val="1"/>
          <c:order val="10"/>
          <c:spPr>
            <a:ln w="28575">
              <a:noFill/>
            </a:ln>
          </c:spPr>
          <c:marker>
            <c:symbol val="circle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graph!$AA$3:$AA$83</c:f>
              <c:numCache>
                <c:formatCode>General</c:formatCode>
                <c:ptCount val="81"/>
                <c:pt idx="40" formatCode="0.0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E1-4477-B6BC-0782E4F59EDA}"/>
            </c:ext>
          </c:extLst>
        </c:ser>
        <c:ser>
          <c:idx val="4"/>
          <c:order val="11"/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graph!$B$3:$B$83</c:f>
              <c:numCache>
                <c:formatCode>General</c:formatCode>
                <c:ptCount val="81"/>
                <c:pt idx="0">
                  <c:v>-1.1067831960920334</c:v>
                </c:pt>
                <c:pt idx="1">
                  <c:v>-1.0329976496858977</c:v>
                </c:pt>
                <c:pt idx="2">
                  <c:v>-0.95921210327976203</c:v>
                </c:pt>
                <c:pt idx="3">
                  <c:v>-0.88542655687362637</c:v>
                </c:pt>
                <c:pt idx="4">
                  <c:v>-0.81164101046749082</c:v>
                </c:pt>
                <c:pt idx="5">
                  <c:v>-0.73785546406135527</c:v>
                </c:pt>
                <c:pt idx="6">
                  <c:v>-0.66406991765521972</c:v>
                </c:pt>
                <c:pt idx="7">
                  <c:v>-0.59028437124908417</c:v>
                </c:pt>
                <c:pt idx="8">
                  <c:v>-0.51649882484294862</c:v>
                </c:pt>
                <c:pt idx="9">
                  <c:v>-0.44271327843681313</c:v>
                </c:pt>
                <c:pt idx="10">
                  <c:v>-0.36892773203067758</c:v>
                </c:pt>
                <c:pt idx="11">
                  <c:v>-0.29514218562454203</c:v>
                </c:pt>
                <c:pt idx="12">
                  <c:v>-0.22135663921840651</c:v>
                </c:pt>
                <c:pt idx="13">
                  <c:v>-0.14757109281227096</c:v>
                </c:pt>
                <c:pt idx="14">
                  <c:v>-7.378554640613541E-2</c:v>
                </c:pt>
                <c:pt idx="15">
                  <c:v>0</c:v>
                </c:pt>
                <c:pt idx="16">
                  <c:v>7.3785546406135549E-2</c:v>
                </c:pt>
                <c:pt idx="17">
                  <c:v>0.1475710928122711</c:v>
                </c:pt>
                <c:pt idx="18">
                  <c:v>0.22135663921840668</c:v>
                </c:pt>
                <c:pt idx="19">
                  <c:v>0.2951421856245422</c:v>
                </c:pt>
                <c:pt idx="20">
                  <c:v>0.36892773203067775</c:v>
                </c:pt>
                <c:pt idx="21">
                  <c:v>0.4427132784368133</c:v>
                </c:pt>
                <c:pt idx="22">
                  <c:v>0.51649882484294884</c:v>
                </c:pt>
                <c:pt idx="23">
                  <c:v>0.59028437124908439</c:v>
                </c:pt>
                <c:pt idx="24">
                  <c:v>0.66406991765521983</c:v>
                </c:pt>
                <c:pt idx="25">
                  <c:v>0.73785546406135538</c:v>
                </c:pt>
                <c:pt idx="26">
                  <c:v>0.62579711076673172</c:v>
                </c:pt>
                <c:pt idx="27">
                  <c:v>0.48466522342834428</c:v>
                </c:pt>
                <c:pt idx="28">
                  <c:v>0.3435333360899569</c:v>
                </c:pt>
                <c:pt idx="29">
                  <c:v>0.20240144875156951</c:v>
                </c:pt>
                <c:pt idx="30">
                  <c:v>6.1269561413182183E-2</c:v>
                </c:pt>
                <c:pt idx="31">
                  <c:v>-7.9862325925205258E-2</c:v>
                </c:pt>
                <c:pt idx="32">
                  <c:v>-0.22099421326359259</c:v>
                </c:pt>
                <c:pt idx="33">
                  <c:v>-0.36212610060197992</c:v>
                </c:pt>
                <c:pt idx="34">
                  <c:v>-0.50325798794036747</c:v>
                </c:pt>
                <c:pt idx="35">
                  <c:v>-0.64438987527875458</c:v>
                </c:pt>
                <c:pt idx="36">
                  <c:v>-0.78552176261714191</c:v>
                </c:pt>
                <c:pt idx="37">
                  <c:v>-0.92665364995552923</c:v>
                </c:pt>
                <c:pt idx="38">
                  <c:v>-1.0677855372939167</c:v>
                </c:pt>
                <c:pt idx="39">
                  <c:v>-1.208917424632304</c:v>
                </c:pt>
                <c:pt idx="40">
                  <c:v>-1.3500493119706913</c:v>
                </c:pt>
                <c:pt idx="41">
                  <c:v>-1.4911811993090791</c:v>
                </c:pt>
                <c:pt idx="42">
                  <c:v>-1.6323130866474664</c:v>
                </c:pt>
                <c:pt idx="43">
                  <c:v>-1.7734449739858538</c:v>
                </c:pt>
                <c:pt idx="44">
                  <c:v>-1.9145768613242411</c:v>
                </c:pt>
                <c:pt idx="45">
                  <c:v>-2.0557087486626284</c:v>
                </c:pt>
                <c:pt idx="46">
                  <c:v>-2.1968406360010162</c:v>
                </c:pt>
                <c:pt idx="47">
                  <c:v>-2.3379725233394031</c:v>
                </c:pt>
                <c:pt idx="48">
                  <c:v>-2.4791044106777909</c:v>
                </c:pt>
                <c:pt idx="49">
                  <c:v>-2.6202362980161777</c:v>
                </c:pt>
                <c:pt idx="50">
                  <c:v>-2.7613681853545655</c:v>
                </c:pt>
                <c:pt idx="51">
                  <c:v>-2.9025000726929524</c:v>
                </c:pt>
                <c:pt idx="52">
                  <c:v>-3.0436319600313406</c:v>
                </c:pt>
                <c:pt idx="53">
                  <c:v>-3.1847638473697271</c:v>
                </c:pt>
                <c:pt idx="54">
                  <c:v>-3.3258957347081153</c:v>
                </c:pt>
                <c:pt idx="55">
                  <c:v>-3.4670276220465017</c:v>
                </c:pt>
                <c:pt idx="56">
                  <c:v>-3.6081595093848891</c:v>
                </c:pt>
                <c:pt idx="57">
                  <c:v>-3.7492913967232755</c:v>
                </c:pt>
                <c:pt idx="58">
                  <c:v>-3.8904232840616619</c:v>
                </c:pt>
                <c:pt idx="59">
                  <c:v>-4.0315551714000488</c:v>
                </c:pt>
                <c:pt idx="60">
                  <c:v>-4.1726870587384353</c:v>
                </c:pt>
                <c:pt idx="61">
                  <c:v>-4.3138189460768226</c:v>
                </c:pt>
                <c:pt idx="62">
                  <c:v>-4.454950833415209</c:v>
                </c:pt>
                <c:pt idx="63">
                  <c:v>-4.5960827207535955</c:v>
                </c:pt>
                <c:pt idx="64">
                  <c:v>-4.7372146080919828</c:v>
                </c:pt>
                <c:pt idx="65">
                  <c:v>-4.8783464954303692</c:v>
                </c:pt>
                <c:pt idx="66">
                  <c:v>-5.0194783827687557</c:v>
                </c:pt>
                <c:pt idx="67">
                  <c:v>-5.160610270107143</c:v>
                </c:pt>
                <c:pt idx="68">
                  <c:v>-5.3017421574455295</c:v>
                </c:pt>
                <c:pt idx="69">
                  <c:v>-5.4428740447839159</c:v>
                </c:pt>
                <c:pt idx="70">
                  <c:v>-5.5840059321223032</c:v>
                </c:pt>
                <c:pt idx="71">
                  <c:v>-5.7251378194606897</c:v>
                </c:pt>
                <c:pt idx="72">
                  <c:v>-5.866269706799077</c:v>
                </c:pt>
                <c:pt idx="73">
                  <c:v>-6.0074015941374634</c:v>
                </c:pt>
                <c:pt idx="74">
                  <c:v>-6.1485334814758499</c:v>
                </c:pt>
                <c:pt idx="75">
                  <c:v>-6.2896653688142372</c:v>
                </c:pt>
                <c:pt idx="76">
                  <c:v>-6.4307972561526237</c:v>
                </c:pt>
                <c:pt idx="77">
                  <c:v>-6.5719291434910101</c:v>
                </c:pt>
                <c:pt idx="78">
                  <c:v>-6.7130610308293974</c:v>
                </c:pt>
                <c:pt idx="79">
                  <c:v>-6.8541929181677839</c:v>
                </c:pt>
                <c:pt idx="80">
                  <c:v>-6.9953248055061703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E1-4477-B6BC-0782E4F59EDA}"/>
            </c:ext>
          </c:extLst>
        </c:ser>
        <c:ser>
          <c:idx val="5"/>
          <c:order val="12"/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graph!$E$3:$E$83</c:f>
              <c:numCache>
                <c:formatCode>General</c:formatCode>
                <c:ptCount val="81"/>
                <c:pt idx="0">
                  <c:v>-2.4828717188792018</c:v>
                </c:pt>
                <c:pt idx="1">
                  <c:v>-2.317346937620588</c:v>
                </c:pt>
                <c:pt idx="2">
                  <c:v>-2.1518221563619742</c:v>
                </c:pt>
                <c:pt idx="3">
                  <c:v>-1.9862973751033608</c:v>
                </c:pt>
                <c:pt idx="4">
                  <c:v>-1.8207725938447474</c:v>
                </c:pt>
                <c:pt idx="5">
                  <c:v>-1.6552478125861338</c:v>
                </c:pt>
                <c:pt idx="6">
                  <c:v>-1.4897230313275205</c:v>
                </c:pt>
                <c:pt idx="7">
                  <c:v>-1.3241982500689069</c:v>
                </c:pt>
                <c:pt idx="8">
                  <c:v>-1.1586734688102935</c:v>
                </c:pt>
                <c:pt idx="9">
                  <c:v>-0.99314868755168018</c:v>
                </c:pt>
                <c:pt idx="10">
                  <c:v>-0.82762390629306681</c:v>
                </c:pt>
                <c:pt idx="11">
                  <c:v>-0.66209912503445345</c:v>
                </c:pt>
                <c:pt idx="12">
                  <c:v>-0.49657434377583998</c:v>
                </c:pt>
                <c:pt idx="13">
                  <c:v>-0.33104956251722661</c:v>
                </c:pt>
                <c:pt idx="14">
                  <c:v>-0.16552478125861314</c:v>
                </c:pt>
                <c:pt idx="15">
                  <c:v>0</c:v>
                </c:pt>
                <c:pt idx="16">
                  <c:v>0.16552478125861345</c:v>
                </c:pt>
                <c:pt idx="17">
                  <c:v>0.33104956251722689</c:v>
                </c:pt>
                <c:pt idx="18">
                  <c:v>0.49657434377584042</c:v>
                </c:pt>
                <c:pt idx="19">
                  <c:v>0.66209912503445378</c:v>
                </c:pt>
                <c:pt idx="20">
                  <c:v>0.82762390629306726</c:v>
                </c:pt>
                <c:pt idx="21">
                  <c:v>0.99314868755168062</c:v>
                </c:pt>
                <c:pt idx="22">
                  <c:v>1.158673468810294</c:v>
                </c:pt>
                <c:pt idx="23">
                  <c:v>1.3241982500689073</c:v>
                </c:pt>
                <c:pt idx="24">
                  <c:v>1.4897230313275207</c:v>
                </c:pt>
                <c:pt idx="25">
                  <c:v>1.6552478125861341</c:v>
                </c:pt>
                <c:pt idx="26">
                  <c:v>1.6349286941439884</c:v>
                </c:pt>
                <c:pt idx="27">
                  <c:v>1.585536041658079</c:v>
                </c:pt>
                <c:pt idx="28">
                  <c:v>1.5361433891721694</c:v>
                </c:pt>
                <c:pt idx="29">
                  <c:v>1.48675073668626</c:v>
                </c:pt>
                <c:pt idx="30">
                  <c:v>1.4373580842003508</c:v>
                </c:pt>
                <c:pt idx="31">
                  <c:v>1.3879654317144414</c:v>
                </c:pt>
                <c:pt idx="32">
                  <c:v>1.338572779228532</c:v>
                </c:pt>
                <c:pt idx="33">
                  <c:v>1.2891801267426226</c:v>
                </c:pt>
                <c:pt idx="34">
                  <c:v>1.2397874742567132</c:v>
                </c:pt>
                <c:pt idx="35">
                  <c:v>1.1903948217708038</c:v>
                </c:pt>
                <c:pt idx="36">
                  <c:v>1.1410021692848944</c:v>
                </c:pt>
                <c:pt idx="37">
                  <c:v>1.091609516798985</c:v>
                </c:pt>
                <c:pt idx="38">
                  <c:v>1.0422168643130756</c:v>
                </c:pt>
                <c:pt idx="39">
                  <c:v>0.99282421182716618</c:v>
                </c:pt>
                <c:pt idx="40">
                  <c:v>0.94343155934125678</c:v>
                </c:pt>
                <c:pt idx="41">
                  <c:v>0.89403890685534693</c:v>
                </c:pt>
                <c:pt idx="42">
                  <c:v>0.84464625436943752</c:v>
                </c:pt>
                <c:pt idx="43">
                  <c:v>0.79525360188352812</c:v>
                </c:pt>
                <c:pt idx="44">
                  <c:v>0.74586094939761871</c:v>
                </c:pt>
                <c:pt idx="45">
                  <c:v>0.69646829691170975</c:v>
                </c:pt>
                <c:pt idx="46">
                  <c:v>0.6470756444257999</c:v>
                </c:pt>
                <c:pt idx="47">
                  <c:v>0.59768299193989094</c:v>
                </c:pt>
                <c:pt idx="48">
                  <c:v>0.54829033945398109</c:v>
                </c:pt>
                <c:pt idx="49">
                  <c:v>0.49889768696807213</c:v>
                </c:pt>
                <c:pt idx="50">
                  <c:v>0.44950503448216228</c:v>
                </c:pt>
                <c:pt idx="51">
                  <c:v>0.40011238199625332</c:v>
                </c:pt>
                <c:pt idx="52">
                  <c:v>0.35071972951034303</c:v>
                </c:pt>
                <c:pt idx="53">
                  <c:v>0.30132707702443451</c:v>
                </c:pt>
                <c:pt idx="54">
                  <c:v>0.25193442453852422</c:v>
                </c:pt>
                <c:pt idx="55">
                  <c:v>0.2025417720526157</c:v>
                </c:pt>
                <c:pt idx="56">
                  <c:v>0.15314911956670585</c:v>
                </c:pt>
                <c:pt idx="57">
                  <c:v>0.10375646708079689</c:v>
                </c:pt>
                <c:pt idx="58">
                  <c:v>5.4363814594887927E-2</c:v>
                </c:pt>
                <c:pt idx="59">
                  <c:v>4.9711621089789659E-3</c:v>
                </c:pt>
                <c:pt idx="60">
                  <c:v>-4.4421490376929995E-2</c:v>
                </c:pt>
                <c:pt idx="61">
                  <c:v>-9.3814142862839844E-2</c:v>
                </c:pt>
                <c:pt idx="62">
                  <c:v>-0.14320679534874881</c:v>
                </c:pt>
                <c:pt idx="63">
                  <c:v>-0.19259944783465777</c:v>
                </c:pt>
                <c:pt idx="64">
                  <c:v>-0.24199210032056762</c:v>
                </c:pt>
                <c:pt idx="65">
                  <c:v>-0.29138475280647658</c:v>
                </c:pt>
                <c:pt idx="66">
                  <c:v>-0.34077740529238554</c:v>
                </c:pt>
                <c:pt idx="67">
                  <c:v>-0.39017005777829539</c:v>
                </c:pt>
                <c:pt idx="68">
                  <c:v>-0.43956271026420346</c:v>
                </c:pt>
                <c:pt idx="69">
                  <c:v>-0.48895536275011242</c:v>
                </c:pt>
                <c:pt idx="70">
                  <c:v>-0.53834801523602227</c:v>
                </c:pt>
                <c:pt idx="71">
                  <c:v>-0.58774066772193123</c:v>
                </c:pt>
                <c:pt idx="72">
                  <c:v>-0.63713332020784108</c:v>
                </c:pt>
                <c:pt idx="73">
                  <c:v>-0.68652597269375004</c:v>
                </c:pt>
                <c:pt idx="74">
                  <c:v>-0.735918625179659</c:v>
                </c:pt>
                <c:pt idx="75">
                  <c:v>-0.78531127766556885</c:v>
                </c:pt>
                <c:pt idx="76">
                  <c:v>-0.83470393015147781</c:v>
                </c:pt>
                <c:pt idx="77">
                  <c:v>-0.88409658263738677</c:v>
                </c:pt>
                <c:pt idx="78">
                  <c:v>-0.93348923512329574</c:v>
                </c:pt>
                <c:pt idx="79">
                  <c:v>-0.9828818876092047</c:v>
                </c:pt>
                <c:pt idx="80">
                  <c:v>-1.0322745400951137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E1-4477-B6BC-0782E4F59EDA}"/>
            </c:ext>
          </c:extLst>
        </c:ser>
        <c:ser>
          <c:idx val="16"/>
          <c:order val="13"/>
          <c:spPr>
            <a:ln w="381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graph!$F$3:$F$83</c:f>
              <c:numCache>
                <c:formatCode>General</c:formatCode>
                <c:ptCount val="81"/>
                <c:pt idx="0">
                  <c:v>2.3854259819445605</c:v>
                </c:pt>
                <c:pt idx="1">
                  <c:v>2.2263975831482563</c:v>
                </c:pt>
                <c:pt idx="2">
                  <c:v>2.0673691843519522</c:v>
                </c:pt>
                <c:pt idx="3">
                  <c:v>1.9083407855556482</c:v>
                </c:pt>
                <c:pt idx="4">
                  <c:v>1.7493123867593439</c:v>
                </c:pt>
                <c:pt idx="5">
                  <c:v>1.5902839879630397</c:v>
                </c:pt>
                <c:pt idx="6">
                  <c:v>1.4312555891667356</c:v>
                </c:pt>
                <c:pt idx="7">
                  <c:v>1.2722271903704319</c:v>
                </c:pt>
                <c:pt idx="8">
                  <c:v>1.1131987915741277</c:v>
                </c:pt>
                <c:pt idx="9">
                  <c:v>0.95417039277782378</c:v>
                </c:pt>
                <c:pt idx="10">
                  <c:v>0.79514199398151986</c:v>
                </c:pt>
                <c:pt idx="11">
                  <c:v>0.63611359518521593</c:v>
                </c:pt>
                <c:pt idx="12">
                  <c:v>0.47708519638891178</c:v>
                </c:pt>
                <c:pt idx="13">
                  <c:v>0.31805679759260774</c:v>
                </c:pt>
                <c:pt idx="14">
                  <c:v>0.15902839879630373</c:v>
                </c:pt>
                <c:pt idx="15">
                  <c:v>0</c:v>
                </c:pt>
                <c:pt idx="16">
                  <c:v>-0.15902839879630404</c:v>
                </c:pt>
                <c:pt idx="17">
                  <c:v>-0.31805679759260808</c:v>
                </c:pt>
                <c:pt idx="18">
                  <c:v>-0.47708519638891222</c:v>
                </c:pt>
                <c:pt idx="19">
                  <c:v>-0.63611359518521615</c:v>
                </c:pt>
                <c:pt idx="20">
                  <c:v>-0.79514199398152019</c:v>
                </c:pt>
                <c:pt idx="21">
                  <c:v>-0.95417039277782423</c:v>
                </c:pt>
                <c:pt idx="22">
                  <c:v>-1.1131987915741282</c:v>
                </c:pt>
                <c:pt idx="23">
                  <c:v>-1.2722271903704321</c:v>
                </c:pt>
                <c:pt idx="24">
                  <c:v>-1.4312555891667365</c:v>
                </c:pt>
                <c:pt idx="25">
                  <c:v>-1.5902839879630402</c:v>
                </c:pt>
                <c:pt idx="26">
                  <c:v>-1.9351562864601033</c:v>
                </c:pt>
                <c:pt idx="27">
                  <c:v>-2.3091021190009307</c:v>
                </c:pt>
                <c:pt idx="28">
                  <c:v>-2.6830479515417576</c:v>
                </c:pt>
                <c:pt idx="29">
                  <c:v>-3.0569937840825849</c:v>
                </c:pt>
                <c:pt idx="30">
                  <c:v>-3.4309396166234123</c:v>
                </c:pt>
                <c:pt idx="31">
                  <c:v>-3.8048854491642397</c:v>
                </c:pt>
                <c:pt idx="32">
                  <c:v>-4.1788312817050661</c:v>
                </c:pt>
                <c:pt idx="33">
                  <c:v>-4.5527771142458935</c:v>
                </c:pt>
                <c:pt idx="34">
                  <c:v>-4.9267229467867208</c:v>
                </c:pt>
                <c:pt idx="35">
                  <c:v>-5.3006687793275473</c:v>
                </c:pt>
                <c:pt idx="36">
                  <c:v>-5.6746146118683747</c:v>
                </c:pt>
                <c:pt idx="37">
                  <c:v>-6.048560444409202</c:v>
                </c:pt>
                <c:pt idx="38">
                  <c:v>-6.4225062769500285</c:v>
                </c:pt>
                <c:pt idx="39">
                  <c:v>-6.7964521094908559</c:v>
                </c:pt>
                <c:pt idx="40">
                  <c:v>-7.1703979420316832</c:v>
                </c:pt>
                <c:pt idx="41">
                  <c:v>-7.5443437745725106</c:v>
                </c:pt>
                <c:pt idx="42">
                  <c:v>-7.9182896071133371</c:v>
                </c:pt>
                <c:pt idx="43">
                  <c:v>-8.2922354396541653</c:v>
                </c:pt>
                <c:pt idx="44">
                  <c:v>-8.6661812721949918</c:v>
                </c:pt>
                <c:pt idx="45">
                  <c:v>-9.0401271047358183</c:v>
                </c:pt>
                <c:pt idx="46">
                  <c:v>-9.4140729372766465</c:v>
                </c:pt>
                <c:pt idx="47">
                  <c:v>-9.788018769817473</c:v>
                </c:pt>
                <c:pt idx="48">
                  <c:v>-10.161964602358301</c:v>
                </c:pt>
                <c:pt idx="49">
                  <c:v>-10.535910434899128</c:v>
                </c:pt>
                <c:pt idx="50">
                  <c:v>-10.909856267439956</c:v>
                </c:pt>
                <c:pt idx="51">
                  <c:v>-11.283802099980781</c:v>
                </c:pt>
                <c:pt idx="52">
                  <c:v>-11.657747932521611</c:v>
                </c:pt>
                <c:pt idx="53">
                  <c:v>-12.031693765062435</c:v>
                </c:pt>
                <c:pt idx="54">
                  <c:v>-12.405639597603265</c:v>
                </c:pt>
                <c:pt idx="55">
                  <c:v>-12.779585430144088</c:v>
                </c:pt>
                <c:pt idx="56">
                  <c:v>-13.153531262684915</c:v>
                </c:pt>
                <c:pt idx="57">
                  <c:v>-13.527477095225741</c:v>
                </c:pt>
                <c:pt idx="58">
                  <c:v>-13.901422927766566</c:v>
                </c:pt>
                <c:pt idx="59">
                  <c:v>-14.275368760307391</c:v>
                </c:pt>
                <c:pt idx="60">
                  <c:v>-14.649314592848217</c:v>
                </c:pt>
                <c:pt idx="61">
                  <c:v>-15.023260425389044</c:v>
                </c:pt>
                <c:pt idx="62">
                  <c:v>-15.397206257929868</c:v>
                </c:pt>
                <c:pt idx="63">
                  <c:v>-15.771152090470693</c:v>
                </c:pt>
                <c:pt idx="64">
                  <c:v>-16.145097923011519</c:v>
                </c:pt>
                <c:pt idx="65">
                  <c:v>-16.519043755552346</c:v>
                </c:pt>
                <c:pt idx="66">
                  <c:v>-16.892989588093169</c:v>
                </c:pt>
                <c:pt idx="67">
                  <c:v>-17.266935420633995</c:v>
                </c:pt>
                <c:pt idx="68">
                  <c:v>-17.640881253174822</c:v>
                </c:pt>
                <c:pt idx="69">
                  <c:v>-18.014827085715645</c:v>
                </c:pt>
                <c:pt idx="70">
                  <c:v>-18.388772918256471</c:v>
                </c:pt>
                <c:pt idx="71">
                  <c:v>-18.762718750797298</c:v>
                </c:pt>
                <c:pt idx="72">
                  <c:v>-19.136664583338124</c:v>
                </c:pt>
                <c:pt idx="73">
                  <c:v>-19.510610415878947</c:v>
                </c:pt>
                <c:pt idx="74">
                  <c:v>-19.884556248419774</c:v>
                </c:pt>
                <c:pt idx="75">
                  <c:v>-20.2585020809606</c:v>
                </c:pt>
                <c:pt idx="76">
                  <c:v>-20.632447913501426</c:v>
                </c:pt>
                <c:pt idx="77">
                  <c:v>-21.006393746042249</c:v>
                </c:pt>
                <c:pt idx="78">
                  <c:v>-21.380339578583076</c:v>
                </c:pt>
                <c:pt idx="79">
                  <c:v>-21.754285411123902</c:v>
                </c:pt>
                <c:pt idx="80">
                  <c:v>-22.128231243664729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E1-4477-B6BC-0782E4F5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66488"/>
        <c:axId val="122815248"/>
      </c:lineChart>
      <c:catAx>
        <c:axId val="48756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Global</a:t>
                </a:r>
                <a:r>
                  <a:rPr lang="en-US" b="0" baseline="0"/>
                  <a:t> warming (in d</a:t>
                </a:r>
                <a:r>
                  <a:rPr lang="en-US" b="0"/>
                  <a:t>egrees centrigrade)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122815248"/>
        <c:crossesAt val="0"/>
        <c:auto val="1"/>
        <c:lblAlgn val="ctr"/>
        <c:lblOffset val="100"/>
        <c:tickLblSkip val="5"/>
        <c:tickMarkSkip val="5"/>
        <c:noMultiLvlLbl val="0"/>
      </c:catAx>
      <c:valAx>
        <c:axId val="122815248"/>
        <c:scaling>
          <c:orientation val="minMax"/>
          <c:max val="5"/>
          <c:min val="-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Welfare-equivalent</a:t>
                </a:r>
                <a:r>
                  <a:rPr lang="en-US" b="0" baseline="0"/>
                  <a:t> income change (in percent)</a:t>
                </a:r>
                <a:endParaRPr lang="en-US" b="0"/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487566488"/>
        <c:crossesAt val="16"/>
        <c:crossBetween val="between"/>
        <c:majorUnit val="2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063502197067189E-2"/>
          <c:y val="2.9018655674366969E-2"/>
          <c:w val="0.88875878157151067"/>
          <c:h val="0.90314552586607388"/>
        </c:manualLayout>
      </c:layout>
      <c:lineChart>
        <c:grouping val="standard"/>
        <c:varyColors val="0"/>
        <c:ser>
          <c:idx val="1"/>
          <c:order val="0"/>
          <c:tx>
            <c:v>Piecewise linear, full sample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graph!$B$3:$B$83</c:f>
              <c:numCache>
                <c:formatCode>General</c:formatCode>
                <c:ptCount val="81"/>
                <c:pt idx="0">
                  <c:v>-1.1067831960920334</c:v>
                </c:pt>
                <c:pt idx="1">
                  <c:v>-1.0329976496858977</c:v>
                </c:pt>
                <c:pt idx="2">
                  <c:v>-0.95921210327976203</c:v>
                </c:pt>
                <c:pt idx="3">
                  <c:v>-0.88542655687362637</c:v>
                </c:pt>
                <c:pt idx="4">
                  <c:v>-0.81164101046749082</c:v>
                </c:pt>
                <c:pt idx="5">
                  <c:v>-0.73785546406135527</c:v>
                </c:pt>
                <c:pt idx="6">
                  <c:v>-0.66406991765521972</c:v>
                </c:pt>
                <c:pt idx="7">
                  <c:v>-0.59028437124908417</c:v>
                </c:pt>
                <c:pt idx="8">
                  <c:v>-0.51649882484294862</c:v>
                </c:pt>
                <c:pt idx="9">
                  <c:v>-0.44271327843681313</c:v>
                </c:pt>
                <c:pt idx="10">
                  <c:v>-0.36892773203067758</c:v>
                </c:pt>
                <c:pt idx="11">
                  <c:v>-0.29514218562454203</c:v>
                </c:pt>
                <c:pt idx="12">
                  <c:v>-0.22135663921840651</c:v>
                </c:pt>
                <c:pt idx="13">
                  <c:v>-0.14757109281227096</c:v>
                </c:pt>
                <c:pt idx="14">
                  <c:v>-7.378554640613541E-2</c:v>
                </c:pt>
                <c:pt idx="15">
                  <c:v>0</c:v>
                </c:pt>
                <c:pt idx="16">
                  <c:v>7.3785546406135549E-2</c:v>
                </c:pt>
                <c:pt idx="17">
                  <c:v>0.1475710928122711</c:v>
                </c:pt>
                <c:pt idx="18">
                  <c:v>0.22135663921840668</c:v>
                </c:pt>
                <c:pt idx="19">
                  <c:v>0.2951421856245422</c:v>
                </c:pt>
                <c:pt idx="20">
                  <c:v>0.36892773203067775</c:v>
                </c:pt>
                <c:pt idx="21">
                  <c:v>0.4427132784368133</c:v>
                </c:pt>
                <c:pt idx="22">
                  <c:v>0.51649882484294884</c:v>
                </c:pt>
                <c:pt idx="23">
                  <c:v>0.59028437124908439</c:v>
                </c:pt>
                <c:pt idx="24">
                  <c:v>0.66406991765521983</c:v>
                </c:pt>
                <c:pt idx="25">
                  <c:v>0.73785546406135538</c:v>
                </c:pt>
                <c:pt idx="26">
                  <c:v>0.62579711076673172</c:v>
                </c:pt>
                <c:pt idx="27">
                  <c:v>0.48466522342834428</c:v>
                </c:pt>
                <c:pt idx="28">
                  <c:v>0.3435333360899569</c:v>
                </c:pt>
                <c:pt idx="29">
                  <c:v>0.20240144875156951</c:v>
                </c:pt>
                <c:pt idx="30">
                  <c:v>6.1269561413182183E-2</c:v>
                </c:pt>
                <c:pt idx="31">
                  <c:v>-7.9862325925205258E-2</c:v>
                </c:pt>
                <c:pt idx="32">
                  <c:v>-0.22099421326359259</c:v>
                </c:pt>
                <c:pt idx="33">
                  <c:v>-0.36212610060197992</c:v>
                </c:pt>
                <c:pt idx="34">
                  <c:v>-0.50325798794036747</c:v>
                </c:pt>
                <c:pt idx="35">
                  <c:v>-0.64438987527875458</c:v>
                </c:pt>
                <c:pt idx="36">
                  <c:v>-0.78552176261714191</c:v>
                </c:pt>
                <c:pt idx="37">
                  <c:v>-0.92665364995552923</c:v>
                </c:pt>
                <c:pt idx="38">
                  <c:v>-1.0677855372939167</c:v>
                </c:pt>
                <c:pt idx="39">
                  <c:v>-1.208917424632304</c:v>
                </c:pt>
                <c:pt idx="40">
                  <c:v>-1.3500493119706913</c:v>
                </c:pt>
                <c:pt idx="41">
                  <c:v>-1.4911811993090791</c:v>
                </c:pt>
                <c:pt idx="42">
                  <c:v>-1.6323130866474664</c:v>
                </c:pt>
                <c:pt idx="43">
                  <c:v>-1.7734449739858538</c:v>
                </c:pt>
                <c:pt idx="44">
                  <c:v>-1.9145768613242411</c:v>
                </c:pt>
                <c:pt idx="45">
                  <c:v>-2.0557087486626284</c:v>
                </c:pt>
                <c:pt idx="46">
                  <c:v>-2.1968406360010162</c:v>
                </c:pt>
                <c:pt idx="47">
                  <c:v>-2.3379725233394031</c:v>
                </c:pt>
                <c:pt idx="48">
                  <c:v>-2.4791044106777909</c:v>
                </c:pt>
                <c:pt idx="49">
                  <c:v>-2.6202362980161777</c:v>
                </c:pt>
                <c:pt idx="50">
                  <c:v>-2.7613681853545655</c:v>
                </c:pt>
                <c:pt idx="51">
                  <c:v>-2.9025000726929524</c:v>
                </c:pt>
                <c:pt idx="52">
                  <c:v>-3.0436319600313406</c:v>
                </c:pt>
                <c:pt idx="53">
                  <c:v>-3.1847638473697271</c:v>
                </c:pt>
                <c:pt idx="54">
                  <c:v>-3.3258957347081153</c:v>
                </c:pt>
                <c:pt idx="55">
                  <c:v>-3.4670276220465017</c:v>
                </c:pt>
                <c:pt idx="56">
                  <c:v>-3.6081595093848891</c:v>
                </c:pt>
                <c:pt idx="57">
                  <c:v>-3.7492913967232755</c:v>
                </c:pt>
                <c:pt idx="58">
                  <c:v>-3.8904232840616619</c:v>
                </c:pt>
                <c:pt idx="59">
                  <c:v>-4.0315551714000488</c:v>
                </c:pt>
                <c:pt idx="60">
                  <c:v>-4.1726870587384353</c:v>
                </c:pt>
                <c:pt idx="61">
                  <c:v>-4.3138189460768226</c:v>
                </c:pt>
                <c:pt idx="62">
                  <c:v>-4.454950833415209</c:v>
                </c:pt>
                <c:pt idx="63">
                  <c:v>-4.5960827207535955</c:v>
                </c:pt>
                <c:pt idx="64">
                  <c:v>-4.7372146080919828</c:v>
                </c:pt>
                <c:pt idx="65">
                  <c:v>-4.8783464954303692</c:v>
                </c:pt>
                <c:pt idx="66">
                  <c:v>-5.0194783827687557</c:v>
                </c:pt>
                <c:pt idx="67">
                  <c:v>-5.160610270107143</c:v>
                </c:pt>
                <c:pt idx="68">
                  <c:v>-5.3017421574455295</c:v>
                </c:pt>
                <c:pt idx="69">
                  <c:v>-5.4428740447839159</c:v>
                </c:pt>
                <c:pt idx="70">
                  <c:v>-5.5840059321223032</c:v>
                </c:pt>
                <c:pt idx="71">
                  <c:v>-5.7251378194606897</c:v>
                </c:pt>
                <c:pt idx="72">
                  <c:v>-5.866269706799077</c:v>
                </c:pt>
                <c:pt idx="73">
                  <c:v>-6.0074015941374634</c:v>
                </c:pt>
                <c:pt idx="74">
                  <c:v>-6.1485334814758499</c:v>
                </c:pt>
                <c:pt idx="75">
                  <c:v>-6.2896653688142372</c:v>
                </c:pt>
                <c:pt idx="76">
                  <c:v>-6.4307972561526237</c:v>
                </c:pt>
                <c:pt idx="77">
                  <c:v>-6.5719291434910101</c:v>
                </c:pt>
                <c:pt idx="78">
                  <c:v>-6.7130610308293974</c:v>
                </c:pt>
                <c:pt idx="79">
                  <c:v>-6.8541929181677839</c:v>
                </c:pt>
                <c:pt idx="80">
                  <c:v>-6.9953248055061703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4A10-B8ED-7F22F442BC50}"/>
            </c:ext>
          </c:extLst>
        </c:ser>
        <c:ser>
          <c:idx val="0"/>
          <c:order val="1"/>
          <c:tx>
            <c:v>Parabolic, full sample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graph!$I$3:$I$83</c:f>
              <c:numCache>
                <c:formatCode>General</c:formatCode>
                <c:ptCount val="81"/>
                <c:pt idx="0">
                  <c:v>-0.18196181526299365</c:v>
                </c:pt>
                <c:pt idx="1">
                  <c:v>-0.14687689930533535</c:v>
                </c:pt>
                <c:pt idx="2">
                  <c:v>-0.11507114452959977</c:v>
                </c:pt>
                <c:pt idx="3">
                  <c:v>-8.6544550935786835E-2</c:v>
                </c:pt>
                <c:pt idx="4">
                  <c:v>-6.1297118523896604E-2</c:v>
                </c:pt>
                <c:pt idx="5">
                  <c:v>-3.9328847293929034E-2</c:v>
                </c:pt>
                <c:pt idx="6">
                  <c:v>-2.0639737245884138E-2</c:v>
                </c:pt>
                <c:pt idx="7">
                  <c:v>-5.2297883797619155E-3</c:v>
                </c:pt>
                <c:pt idx="8">
                  <c:v>6.9009993044376605E-3</c:v>
                </c:pt>
                <c:pt idx="9">
                  <c:v>1.5752625806714562E-2</c:v>
                </c:pt>
                <c:pt idx="10">
                  <c:v>2.132509112706879E-2</c:v>
                </c:pt>
                <c:pt idx="11">
                  <c:v>2.3618395265500358E-2</c:v>
                </c:pt>
                <c:pt idx="12">
                  <c:v>2.2632538222009266E-2</c:v>
                </c:pt>
                <c:pt idx="13">
                  <c:v>1.8367519996595503E-2</c:v>
                </c:pt>
                <c:pt idx="14">
                  <c:v>1.0823340589259073E-2</c:v>
                </c:pt>
                <c:pt idx="15">
                  <c:v>0</c:v>
                </c:pt>
                <c:pt idx="16">
                  <c:v>-1.4102501771181757E-2</c:v>
                </c:pt>
                <c:pt idx="17">
                  <c:v>-3.1484164724286182E-2</c:v>
                </c:pt>
                <c:pt idx="18">
                  <c:v>-5.2144988859313283E-2</c:v>
                </c:pt>
                <c:pt idx="19">
                  <c:v>-7.6084974176263032E-2</c:v>
                </c:pt>
                <c:pt idx="20">
                  <c:v>-0.10330412067513545</c:v>
                </c:pt>
                <c:pt idx="21">
                  <c:v>-0.13380242835593054</c:v>
                </c:pt>
                <c:pt idx="22">
                  <c:v>-0.1675798972186483</c:v>
                </c:pt>
                <c:pt idx="23">
                  <c:v>-0.20463652726328868</c:v>
                </c:pt>
                <c:pt idx="24">
                  <c:v>-0.24497231848985176</c:v>
                </c:pt>
                <c:pt idx="25">
                  <c:v>-0.28858727089833752</c:v>
                </c:pt>
                <c:pt idx="26">
                  <c:v>-0.33548138448874598</c:v>
                </c:pt>
                <c:pt idx="27">
                  <c:v>-0.38565465926107712</c:v>
                </c:pt>
                <c:pt idx="28">
                  <c:v>-0.43910709521533087</c:v>
                </c:pt>
                <c:pt idx="29">
                  <c:v>-0.49583869235150735</c:v>
                </c:pt>
                <c:pt idx="30">
                  <c:v>-0.55584945066960656</c:v>
                </c:pt>
                <c:pt idx="31">
                  <c:v>-0.61913937016962828</c:v>
                </c:pt>
                <c:pt idx="32">
                  <c:v>-0.68570845085157284</c:v>
                </c:pt>
                <c:pt idx="33">
                  <c:v>-0.75555669271544001</c:v>
                </c:pt>
                <c:pt idx="34">
                  <c:v>-0.82868409576122981</c:v>
                </c:pt>
                <c:pt idx="35">
                  <c:v>-0.90509065998894223</c:v>
                </c:pt>
                <c:pt idx="36">
                  <c:v>-0.98477638539857726</c:v>
                </c:pt>
                <c:pt idx="37">
                  <c:v>-1.0677412719901351</c:v>
                </c:pt>
                <c:pt idx="38">
                  <c:v>-1.1539853197636158</c:v>
                </c:pt>
                <c:pt idx="39">
                  <c:v>-1.2435085287190191</c:v>
                </c:pt>
                <c:pt idx="40">
                  <c:v>-1.3363108988563446</c:v>
                </c:pt>
                <c:pt idx="41">
                  <c:v>-1.4323924301755933</c:v>
                </c:pt>
                <c:pt idx="42">
                  <c:v>-1.5317531226767644</c:v>
                </c:pt>
                <c:pt idx="43">
                  <c:v>-1.6343929763598584</c:v>
                </c:pt>
                <c:pt idx="44">
                  <c:v>-1.740311991224875</c:v>
                </c:pt>
                <c:pt idx="45">
                  <c:v>-1.8495101672718142</c:v>
                </c:pt>
                <c:pt idx="46">
                  <c:v>-1.961987504500676</c:v>
                </c:pt>
                <c:pt idx="47">
                  <c:v>-2.0777440029114604</c:v>
                </c:pt>
                <c:pt idx="48">
                  <c:v>-2.1967796625041682</c:v>
                </c:pt>
                <c:pt idx="49">
                  <c:v>-2.3190944832787981</c:v>
                </c:pt>
                <c:pt idx="50">
                  <c:v>-2.4446884652353504</c:v>
                </c:pt>
                <c:pt idx="51">
                  <c:v>-2.5735616083738257</c:v>
                </c:pt>
                <c:pt idx="52">
                  <c:v>-2.7057139126942236</c:v>
                </c:pt>
                <c:pt idx="53">
                  <c:v>-2.8411453781965443</c:v>
                </c:pt>
                <c:pt idx="54">
                  <c:v>-2.9798560048807881</c:v>
                </c:pt>
                <c:pt idx="55">
                  <c:v>-3.121845792746953</c:v>
                </c:pt>
                <c:pt idx="56">
                  <c:v>-3.2671147417950412</c:v>
                </c:pt>
                <c:pt idx="57">
                  <c:v>-3.4156628520250512</c:v>
                </c:pt>
                <c:pt idx="58">
                  <c:v>-3.5674901234369845</c:v>
                </c:pt>
                <c:pt idx="59">
                  <c:v>-3.7225965560308403</c:v>
                </c:pt>
                <c:pt idx="60">
                  <c:v>-3.8809821498066195</c:v>
                </c:pt>
                <c:pt idx="61">
                  <c:v>-4.0426469047643199</c:v>
                </c:pt>
                <c:pt idx="62">
                  <c:v>-4.2075908209039437</c:v>
                </c:pt>
                <c:pt idx="63">
                  <c:v>-4.3758138982254904</c:v>
                </c:pt>
                <c:pt idx="64">
                  <c:v>-4.5473161367289601</c:v>
                </c:pt>
                <c:pt idx="65">
                  <c:v>-4.7220975364143518</c:v>
                </c:pt>
                <c:pt idx="66">
                  <c:v>-4.9001580972816656</c:v>
                </c:pt>
                <c:pt idx="67">
                  <c:v>-5.0814978193309033</c:v>
                </c:pt>
                <c:pt idx="68">
                  <c:v>-5.266116702562063</c:v>
                </c:pt>
                <c:pt idx="69">
                  <c:v>-5.4540147469751448</c:v>
                </c:pt>
                <c:pt idx="70">
                  <c:v>-5.6451919525701495</c:v>
                </c:pt>
                <c:pt idx="71">
                  <c:v>-5.8396483193470772</c:v>
                </c:pt>
                <c:pt idx="72">
                  <c:v>-6.0373838473059278</c:v>
                </c:pt>
                <c:pt idx="73">
                  <c:v>-6.2383985364467005</c:v>
                </c:pt>
                <c:pt idx="74">
                  <c:v>-6.4426923867693962</c:v>
                </c:pt>
                <c:pt idx="75">
                  <c:v>-6.6502653982740147</c:v>
                </c:pt>
                <c:pt idx="76">
                  <c:v>-6.8611175709605554</c:v>
                </c:pt>
                <c:pt idx="77">
                  <c:v>-7.075248904829019</c:v>
                </c:pt>
                <c:pt idx="78">
                  <c:v>-7.2926593998794047</c:v>
                </c:pt>
                <c:pt idx="79">
                  <c:v>-7.5133490561117142</c:v>
                </c:pt>
                <c:pt idx="80">
                  <c:v>-7.7373178735259449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E-4A10-B8ED-7F22F442BC50}"/>
            </c:ext>
          </c:extLst>
        </c:ser>
        <c:ser>
          <c:idx val="2"/>
          <c:order val="2"/>
          <c:tx>
            <c:v>Piecewise linear, restricted sample</c:v>
          </c:tx>
          <c:spPr>
            <a:ln w="381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graph!$N$3:$N$83</c:f>
              <c:numCache>
                <c:formatCode>General</c:formatCode>
                <c:ptCount val="81"/>
                <c:pt idx="0">
                  <c:v>-1.1068010760630578</c:v>
                </c:pt>
                <c:pt idx="1">
                  <c:v>-1.0330143376588539</c:v>
                </c:pt>
                <c:pt idx="2">
                  <c:v>-0.95922759925464995</c:v>
                </c:pt>
                <c:pt idx="3">
                  <c:v>-0.88544086085044604</c:v>
                </c:pt>
                <c:pt idx="4">
                  <c:v>-0.81165412244624213</c:v>
                </c:pt>
                <c:pt idx="5">
                  <c:v>-0.73786738404203833</c:v>
                </c:pt>
                <c:pt idx="6">
                  <c:v>-0.66408064563783442</c:v>
                </c:pt>
                <c:pt idx="7">
                  <c:v>-0.59029390723363062</c:v>
                </c:pt>
                <c:pt idx="8">
                  <c:v>-0.51650716882942682</c:v>
                </c:pt>
                <c:pt idx="9">
                  <c:v>-0.44272043042522297</c:v>
                </c:pt>
                <c:pt idx="10">
                  <c:v>-0.36893369202101911</c:v>
                </c:pt>
                <c:pt idx="11">
                  <c:v>-0.29514695361681526</c:v>
                </c:pt>
                <c:pt idx="12">
                  <c:v>-0.22136021521261143</c:v>
                </c:pt>
                <c:pt idx="13">
                  <c:v>-0.14757347680840757</c:v>
                </c:pt>
                <c:pt idx="14">
                  <c:v>-7.3786738404203717E-2</c:v>
                </c:pt>
                <c:pt idx="15">
                  <c:v>0</c:v>
                </c:pt>
                <c:pt idx="16">
                  <c:v>7.3786738404203855E-2</c:v>
                </c:pt>
                <c:pt idx="17">
                  <c:v>0.14757347680840771</c:v>
                </c:pt>
                <c:pt idx="18">
                  <c:v>0.22136021521261159</c:v>
                </c:pt>
                <c:pt idx="19">
                  <c:v>0.29514695361681542</c:v>
                </c:pt>
                <c:pt idx="20">
                  <c:v>0.36893369202101928</c:v>
                </c:pt>
                <c:pt idx="21">
                  <c:v>0.44272043042522313</c:v>
                </c:pt>
                <c:pt idx="22">
                  <c:v>0.51650716882942693</c:v>
                </c:pt>
                <c:pt idx="23">
                  <c:v>0.59029390723363084</c:v>
                </c:pt>
                <c:pt idx="24">
                  <c:v>0.66408064563783464</c:v>
                </c:pt>
                <c:pt idx="25">
                  <c:v>0.73786738404203844</c:v>
                </c:pt>
                <c:pt idx="26">
                  <c:v>0.81165412244624235</c:v>
                </c:pt>
                <c:pt idx="27">
                  <c:v>0.88544086085044627</c:v>
                </c:pt>
                <c:pt idx="28">
                  <c:v>0.95922759925465018</c:v>
                </c:pt>
                <c:pt idx="29">
                  <c:v>0.80099888841012579</c:v>
                </c:pt>
                <c:pt idx="30">
                  <c:v>0.61172533611253965</c:v>
                </c:pt>
                <c:pt idx="31">
                  <c:v>0.42245178381495341</c:v>
                </c:pt>
                <c:pt idx="32">
                  <c:v>0.23317823151736727</c:v>
                </c:pt>
                <c:pt idx="33">
                  <c:v>4.390467921978114E-2</c:v>
                </c:pt>
                <c:pt idx="34">
                  <c:v>-0.14536887307780511</c:v>
                </c:pt>
                <c:pt idx="35">
                  <c:v>-0.3346424253753908</c:v>
                </c:pt>
                <c:pt idx="36">
                  <c:v>-0.52391597767297693</c:v>
                </c:pt>
                <c:pt idx="37">
                  <c:v>-0.71318952997056306</c:v>
                </c:pt>
                <c:pt idx="38">
                  <c:v>-0.9024630822681492</c:v>
                </c:pt>
                <c:pt idx="39">
                  <c:v>-1.0917366345657351</c:v>
                </c:pt>
                <c:pt idx="40">
                  <c:v>-1.2810101868633215</c:v>
                </c:pt>
                <c:pt idx="41">
                  <c:v>-1.4702837391609078</c:v>
                </c:pt>
                <c:pt idx="42">
                  <c:v>-1.6595572914584937</c:v>
                </c:pt>
                <c:pt idx="43">
                  <c:v>-1.8488308437560801</c:v>
                </c:pt>
                <c:pt idx="44">
                  <c:v>-2.038104396053666</c:v>
                </c:pt>
                <c:pt idx="45">
                  <c:v>-2.2273779483512524</c:v>
                </c:pt>
                <c:pt idx="46">
                  <c:v>-2.4166515006488383</c:v>
                </c:pt>
                <c:pt idx="47">
                  <c:v>-2.6059250529464246</c:v>
                </c:pt>
                <c:pt idx="48">
                  <c:v>-2.7951986052440105</c:v>
                </c:pt>
                <c:pt idx="49">
                  <c:v>-2.9844721575415969</c:v>
                </c:pt>
                <c:pt idx="50">
                  <c:v>-3.1737457098391828</c:v>
                </c:pt>
                <c:pt idx="51">
                  <c:v>-3.3630192621367692</c:v>
                </c:pt>
                <c:pt idx="52">
                  <c:v>-3.5522928144343555</c:v>
                </c:pt>
                <c:pt idx="53">
                  <c:v>-3.741566366731941</c:v>
                </c:pt>
                <c:pt idx="54">
                  <c:v>-3.9308399190295273</c:v>
                </c:pt>
                <c:pt idx="55">
                  <c:v>-4.1201134713271124</c:v>
                </c:pt>
                <c:pt idx="56">
                  <c:v>-4.3093870236246978</c:v>
                </c:pt>
                <c:pt idx="57">
                  <c:v>-4.4986605759222833</c:v>
                </c:pt>
                <c:pt idx="58">
                  <c:v>-4.6879341282198688</c:v>
                </c:pt>
                <c:pt idx="59">
                  <c:v>-4.8772076805174542</c:v>
                </c:pt>
                <c:pt idx="60">
                  <c:v>-5.0664812328150397</c:v>
                </c:pt>
                <c:pt idx="61">
                  <c:v>-5.2557547851126252</c:v>
                </c:pt>
                <c:pt idx="62">
                  <c:v>-5.4450283374102106</c:v>
                </c:pt>
                <c:pt idx="63">
                  <c:v>-5.6343018897077961</c:v>
                </c:pt>
                <c:pt idx="64">
                  <c:v>-5.8235754420053798</c:v>
                </c:pt>
                <c:pt idx="65">
                  <c:v>-6.0128489943029653</c:v>
                </c:pt>
                <c:pt idx="66">
                  <c:v>-6.2021225466005507</c:v>
                </c:pt>
                <c:pt idx="67">
                  <c:v>-6.3913960988981362</c:v>
                </c:pt>
                <c:pt idx="68">
                  <c:v>-6.5806696511957217</c:v>
                </c:pt>
                <c:pt idx="69">
                  <c:v>-6.7699432034933071</c:v>
                </c:pt>
                <c:pt idx="70">
                  <c:v>-6.9592167557908926</c:v>
                </c:pt>
                <c:pt idx="71">
                  <c:v>-7.1484903080884781</c:v>
                </c:pt>
                <c:pt idx="72">
                  <c:v>-7.3377638603860635</c:v>
                </c:pt>
                <c:pt idx="73">
                  <c:v>-7.527037412683649</c:v>
                </c:pt>
                <c:pt idx="74">
                  <c:v>-7.7163109649812345</c:v>
                </c:pt>
                <c:pt idx="75">
                  <c:v>-7.9055845172788199</c:v>
                </c:pt>
                <c:pt idx="76">
                  <c:v>-8.0948580695764054</c:v>
                </c:pt>
                <c:pt idx="77">
                  <c:v>-8.2841316218739891</c:v>
                </c:pt>
                <c:pt idx="78">
                  <c:v>-8.4734051741715746</c:v>
                </c:pt>
                <c:pt idx="79">
                  <c:v>-8.66267872646916</c:v>
                </c:pt>
                <c:pt idx="80">
                  <c:v>-8.8519522787667455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E-4A10-B8ED-7F22F442BC50}"/>
            </c:ext>
          </c:extLst>
        </c:ser>
        <c:ser>
          <c:idx val="3"/>
          <c:order val="3"/>
          <c:tx>
            <c:v>Parabolic, restricted sample</c:v>
          </c:tx>
          <c:spPr>
            <a:ln w="3810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graph!$A$3:$A$83</c:f>
              <c:numCache>
                <c:formatCode>General</c:formatCode>
                <c:ptCount val="8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0.30000000000000004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0.79999999999999993</c:v>
                </c:pt>
                <c:pt idx="24">
                  <c:v>0.89999999999999991</c:v>
                </c:pt>
                <c:pt idx="25">
                  <c:v>0.99999999999999989</c:v>
                </c:pt>
                <c:pt idx="26">
                  <c:v>1.0999999999999999</c:v>
                </c:pt>
                <c:pt idx="27">
                  <c:v>1.2</c:v>
                </c:pt>
                <c:pt idx="28">
                  <c:v>1.3</c:v>
                </c:pt>
                <c:pt idx="29">
                  <c:v>1.4000000000000001</c:v>
                </c:pt>
                <c:pt idx="30">
                  <c:v>1.5000000000000002</c:v>
                </c:pt>
                <c:pt idx="31">
                  <c:v>1.6000000000000003</c:v>
                </c:pt>
                <c:pt idx="32">
                  <c:v>1.7000000000000004</c:v>
                </c:pt>
                <c:pt idx="33">
                  <c:v>1.8000000000000005</c:v>
                </c:pt>
                <c:pt idx="34">
                  <c:v>1.9000000000000006</c:v>
                </c:pt>
                <c:pt idx="35">
                  <c:v>2.0000000000000004</c:v>
                </c:pt>
                <c:pt idx="36">
                  <c:v>2.1000000000000005</c:v>
                </c:pt>
                <c:pt idx="37">
                  <c:v>2.2000000000000006</c:v>
                </c:pt>
                <c:pt idx="38">
                  <c:v>2.3000000000000007</c:v>
                </c:pt>
                <c:pt idx="39">
                  <c:v>2.4000000000000008</c:v>
                </c:pt>
                <c:pt idx="40">
                  <c:v>2.5000000000000009</c:v>
                </c:pt>
                <c:pt idx="41">
                  <c:v>2.600000000000001</c:v>
                </c:pt>
                <c:pt idx="42">
                  <c:v>2.7000000000000011</c:v>
                </c:pt>
                <c:pt idx="43">
                  <c:v>2.8000000000000012</c:v>
                </c:pt>
                <c:pt idx="44">
                  <c:v>2.9000000000000012</c:v>
                </c:pt>
                <c:pt idx="45">
                  <c:v>3.0000000000000013</c:v>
                </c:pt>
                <c:pt idx="46">
                  <c:v>3.1000000000000014</c:v>
                </c:pt>
                <c:pt idx="47">
                  <c:v>3.2000000000000015</c:v>
                </c:pt>
                <c:pt idx="48">
                  <c:v>3.3000000000000016</c:v>
                </c:pt>
                <c:pt idx="49">
                  <c:v>3.4000000000000017</c:v>
                </c:pt>
                <c:pt idx="50">
                  <c:v>3.5000000000000018</c:v>
                </c:pt>
                <c:pt idx="51">
                  <c:v>3.6000000000000019</c:v>
                </c:pt>
                <c:pt idx="52">
                  <c:v>3.700000000000002</c:v>
                </c:pt>
                <c:pt idx="53">
                  <c:v>3.800000000000002</c:v>
                </c:pt>
                <c:pt idx="54">
                  <c:v>3.9000000000000021</c:v>
                </c:pt>
                <c:pt idx="55">
                  <c:v>4.0000000000000018</c:v>
                </c:pt>
                <c:pt idx="56">
                  <c:v>4.1000000000000014</c:v>
                </c:pt>
                <c:pt idx="57">
                  <c:v>4.2000000000000011</c:v>
                </c:pt>
                <c:pt idx="58">
                  <c:v>4.3000000000000007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4.5999999999999996</c:v>
                </c:pt>
                <c:pt idx="62">
                  <c:v>4.6999999999999993</c:v>
                </c:pt>
                <c:pt idx="63">
                  <c:v>4.7999999999999989</c:v>
                </c:pt>
                <c:pt idx="64">
                  <c:v>4.8999999999999986</c:v>
                </c:pt>
                <c:pt idx="65">
                  <c:v>4.9999999999999982</c:v>
                </c:pt>
                <c:pt idx="66">
                  <c:v>5.0999999999999979</c:v>
                </c:pt>
                <c:pt idx="67">
                  <c:v>5.1999999999999975</c:v>
                </c:pt>
                <c:pt idx="68">
                  <c:v>5.2999999999999972</c:v>
                </c:pt>
                <c:pt idx="69">
                  <c:v>5.3999999999999968</c:v>
                </c:pt>
                <c:pt idx="70">
                  <c:v>5.4999999999999964</c:v>
                </c:pt>
                <c:pt idx="71">
                  <c:v>5.5999999999999961</c:v>
                </c:pt>
                <c:pt idx="72">
                  <c:v>5.6999999999999957</c:v>
                </c:pt>
                <c:pt idx="73">
                  <c:v>5.7999999999999954</c:v>
                </c:pt>
                <c:pt idx="74">
                  <c:v>5.899999999999995</c:v>
                </c:pt>
                <c:pt idx="75">
                  <c:v>5.9999999999999947</c:v>
                </c:pt>
                <c:pt idx="76">
                  <c:v>6.0999999999999943</c:v>
                </c:pt>
                <c:pt idx="77">
                  <c:v>6.199999999999994</c:v>
                </c:pt>
                <c:pt idx="78">
                  <c:v>6.2999999999999936</c:v>
                </c:pt>
                <c:pt idx="79">
                  <c:v>6.3999999999999932</c:v>
                </c:pt>
                <c:pt idx="80">
                  <c:v>6.4999999999999929</c:v>
                </c:pt>
              </c:numCache>
            </c:numRef>
          </c:cat>
          <c:val>
            <c:numRef>
              <c:f>graph!$O$3:$O$83</c:f>
              <c:numCache>
                <c:formatCode>General</c:formatCode>
                <c:ptCount val="81"/>
                <c:pt idx="0">
                  <c:v>-2.2509871342019827</c:v>
                </c:pt>
                <c:pt idx="1">
                  <c:v>-2.0310858762539268</c:v>
                </c:pt>
                <c:pt idx="2">
                  <c:v>-1.8211611110203361</c:v>
                </c:pt>
                <c:pt idx="3">
                  <c:v>-1.621212838501211</c:v>
                </c:pt>
                <c:pt idx="4">
                  <c:v>-1.4312410586965509</c:v>
                </c:pt>
                <c:pt idx="5">
                  <c:v>-1.2512457716063563</c:v>
                </c:pt>
                <c:pt idx="6">
                  <c:v>-1.0812269772306271</c:v>
                </c:pt>
                <c:pt idx="7">
                  <c:v>-0.92118467556936301</c:v>
                </c:pt>
                <c:pt idx="8">
                  <c:v>-0.77111886662256424</c:v>
                </c:pt>
                <c:pt idx="9">
                  <c:v>-0.63102955039023068</c:v>
                </c:pt>
                <c:pt idx="10">
                  <c:v>-0.50091672687236233</c:v>
                </c:pt>
                <c:pt idx="11">
                  <c:v>-0.38078039606895936</c:v>
                </c:pt>
                <c:pt idx="12">
                  <c:v>-0.2706205579800216</c:v>
                </c:pt>
                <c:pt idx="13">
                  <c:v>-0.17043721260554909</c:v>
                </c:pt>
                <c:pt idx="14">
                  <c:v>-8.023035994554184E-2</c:v>
                </c:pt>
                <c:pt idx="15">
                  <c:v>0</c:v>
                </c:pt>
                <c:pt idx="16">
                  <c:v>7.0253867231076739E-2</c:v>
                </c:pt>
                <c:pt idx="17">
                  <c:v>0.13053124174768821</c:v>
                </c:pt>
                <c:pt idx="18">
                  <c:v>0.18083212354983444</c:v>
                </c:pt>
                <c:pt idx="19">
                  <c:v>0.22115651263751535</c:v>
                </c:pt>
                <c:pt idx="20">
                  <c:v>0.25150440901073101</c:v>
                </c:pt>
                <c:pt idx="21">
                  <c:v>0.27187581266948141</c:v>
                </c:pt>
                <c:pt idx="22">
                  <c:v>0.28227072361376659</c:v>
                </c:pt>
                <c:pt idx="23">
                  <c:v>0.28268914184358646</c:v>
                </c:pt>
                <c:pt idx="24">
                  <c:v>0.27313106735894105</c:v>
                </c:pt>
                <c:pt idx="25">
                  <c:v>0.25359650015983043</c:v>
                </c:pt>
                <c:pt idx="26">
                  <c:v>0.22408544024625454</c:v>
                </c:pt>
                <c:pt idx="27">
                  <c:v>0.18459788761821327</c:v>
                </c:pt>
                <c:pt idx="28">
                  <c:v>0.13513384227570691</c:v>
                </c:pt>
                <c:pt idx="29">
                  <c:v>7.5693304218735102E-2</c:v>
                </c:pt>
                <c:pt idx="30">
                  <c:v>6.2762734472980863E-3</c:v>
                </c:pt>
                <c:pt idx="31">
                  <c:v>-7.3117250038604142E-2</c:v>
                </c:pt>
                <c:pt idx="32">
                  <c:v>-0.16248726623897181</c:v>
                </c:pt>
                <c:pt idx="33">
                  <c:v>-0.2618337751538049</c:v>
                </c:pt>
                <c:pt idx="34">
                  <c:v>-0.37115677678310299</c:v>
                </c:pt>
                <c:pt idx="35">
                  <c:v>-0.49045627112686607</c:v>
                </c:pt>
                <c:pt idx="36">
                  <c:v>-0.61973225818509503</c:v>
                </c:pt>
                <c:pt idx="37">
                  <c:v>-0.75898473795778876</c:v>
                </c:pt>
                <c:pt idx="38">
                  <c:v>-0.90821371044494859</c:v>
                </c:pt>
                <c:pt idx="39">
                  <c:v>-1.0674191756465732</c:v>
                </c:pt>
                <c:pt idx="40">
                  <c:v>-1.2366011335626625</c:v>
                </c:pt>
                <c:pt idx="41">
                  <c:v>-1.4157595841932176</c:v>
                </c:pt>
                <c:pt idx="42">
                  <c:v>-1.6048945275382378</c:v>
                </c:pt>
                <c:pt idx="43">
                  <c:v>-1.8040059635977239</c:v>
                </c:pt>
                <c:pt idx="44">
                  <c:v>-2.0130938923716748</c:v>
                </c:pt>
                <c:pt idx="45">
                  <c:v>-2.2321583138600904</c:v>
                </c:pt>
                <c:pt idx="46">
                  <c:v>-2.4611992280629722</c:v>
                </c:pt>
                <c:pt idx="47">
                  <c:v>-2.7002166349803192</c:v>
                </c:pt>
                <c:pt idx="48">
                  <c:v>-2.9492105346121322</c:v>
                </c:pt>
                <c:pt idx="49">
                  <c:v>-3.2081809269584087</c:v>
                </c:pt>
                <c:pt idx="50">
                  <c:v>-3.4771278120191513</c:v>
                </c:pt>
                <c:pt idx="51">
                  <c:v>-3.75605118979436</c:v>
                </c:pt>
                <c:pt idx="52">
                  <c:v>-4.0449510602840331</c:v>
                </c:pt>
                <c:pt idx="53">
                  <c:v>-4.3438274234881717</c:v>
                </c:pt>
                <c:pt idx="54">
                  <c:v>-4.6526802794067752</c:v>
                </c:pt>
                <c:pt idx="55">
                  <c:v>-4.9715096280398434</c:v>
                </c:pt>
                <c:pt idx="56">
                  <c:v>-5.3003154693873755</c:v>
                </c:pt>
                <c:pt idx="57">
                  <c:v>-5.6390978034493742</c:v>
                </c:pt>
                <c:pt idx="58">
                  <c:v>-5.9878566302258367</c:v>
                </c:pt>
                <c:pt idx="59">
                  <c:v>-6.3465919497167649</c:v>
                </c:pt>
                <c:pt idx="60">
                  <c:v>-6.7153037619221596</c:v>
                </c:pt>
                <c:pt idx="61">
                  <c:v>-7.0939920668420182</c:v>
                </c:pt>
                <c:pt idx="62">
                  <c:v>-7.4826568644763425</c:v>
                </c:pt>
                <c:pt idx="63">
                  <c:v>-7.8812981548251315</c:v>
                </c:pt>
                <c:pt idx="64">
                  <c:v>-8.2899159378883862</c:v>
                </c:pt>
                <c:pt idx="65">
                  <c:v>-8.7085102136661057</c:v>
                </c:pt>
                <c:pt idx="66">
                  <c:v>-9.1370809821582899</c:v>
                </c:pt>
                <c:pt idx="67">
                  <c:v>-9.5756282433649389</c:v>
                </c:pt>
                <c:pt idx="68">
                  <c:v>-10.024151997286054</c:v>
                </c:pt>
                <c:pt idx="69">
                  <c:v>-10.482652243921635</c:v>
                </c:pt>
                <c:pt idx="70">
                  <c:v>-10.951128983271682</c:v>
                </c:pt>
                <c:pt idx="71">
                  <c:v>-11.429582215336193</c:v>
                </c:pt>
                <c:pt idx="72">
                  <c:v>-11.918011940115168</c:v>
                </c:pt>
                <c:pt idx="73">
                  <c:v>-12.416418157608607</c:v>
                </c:pt>
                <c:pt idx="74">
                  <c:v>-12.924800867816511</c:v>
                </c:pt>
                <c:pt idx="75">
                  <c:v>-13.443160070738886</c:v>
                </c:pt>
                <c:pt idx="76">
                  <c:v>-13.971495766375723</c:v>
                </c:pt>
                <c:pt idx="77">
                  <c:v>-14.509807954727027</c:v>
                </c:pt>
                <c:pt idx="78">
                  <c:v>-15.058096635792793</c:v>
                </c:pt>
                <c:pt idx="79">
                  <c:v>-15.616361809573025</c:v>
                </c:pt>
                <c:pt idx="80">
                  <c:v>-16.184603476067721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E-4A10-B8ED-7F22F442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842952"/>
        <c:axId val="490024088"/>
      </c:lineChart>
      <c:catAx>
        <c:axId val="48284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Global warming (in degrees</a:t>
                </a:r>
                <a:r>
                  <a:rPr lang="en-GB" baseline="0"/>
                  <a:t> centigrade)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00240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4900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Welfare</a:t>
                </a:r>
                <a:r>
                  <a:rPr lang="en-GB" baseline="0"/>
                  <a:t> equivalent income change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284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1928996262570464E-2"/>
          <c:y val="0.74269027346994354"/>
          <c:w val="0.37359265428717769"/>
          <c:h val="0.198686179713153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errBars>
            <c:errDir val="y"/>
            <c:errBarType val="both"/>
            <c:errValType val="cust"/>
            <c:noEndCap val="1"/>
            <c:plus>
              <c:numRef>
                <c:f>country!$O$3:$O$190</c:f>
                <c:numCache>
                  <c:formatCode>General</c:formatCode>
                  <c:ptCount val="188"/>
                  <c:pt idx="0">
                    <c:v>3.096064451111721</c:v>
                  </c:pt>
                  <c:pt idx="1">
                    <c:v>3.1476333816942783</c:v>
                  </c:pt>
                  <c:pt idx="2">
                    <c:v>2.3605460842533423</c:v>
                  </c:pt>
                  <c:pt idx="3">
                    <c:v>2.9171998047435075</c:v>
                  </c:pt>
                  <c:pt idx="4">
                    <c:v>2.2389930977676742</c:v>
                  </c:pt>
                  <c:pt idx="5">
                    <c:v>2.3707856322291589</c:v>
                  </c:pt>
                  <c:pt idx="6">
                    <c:v>3.3374758260599888</c:v>
                  </c:pt>
                  <c:pt idx="7">
                    <c:v>2.9697246801058581</c:v>
                  </c:pt>
                  <c:pt idx="8">
                    <c:v>1.3911495358353911</c:v>
                  </c:pt>
                  <c:pt idx="9">
                    <c:v>3.3374758260599875</c:v>
                  </c:pt>
                  <c:pt idx="10">
                    <c:v>2.4830845041512104</c:v>
                  </c:pt>
                  <c:pt idx="11">
                    <c:v>2.3788817405873082</c:v>
                  </c:pt>
                  <c:pt idx="12">
                    <c:v>3.9376964529861587</c:v>
                  </c:pt>
                  <c:pt idx="13">
                    <c:v>2.3236527196621259</c:v>
                  </c:pt>
                  <c:pt idx="14">
                    <c:v>2.0112086293259952</c:v>
                  </c:pt>
                  <c:pt idx="15">
                    <c:v>1.8434086945480375</c:v>
                  </c:pt>
                  <c:pt idx="16">
                    <c:v>2.3057019607949445</c:v>
                  </c:pt>
                  <c:pt idx="17">
                    <c:v>3.1764823711394605</c:v>
                  </c:pt>
                  <c:pt idx="18">
                    <c:v>2.4557757169543919</c:v>
                  </c:pt>
                  <c:pt idx="19">
                    <c:v>3.0960644511117201</c:v>
                  </c:pt>
                  <c:pt idx="20">
                    <c:v>2.727767482090937</c:v>
                  </c:pt>
                  <c:pt idx="21">
                    <c:v>2.4620460994655313</c:v>
                  </c:pt>
                  <c:pt idx="22">
                    <c:v>2.9798259748711931</c:v>
                  </c:pt>
                  <c:pt idx="23">
                    <c:v>2.3981349442614595</c:v>
                  </c:pt>
                  <c:pt idx="24">
                    <c:v>2.7020874388949085</c:v>
                  </c:pt>
                  <c:pt idx="25">
                    <c:v>2.4620460994655309</c:v>
                  </c:pt>
                  <c:pt idx="26">
                    <c:v>2.9171998047435075</c:v>
                  </c:pt>
                  <c:pt idx="27">
                    <c:v>2.9171998047435035</c:v>
                  </c:pt>
                  <c:pt idx="28">
                    <c:v>3.548550114522262</c:v>
                  </c:pt>
                  <c:pt idx="29">
                    <c:v>3.0960644511117192</c:v>
                  </c:pt>
                  <c:pt idx="30">
                    <c:v>3.9405306384951535</c:v>
                  </c:pt>
                  <c:pt idx="31">
                    <c:v>2.4255697386790742</c:v>
                  </c:pt>
                  <c:pt idx="32">
                    <c:v>2.9171998047435075</c:v>
                  </c:pt>
                  <c:pt idx="33">
                    <c:v>2.9171998047435035</c:v>
                  </c:pt>
                  <c:pt idx="34">
                    <c:v>2.9171998047435075</c:v>
                  </c:pt>
                  <c:pt idx="35">
                    <c:v>4.5213395627550339</c:v>
                  </c:pt>
                  <c:pt idx="36">
                    <c:v>2.3934605509118891</c:v>
                  </c:pt>
                  <c:pt idx="37">
                    <c:v>2.3057019607949423</c:v>
                  </c:pt>
                  <c:pt idx="38">
                    <c:v>2.9171998047435035</c:v>
                  </c:pt>
                  <c:pt idx="39">
                    <c:v>2.9171998047435035</c:v>
                  </c:pt>
                  <c:pt idx="40">
                    <c:v>3.2343483728058997</c:v>
                  </c:pt>
                  <c:pt idx="41">
                    <c:v>2.4154495694110589</c:v>
                  </c:pt>
                  <c:pt idx="42">
                    <c:v>2.4620460994655304</c:v>
                  </c:pt>
                  <c:pt idx="43">
                    <c:v>2.3057019607949472</c:v>
                  </c:pt>
                  <c:pt idx="44">
                    <c:v>2.5338229061816522</c:v>
                  </c:pt>
                  <c:pt idx="45">
                    <c:v>2.4620460994655309</c:v>
                  </c:pt>
                  <c:pt idx="46">
                    <c:v>1.5406396380680412</c:v>
                  </c:pt>
                  <c:pt idx="47">
                    <c:v>2.9171998047435035</c:v>
                  </c:pt>
                  <c:pt idx="48">
                    <c:v>2.5866005819324087</c:v>
                  </c:pt>
                  <c:pt idx="49">
                    <c:v>2.3057019607949458</c:v>
                  </c:pt>
                  <c:pt idx="50">
                    <c:v>19.731726964060588</c:v>
                  </c:pt>
                  <c:pt idx="51">
                    <c:v>3.0944090495603485</c:v>
                  </c:pt>
                  <c:pt idx="52">
                    <c:v>2.7922391638830044</c:v>
                  </c:pt>
                  <c:pt idx="53">
                    <c:v>2.9171998047435053</c:v>
                  </c:pt>
                  <c:pt idx="54">
                    <c:v>2.9171998047434995</c:v>
                  </c:pt>
                  <c:pt idx="55">
                    <c:v>2.0112086293259948</c:v>
                  </c:pt>
                  <c:pt idx="56">
                    <c:v>2.917199804743515</c:v>
                  </c:pt>
                  <c:pt idx="57">
                    <c:v>2.6356584205276192</c:v>
                  </c:pt>
                  <c:pt idx="58">
                    <c:v>1.381399056815046</c:v>
                  </c:pt>
                  <c:pt idx="59">
                    <c:v>1.695351882191616</c:v>
                  </c:pt>
                  <c:pt idx="60">
                    <c:v>2.2593141561607952</c:v>
                  </c:pt>
                  <c:pt idx="61">
                    <c:v>2.9171998047435115</c:v>
                  </c:pt>
                  <c:pt idx="62">
                    <c:v>3.3374758260599888</c:v>
                  </c:pt>
                  <c:pt idx="63">
                    <c:v>1.5160116108055857</c:v>
                  </c:pt>
                  <c:pt idx="64">
                    <c:v>2.9171998047435035</c:v>
                  </c:pt>
                  <c:pt idx="65">
                    <c:v>1.8468122432841849</c:v>
                  </c:pt>
                  <c:pt idx="66">
                    <c:v>2.6784210083906315</c:v>
                  </c:pt>
                  <c:pt idx="67">
                    <c:v>2.9527425244242909</c:v>
                  </c:pt>
                  <c:pt idx="68">
                    <c:v>2.9171998047434995</c:v>
                  </c:pt>
                  <c:pt idx="69">
                    <c:v>2.917199804743515</c:v>
                  </c:pt>
                  <c:pt idx="70">
                    <c:v>2.727767482090941</c:v>
                  </c:pt>
                  <c:pt idx="71">
                    <c:v>2.727767482090941</c:v>
                  </c:pt>
                  <c:pt idx="72">
                    <c:v>3.8628217621901717</c:v>
                  </c:pt>
                  <c:pt idx="73">
                    <c:v>3.0127487087490623</c:v>
                  </c:pt>
                  <c:pt idx="74">
                    <c:v>2.4959395774745241</c:v>
                  </c:pt>
                  <c:pt idx="75">
                    <c:v>2.1545550665241286</c:v>
                  </c:pt>
                  <c:pt idx="76">
                    <c:v>2.9197086658682094</c:v>
                  </c:pt>
                  <c:pt idx="77">
                    <c:v>3.930734092241412</c:v>
                  </c:pt>
                  <c:pt idx="78">
                    <c:v>2.6179590443348517</c:v>
                  </c:pt>
                  <c:pt idx="79">
                    <c:v>2.7815255605332143</c:v>
                  </c:pt>
                  <c:pt idx="80">
                    <c:v>2.1295279710327701</c:v>
                  </c:pt>
                  <c:pt idx="81">
                    <c:v>2.6771154548385989</c:v>
                  </c:pt>
                  <c:pt idx="82">
                    <c:v>1.7068633054618052</c:v>
                  </c:pt>
                  <c:pt idx="83">
                    <c:v>1.5981174014286372</c:v>
                  </c:pt>
                  <c:pt idx="84">
                    <c:v>2.7815255605332165</c:v>
                  </c:pt>
                  <c:pt idx="85">
                    <c:v>2.5942528453213334</c:v>
                  </c:pt>
                  <c:pt idx="86">
                    <c:v>2.9183736875593245</c:v>
                  </c:pt>
                  <c:pt idx="87">
                    <c:v>3.0960644511117268</c:v>
                  </c:pt>
                  <c:pt idx="88">
                    <c:v>2.46204609946553</c:v>
                  </c:pt>
                  <c:pt idx="89">
                    <c:v>2.3788817405873104</c:v>
                  </c:pt>
                  <c:pt idx="90">
                    <c:v>3.3374758260599884</c:v>
                  </c:pt>
                  <c:pt idx="91">
                    <c:v>3.096064451111721</c:v>
                  </c:pt>
                  <c:pt idx="92">
                    <c:v>2.0112086293259952</c:v>
                  </c:pt>
                  <c:pt idx="93">
                    <c:v>2.7815255605332156</c:v>
                  </c:pt>
                  <c:pt idx="94">
                    <c:v>2.9171998047435053</c:v>
                  </c:pt>
                  <c:pt idx="95">
                    <c:v>2.9171998047434955</c:v>
                  </c:pt>
                  <c:pt idx="96">
                    <c:v>2.4262716942031202</c:v>
                  </c:pt>
                  <c:pt idx="97">
                    <c:v>2.0112086293259952</c:v>
                  </c:pt>
                  <c:pt idx="98">
                    <c:v>1.5020924764172037</c:v>
                  </c:pt>
                  <c:pt idx="99">
                    <c:v>2.8276460270885155</c:v>
                  </c:pt>
                  <c:pt idx="100">
                    <c:v>2.4620460994655309</c:v>
                  </c:pt>
                  <c:pt idx="101">
                    <c:v>3.8730702025457613</c:v>
                  </c:pt>
                  <c:pt idx="102">
                    <c:v>2.9776859393313777</c:v>
                  </c:pt>
                  <c:pt idx="103">
                    <c:v>3.3278828361347714</c:v>
                  </c:pt>
                  <c:pt idx="104">
                    <c:v>3.096064451111721</c:v>
                  </c:pt>
                  <c:pt idx="105">
                    <c:v>3.6095569036463595</c:v>
                  </c:pt>
                  <c:pt idx="106">
                    <c:v>2.2333091969136367</c:v>
                  </c:pt>
                  <c:pt idx="107">
                    <c:v>2.6356584205276108</c:v>
                  </c:pt>
                  <c:pt idx="108">
                    <c:v>2.9171998047434995</c:v>
                  </c:pt>
                  <c:pt idx="109">
                    <c:v>2.3699937682312884</c:v>
                  </c:pt>
                  <c:pt idx="110">
                    <c:v>3.3320035304805122</c:v>
                  </c:pt>
                  <c:pt idx="111">
                    <c:v>2.6356584205276152</c:v>
                  </c:pt>
                  <c:pt idx="112">
                    <c:v>2.0112086293259979</c:v>
                  </c:pt>
                  <c:pt idx="113">
                    <c:v>3.5272638194911585</c:v>
                  </c:pt>
                  <c:pt idx="114">
                    <c:v>2.4620460994655304</c:v>
                  </c:pt>
                  <c:pt idx="115">
                    <c:v>2.3961021317285933</c:v>
                  </c:pt>
                  <c:pt idx="116">
                    <c:v>2.9171998047435075</c:v>
                  </c:pt>
                  <c:pt idx="117">
                    <c:v>2.360546084253345</c:v>
                  </c:pt>
                  <c:pt idx="118">
                    <c:v>3.1479575163122773</c:v>
                  </c:pt>
                  <c:pt idx="119">
                    <c:v>1.7705067439704976</c:v>
                  </c:pt>
                  <c:pt idx="120">
                    <c:v>2.1414475174265042</c:v>
                  </c:pt>
                  <c:pt idx="121">
                    <c:v>2.727767482090941</c:v>
                  </c:pt>
                  <c:pt idx="122">
                    <c:v>2.9171998047435075</c:v>
                  </c:pt>
                  <c:pt idx="123">
                    <c:v>3.5244750323989709</c:v>
                  </c:pt>
                  <c:pt idx="124">
                    <c:v>2.2309571756180846</c:v>
                  </c:pt>
                  <c:pt idx="125">
                    <c:v>2.3788817405873095</c:v>
                  </c:pt>
                  <c:pt idx="126">
                    <c:v>3.3147848814264407</c:v>
                  </c:pt>
                  <c:pt idx="127">
                    <c:v>2.6447940365986797</c:v>
                  </c:pt>
                  <c:pt idx="128">
                    <c:v>2.7815255605332143</c:v>
                  </c:pt>
                  <c:pt idx="129">
                    <c:v>2.7446144530034906</c:v>
                  </c:pt>
                  <c:pt idx="130">
                    <c:v>2.635658420527617</c:v>
                  </c:pt>
                  <c:pt idx="131">
                    <c:v>2.9347497378814333</c:v>
                  </c:pt>
                  <c:pt idx="132">
                    <c:v>2.8878342086775182</c:v>
                  </c:pt>
                  <c:pt idx="133">
                    <c:v>3.9849786187848948</c:v>
                  </c:pt>
                  <c:pt idx="134">
                    <c:v>2.5071193518350516</c:v>
                  </c:pt>
                  <c:pt idx="135">
                    <c:v>2.4708764076672383</c:v>
                  </c:pt>
                  <c:pt idx="136">
                    <c:v>2.2389930977676746</c:v>
                  </c:pt>
                  <c:pt idx="137">
                    <c:v>2.3788817405873099</c:v>
                  </c:pt>
                  <c:pt idx="138">
                    <c:v>2.5163797867471045</c:v>
                  </c:pt>
                  <c:pt idx="139">
                    <c:v>2.156392057058679</c:v>
                  </c:pt>
                  <c:pt idx="140">
                    <c:v>5.4242947257573384</c:v>
                  </c:pt>
                  <c:pt idx="141">
                    <c:v>2.8294479745726338</c:v>
                  </c:pt>
                  <c:pt idx="142">
                    <c:v>2.2389930977676755</c:v>
                  </c:pt>
                  <c:pt idx="143">
                    <c:v>2.6626054889199859</c:v>
                  </c:pt>
                  <c:pt idx="144">
                    <c:v>2.3057019607949494</c:v>
                  </c:pt>
                  <c:pt idx="145">
                    <c:v>2.6447940365986797</c:v>
                  </c:pt>
                  <c:pt idx="146">
                    <c:v>2.3788817405873095</c:v>
                  </c:pt>
                  <c:pt idx="147">
                    <c:v>6.0345970742451218</c:v>
                  </c:pt>
                  <c:pt idx="148">
                    <c:v>2.5569286635580344</c:v>
                  </c:pt>
                  <c:pt idx="149">
                    <c:v>2.5238382245501425</c:v>
                  </c:pt>
                  <c:pt idx="150">
                    <c:v>3.976622393142824</c:v>
                  </c:pt>
                  <c:pt idx="151">
                    <c:v>2.6200538171375021</c:v>
                  </c:pt>
                  <c:pt idx="152">
                    <c:v>2.4620460994655309</c:v>
                  </c:pt>
                  <c:pt idx="153">
                    <c:v>2.4620460994655304</c:v>
                  </c:pt>
                  <c:pt idx="154">
                    <c:v>3.0960644511117157</c:v>
                  </c:pt>
                  <c:pt idx="155">
                    <c:v>2.3605460842533423</c:v>
                  </c:pt>
                  <c:pt idx="156">
                    <c:v>2.5246101413941484</c:v>
                  </c:pt>
                  <c:pt idx="157">
                    <c:v>1.8165982698129328</c:v>
                  </c:pt>
                  <c:pt idx="158">
                    <c:v>4.074206353663306</c:v>
                  </c:pt>
                  <c:pt idx="159">
                    <c:v>2.9171998047435035</c:v>
                  </c:pt>
                  <c:pt idx="160">
                    <c:v>3.0179402853095159</c:v>
                  </c:pt>
                  <c:pt idx="161">
                    <c:v>3.3901090714638071</c:v>
                  </c:pt>
                  <c:pt idx="162">
                    <c:v>1.3823656476305204</c:v>
                  </c:pt>
                  <c:pt idx="163">
                    <c:v>2.1503699197592865</c:v>
                  </c:pt>
                  <c:pt idx="164">
                    <c:v>3.3374758260599897</c:v>
                  </c:pt>
                  <c:pt idx="165">
                    <c:v>3.0937424929159367</c:v>
                  </c:pt>
                  <c:pt idx="166">
                    <c:v>3.178642153482572</c:v>
                  </c:pt>
                  <c:pt idx="167">
                    <c:v>3.0960644511117228</c:v>
                  </c:pt>
                  <c:pt idx="168">
                    <c:v>2.4402949795195483</c:v>
                  </c:pt>
                  <c:pt idx="169">
                    <c:v>2.6356584205276152</c:v>
                  </c:pt>
                  <c:pt idx="170">
                    <c:v>2.4934313476237802</c:v>
                  </c:pt>
                  <c:pt idx="171">
                    <c:v>2.6723400575523129</c:v>
                  </c:pt>
                  <c:pt idx="172">
                    <c:v>2.3138560642900536</c:v>
                  </c:pt>
                  <c:pt idx="173">
                    <c:v>2.5942528453213356</c:v>
                  </c:pt>
                  <c:pt idx="174">
                    <c:v>3.096064451111721</c:v>
                  </c:pt>
                  <c:pt idx="175">
                    <c:v>2.9171998047435035</c:v>
                  </c:pt>
                  <c:pt idx="176">
                    <c:v>2.0112086293259952</c:v>
                  </c:pt>
                  <c:pt idx="177">
                    <c:v>2.3788817405873068</c:v>
                  </c:pt>
                  <c:pt idx="178">
                    <c:v>1.9940303239698423</c:v>
                  </c:pt>
                  <c:pt idx="179">
                    <c:v>1.5667728915206394</c:v>
                  </c:pt>
                  <c:pt idx="180">
                    <c:v>2.5915692481151749</c:v>
                  </c:pt>
                  <c:pt idx="181">
                    <c:v>3.3374758260599884</c:v>
                  </c:pt>
                  <c:pt idx="182">
                    <c:v>2.6356584205276152</c:v>
                  </c:pt>
                  <c:pt idx="183">
                    <c:v>11.024832769749151</c:v>
                  </c:pt>
                  <c:pt idx="184">
                    <c:v>3.096064451111721</c:v>
                  </c:pt>
                  <c:pt idx="185">
                    <c:v>2.7815255605332121</c:v>
                  </c:pt>
                  <c:pt idx="186">
                    <c:v>2.9497185084486501</c:v>
                  </c:pt>
                  <c:pt idx="187">
                    <c:v>2.9240879015750769</c:v>
                  </c:pt>
                </c:numCache>
              </c:numRef>
            </c:plus>
            <c:minus>
              <c:numRef>
                <c:f>country!$O$3:$O$190</c:f>
                <c:numCache>
                  <c:formatCode>General</c:formatCode>
                  <c:ptCount val="188"/>
                  <c:pt idx="0">
                    <c:v>3.096064451111721</c:v>
                  </c:pt>
                  <c:pt idx="1">
                    <c:v>3.1476333816942783</c:v>
                  </c:pt>
                  <c:pt idx="2">
                    <c:v>2.3605460842533423</c:v>
                  </c:pt>
                  <c:pt idx="3">
                    <c:v>2.9171998047435075</c:v>
                  </c:pt>
                  <c:pt idx="4">
                    <c:v>2.2389930977676742</c:v>
                  </c:pt>
                  <c:pt idx="5">
                    <c:v>2.3707856322291589</c:v>
                  </c:pt>
                  <c:pt idx="6">
                    <c:v>3.3374758260599888</c:v>
                  </c:pt>
                  <c:pt idx="7">
                    <c:v>2.9697246801058581</c:v>
                  </c:pt>
                  <c:pt idx="8">
                    <c:v>1.3911495358353911</c:v>
                  </c:pt>
                  <c:pt idx="9">
                    <c:v>3.3374758260599875</c:v>
                  </c:pt>
                  <c:pt idx="10">
                    <c:v>2.4830845041512104</c:v>
                  </c:pt>
                  <c:pt idx="11">
                    <c:v>2.3788817405873082</c:v>
                  </c:pt>
                  <c:pt idx="12">
                    <c:v>3.9376964529861587</c:v>
                  </c:pt>
                  <c:pt idx="13">
                    <c:v>2.3236527196621259</c:v>
                  </c:pt>
                  <c:pt idx="14">
                    <c:v>2.0112086293259952</c:v>
                  </c:pt>
                  <c:pt idx="15">
                    <c:v>1.8434086945480375</c:v>
                  </c:pt>
                  <c:pt idx="16">
                    <c:v>2.3057019607949445</c:v>
                  </c:pt>
                  <c:pt idx="17">
                    <c:v>3.1764823711394605</c:v>
                  </c:pt>
                  <c:pt idx="18">
                    <c:v>2.4557757169543919</c:v>
                  </c:pt>
                  <c:pt idx="19">
                    <c:v>3.0960644511117201</c:v>
                  </c:pt>
                  <c:pt idx="20">
                    <c:v>2.727767482090937</c:v>
                  </c:pt>
                  <c:pt idx="21">
                    <c:v>2.4620460994655313</c:v>
                  </c:pt>
                  <c:pt idx="22">
                    <c:v>2.9798259748711931</c:v>
                  </c:pt>
                  <c:pt idx="23">
                    <c:v>2.3981349442614595</c:v>
                  </c:pt>
                  <c:pt idx="24">
                    <c:v>2.7020874388949085</c:v>
                  </c:pt>
                  <c:pt idx="25">
                    <c:v>2.4620460994655309</c:v>
                  </c:pt>
                  <c:pt idx="26">
                    <c:v>2.9171998047435075</c:v>
                  </c:pt>
                  <c:pt idx="27">
                    <c:v>2.9171998047435035</c:v>
                  </c:pt>
                  <c:pt idx="28">
                    <c:v>3.548550114522262</c:v>
                  </c:pt>
                  <c:pt idx="29">
                    <c:v>3.0960644511117192</c:v>
                  </c:pt>
                  <c:pt idx="30">
                    <c:v>3.9405306384951535</c:v>
                  </c:pt>
                  <c:pt idx="31">
                    <c:v>2.4255697386790742</c:v>
                  </c:pt>
                  <c:pt idx="32">
                    <c:v>2.9171998047435075</c:v>
                  </c:pt>
                  <c:pt idx="33">
                    <c:v>2.9171998047435035</c:v>
                  </c:pt>
                  <c:pt idx="34">
                    <c:v>2.9171998047435075</c:v>
                  </c:pt>
                  <c:pt idx="35">
                    <c:v>4.5213395627550339</c:v>
                  </c:pt>
                  <c:pt idx="36">
                    <c:v>2.3934605509118891</c:v>
                  </c:pt>
                  <c:pt idx="37">
                    <c:v>2.3057019607949423</c:v>
                  </c:pt>
                  <c:pt idx="38">
                    <c:v>2.9171998047435035</c:v>
                  </c:pt>
                  <c:pt idx="39">
                    <c:v>2.9171998047435035</c:v>
                  </c:pt>
                  <c:pt idx="40">
                    <c:v>3.2343483728058997</c:v>
                  </c:pt>
                  <c:pt idx="41">
                    <c:v>2.4154495694110589</c:v>
                  </c:pt>
                  <c:pt idx="42">
                    <c:v>2.4620460994655304</c:v>
                  </c:pt>
                  <c:pt idx="43">
                    <c:v>2.3057019607949472</c:v>
                  </c:pt>
                  <c:pt idx="44">
                    <c:v>2.5338229061816522</c:v>
                  </c:pt>
                  <c:pt idx="45">
                    <c:v>2.4620460994655309</c:v>
                  </c:pt>
                  <c:pt idx="46">
                    <c:v>1.5406396380680412</c:v>
                  </c:pt>
                  <c:pt idx="47">
                    <c:v>2.9171998047435035</c:v>
                  </c:pt>
                  <c:pt idx="48">
                    <c:v>2.5866005819324087</c:v>
                  </c:pt>
                  <c:pt idx="49">
                    <c:v>2.3057019607949458</c:v>
                  </c:pt>
                  <c:pt idx="50">
                    <c:v>19.731726964060588</c:v>
                  </c:pt>
                  <c:pt idx="51">
                    <c:v>3.0944090495603485</c:v>
                  </c:pt>
                  <c:pt idx="52">
                    <c:v>2.7922391638830044</c:v>
                  </c:pt>
                  <c:pt idx="53">
                    <c:v>2.9171998047435053</c:v>
                  </c:pt>
                  <c:pt idx="54">
                    <c:v>2.9171998047434995</c:v>
                  </c:pt>
                  <c:pt idx="55">
                    <c:v>2.0112086293259948</c:v>
                  </c:pt>
                  <c:pt idx="56">
                    <c:v>2.917199804743515</c:v>
                  </c:pt>
                  <c:pt idx="57">
                    <c:v>2.6356584205276192</c:v>
                  </c:pt>
                  <c:pt idx="58">
                    <c:v>1.381399056815046</c:v>
                  </c:pt>
                  <c:pt idx="59">
                    <c:v>1.695351882191616</c:v>
                  </c:pt>
                  <c:pt idx="60">
                    <c:v>2.2593141561607952</c:v>
                  </c:pt>
                  <c:pt idx="61">
                    <c:v>2.9171998047435115</c:v>
                  </c:pt>
                  <c:pt idx="62">
                    <c:v>3.3374758260599888</c:v>
                  </c:pt>
                  <c:pt idx="63">
                    <c:v>1.5160116108055857</c:v>
                  </c:pt>
                  <c:pt idx="64">
                    <c:v>2.9171998047435035</c:v>
                  </c:pt>
                  <c:pt idx="65">
                    <c:v>1.8468122432841849</c:v>
                  </c:pt>
                  <c:pt idx="66">
                    <c:v>2.6784210083906315</c:v>
                  </c:pt>
                  <c:pt idx="67">
                    <c:v>2.9527425244242909</c:v>
                  </c:pt>
                  <c:pt idx="68">
                    <c:v>2.9171998047434995</c:v>
                  </c:pt>
                  <c:pt idx="69">
                    <c:v>2.917199804743515</c:v>
                  </c:pt>
                  <c:pt idx="70">
                    <c:v>2.727767482090941</c:v>
                  </c:pt>
                  <c:pt idx="71">
                    <c:v>2.727767482090941</c:v>
                  </c:pt>
                  <c:pt idx="72">
                    <c:v>3.8628217621901717</c:v>
                  </c:pt>
                  <c:pt idx="73">
                    <c:v>3.0127487087490623</c:v>
                  </c:pt>
                  <c:pt idx="74">
                    <c:v>2.4959395774745241</c:v>
                  </c:pt>
                  <c:pt idx="75">
                    <c:v>2.1545550665241286</c:v>
                  </c:pt>
                  <c:pt idx="76">
                    <c:v>2.9197086658682094</c:v>
                  </c:pt>
                  <c:pt idx="77">
                    <c:v>3.930734092241412</c:v>
                  </c:pt>
                  <c:pt idx="78">
                    <c:v>2.6179590443348517</c:v>
                  </c:pt>
                  <c:pt idx="79">
                    <c:v>2.7815255605332143</c:v>
                  </c:pt>
                  <c:pt idx="80">
                    <c:v>2.1295279710327701</c:v>
                  </c:pt>
                  <c:pt idx="81">
                    <c:v>2.6771154548385989</c:v>
                  </c:pt>
                  <c:pt idx="82">
                    <c:v>1.7068633054618052</c:v>
                  </c:pt>
                  <c:pt idx="83">
                    <c:v>1.5981174014286372</c:v>
                  </c:pt>
                  <c:pt idx="84">
                    <c:v>2.7815255605332165</c:v>
                  </c:pt>
                  <c:pt idx="85">
                    <c:v>2.5942528453213334</c:v>
                  </c:pt>
                  <c:pt idx="86">
                    <c:v>2.9183736875593245</c:v>
                  </c:pt>
                  <c:pt idx="87">
                    <c:v>3.0960644511117268</c:v>
                  </c:pt>
                  <c:pt idx="88">
                    <c:v>2.46204609946553</c:v>
                  </c:pt>
                  <c:pt idx="89">
                    <c:v>2.3788817405873104</c:v>
                  </c:pt>
                  <c:pt idx="90">
                    <c:v>3.3374758260599884</c:v>
                  </c:pt>
                  <c:pt idx="91">
                    <c:v>3.096064451111721</c:v>
                  </c:pt>
                  <c:pt idx="92">
                    <c:v>2.0112086293259952</c:v>
                  </c:pt>
                  <c:pt idx="93">
                    <c:v>2.7815255605332156</c:v>
                  </c:pt>
                  <c:pt idx="94">
                    <c:v>2.9171998047435053</c:v>
                  </c:pt>
                  <c:pt idx="95">
                    <c:v>2.9171998047434955</c:v>
                  </c:pt>
                  <c:pt idx="96">
                    <c:v>2.4262716942031202</c:v>
                  </c:pt>
                  <c:pt idx="97">
                    <c:v>2.0112086293259952</c:v>
                  </c:pt>
                  <c:pt idx="98">
                    <c:v>1.5020924764172037</c:v>
                  </c:pt>
                  <c:pt idx="99">
                    <c:v>2.8276460270885155</c:v>
                  </c:pt>
                  <c:pt idx="100">
                    <c:v>2.4620460994655309</c:v>
                  </c:pt>
                  <c:pt idx="101">
                    <c:v>3.8730702025457613</c:v>
                  </c:pt>
                  <c:pt idx="102">
                    <c:v>2.9776859393313777</c:v>
                  </c:pt>
                  <c:pt idx="103">
                    <c:v>3.3278828361347714</c:v>
                  </c:pt>
                  <c:pt idx="104">
                    <c:v>3.096064451111721</c:v>
                  </c:pt>
                  <c:pt idx="105">
                    <c:v>3.6095569036463595</c:v>
                  </c:pt>
                  <c:pt idx="106">
                    <c:v>2.2333091969136367</c:v>
                  </c:pt>
                  <c:pt idx="107">
                    <c:v>2.6356584205276108</c:v>
                  </c:pt>
                  <c:pt idx="108">
                    <c:v>2.9171998047434995</c:v>
                  </c:pt>
                  <c:pt idx="109">
                    <c:v>2.3699937682312884</c:v>
                  </c:pt>
                  <c:pt idx="110">
                    <c:v>3.3320035304805122</c:v>
                  </c:pt>
                  <c:pt idx="111">
                    <c:v>2.6356584205276152</c:v>
                  </c:pt>
                  <c:pt idx="112">
                    <c:v>2.0112086293259979</c:v>
                  </c:pt>
                  <c:pt idx="113">
                    <c:v>3.5272638194911585</c:v>
                  </c:pt>
                  <c:pt idx="114">
                    <c:v>2.4620460994655304</c:v>
                  </c:pt>
                  <c:pt idx="115">
                    <c:v>2.3961021317285933</c:v>
                  </c:pt>
                  <c:pt idx="116">
                    <c:v>2.9171998047435075</c:v>
                  </c:pt>
                  <c:pt idx="117">
                    <c:v>2.360546084253345</c:v>
                  </c:pt>
                  <c:pt idx="118">
                    <c:v>3.1479575163122773</c:v>
                  </c:pt>
                  <c:pt idx="119">
                    <c:v>1.7705067439704976</c:v>
                  </c:pt>
                  <c:pt idx="120">
                    <c:v>2.1414475174265042</c:v>
                  </c:pt>
                  <c:pt idx="121">
                    <c:v>2.727767482090941</c:v>
                  </c:pt>
                  <c:pt idx="122">
                    <c:v>2.9171998047435075</c:v>
                  </c:pt>
                  <c:pt idx="123">
                    <c:v>3.5244750323989709</c:v>
                  </c:pt>
                  <c:pt idx="124">
                    <c:v>2.2309571756180846</c:v>
                  </c:pt>
                  <c:pt idx="125">
                    <c:v>2.3788817405873095</c:v>
                  </c:pt>
                  <c:pt idx="126">
                    <c:v>3.3147848814264407</c:v>
                  </c:pt>
                  <c:pt idx="127">
                    <c:v>2.6447940365986797</c:v>
                  </c:pt>
                  <c:pt idx="128">
                    <c:v>2.7815255605332143</c:v>
                  </c:pt>
                  <c:pt idx="129">
                    <c:v>2.7446144530034906</c:v>
                  </c:pt>
                  <c:pt idx="130">
                    <c:v>2.635658420527617</c:v>
                  </c:pt>
                  <c:pt idx="131">
                    <c:v>2.9347497378814333</c:v>
                  </c:pt>
                  <c:pt idx="132">
                    <c:v>2.8878342086775182</c:v>
                  </c:pt>
                  <c:pt idx="133">
                    <c:v>3.9849786187848948</c:v>
                  </c:pt>
                  <c:pt idx="134">
                    <c:v>2.5071193518350516</c:v>
                  </c:pt>
                  <c:pt idx="135">
                    <c:v>2.4708764076672383</c:v>
                  </c:pt>
                  <c:pt idx="136">
                    <c:v>2.2389930977676746</c:v>
                  </c:pt>
                  <c:pt idx="137">
                    <c:v>2.3788817405873099</c:v>
                  </c:pt>
                  <c:pt idx="138">
                    <c:v>2.5163797867471045</c:v>
                  </c:pt>
                  <c:pt idx="139">
                    <c:v>2.156392057058679</c:v>
                  </c:pt>
                  <c:pt idx="140">
                    <c:v>5.4242947257573384</c:v>
                  </c:pt>
                  <c:pt idx="141">
                    <c:v>2.8294479745726338</c:v>
                  </c:pt>
                  <c:pt idx="142">
                    <c:v>2.2389930977676755</c:v>
                  </c:pt>
                  <c:pt idx="143">
                    <c:v>2.6626054889199859</c:v>
                  </c:pt>
                  <c:pt idx="144">
                    <c:v>2.3057019607949494</c:v>
                  </c:pt>
                  <c:pt idx="145">
                    <c:v>2.6447940365986797</c:v>
                  </c:pt>
                  <c:pt idx="146">
                    <c:v>2.3788817405873095</c:v>
                  </c:pt>
                  <c:pt idx="147">
                    <c:v>6.0345970742451218</c:v>
                  </c:pt>
                  <c:pt idx="148">
                    <c:v>2.5569286635580344</c:v>
                  </c:pt>
                  <c:pt idx="149">
                    <c:v>2.5238382245501425</c:v>
                  </c:pt>
                  <c:pt idx="150">
                    <c:v>3.976622393142824</c:v>
                  </c:pt>
                  <c:pt idx="151">
                    <c:v>2.6200538171375021</c:v>
                  </c:pt>
                  <c:pt idx="152">
                    <c:v>2.4620460994655309</c:v>
                  </c:pt>
                  <c:pt idx="153">
                    <c:v>2.4620460994655304</c:v>
                  </c:pt>
                  <c:pt idx="154">
                    <c:v>3.0960644511117157</c:v>
                  </c:pt>
                  <c:pt idx="155">
                    <c:v>2.3605460842533423</c:v>
                  </c:pt>
                  <c:pt idx="156">
                    <c:v>2.5246101413941484</c:v>
                  </c:pt>
                  <c:pt idx="157">
                    <c:v>1.8165982698129328</c:v>
                  </c:pt>
                  <c:pt idx="158">
                    <c:v>4.074206353663306</c:v>
                  </c:pt>
                  <c:pt idx="159">
                    <c:v>2.9171998047435035</c:v>
                  </c:pt>
                  <c:pt idx="160">
                    <c:v>3.0179402853095159</c:v>
                  </c:pt>
                  <c:pt idx="161">
                    <c:v>3.3901090714638071</c:v>
                  </c:pt>
                  <c:pt idx="162">
                    <c:v>1.3823656476305204</c:v>
                  </c:pt>
                  <c:pt idx="163">
                    <c:v>2.1503699197592865</c:v>
                  </c:pt>
                  <c:pt idx="164">
                    <c:v>3.3374758260599897</c:v>
                  </c:pt>
                  <c:pt idx="165">
                    <c:v>3.0937424929159367</c:v>
                  </c:pt>
                  <c:pt idx="166">
                    <c:v>3.178642153482572</c:v>
                  </c:pt>
                  <c:pt idx="167">
                    <c:v>3.0960644511117228</c:v>
                  </c:pt>
                  <c:pt idx="168">
                    <c:v>2.4402949795195483</c:v>
                  </c:pt>
                  <c:pt idx="169">
                    <c:v>2.6356584205276152</c:v>
                  </c:pt>
                  <c:pt idx="170">
                    <c:v>2.4934313476237802</c:v>
                  </c:pt>
                  <c:pt idx="171">
                    <c:v>2.6723400575523129</c:v>
                  </c:pt>
                  <c:pt idx="172">
                    <c:v>2.3138560642900536</c:v>
                  </c:pt>
                  <c:pt idx="173">
                    <c:v>2.5942528453213356</c:v>
                  </c:pt>
                  <c:pt idx="174">
                    <c:v>3.096064451111721</c:v>
                  </c:pt>
                  <c:pt idx="175">
                    <c:v>2.9171998047435035</c:v>
                  </c:pt>
                  <c:pt idx="176">
                    <c:v>2.0112086293259952</c:v>
                  </c:pt>
                  <c:pt idx="177">
                    <c:v>2.3788817405873068</c:v>
                  </c:pt>
                  <c:pt idx="178">
                    <c:v>1.9940303239698423</c:v>
                  </c:pt>
                  <c:pt idx="179">
                    <c:v>1.5667728915206394</c:v>
                  </c:pt>
                  <c:pt idx="180">
                    <c:v>2.5915692481151749</c:v>
                  </c:pt>
                  <c:pt idx="181">
                    <c:v>3.3374758260599884</c:v>
                  </c:pt>
                  <c:pt idx="182">
                    <c:v>2.6356584205276152</c:v>
                  </c:pt>
                  <c:pt idx="183">
                    <c:v>11.024832769749151</c:v>
                  </c:pt>
                  <c:pt idx="184">
                    <c:v>3.096064451111721</c:v>
                  </c:pt>
                  <c:pt idx="185">
                    <c:v>2.7815255605332121</c:v>
                  </c:pt>
                  <c:pt idx="186">
                    <c:v>2.9497185084486501</c:v>
                  </c:pt>
                  <c:pt idx="187">
                    <c:v>2.9240879015750769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country!$D$3:$D$190</c:f>
              <c:numCache>
                <c:formatCode>0</c:formatCode>
                <c:ptCount val="188"/>
                <c:pt idx="0">
                  <c:v>360.70561512625665</c:v>
                </c:pt>
                <c:pt idx="1">
                  <c:v>3404.6550318859572</c:v>
                </c:pt>
                <c:pt idx="2">
                  <c:v>3143.6291375316246</c:v>
                </c:pt>
                <c:pt idx="3">
                  <c:v>2576.6454096087737</c:v>
                </c:pt>
                <c:pt idx="4">
                  <c:v>11603.103552595465</c:v>
                </c:pt>
                <c:pt idx="5">
                  <c:v>7274.3904532313973</c:v>
                </c:pt>
                <c:pt idx="6">
                  <c:v>1997.0389119682286</c:v>
                </c:pt>
                <c:pt idx="7">
                  <c:v>36140.105242213795</c:v>
                </c:pt>
                <c:pt idx="8">
                  <c:v>38803.235792365253</c:v>
                </c:pt>
                <c:pt idx="9">
                  <c:v>3126.7240594662121</c:v>
                </c:pt>
                <c:pt idx="10">
                  <c:v>21013.899093651864</c:v>
                </c:pt>
                <c:pt idx="11">
                  <c:v>16722.241255001882</c:v>
                </c:pt>
                <c:pt idx="12">
                  <c:v>539.09993134762863</c:v>
                </c:pt>
                <c:pt idx="13">
                  <c:v>14383.678172735552</c:v>
                </c:pt>
                <c:pt idx="14">
                  <c:v>4526.3801215876556</c:v>
                </c:pt>
                <c:pt idx="15">
                  <c:v>36747.279047091397</c:v>
                </c:pt>
                <c:pt idx="16">
                  <c:v>4138.971633498445</c:v>
                </c:pt>
                <c:pt idx="17">
                  <c:v>550.04454433952765</c:v>
                </c:pt>
                <c:pt idx="18">
                  <c:v>76393.831384374804</c:v>
                </c:pt>
                <c:pt idx="19">
                  <c:v>1796.8287601287193</c:v>
                </c:pt>
                <c:pt idx="20">
                  <c:v>1176.9744750324021</c:v>
                </c:pt>
                <c:pt idx="21">
                  <c:v>3328.9924023780331</c:v>
                </c:pt>
                <c:pt idx="22">
                  <c:v>6152.7263733715708</c:v>
                </c:pt>
                <c:pt idx="23">
                  <c:v>5618.3246002281494</c:v>
                </c:pt>
                <c:pt idx="24">
                  <c:v>24589.277238754839</c:v>
                </c:pt>
                <c:pt idx="25">
                  <c:v>4378.8790878779682</c:v>
                </c:pt>
                <c:pt idx="26">
                  <c:v>457.22881322240346</c:v>
                </c:pt>
                <c:pt idx="27">
                  <c:v>150.74235337478757</c:v>
                </c:pt>
                <c:pt idx="28">
                  <c:v>957.65895361709386</c:v>
                </c:pt>
                <c:pt idx="29">
                  <c:v>605.16804679176505</c:v>
                </c:pt>
                <c:pt idx="30">
                  <c:v>931.41534703166633</c:v>
                </c:pt>
                <c:pt idx="31">
                  <c:v>36337.22567382102</c:v>
                </c:pt>
                <c:pt idx="32">
                  <c:v>2648.6619630548216</c:v>
                </c:pt>
                <c:pt idx="33">
                  <c:v>435.73292134870741</c:v>
                </c:pt>
                <c:pt idx="34">
                  <c:v>718.82339344639706</c:v>
                </c:pt>
                <c:pt idx="35">
                  <c:v>8610.0220425441075</c:v>
                </c:pt>
                <c:pt idx="36">
                  <c:v>2870.0529334764196</c:v>
                </c:pt>
                <c:pt idx="37">
                  <c:v>3937.8672013546661</c:v>
                </c:pt>
                <c:pt idx="38">
                  <c:v>604.77099500559018</c:v>
                </c:pt>
                <c:pt idx="39">
                  <c:v>251.88821556234575</c:v>
                </c:pt>
                <c:pt idx="40">
                  <c:v>1909.827611710635</c:v>
                </c:pt>
                <c:pt idx="41">
                  <c:v>5357.4903708933716</c:v>
                </c:pt>
                <c:pt idx="42">
                  <c:v>10383.506161918598</c:v>
                </c:pt>
                <c:pt idx="43">
                  <c:v>4913.8475131462556</c:v>
                </c:pt>
                <c:pt idx="44">
                  <c:v>17402.698674388368</c:v>
                </c:pt>
                <c:pt idx="45">
                  <c:v>14114.421997373165</c:v>
                </c:pt>
                <c:pt idx="46">
                  <c:v>46292.736560813282</c:v>
                </c:pt>
                <c:pt idx="47">
                  <c:v>1085.8813944409201</c:v>
                </c:pt>
                <c:pt idx="48">
                  <c:v>6355.9314560512476</c:v>
                </c:pt>
                <c:pt idx="49">
                  <c:v>4776.8421015330105</c:v>
                </c:pt>
                <c:pt idx="50">
                  <c:v>3250.7458870185928</c:v>
                </c:pt>
                <c:pt idx="51">
                  <c:v>1550.2405578416574</c:v>
                </c:pt>
                <c:pt idx="52">
                  <c:v>2949.613728722712</c:v>
                </c:pt>
                <c:pt idx="53">
                  <c:v>11594.42353057435</c:v>
                </c:pt>
                <c:pt idx="54">
                  <c:v>184.04582983990289</c:v>
                </c:pt>
                <c:pt idx="55">
                  <c:v>10369.839494653985</c:v>
                </c:pt>
                <c:pt idx="56">
                  <c:v>234.25889686975188</c:v>
                </c:pt>
                <c:pt idx="57">
                  <c:v>3523.3680912320156</c:v>
                </c:pt>
                <c:pt idx="58">
                  <c:v>38064.653322818347</c:v>
                </c:pt>
                <c:pt idx="59">
                  <c:v>33898.26965325878</c:v>
                </c:pt>
                <c:pt idx="60">
                  <c:v>6223.1452764687092</c:v>
                </c:pt>
                <c:pt idx="61">
                  <c:v>466.6529302392043</c:v>
                </c:pt>
                <c:pt idx="62">
                  <c:v>1850.8208503929698</c:v>
                </c:pt>
                <c:pt idx="63">
                  <c:v>36127.047700224583</c:v>
                </c:pt>
                <c:pt idx="64">
                  <c:v>610.18365679635724</c:v>
                </c:pt>
                <c:pt idx="65">
                  <c:v>21308.962091753539</c:v>
                </c:pt>
                <c:pt idx="66">
                  <c:v>6348.3020742390418</c:v>
                </c:pt>
                <c:pt idx="67">
                  <c:v>2270.0961392922113</c:v>
                </c:pt>
                <c:pt idx="68">
                  <c:v>300.44127805988973</c:v>
                </c:pt>
                <c:pt idx="69">
                  <c:v>412.81198676955898</c:v>
                </c:pt>
                <c:pt idx="70">
                  <c:v>1168.8991901583915</c:v>
                </c:pt>
                <c:pt idx="71">
                  <c:v>435.77035871367673</c:v>
                </c:pt>
                <c:pt idx="72">
                  <c:v>1514.9920435883439</c:v>
                </c:pt>
                <c:pt idx="73">
                  <c:v>31328.585208738998</c:v>
                </c:pt>
                <c:pt idx="74">
                  <c:v>10926.468951505391</c:v>
                </c:pt>
                <c:pt idx="75">
                  <c:v>51528.384416011126</c:v>
                </c:pt>
                <c:pt idx="76">
                  <c:v>1031.5611094455749</c:v>
                </c:pt>
                <c:pt idx="77">
                  <c:v>1570.1529365014842</c:v>
                </c:pt>
                <c:pt idx="78">
                  <c:v>3259.3987232145187</c:v>
                </c:pt>
                <c:pt idx="79">
                  <c:v>2172.6575626694016</c:v>
                </c:pt>
                <c:pt idx="80">
                  <c:v>45438.261855700264</c:v>
                </c:pt>
                <c:pt idx="81">
                  <c:v>22169.403538765182</c:v>
                </c:pt>
                <c:pt idx="82">
                  <c:v>29163.146051932734</c:v>
                </c:pt>
                <c:pt idx="83">
                  <c:v>36472.749157637452</c:v>
                </c:pt>
                <c:pt idx="84">
                  <c:v>2817.4886330764352</c:v>
                </c:pt>
                <c:pt idx="85">
                  <c:v>4732.2159481266071</c:v>
                </c:pt>
                <c:pt idx="86">
                  <c:v>575.06029636736923</c:v>
                </c:pt>
                <c:pt idx="87">
                  <c:v>1132.3733525137338</c:v>
                </c:pt>
                <c:pt idx="88">
                  <c:v>2689.8582831712979</c:v>
                </c:pt>
                <c:pt idx="89">
                  <c:v>28615.94754819524</c:v>
                </c:pt>
                <c:pt idx="90">
                  <c:v>560.91462241153135</c:v>
                </c:pt>
                <c:pt idx="91">
                  <c:v>628.83134867195929</c:v>
                </c:pt>
                <c:pt idx="92">
                  <c:v>6923.8888741529627</c:v>
                </c:pt>
                <c:pt idx="93">
                  <c:v>7083.864798023691</c:v>
                </c:pt>
                <c:pt idx="94">
                  <c:v>870.88945319002903</c:v>
                </c:pt>
                <c:pt idx="95">
                  <c:v>242.61193287110416</c:v>
                </c:pt>
                <c:pt idx="96">
                  <c:v>9099.0746013832031</c:v>
                </c:pt>
                <c:pt idx="97">
                  <c:v>8320.1703793334709</c:v>
                </c:pt>
                <c:pt idx="98">
                  <c:v>80276.011290059658</c:v>
                </c:pt>
                <c:pt idx="99">
                  <c:v>38689.01719809317</c:v>
                </c:pt>
                <c:pt idx="100">
                  <c:v>3396.7186907683758</c:v>
                </c:pt>
                <c:pt idx="101">
                  <c:v>273.22480306218836</c:v>
                </c:pt>
                <c:pt idx="102">
                  <c:v>219.15076343135976</c:v>
                </c:pt>
                <c:pt idx="103">
                  <c:v>6318.9012128220729</c:v>
                </c:pt>
                <c:pt idx="104">
                  <c:v>4663.3776529920669</c:v>
                </c:pt>
                <c:pt idx="105">
                  <c:v>498.47514810755899</c:v>
                </c:pt>
                <c:pt idx="106">
                  <c:v>15992.434998447094</c:v>
                </c:pt>
                <c:pt idx="107">
                  <c:v>2809.9512086979294</c:v>
                </c:pt>
                <c:pt idx="108">
                  <c:v>779.63628630847154</c:v>
                </c:pt>
                <c:pt idx="109">
                  <c:v>6109.775155938677</c:v>
                </c:pt>
                <c:pt idx="110">
                  <c:v>8084.6290001796442</c:v>
                </c:pt>
                <c:pt idx="111">
                  <c:v>2378.1192216459017</c:v>
                </c:pt>
                <c:pt idx="112">
                  <c:v>982.97849155955339</c:v>
                </c:pt>
                <c:pt idx="113">
                  <c:v>1273.1540641800757</c:v>
                </c:pt>
                <c:pt idx="114">
                  <c:v>4521.7958779831151</c:v>
                </c:pt>
                <c:pt idx="115">
                  <c:v>2386.7846716762692</c:v>
                </c:pt>
                <c:pt idx="116">
                  <c:v>380.84424396822391</c:v>
                </c:pt>
                <c:pt idx="117">
                  <c:v>4101.3694407822486</c:v>
                </c:pt>
                <c:pt idx="118">
                  <c:v>376.34220962776232</c:v>
                </c:pt>
                <c:pt idx="119">
                  <c:v>41110.27840287541</c:v>
                </c:pt>
                <c:pt idx="120">
                  <c:v>27483.511003152802</c:v>
                </c:pt>
                <c:pt idx="121">
                  <c:v>1230.3353843860234</c:v>
                </c:pt>
                <c:pt idx="122">
                  <c:v>275.68302744227515</c:v>
                </c:pt>
                <c:pt idx="123">
                  <c:v>995.6802013953959</c:v>
                </c:pt>
                <c:pt idx="124">
                  <c:v>64589.974659965468</c:v>
                </c:pt>
                <c:pt idx="125">
                  <c:v>14962.028989271066</c:v>
                </c:pt>
                <c:pt idx="126">
                  <c:v>748.01048783794772</c:v>
                </c:pt>
                <c:pt idx="127">
                  <c:v>8802.3265185756245</c:v>
                </c:pt>
                <c:pt idx="128">
                  <c:v>1268.9610711229307</c:v>
                </c:pt>
                <c:pt idx="129">
                  <c:v>6145.3352543359524</c:v>
                </c:pt>
                <c:pt idx="130">
                  <c:v>955.42443270518891</c:v>
                </c:pt>
                <c:pt idx="131">
                  <c:v>1725.7948003065951</c:v>
                </c:pt>
                <c:pt idx="132">
                  <c:v>3536.4885396339923</c:v>
                </c:pt>
                <c:pt idx="133">
                  <c:v>1403.3063361554944</c:v>
                </c:pt>
                <c:pt idx="134">
                  <c:v>10035.850591834826</c:v>
                </c:pt>
                <c:pt idx="135">
                  <c:v>18535.131234142536</c:v>
                </c:pt>
                <c:pt idx="136">
                  <c:v>20782.83569150712</c:v>
                </c:pt>
                <c:pt idx="137">
                  <c:v>58256.966788513462</c:v>
                </c:pt>
                <c:pt idx="138">
                  <c:v>5321.8101990424975</c:v>
                </c:pt>
                <c:pt idx="139">
                  <c:v>6385.6173068952321</c:v>
                </c:pt>
                <c:pt idx="140">
                  <c:v>349.34486347036096</c:v>
                </c:pt>
                <c:pt idx="141">
                  <c:v>942.19892453235764</c:v>
                </c:pt>
                <c:pt idx="142">
                  <c:v>10594.494056867299</c:v>
                </c:pt>
                <c:pt idx="143">
                  <c:v>6109.4882023480113</c:v>
                </c:pt>
                <c:pt idx="144">
                  <c:v>5395.7785679886438</c:v>
                </c:pt>
                <c:pt idx="145">
                  <c:v>2291.7206357476061</c:v>
                </c:pt>
                <c:pt idx="146">
                  <c:v>15994.78055746439</c:v>
                </c:pt>
                <c:pt idx="147">
                  <c:v>800.43110309607573</c:v>
                </c:pt>
                <c:pt idx="148">
                  <c:v>3823.2204030260514</c:v>
                </c:pt>
                <c:pt idx="149">
                  <c:v>12645.084724908209</c:v>
                </c:pt>
                <c:pt idx="150">
                  <c:v>370.43813687539563</c:v>
                </c:pt>
                <c:pt idx="151">
                  <c:v>34758.404334915285</c:v>
                </c:pt>
                <c:pt idx="152">
                  <c:v>14161.797545718329</c:v>
                </c:pt>
                <c:pt idx="153">
                  <c:v>19054.257484924816</c:v>
                </c:pt>
                <c:pt idx="154">
                  <c:v>992.71947650383504</c:v>
                </c:pt>
                <c:pt idx="155">
                  <c:v>5797.2434904439497</c:v>
                </c:pt>
                <c:pt idx="156">
                  <c:v>22236.187948867053</c:v>
                </c:pt>
                <c:pt idx="157">
                  <c:v>25595.990106992766</c:v>
                </c:pt>
                <c:pt idx="158">
                  <c:v>1610.0848370777339</c:v>
                </c:pt>
                <c:pt idx="159">
                  <c:v>1004.7756189466916</c:v>
                </c:pt>
                <c:pt idx="160">
                  <c:v>4169.5907084279788</c:v>
                </c:pt>
                <c:pt idx="161">
                  <c:v>2445.0802818366064</c:v>
                </c:pt>
                <c:pt idx="162">
                  <c:v>42825.675932195161</c:v>
                </c:pt>
                <c:pt idx="163">
                  <c:v>54642.81108074497</c:v>
                </c:pt>
                <c:pt idx="164">
                  <c:v>417.10605268475319</c:v>
                </c:pt>
                <c:pt idx="165">
                  <c:v>438.4920862852793</c:v>
                </c:pt>
                <c:pt idx="166">
                  <c:v>3163.9038450709104</c:v>
                </c:pt>
                <c:pt idx="167">
                  <c:v>641.4407139985351</c:v>
                </c:pt>
                <c:pt idx="168">
                  <c:v>392.85505650149429</c:v>
                </c:pt>
                <c:pt idx="169">
                  <c:v>2582.7032504784875</c:v>
                </c:pt>
                <c:pt idx="170">
                  <c:v>14297.889414135465</c:v>
                </c:pt>
                <c:pt idx="171">
                  <c:v>3861.5088997834828</c:v>
                </c:pt>
                <c:pt idx="172">
                  <c:v>7833.5285846205052</c:v>
                </c:pt>
                <c:pt idx="173">
                  <c:v>2632.4274469546981</c:v>
                </c:pt>
                <c:pt idx="174">
                  <c:v>2423.2614862357495</c:v>
                </c:pt>
                <c:pt idx="175">
                  <c:v>393.14887775627386</c:v>
                </c:pt>
                <c:pt idx="176">
                  <c:v>1974.6211818802449</c:v>
                </c:pt>
                <c:pt idx="177">
                  <c:v>24219.297645532275</c:v>
                </c:pt>
                <c:pt idx="178">
                  <c:v>37899.295520911917</c:v>
                </c:pt>
                <c:pt idx="179">
                  <c:v>43952.446494287382</c:v>
                </c:pt>
                <c:pt idx="180">
                  <c:v>6791.0504176996537</c:v>
                </c:pt>
                <c:pt idx="181">
                  <c:v>752.42831016735465</c:v>
                </c:pt>
                <c:pt idx="182">
                  <c:v>2131.0935359039281</c:v>
                </c:pt>
                <c:pt idx="183">
                  <c:v>6010.0797889966334</c:v>
                </c:pt>
                <c:pt idx="184">
                  <c:v>900.49369266691042</c:v>
                </c:pt>
                <c:pt idx="185">
                  <c:v>878.13958248017809</c:v>
                </c:pt>
                <c:pt idx="186">
                  <c:v>741.44209139426641</c:v>
                </c:pt>
                <c:pt idx="187">
                  <c:v>397.82159673579832</c:v>
                </c:pt>
              </c:numCache>
            </c:numRef>
          </c:xVal>
          <c:yVal>
            <c:numRef>
              <c:f>country!$N$3:$N$190</c:f>
              <c:numCache>
                <c:formatCode>0.0</c:formatCode>
                <c:ptCount val="188"/>
                <c:pt idx="0">
                  <c:v>-8.7030729959466857</c:v>
                </c:pt>
                <c:pt idx="1">
                  <c:v>-4.3931142467177722</c:v>
                </c:pt>
                <c:pt idx="2">
                  <c:v>-9.5051321960945998</c:v>
                </c:pt>
                <c:pt idx="3">
                  <c:v>-9.3908404652708111</c:v>
                </c:pt>
                <c:pt idx="4">
                  <c:v>-8.8805928602644837</c:v>
                </c:pt>
                <c:pt idx="5">
                  <c:v>-4.6422624579257805</c:v>
                </c:pt>
                <c:pt idx="6">
                  <c:v>-3.3610570562054134</c:v>
                </c:pt>
                <c:pt idx="7">
                  <c:v>-4.9983956862366643</c:v>
                </c:pt>
                <c:pt idx="8">
                  <c:v>1.982628388478733</c:v>
                </c:pt>
                <c:pt idx="9">
                  <c:v>-4.7604312206829258</c:v>
                </c:pt>
                <c:pt idx="10">
                  <c:v>-7.3445352685387952</c:v>
                </c:pt>
                <c:pt idx="11">
                  <c:v>-8.75984629328706</c:v>
                </c:pt>
                <c:pt idx="12">
                  <c:v>-13.588902625765336</c:v>
                </c:pt>
                <c:pt idx="13">
                  <c:v>-8.5196476386069477</c:v>
                </c:pt>
                <c:pt idx="14">
                  <c:v>-1.5825922782995818</c:v>
                </c:pt>
                <c:pt idx="15">
                  <c:v>0.41121426930730531</c:v>
                </c:pt>
                <c:pt idx="16">
                  <c:v>-10.298668154725755</c:v>
                </c:pt>
                <c:pt idx="17">
                  <c:v>-14.676303245086567</c:v>
                </c:pt>
                <c:pt idx="18">
                  <c:v>-3.6062201937020273</c:v>
                </c:pt>
                <c:pt idx="19">
                  <c:v>-3.6730985845785291</c:v>
                </c:pt>
                <c:pt idx="20">
                  <c:v>-10.707354195501219</c:v>
                </c:pt>
                <c:pt idx="21">
                  <c:v>-3.7133263953766082</c:v>
                </c:pt>
                <c:pt idx="22">
                  <c:v>-7.9283739664116251</c:v>
                </c:pt>
                <c:pt idx="23">
                  <c:v>-9.6058320557725416</c:v>
                </c:pt>
                <c:pt idx="24">
                  <c:v>-8.0223127486970682</c:v>
                </c:pt>
                <c:pt idx="25">
                  <c:v>-3.5666696227187185</c:v>
                </c:pt>
                <c:pt idx="26">
                  <c:v>-15.300759383274706</c:v>
                </c:pt>
                <c:pt idx="27">
                  <c:v>-13.35316229387262</c:v>
                </c:pt>
                <c:pt idx="28">
                  <c:v>-13.206477882948194</c:v>
                </c:pt>
                <c:pt idx="29">
                  <c:v>-14.201903966227993</c:v>
                </c:pt>
                <c:pt idx="30">
                  <c:v>-12.490769284347017</c:v>
                </c:pt>
                <c:pt idx="31">
                  <c:v>7.1193798483696042</c:v>
                </c:pt>
                <c:pt idx="32">
                  <c:v>-10.151765744749229</c:v>
                </c:pt>
                <c:pt idx="33">
                  <c:v>-13.901724590260841</c:v>
                </c:pt>
                <c:pt idx="34">
                  <c:v>-13.778183435063328</c:v>
                </c:pt>
                <c:pt idx="35">
                  <c:v>-1.5336863416526028</c:v>
                </c:pt>
                <c:pt idx="36">
                  <c:v>-2.6620102076749639</c:v>
                </c:pt>
                <c:pt idx="37">
                  <c:v>-10.023581825762429</c:v>
                </c:pt>
                <c:pt idx="38">
                  <c:v>-13.664845116668387</c:v>
                </c:pt>
                <c:pt idx="39">
                  <c:v>-14.41893255052087</c:v>
                </c:pt>
                <c:pt idx="40">
                  <c:v>-11.239425929203009</c:v>
                </c:pt>
                <c:pt idx="41">
                  <c:v>-9.6408588344027351</c:v>
                </c:pt>
                <c:pt idx="42">
                  <c:v>-2.2953201162743531</c:v>
                </c:pt>
                <c:pt idx="43">
                  <c:v>-9.9654807128137435</c:v>
                </c:pt>
                <c:pt idx="44">
                  <c:v>-4.7911584330318959</c:v>
                </c:pt>
                <c:pt idx="45">
                  <c:v>-0.25474055381616112</c:v>
                </c:pt>
                <c:pt idx="46">
                  <c:v>1.7409926539734693</c:v>
                </c:pt>
                <c:pt idx="47">
                  <c:v>-13.757745746026977</c:v>
                </c:pt>
                <c:pt idx="48">
                  <c:v>-8.2325530203447244</c:v>
                </c:pt>
                <c:pt idx="49">
                  <c:v>-9.6990653561815527</c:v>
                </c:pt>
                <c:pt idx="50">
                  <c:v>-9.1349065306859369</c:v>
                </c:pt>
                <c:pt idx="51">
                  <c:v>-10.51359934873541</c:v>
                </c:pt>
                <c:pt idx="52">
                  <c:v>-10.464256967098899</c:v>
                </c:pt>
                <c:pt idx="53">
                  <c:v>-8.2091482581266302</c:v>
                </c:pt>
                <c:pt idx="54">
                  <c:v>-15.618885453700832</c:v>
                </c:pt>
                <c:pt idx="55">
                  <c:v>0.30358135143954423</c:v>
                </c:pt>
                <c:pt idx="56">
                  <c:v>-13.73360366684371</c:v>
                </c:pt>
                <c:pt idx="57">
                  <c:v>-10.165611142544879</c:v>
                </c:pt>
                <c:pt idx="58">
                  <c:v>4.0132917147457023</c:v>
                </c:pt>
                <c:pt idx="59">
                  <c:v>-0.21769383553694088</c:v>
                </c:pt>
                <c:pt idx="60">
                  <c:v>-9.4788909177372247</c:v>
                </c:pt>
                <c:pt idx="61">
                  <c:v>-14.952552407152282</c:v>
                </c:pt>
                <c:pt idx="62">
                  <c:v>-2.9058056008680673</c:v>
                </c:pt>
                <c:pt idx="63">
                  <c:v>0.920774738526146</c:v>
                </c:pt>
                <c:pt idx="64">
                  <c:v>-14.367423039160807</c:v>
                </c:pt>
                <c:pt idx="65">
                  <c:v>-3.1055077927263417</c:v>
                </c:pt>
                <c:pt idx="66">
                  <c:v>-10.162983482296305</c:v>
                </c:pt>
                <c:pt idx="67">
                  <c:v>-10.455755382647279</c:v>
                </c:pt>
                <c:pt idx="68">
                  <c:v>-14.885162707673272</c:v>
                </c:pt>
                <c:pt idx="69">
                  <c:v>-14.799760898722798</c:v>
                </c:pt>
                <c:pt idx="70">
                  <c:v>-12.692181135224542</c:v>
                </c:pt>
                <c:pt idx="71">
                  <c:v>-13.85673343593316</c:v>
                </c:pt>
                <c:pt idx="72">
                  <c:v>-11.180099261634762</c:v>
                </c:pt>
                <c:pt idx="73">
                  <c:v>-5.7317658710928843</c:v>
                </c:pt>
                <c:pt idx="74">
                  <c:v>-1.716365703960083</c:v>
                </c:pt>
                <c:pt idx="75">
                  <c:v>4.5221377556782993</c:v>
                </c:pt>
                <c:pt idx="76">
                  <c:v>-11.915559551167451</c:v>
                </c:pt>
                <c:pt idx="77">
                  <c:v>-12.151486581566218</c:v>
                </c:pt>
                <c:pt idx="78">
                  <c:v>-7.0674872890517078</c:v>
                </c:pt>
                <c:pt idx="79">
                  <c:v>-9.6325320120075659</c:v>
                </c:pt>
                <c:pt idx="80">
                  <c:v>0.90244701960256246</c:v>
                </c:pt>
                <c:pt idx="81">
                  <c:v>-4.7431744420982316</c:v>
                </c:pt>
                <c:pt idx="82">
                  <c:v>-1.681358773798568</c:v>
                </c:pt>
                <c:pt idx="83">
                  <c:v>-0.27408728953932582</c:v>
                </c:pt>
                <c:pt idx="84">
                  <c:v>-7.8056033179697639</c:v>
                </c:pt>
                <c:pt idx="85">
                  <c:v>-1.5975651739027252</c:v>
                </c:pt>
                <c:pt idx="86">
                  <c:v>-13.345864440265016</c:v>
                </c:pt>
                <c:pt idx="87">
                  <c:v>-13.776998659200967</c:v>
                </c:pt>
                <c:pt idx="88">
                  <c:v>-4.116362323892214</c:v>
                </c:pt>
                <c:pt idx="89">
                  <c:v>-7.0499538758567653</c:v>
                </c:pt>
                <c:pt idx="90">
                  <c:v>-3.0281012745048352</c:v>
                </c:pt>
                <c:pt idx="91">
                  <c:v>-12.298737499323876</c:v>
                </c:pt>
                <c:pt idx="92">
                  <c:v>-0.5993297194336995</c:v>
                </c:pt>
                <c:pt idx="93">
                  <c:v>-5.4044046846804097</c:v>
                </c:pt>
                <c:pt idx="94">
                  <c:v>-6.8632726284289669</c:v>
                </c:pt>
                <c:pt idx="95">
                  <c:v>-15.064986155293662</c:v>
                </c:pt>
                <c:pt idx="96">
                  <c:v>-7.4054861327745289</c:v>
                </c:pt>
                <c:pt idx="97">
                  <c:v>-0.55974729759385444</c:v>
                </c:pt>
                <c:pt idx="98">
                  <c:v>2.1277627439860156</c:v>
                </c:pt>
                <c:pt idx="99">
                  <c:v>-5.4220466579446445</c:v>
                </c:pt>
                <c:pt idx="100">
                  <c:v>-3.6794866327325675</c:v>
                </c:pt>
                <c:pt idx="101">
                  <c:v>-13.654460297523732</c:v>
                </c:pt>
                <c:pt idx="102">
                  <c:v>-13.711077810397862</c:v>
                </c:pt>
                <c:pt idx="103">
                  <c:v>-9.6326215060885261</c:v>
                </c:pt>
                <c:pt idx="104">
                  <c:v>-11.129707860432106</c:v>
                </c:pt>
                <c:pt idx="105">
                  <c:v>-15.155640008780717</c:v>
                </c:pt>
                <c:pt idx="106">
                  <c:v>-5.2919265275797631</c:v>
                </c:pt>
                <c:pt idx="107">
                  <c:v>-11.891163085992337</c:v>
                </c:pt>
                <c:pt idx="108">
                  <c:v>-14.135045336745158</c:v>
                </c:pt>
                <c:pt idx="109">
                  <c:v>-8.3437655804663287</c:v>
                </c:pt>
                <c:pt idx="110">
                  <c:v>-7.2453261840391772</c:v>
                </c:pt>
                <c:pt idx="111">
                  <c:v>-12.261211800953582</c:v>
                </c:pt>
                <c:pt idx="112">
                  <c:v>-5.5835227238719867</c:v>
                </c:pt>
                <c:pt idx="113">
                  <c:v>-0.61938377208077866</c:v>
                </c:pt>
                <c:pt idx="114">
                  <c:v>-3.2436264297544204</c:v>
                </c:pt>
                <c:pt idx="115">
                  <c:v>-7.5461865373593024</c:v>
                </c:pt>
                <c:pt idx="116">
                  <c:v>-13.634631596011777</c:v>
                </c:pt>
                <c:pt idx="117">
                  <c:v>-7.8922752760072878</c:v>
                </c:pt>
                <c:pt idx="118">
                  <c:v>-6.6136644175398871</c:v>
                </c:pt>
                <c:pt idx="119">
                  <c:v>0.77911093265522857</c:v>
                </c:pt>
                <c:pt idx="120">
                  <c:v>-0.48047090122230451</c:v>
                </c:pt>
                <c:pt idx="121">
                  <c:v>-12.112798653911412</c:v>
                </c:pt>
                <c:pt idx="122">
                  <c:v>-15.657516919216095</c:v>
                </c:pt>
                <c:pt idx="123">
                  <c:v>-13.365293903275786</c:v>
                </c:pt>
                <c:pt idx="124">
                  <c:v>4.99143514915382</c:v>
                </c:pt>
                <c:pt idx="125">
                  <c:v>-8.2740240611426206</c:v>
                </c:pt>
                <c:pt idx="126">
                  <c:v>-10.885960493579331</c:v>
                </c:pt>
                <c:pt idx="127">
                  <c:v>-10.062310671943058</c:v>
                </c:pt>
                <c:pt idx="128">
                  <c:v>-9.5494396913349853</c:v>
                </c:pt>
                <c:pt idx="129">
                  <c:v>-9.6794187747020963</c:v>
                </c:pt>
                <c:pt idx="130">
                  <c:v>-12.717088124706027</c:v>
                </c:pt>
                <c:pt idx="131">
                  <c:v>-10.961205684912507</c:v>
                </c:pt>
                <c:pt idx="132">
                  <c:v>-8.0067195352715625</c:v>
                </c:pt>
                <c:pt idx="133">
                  <c:v>-12.340244574527738</c:v>
                </c:pt>
                <c:pt idx="134">
                  <c:v>-0.96228863270174059</c:v>
                </c:pt>
                <c:pt idx="135">
                  <c:v>-3.2052891815665472</c:v>
                </c:pt>
                <c:pt idx="136">
                  <c:v>-7.5424999481446822</c:v>
                </c:pt>
                <c:pt idx="137">
                  <c:v>-6.7075825970332179</c:v>
                </c:pt>
                <c:pt idx="138">
                  <c:v>-2.4765982372129791</c:v>
                </c:pt>
                <c:pt idx="139">
                  <c:v>4.0632994560838567</c:v>
                </c:pt>
                <c:pt idx="140">
                  <c:v>-11.13372443964094</c:v>
                </c:pt>
                <c:pt idx="141">
                  <c:v>-12.067806990402406</c:v>
                </c:pt>
                <c:pt idx="142">
                  <c:v>-8.31583928690352</c:v>
                </c:pt>
                <c:pt idx="143">
                  <c:v>-9.7340952955823266</c:v>
                </c:pt>
                <c:pt idx="144">
                  <c:v>-10.480982838725796</c:v>
                </c:pt>
                <c:pt idx="145">
                  <c:v>-11.919770178661656</c:v>
                </c:pt>
                <c:pt idx="146">
                  <c:v>-7.7134073146516613</c:v>
                </c:pt>
                <c:pt idx="147">
                  <c:v>-14.18051085281258</c:v>
                </c:pt>
                <c:pt idx="148">
                  <c:v>-3.5255927664646807</c:v>
                </c:pt>
                <c:pt idx="149">
                  <c:v>-9.2294163708325847</c:v>
                </c:pt>
                <c:pt idx="150">
                  <c:v>-14.667809774615094</c:v>
                </c:pt>
                <c:pt idx="151">
                  <c:v>-7.2165397016166111</c:v>
                </c:pt>
                <c:pt idx="152">
                  <c:v>6.4817285717646778E-2</c:v>
                </c:pt>
                <c:pt idx="153">
                  <c:v>-0.3783757293056913</c:v>
                </c:pt>
                <c:pt idx="154">
                  <c:v>-12.832135968586941</c:v>
                </c:pt>
                <c:pt idx="155">
                  <c:v>-6.3690362874757147</c:v>
                </c:pt>
                <c:pt idx="156">
                  <c:v>-1.2849168876504946</c:v>
                </c:pt>
                <c:pt idx="157">
                  <c:v>-1.8557291201012858</c:v>
                </c:pt>
                <c:pt idx="158">
                  <c:v>-12.602604847983459</c:v>
                </c:pt>
                <c:pt idx="159">
                  <c:v>-13.350015068646627</c:v>
                </c:pt>
                <c:pt idx="160">
                  <c:v>-10.465671332876834</c:v>
                </c:pt>
                <c:pt idx="161">
                  <c:v>-9.434054087292111</c:v>
                </c:pt>
                <c:pt idx="162">
                  <c:v>4.0319201371826292</c:v>
                </c:pt>
                <c:pt idx="163">
                  <c:v>2.9165622303446499</c:v>
                </c:pt>
                <c:pt idx="164">
                  <c:v>-3.7052140471306885</c:v>
                </c:pt>
                <c:pt idx="165">
                  <c:v>-12.725101843574613</c:v>
                </c:pt>
                <c:pt idx="166">
                  <c:v>-11.198508945505274</c:v>
                </c:pt>
                <c:pt idx="167">
                  <c:v>-13.655629968853178</c:v>
                </c:pt>
                <c:pt idx="168">
                  <c:v>-15.062405059141707</c:v>
                </c:pt>
                <c:pt idx="169">
                  <c:v>-11.046226431759409</c:v>
                </c:pt>
                <c:pt idx="170">
                  <c:v>-8.3951585413827701</c:v>
                </c:pt>
                <c:pt idx="171">
                  <c:v>-7.6796020269340648</c:v>
                </c:pt>
                <c:pt idx="172">
                  <c:v>-2.8585062082946848</c:v>
                </c:pt>
                <c:pt idx="173">
                  <c:v>-6.4846583929624657</c:v>
                </c:pt>
                <c:pt idx="174">
                  <c:v>-12.409003622861359</c:v>
                </c:pt>
                <c:pt idx="175">
                  <c:v>-13.132736478575753</c:v>
                </c:pt>
                <c:pt idx="176">
                  <c:v>-3.9181864900082921</c:v>
                </c:pt>
                <c:pt idx="177">
                  <c:v>-8.0926327496947312</c:v>
                </c:pt>
                <c:pt idx="178">
                  <c:v>1.0012411640248271</c:v>
                </c:pt>
                <c:pt idx="179">
                  <c:v>1.2053607642940773</c:v>
                </c:pt>
                <c:pt idx="180">
                  <c:v>-5.9686478761716844</c:v>
                </c:pt>
                <c:pt idx="181">
                  <c:v>-7.2434754003682666</c:v>
                </c:pt>
                <c:pt idx="182">
                  <c:v>-10.831003507057867</c:v>
                </c:pt>
                <c:pt idx="183">
                  <c:v>-9.671965509112006</c:v>
                </c:pt>
                <c:pt idx="184">
                  <c:v>-12.457803182126748</c:v>
                </c:pt>
                <c:pt idx="185">
                  <c:v>-12.230958831656496</c:v>
                </c:pt>
                <c:pt idx="186">
                  <c:v>-11.438941440077949</c:v>
                </c:pt>
                <c:pt idx="187">
                  <c:v>-12.305641907741744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6-452C-8910-D6679534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80328"/>
        <c:axId val="551280720"/>
      </c:scatterChart>
      <c:valAx>
        <c:axId val="55128032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Income (in 2005 dollar per person per year)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51280720"/>
        <c:crosses val="autoZero"/>
        <c:crossBetween val="midCat"/>
      </c:valAx>
      <c:valAx>
        <c:axId val="551280720"/>
        <c:scaling>
          <c:orientation val="minMax"/>
          <c:max val="1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Welfare-equivalent income change (in percent)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51280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537447483391089E-2"/>
          <c:y val="2.8982123557743288E-2"/>
          <c:w val="0.9175154147826855"/>
          <c:h val="0.903267457735843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errBars>
            <c:errDir val="y"/>
            <c:errBarType val="both"/>
            <c:errValType val="cust"/>
            <c:noEndCap val="1"/>
            <c:plus>
              <c:numRef>
                <c:f>country!$O$3:$O$190</c:f>
                <c:numCache>
                  <c:formatCode>General</c:formatCode>
                  <c:ptCount val="188"/>
                  <c:pt idx="0">
                    <c:v>3.096064451111721</c:v>
                  </c:pt>
                  <c:pt idx="1">
                    <c:v>3.1476333816942783</c:v>
                  </c:pt>
                  <c:pt idx="2">
                    <c:v>2.3605460842533423</c:v>
                  </c:pt>
                  <c:pt idx="3">
                    <c:v>2.9171998047435075</c:v>
                  </c:pt>
                  <c:pt idx="4">
                    <c:v>2.2389930977676742</c:v>
                  </c:pt>
                  <c:pt idx="5">
                    <c:v>2.3707856322291589</c:v>
                  </c:pt>
                  <c:pt idx="6">
                    <c:v>3.3374758260599888</c:v>
                  </c:pt>
                  <c:pt idx="7">
                    <c:v>2.9697246801058581</c:v>
                  </c:pt>
                  <c:pt idx="8">
                    <c:v>1.3911495358353911</c:v>
                  </c:pt>
                  <c:pt idx="9">
                    <c:v>3.3374758260599875</c:v>
                  </c:pt>
                  <c:pt idx="10">
                    <c:v>2.4830845041512104</c:v>
                  </c:pt>
                  <c:pt idx="11">
                    <c:v>2.3788817405873082</c:v>
                  </c:pt>
                  <c:pt idx="12">
                    <c:v>3.9376964529861587</c:v>
                  </c:pt>
                  <c:pt idx="13">
                    <c:v>2.3236527196621259</c:v>
                  </c:pt>
                  <c:pt idx="14">
                    <c:v>2.0112086293259952</c:v>
                  </c:pt>
                  <c:pt idx="15">
                    <c:v>1.8434086945480375</c:v>
                  </c:pt>
                  <c:pt idx="16">
                    <c:v>2.3057019607949445</c:v>
                  </c:pt>
                  <c:pt idx="17">
                    <c:v>3.1764823711394605</c:v>
                  </c:pt>
                  <c:pt idx="18">
                    <c:v>2.4557757169543919</c:v>
                  </c:pt>
                  <c:pt idx="19">
                    <c:v>3.0960644511117201</c:v>
                  </c:pt>
                  <c:pt idx="20">
                    <c:v>2.727767482090937</c:v>
                  </c:pt>
                  <c:pt idx="21">
                    <c:v>2.4620460994655313</c:v>
                  </c:pt>
                  <c:pt idx="22">
                    <c:v>2.9798259748711931</c:v>
                  </c:pt>
                  <c:pt idx="23">
                    <c:v>2.3981349442614595</c:v>
                  </c:pt>
                  <c:pt idx="24">
                    <c:v>2.7020874388949085</c:v>
                  </c:pt>
                  <c:pt idx="25">
                    <c:v>2.4620460994655309</c:v>
                  </c:pt>
                  <c:pt idx="26">
                    <c:v>2.9171998047435075</c:v>
                  </c:pt>
                  <c:pt idx="27">
                    <c:v>2.9171998047435035</c:v>
                  </c:pt>
                  <c:pt idx="28">
                    <c:v>3.548550114522262</c:v>
                  </c:pt>
                  <c:pt idx="29">
                    <c:v>3.0960644511117192</c:v>
                  </c:pt>
                  <c:pt idx="30">
                    <c:v>3.9405306384951535</c:v>
                  </c:pt>
                  <c:pt idx="31">
                    <c:v>2.4255697386790742</c:v>
                  </c:pt>
                  <c:pt idx="32">
                    <c:v>2.9171998047435075</c:v>
                  </c:pt>
                  <c:pt idx="33">
                    <c:v>2.9171998047435035</c:v>
                  </c:pt>
                  <c:pt idx="34">
                    <c:v>2.9171998047435075</c:v>
                  </c:pt>
                  <c:pt idx="35">
                    <c:v>4.5213395627550339</c:v>
                  </c:pt>
                  <c:pt idx="36">
                    <c:v>2.3934605509118891</c:v>
                  </c:pt>
                  <c:pt idx="37">
                    <c:v>2.3057019607949423</c:v>
                  </c:pt>
                  <c:pt idx="38">
                    <c:v>2.9171998047435035</c:v>
                  </c:pt>
                  <c:pt idx="39">
                    <c:v>2.9171998047435035</c:v>
                  </c:pt>
                  <c:pt idx="40">
                    <c:v>3.2343483728058997</c:v>
                  </c:pt>
                  <c:pt idx="41">
                    <c:v>2.4154495694110589</c:v>
                  </c:pt>
                  <c:pt idx="42">
                    <c:v>2.4620460994655304</c:v>
                  </c:pt>
                  <c:pt idx="43">
                    <c:v>2.3057019607949472</c:v>
                  </c:pt>
                  <c:pt idx="44">
                    <c:v>2.5338229061816522</c:v>
                  </c:pt>
                  <c:pt idx="45">
                    <c:v>2.4620460994655309</c:v>
                  </c:pt>
                  <c:pt idx="46">
                    <c:v>1.5406396380680412</c:v>
                  </c:pt>
                  <c:pt idx="47">
                    <c:v>2.9171998047435035</c:v>
                  </c:pt>
                  <c:pt idx="48">
                    <c:v>2.5866005819324087</c:v>
                  </c:pt>
                  <c:pt idx="49">
                    <c:v>2.3057019607949458</c:v>
                  </c:pt>
                  <c:pt idx="50">
                    <c:v>19.731726964060588</c:v>
                  </c:pt>
                  <c:pt idx="51">
                    <c:v>3.0944090495603485</c:v>
                  </c:pt>
                  <c:pt idx="52">
                    <c:v>2.7922391638830044</c:v>
                  </c:pt>
                  <c:pt idx="53">
                    <c:v>2.9171998047435053</c:v>
                  </c:pt>
                  <c:pt idx="54">
                    <c:v>2.9171998047434995</c:v>
                  </c:pt>
                  <c:pt idx="55">
                    <c:v>2.0112086293259948</c:v>
                  </c:pt>
                  <c:pt idx="56">
                    <c:v>2.917199804743515</c:v>
                  </c:pt>
                  <c:pt idx="57">
                    <c:v>2.6356584205276192</c:v>
                  </c:pt>
                  <c:pt idx="58">
                    <c:v>1.381399056815046</c:v>
                  </c:pt>
                  <c:pt idx="59">
                    <c:v>1.695351882191616</c:v>
                  </c:pt>
                  <c:pt idx="60">
                    <c:v>2.2593141561607952</c:v>
                  </c:pt>
                  <c:pt idx="61">
                    <c:v>2.9171998047435115</c:v>
                  </c:pt>
                  <c:pt idx="62">
                    <c:v>3.3374758260599888</c:v>
                  </c:pt>
                  <c:pt idx="63">
                    <c:v>1.5160116108055857</c:v>
                  </c:pt>
                  <c:pt idx="64">
                    <c:v>2.9171998047435035</c:v>
                  </c:pt>
                  <c:pt idx="65">
                    <c:v>1.8468122432841849</c:v>
                  </c:pt>
                  <c:pt idx="66">
                    <c:v>2.6784210083906315</c:v>
                  </c:pt>
                  <c:pt idx="67">
                    <c:v>2.9527425244242909</c:v>
                  </c:pt>
                  <c:pt idx="68">
                    <c:v>2.9171998047434995</c:v>
                  </c:pt>
                  <c:pt idx="69">
                    <c:v>2.917199804743515</c:v>
                  </c:pt>
                  <c:pt idx="70">
                    <c:v>2.727767482090941</c:v>
                  </c:pt>
                  <c:pt idx="71">
                    <c:v>2.727767482090941</c:v>
                  </c:pt>
                  <c:pt idx="72">
                    <c:v>3.8628217621901717</c:v>
                  </c:pt>
                  <c:pt idx="73">
                    <c:v>3.0127487087490623</c:v>
                  </c:pt>
                  <c:pt idx="74">
                    <c:v>2.4959395774745241</c:v>
                  </c:pt>
                  <c:pt idx="75">
                    <c:v>2.1545550665241286</c:v>
                  </c:pt>
                  <c:pt idx="76">
                    <c:v>2.9197086658682094</c:v>
                  </c:pt>
                  <c:pt idx="77">
                    <c:v>3.930734092241412</c:v>
                  </c:pt>
                  <c:pt idx="78">
                    <c:v>2.6179590443348517</c:v>
                  </c:pt>
                  <c:pt idx="79">
                    <c:v>2.7815255605332143</c:v>
                  </c:pt>
                  <c:pt idx="80">
                    <c:v>2.1295279710327701</c:v>
                  </c:pt>
                  <c:pt idx="81">
                    <c:v>2.6771154548385989</c:v>
                  </c:pt>
                  <c:pt idx="82">
                    <c:v>1.7068633054618052</c:v>
                  </c:pt>
                  <c:pt idx="83">
                    <c:v>1.5981174014286372</c:v>
                  </c:pt>
                  <c:pt idx="84">
                    <c:v>2.7815255605332165</c:v>
                  </c:pt>
                  <c:pt idx="85">
                    <c:v>2.5942528453213334</c:v>
                  </c:pt>
                  <c:pt idx="86">
                    <c:v>2.9183736875593245</c:v>
                  </c:pt>
                  <c:pt idx="87">
                    <c:v>3.0960644511117268</c:v>
                  </c:pt>
                  <c:pt idx="88">
                    <c:v>2.46204609946553</c:v>
                  </c:pt>
                  <c:pt idx="89">
                    <c:v>2.3788817405873104</c:v>
                  </c:pt>
                  <c:pt idx="90">
                    <c:v>3.3374758260599884</c:v>
                  </c:pt>
                  <c:pt idx="91">
                    <c:v>3.096064451111721</c:v>
                  </c:pt>
                  <c:pt idx="92">
                    <c:v>2.0112086293259952</c:v>
                  </c:pt>
                  <c:pt idx="93">
                    <c:v>2.7815255605332156</c:v>
                  </c:pt>
                  <c:pt idx="94">
                    <c:v>2.9171998047435053</c:v>
                  </c:pt>
                  <c:pt idx="95">
                    <c:v>2.9171998047434955</c:v>
                  </c:pt>
                  <c:pt idx="96">
                    <c:v>2.4262716942031202</c:v>
                  </c:pt>
                  <c:pt idx="97">
                    <c:v>2.0112086293259952</c:v>
                  </c:pt>
                  <c:pt idx="98">
                    <c:v>1.5020924764172037</c:v>
                  </c:pt>
                  <c:pt idx="99">
                    <c:v>2.8276460270885155</c:v>
                  </c:pt>
                  <c:pt idx="100">
                    <c:v>2.4620460994655309</c:v>
                  </c:pt>
                  <c:pt idx="101">
                    <c:v>3.8730702025457613</c:v>
                  </c:pt>
                  <c:pt idx="102">
                    <c:v>2.9776859393313777</c:v>
                  </c:pt>
                  <c:pt idx="103">
                    <c:v>3.3278828361347714</c:v>
                  </c:pt>
                  <c:pt idx="104">
                    <c:v>3.096064451111721</c:v>
                  </c:pt>
                  <c:pt idx="105">
                    <c:v>3.6095569036463595</c:v>
                  </c:pt>
                  <c:pt idx="106">
                    <c:v>2.2333091969136367</c:v>
                  </c:pt>
                  <c:pt idx="107">
                    <c:v>2.6356584205276108</c:v>
                  </c:pt>
                  <c:pt idx="108">
                    <c:v>2.9171998047434995</c:v>
                  </c:pt>
                  <c:pt idx="109">
                    <c:v>2.3699937682312884</c:v>
                  </c:pt>
                  <c:pt idx="110">
                    <c:v>3.3320035304805122</c:v>
                  </c:pt>
                  <c:pt idx="111">
                    <c:v>2.6356584205276152</c:v>
                  </c:pt>
                  <c:pt idx="112">
                    <c:v>2.0112086293259979</c:v>
                  </c:pt>
                  <c:pt idx="113">
                    <c:v>3.5272638194911585</c:v>
                  </c:pt>
                  <c:pt idx="114">
                    <c:v>2.4620460994655304</c:v>
                  </c:pt>
                  <c:pt idx="115">
                    <c:v>2.3961021317285933</c:v>
                  </c:pt>
                  <c:pt idx="116">
                    <c:v>2.9171998047435075</c:v>
                  </c:pt>
                  <c:pt idx="117">
                    <c:v>2.360546084253345</c:v>
                  </c:pt>
                  <c:pt idx="118">
                    <c:v>3.1479575163122773</c:v>
                  </c:pt>
                  <c:pt idx="119">
                    <c:v>1.7705067439704976</c:v>
                  </c:pt>
                  <c:pt idx="120">
                    <c:v>2.1414475174265042</c:v>
                  </c:pt>
                  <c:pt idx="121">
                    <c:v>2.727767482090941</c:v>
                  </c:pt>
                  <c:pt idx="122">
                    <c:v>2.9171998047435075</c:v>
                  </c:pt>
                  <c:pt idx="123">
                    <c:v>3.5244750323989709</c:v>
                  </c:pt>
                  <c:pt idx="124">
                    <c:v>2.2309571756180846</c:v>
                  </c:pt>
                  <c:pt idx="125">
                    <c:v>2.3788817405873095</c:v>
                  </c:pt>
                  <c:pt idx="126">
                    <c:v>3.3147848814264407</c:v>
                  </c:pt>
                  <c:pt idx="127">
                    <c:v>2.6447940365986797</c:v>
                  </c:pt>
                  <c:pt idx="128">
                    <c:v>2.7815255605332143</c:v>
                  </c:pt>
                  <c:pt idx="129">
                    <c:v>2.7446144530034906</c:v>
                  </c:pt>
                  <c:pt idx="130">
                    <c:v>2.635658420527617</c:v>
                  </c:pt>
                  <c:pt idx="131">
                    <c:v>2.9347497378814333</c:v>
                  </c:pt>
                  <c:pt idx="132">
                    <c:v>2.8878342086775182</c:v>
                  </c:pt>
                  <c:pt idx="133">
                    <c:v>3.9849786187848948</c:v>
                  </c:pt>
                  <c:pt idx="134">
                    <c:v>2.5071193518350516</c:v>
                  </c:pt>
                  <c:pt idx="135">
                    <c:v>2.4708764076672383</c:v>
                  </c:pt>
                  <c:pt idx="136">
                    <c:v>2.2389930977676746</c:v>
                  </c:pt>
                  <c:pt idx="137">
                    <c:v>2.3788817405873099</c:v>
                  </c:pt>
                  <c:pt idx="138">
                    <c:v>2.5163797867471045</c:v>
                  </c:pt>
                  <c:pt idx="139">
                    <c:v>2.156392057058679</c:v>
                  </c:pt>
                  <c:pt idx="140">
                    <c:v>5.4242947257573384</c:v>
                  </c:pt>
                  <c:pt idx="141">
                    <c:v>2.8294479745726338</c:v>
                  </c:pt>
                  <c:pt idx="142">
                    <c:v>2.2389930977676755</c:v>
                  </c:pt>
                  <c:pt idx="143">
                    <c:v>2.6626054889199859</c:v>
                  </c:pt>
                  <c:pt idx="144">
                    <c:v>2.3057019607949494</c:v>
                  </c:pt>
                  <c:pt idx="145">
                    <c:v>2.6447940365986797</c:v>
                  </c:pt>
                  <c:pt idx="146">
                    <c:v>2.3788817405873095</c:v>
                  </c:pt>
                  <c:pt idx="147">
                    <c:v>6.0345970742451218</c:v>
                  </c:pt>
                  <c:pt idx="148">
                    <c:v>2.5569286635580344</c:v>
                  </c:pt>
                  <c:pt idx="149">
                    <c:v>2.5238382245501425</c:v>
                  </c:pt>
                  <c:pt idx="150">
                    <c:v>3.976622393142824</c:v>
                  </c:pt>
                  <c:pt idx="151">
                    <c:v>2.6200538171375021</c:v>
                  </c:pt>
                  <c:pt idx="152">
                    <c:v>2.4620460994655309</c:v>
                  </c:pt>
                  <c:pt idx="153">
                    <c:v>2.4620460994655304</c:v>
                  </c:pt>
                  <c:pt idx="154">
                    <c:v>3.0960644511117157</c:v>
                  </c:pt>
                  <c:pt idx="155">
                    <c:v>2.3605460842533423</c:v>
                  </c:pt>
                  <c:pt idx="156">
                    <c:v>2.5246101413941484</c:v>
                  </c:pt>
                  <c:pt idx="157">
                    <c:v>1.8165982698129328</c:v>
                  </c:pt>
                  <c:pt idx="158">
                    <c:v>4.074206353663306</c:v>
                  </c:pt>
                  <c:pt idx="159">
                    <c:v>2.9171998047435035</c:v>
                  </c:pt>
                  <c:pt idx="160">
                    <c:v>3.0179402853095159</c:v>
                  </c:pt>
                  <c:pt idx="161">
                    <c:v>3.3901090714638071</c:v>
                  </c:pt>
                  <c:pt idx="162">
                    <c:v>1.3823656476305204</c:v>
                  </c:pt>
                  <c:pt idx="163">
                    <c:v>2.1503699197592865</c:v>
                  </c:pt>
                  <c:pt idx="164">
                    <c:v>3.3374758260599897</c:v>
                  </c:pt>
                  <c:pt idx="165">
                    <c:v>3.0937424929159367</c:v>
                  </c:pt>
                  <c:pt idx="166">
                    <c:v>3.178642153482572</c:v>
                  </c:pt>
                  <c:pt idx="167">
                    <c:v>3.0960644511117228</c:v>
                  </c:pt>
                  <c:pt idx="168">
                    <c:v>2.4402949795195483</c:v>
                  </c:pt>
                  <c:pt idx="169">
                    <c:v>2.6356584205276152</c:v>
                  </c:pt>
                  <c:pt idx="170">
                    <c:v>2.4934313476237802</c:v>
                  </c:pt>
                  <c:pt idx="171">
                    <c:v>2.6723400575523129</c:v>
                  </c:pt>
                  <c:pt idx="172">
                    <c:v>2.3138560642900536</c:v>
                  </c:pt>
                  <c:pt idx="173">
                    <c:v>2.5942528453213356</c:v>
                  </c:pt>
                  <c:pt idx="174">
                    <c:v>3.096064451111721</c:v>
                  </c:pt>
                  <c:pt idx="175">
                    <c:v>2.9171998047435035</c:v>
                  </c:pt>
                  <c:pt idx="176">
                    <c:v>2.0112086293259952</c:v>
                  </c:pt>
                  <c:pt idx="177">
                    <c:v>2.3788817405873068</c:v>
                  </c:pt>
                  <c:pt idx="178">
                    <c:v>1.9940303239698423</c:v>
                  </c:pt>
                  <c:pt idx="179">
                    <c:v>1.5667728915206394</c:v>
                  </c:pt>
                  <c:pt idx="180">
                    <c:v>2.5915692481151749</c:v>
                  </c:pt>
                  <c:pt idx="181">
                    <c:v>3.3374758260599884</c:v>
                  </c:pt>
                  <c:pt idx="182">
                    <c:v>2.6356584205276152</c:v>
                  </c:pt>
                  <c:pt idx="183">
                    <c:v>11.024832769749151</c:v>
                  </c:pt>
                  <c:pt idx="184">
                    <c:v>3.096064451111721</c:v>
                  </c:pt>
                  <c:pt idx="185">
                    <c:v>2.7815255605332121</c:v>
                  </c:pt>
                  <c:pt idx="186">
                    <c:v>2.9497185084486501</c:v>
                  </c:pt>
                  <c:pt idx="187">
                    <c:v>2.9240879015750769</c:v>
                  </c:pt>
                </c:numCache>
              </c:numRef>
            </c:plus>
            <c:minus>
              <c:numRef>
                <c:f>country!$O$3:$O$190</c:f>
                <c:numCache>
                  <c:formatCode>General</c:formatCode>
                  <c:ptCount val="188"/>
                  <c:pt idx="0">
                    <c:v>3.096064451111721</c:v>
                  </c:pt>
                  <c:pt idx="1">
                    <c:v>3.1476333816942783</c:v>
                  </c:pt>
                  <c:pt idx="2">
                    <c:v>2.3605460842533423</c:v>
                  </c:pt>
                  <c:pt idx="3">
                    <c:v>2.9171998047435075</c:v>
                  </c:pt>
                  <c:pt idx="4">
                    <c:v>2.2389930977676742</c:v>
                  </c:pt>
                  <c:pt idx="5">
                    <c:v>2.3707856322291589</c:v>
                  </c:pt>
                  <c:pt idx="6">
                    <c:v>3.3374758260599888</c:v>
                  </c:pt>
                  <c:pt idx="7">
                    <c:v>2.9697246801058581</c:v>
                  </c:pt>
                  <c:pt idx="8">
                    <c:v>1.3911495358353911</c:v>
                  </c:pt>
                  <c:pt idx="9">
                    <c:v>3.3374758260599875</c:v>
                  </c:pt>
                  <c:pt idx="10">
                    <c:v>2.4830845041512104</c:v>
                  </c:pt>
                  <c:pt idx="11">
                    <c:v>2.3788817405873082</c:v>
                  </c:pt>
                  <c:pt idx="12">
                    <c:v>3.9376964529861587</c:v>
                  </c:pt>
                  <c:pt idx="13">
                    <c:v>2.3236527196621259</c:v>
                  </c:pt>
                  <c:pt idx="14">
                    <c:v>2.0112086293259952</c:v>
                  </c:pt>
                  <c:pt idx="15">
                    <c:v>1.8434086945480375</c:v>
                  </c:pt>
                  <c:pt idx="16">
                    <c:v>2.3057019607949445</c:v>
                  </c:pt>
                  <c:pt idx="17">
                    <c:v>3.1764823711394605</c:v>
                  </c:pt>
                  <c:pt idx="18">
                    <c:v>2.4557757169543919</c:v>
                  </c:pt>
                  <c:pt idx="19">
                    <c:v>3.0960644511117201</c:v>
                  </c:pt>
                  <c:pt idx="20">
                    <c:v>2.727767482090937</c:v>
                  </c:pt>
                  <c:pt idx="21">
                    <c:v>2.4620460994655313</c:v>
                  </c:pt>
                  <c:pt idx="22">
                    <c:v>2.9798259748711931</c:v>
                  </c:pt>
                  <c:pt idx="23">
                    <c:v>2.3981349442614595</c:v>
                  </c:pt>
                  <c:pt idx="24">
                    <c:v>2.7020874388949085</c:v>
                  </c:pt>
                  <c:pt idx="25">
                    <c:v>2.4620460994655309</c:v>
                  </c:pt>
                  <c:pt idx="26">
                    <c:v>2.9171998047435075</c:v>
                  </c:pt>
                  <c:pt idx="27">
                    <c:v>2.9171998047435035</c:v>
                  </c:pt>
                  <c:pt idx="28">
                    <c:v>3.548550114522262</c:v>
                  </c:pt>
                  <c:pt idx="29">
                    <c:v>3.0960644511117192</c:v>
                  </c:pt>
                  <c:pt idx="30">
                    <c:v>3.9405306384951535</c:v>
                  </c:pt>
                  <c:pt idx="31">
                    <c:v>2.4255697386790742</c:v>
                  </c:pt>
                  <c:pt idx="32">
                    <c:v>2.9171998047435075</c:v>
                  </c:pt>
                  <c:pt idx="33">
                    <c:v>2.9171998047435035</c:v>
                  </c:pt>
                  <c:pt idx="34">
                    <c:v>2.9171998047435075</c:v>
                  </c:pt>
                  <c:pt idx="35">
                    <c:v>4.5213395627550339</c:v>
                  </c:pt>
                  <c:pt idx="36">
                    <c:v>2.3934605509118891</c:v>
                  </c:pt>
                  <c:pt idx="37">
                    <c:v>2.3057019607949423</c:v>
                  </c:pt>
                  <c:pt idx="38">
                    <c:v>2.9171998047435035</c:v>
                  </c:pt>
                  <c:pt idx="39">
                    <c:v>2.9171998047435035</c:v>
                  </c:pt>
                  <c:pt idx="40">
                    <c:v>3.2343483728058997</c:v>
                  </c:pt>
                  <c:pt idx="41">
                    <c:v>2.4154495694110589</c:v>
                  </c:pt>
                  <c:pt idx="42">
                    <c:v>2.4620460994655304</c:v>
                  </c:pt>
                  <c:pt idx="43">
                    <c:v>2.3057019607949472</c:v>
                  </c:pt>
                  <c:pt idx="44">
                    <c:v>2.5338229061816522</c:v>
                  </c:pt>
                  <c:pt idx="45">
                    <c:v>2.4620460994655309</c:v>
                  </c:pt>
                  <c:pt idx="46">
                    <c:v>1.5406396380680412</c:v>
                  </c:pt>
                  <c:pt idx="47">
                    <c:v>2.9171998047435035</c:v>
                  </c:pt>
                  <c:pt idx="48">
                    <c:v>2.5866005819324087</c:v>
                  </c:pt>
                  <c:pt idx="49">
                    <c:v>2.3057019607949458</c:v>
                  </c:pt>
                  <c:pt idx="50">
                    <c:v>19.731726964060588</c:v>
                  </c:pt>
                  <c:pt idx="51">
                    <c:v>3.0944090495603485</c:v>
                  </c:pt>
                  <c:pt idx="52">
                    <c:v>2.7922391638830044</c:v>
                  </c:pt>
                  <c:pt idx="53">
                    <c:v>2.9171998047435053</c:v>
                  </c:pt>
                  <c:pt idx="54">
                    <c:v>2.9171998047434995</c:v>
                  </c:pt>
                  <c:pt idx="55">
                    <c:v>2.0112086293259948</c:v>
                  </c:pt>
                  <c:pt idx="56">
                    <c:v>2.917199804743515</c:v>
                  </c:pt>
                  <c:pt idx="57">
                    <c:v>2.6356584205276192</c:v>
                  </c:pt>
                  <c:pt idx="58">
                    <c:v>1.381399056815046</c:v>
                  </c:pt>
                  <c:pt idx="59">
                    <c:v>1.695351882191616</c:v>
                  </c:pt>
                  <c:pt idx="60">
                    <c:v>2.2593141561607952</c:v>
                  </c:pt>
                  <c:pt idx="61">
                    <c:v>2.9171998047435115</c:v>
                  </c:pt>
                  <c:pt idx="62">
                    <c:v>3.3374758260599888</c:v>
                  </c:pt>
                  <c:pt idx="63">
                    <c:v>1.5160116108055857</c:v>
                  </c:pt>
                  <c:pt idx="64">
                    <c:v>2.9171998047435035</c:v>
                  </c:pt>
                  <c:pt idx="65">
                    <c:v>1.8468122432841849</c:v>
                  </c:pt>
                  <c:pt idx="66">
                    <c:v>2.6784210083906315</c:v>
                  </c:pt>
                  <c:pt idx="67">
                    <c:v>2.9527425244242909</c:v>
                  </c:pt>
                  <c:pt idx="68">
                    <c:v>2.9171998047434995</c:v>
                  </c:pt>
                  <c:pt idx="69">
                    <c:v>2.917199804743515</c:v>
                  </c:pt>
                  <c:pt idx="70">
                    <c:v>2.727767482090941</c:v>
                  </c:pt>
                  <c:pt idx="71">
                    <c:v>2.727767482090941</c:v>
                  </c:pt>
                  <c:pt idx="72">
                    <c:v>3.8628217621901717</c:v>
                  </c:pt>
                  <c:pt idx="73">
                    <c:v>3.0127487087490623</c:v>
                  </c:pt>
                  <c:pt idx="74">
                    <c:v>2.4959395774745241</c:v>
                  </c:pt>
                  <c:pt idx="75">
                    <c:v>2.1545550665241286</c:v>
                  </c:pt>
                  <c:pt idx="76">
                    <c:v>2.9197086658682094</c:v>
                  </c:pt>
                  <c:pt idx="77">
                    <c:v>3.930734092241412</c:v>
                  </c:pt>
                  <c:pt idx="78">
                    <c:v>2.6179590443348517</c:v>
                  </c:pt>
                  <c:pt idx="79">
                    <c:v>2.7815255605332143</c:v>
                  </c:pt>
                  <c:pt idx="80">
                    <c:v>2.1295279710327701</c:v>
                  </c:pt>
                  <c:pt idx="81">
                    <c:v>2.6771154548385989</c:v>
                  </c:pt>
                  <c:pt idx="82">
                    <c:v>1.7068633054618052</c:v>
                  </c:pt>
                  <c:pt idx="83">
                    <c:v>1.5981174014286372</c:v>
                  </c:pt>
                  <c:pt idx="84">
                    <c:v>2.7815255605332165</c:v>
                  </c:pt>
                  <c:pt idx="85">
                    <c:v>2.5942528453213334</c:v>
                  </c:pt>
                  <c:pt idx="86">
                    <c:v>2.9183736875593245</c:v>
                  </c:pt>
                  <c:pt idx="87">
                    <c:v>3.0960644511117268</c:v>
                  </c:pt>
                  <c:pt idx="88">
                    <c:v>2.46204609946553</c:v>
                  </c:pt>
                  <c:pt idx="89">
                    <c:v>2.3788817405873104</c:v>
                  </c:pt>
                  <c:pt idx="90">
                    <c:v>3.3374758260599884</c:v>
                  </c:pt>
                  <c:pt idx="91">
                    <c:v>3.096064451111721</c:v>
                  </c:pt>
                  <c:pt idx="92">
                    <c:v>2.0112086293259952</c:v>
                  </c:pt>
                  <c:pt idx="93">
                    <c:v>2.7815255605332156</c:v>
                  </c:pt>
                  <c:pt idx="94">
                    <c:v>2.9171998047435053</c:v>
                  </c:pt>
                  <c:pt idx="95">
                    <c:v>2.9171998047434955</c:v>
                  </c:pt>
                  <c:pt idx="96">
                    <c:v>2.4262716942031202</c:v>
                  </c:pt>
                  <c:pt idx="97">
                    <c:v>2.0112086293259952</c:v>
                  </c:pt>
                  <c:pt idx="98">
                    <c:v>1.5020924764172037</c:v>
                  </c:pt>
                  <c:pt idx="99">
                    <c:v>2.8276460270885155</c:v>
                  </c:pt>
                  <c:pt idx="100">
                    <c:v>2.4620460994655309</c:v>
                  </c:pt>
                  <c:pt idx="101">
                    <c:v>3.8730702025457613</c:v>
                  </c:pt>
                  <c:pt idx="102">
                    <c:v>2.9776859393313777</c:v>
                  </c:pt>
                  <c:pt idx="103">
                    <c:v>3.3278828361347714</c:v>
                  </c:pt>
                  <c:pt idx="104">
                    <c:v>3.096064451111721</c:v>
                  </c:pt>
                  <c:pt idx="105">
                    <c:v>3.6095569036463595</c:v>
                  </c:pt>
                  <c:pt idx="106">
                    <c:v>2.2333091969136367</c:v>
                  </c:pt>
                  <c:pt idx="107">
                    <c:v>2.6356584205276108</c:v>
                  </c:pt>
                  <c:pt idx="108">
                    <c:v>2.9171998047434995</c:v>
                  </c:pt>
                  <c:pt idx="109">
                    <c:v>2.3699937682312884</c:v>
                  </c:pt>
                  <c:pt idx="110">
                    <c:v>3.3320035304805122</c:v>
                  </c:pt>
                  <c:pt idx="111">
                    <c:v>2.6356584205276152</c:v>
                  </c:pt>
                  <c:pt idx="112">
                    <c:v>2.0112086293259979</c:v>
                  </c:pt>
                  <c:pt idx="113">
                    <c:v>3.5272638194911585</c:v>
                  </c:pt>
                  <c:pt idx="114">
                    <c:v>2.4620460994655304</c:v>
                  </c:pt>
                  <c:pt idx="115">
                    <c:v>2.3961021317285933</c:v>
                  </c:pt>
                  <c:pt idx="116">
                    <c:v>2.9171998047435075</c:v>
                  </c:pt>
                  <c:pt idx="117">
                    <c:v>2.360546084253345</c:v>
                  </c:pt>
                  <c:pt idx="118">
                    <c:v>3.1479575163122773</c:v>
                  </c:pt>
                  <c:pt idx="119">
                    <c:v>1.7705067439704976</c:v>
                  </c:pt>
                  <c:pt idx="120">
                    <c:v>2.1414475174265042</c:v>
                  </c:pt>
                  <c:pt idx="121">
                    <c:v>2.727767482090941</c:v>
                  </c:pt>
                  <c:pt idx="122">
                    <c:v>2.9171998047435075</c:v>
                  </c:pt>
                  <c:pt idx="123">
                    <c:v>3.5244750323989709</c:v>
                  </c:pt>
                  <c:pt idx="124">
                    <c:v>2.2309571756180846</c:v>
                  </c:pt>
                  <c:pt idx="125">
                    <c:v>2.3788817405873095</c:v>
                  </c:pt>
                  <c:pt idx="126">
                    <c:v>3.3147848814264407</c:v>
                  </c:pt>
                  <c:pt idx="127">
                    <c:v>2.6447940365986797</c:v>
                  </c:pt>
                  <c:pt idx="128">
                    <c:v>2.7815255605332143</c:v>
                  </c:pt>
                  <c:pt idx="129">
                    <c:v>2.7446144530034906</c:v>
                  </c:pt>
                  <c:pt idx="130">
                    <c:v>2.635658420527617</c:v>
                  </c:pt>
                  <c:pt idx="131">
                    <c:v>2.9347497378814333</c:v>
                  </c:pt>
                  <c:pt idx="132">
                    <c:v>2.8878342086775182</c:v>
                  </c:pt>
                  <c:pt idx="133">
                    <c:v>3.9849786187848948</c:v>
                  </c:pt>
                  <c:pt idx="134">
                    <c:v>2.5071193518350516</c:v>
                  </c:pt>
                  <c:pt idx="135">
                    <c:v>2.4708764076672383</c:v>
                  </c:pt>
                  <c:pt idx="136">
                    <c:v>2.2389930977676746</c:v>
                  </c:pt>
                  <c:pt idx="137">
                    <c:v>2.3788817405873099</c:v>
                  </c:pt>
                  <c:pt idx="138">
                    <c:v>2.5163797867471045</c:v>
                  </c:pt>
                  <c:pt idx="139">
                    <c:v>2.156392057058679</c:v>
                  </c:pt>
                  <c:pt idx="140">
                    <c:v>5.4242947257573384</c:v>
                  </c:pt>
                  <c:pt idx="141">
                    <c:v>2.8294479745726338</c:v>
                  </c:pt>
                  <c:pt idx="142">
                    <c:v>2.2389930977676755</c:v>
                  </c:pt>
                  <c:pt idx="143">
                    <c:v>2.6626054889199859</c:v>
                  </c:pt>
                  <c:pt idx="144">
                    <c:v>2.3057019607949494</c:v>
                  </c:pt>
                  <c:pt idx="145">
                    <c:v>2.6447940365986797</c:v>
                  </c:pt>
                  <c:pt idx="146">
                    <c:v>2.3788817405873095</c:v>
                  </c:pt>
                  <c:pt idx="147">
                    <c:v>6.0345970742451218</c:v>
                  </c:pt>
                  <c:pt idx="148">
                    <c:v>2.5569286635580344</c:v>
                  </c:pt>
                  <c:pt idx="149">
                    <c:v>2.5238382245501425</c:v>
                  </c:pt>
                  <c:pt idx="150">
                    <c:v>3.976622393142824</c:v>
                  </c:pt>
                  <c:pt idx="151">
                    <c:v>2.6200538171375021</c:v>
                  </c:pt>
                  <c:pt idx="152">
                    <c:v>2.4620460994655309</c:v>
                  </c:pt>
                  <c:pt idx="153">
                    <c:v>2.4620460994655304</c:v>
                  </c:pt>
                  <c:pt idx="154">
                    <c:v>3.0960644511117157</c:v>
                  </c:pt>
                  <c:pt idx="155">
                    <c:v>2.3605460842533423</c:v>
                  </c:pt>
                  <c:pt idx="156">
                    <c:v>2.5246101413941484</c:v>
                  </c:pt>
                  <c:pt idx="157">
                    <c:v>1.8165982698129328</c:v>
                  </c:pt>
                  <c:pt idx="158">
                    <c:v>4.074206353663306</c:v>
                  </c:pt>
                  <c:pt idx="159">
                    <c:v>2.9171998047435035</c:v>
                  </c:pt>
                  <c:pt idx="160">
                    <c:v>3.0179402853095159</c:v>
                  </c:pt>
                  <c:pt idx="161">
                    <c:v>3.3901090714638071</c:v>
                  </c:pt>
                  <c:pt idx="162">
                    <c:v>1.3823656476305204</c:v>
                  </c:pt>
                  <c:pt idx="163">
                    <c:v>2.1503699197592865</c:v>
                  </c:pt>
                  <c:pt idx="164">
                    <c:v>3.3374758260599897</c:v>
                  </c:pt>
                  <c:pt idx="165">
                    <c:v>3.0937424929159367</c:v>
                  </c:pt>
                  <c:pt idx="166">
                    <c:v>3.178642153482572</c:v>
                  </c:pt>
                  <c:pt idx="167">
                    <c:v>3.0960644511117228</c:v>
                  </c:pt>
                  <c:pt idx="168">
                    <c:v>2.4402949795195483</c:v>
                  </c:pt>
                  <c:pt idx="169">
                    <c:v>2.6356584205276152</c:v>
                  </c:pt>
                  <c:pt idx="170">
                    <c:v>2.4934313476237802</c:v>
                  </c:pt>
                  <c:pt idx="171">
                    <c:v>2.6723400575523129</c:v>
                  </c:pt>
                  <c:pt idx="172">
                    <c:v>2.3138560642900536</c:v>
                  </c:pt>
                  <c:pt idx="173">
                    <c:v>2.5942528453213356</c:v>
                  </c:pt>
                  <c:pt idx="174">
                    <c:v>3.096064451111721</c:v>
                  </c:pt>
                  <c:pt idx="175">
                    <c:v>2.9171998047435035</c:v>
                  </c:pt>
                  <c:pt idx="176">
                    <c:v>2.0112086293259952</c:v>
                  </c:pt>
                  <c:pt idx="177">
                    <c:v>2.3788817405873068</c:v>
                  </c:pt>
                  <c:pt idx="178">
                    <c:v>1.9940303239698423</c:v>
                  </c:pt>
                  <c:pt idx="179">
                    <c:v>1.5667728915206394</c:v>
                  </c:pt>
                  <c:pt idx="180">
                    <c:v>2.5915692481151749</c:v>
                  </c:pt>
                  <c:pt idx="181">
                    <c:v>3.3374758260599884</c:v>
                  </c:pt>
                  <c:pt idx="182">
                    <c:v>2.6356584205276152</c:v>
                  </c:pt>
                  <c:pt idx="183">
                    <c:v>11.024832769749151</c:v>
                  </c:pt>
                  <c:pt idx="184">
                    <c:v>3.096064451111721</c:v>
                  </c:pt>
                  <c:pt idx="185">
                    <c:v>2.7815255605332121</c:v>
                  </c:pt>
                  <c:pt idx="186">
                    <c:v>2.9497185084486501</c:v>
                  </c:pt>
                  <c:pt idx="187">
                    <c:v>2.9240879015750769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country!$E$3:$E$190</c:f>
              <c:numCache>
                <c:formatCode>0.0</c:formatCode>
                <c:ptCount val="188"/>
                <c:pt idx="0">
                  <c:v>12.6</c:v>
                </c:pt>
                <c:pt idx="1">
                  <c:v>11.4</c:v>
                </c:pt>
                <c:pt idx="2">
                  <c:v>22.5</c:v>
                </c:pt>
                <c:pt idx="3">
                  <c:v>21.5</c:v>
                </c:pt>
                <c:pt idx="4">
                  <c:v>26</c:v>
                </c:pt>
                <c:pt idx="5">
                  <c:v>14.8</c:v>
                </c:pt>
                <c:pt idx="6">
                  <c:v>7.1</c:v>
                </c:pt>
                <c:pt idx="7">
                  <c:v>21.6</c:v>
                </c:pt>
                <c:pt idx="8">
                  <c:v>6.3</c:v>
                </c:pt>
                <c:pt idx="9">
                  <c:v>11.9</c:v>
                </c:pt>
                <c:pt idx="10">
                  <c:v>24.8</c:v>
                </c:pt>
                <c:pt idx="11">
                  <c:v>27.1</c:v>
                </c:pt>
                <c:pt idx="12">
                  <c:v>25</c:v>
                </c:pt>
                <c:pt idx="13">
                  <c:v>26</c:v>
                </c:pt>
                <c:pt idx="14">
                  <c:v>6.2</c:v>
                </c:pt>
                <c:pt idx="15">
                  <c:v>9.6</c:v>
                </c:pt>
                <c:pt idx="16">
                  <c:v>25.3</c:v>
                </c:pt>
                <c:pt idx="17">
                  <c:v>27.5</c:v>
                </c:pt>
                <c:pt idx="18">
                  <c:v>21.3</c:v>
                </c:pt>
                <c:pt idx="19">
                  <c:v>7.4</c:v>
                </c:pt>
                <c:pt idx="20">
                  <c:v>21.5</c:v>
                </c:pt>
                <c:pt idx="21">
                  <c:v>9.8000000000000007</c:v>
                </c:pt>
                <c:pt idx="22">
                  <c:v>21.5</c:v>
                </c:pt>
                <c:pt idx="23">
                  <c:v>24.9</c:v>
                </c:pt>
                <c:pt idx="24">
                  <c:v>26.9</c:v>
                </c:pt>
                <c:pt idx="25">
                  <c:v>10.5</c:v>
                </c:pt>
                <c:pt idx="26">
                  <c:v>28.2</c:v>
                </c:pt>
                <c:pt idx="27">
                  <c:v>19.7</c:v>
                </c:pt>
                <c:pt idx="28">
                  <c:v>26.3</c:v>
                </c:pt>
                <c:pt idx="29">
                  <c:v>26.8</c:v>
                </c:pt>
                <c:pt idx="30">
                  <c:v>24.6</c:v>
                </c:pt>
                <c:pt idx="31">
                  <c:v>-5.4</c:v>
                </c:pt>
                <c:pt idx="32">
                  <c:v>23.3</c:v>
                </c:pt>
                <c:pt idx="33">
                  <c:v>24.9</c:v>
                </c:pt>
                <c:pt idx="34">
                  <c:v>26.5</c:v>
                </c:pt>
                <c:pt idx="35">
                  <c:v>8.5</c:v>
                </c:pt>
                <c:pt idx="36">
                  <c:v>6.9</c:v>
                </c:pt>
                <c:pt idx="37">
                  <c:v>24.5</c:v>
                </c:pt>
                <c:pt idx="38">
                  <c:v>25.6</c:v>
                </c:pt>
                <c:pt idx="39">
                  <c:v>24</c:v>
                </c:pt>
                <c:pt idx="40">
                  <c:v>24.5</c:v>
                </c:pt>
                <c:pt idx="41">
                  <c:v>24.8</c:v>
                </c:pt>
                <c:pt idx="42">
                  <c:v>10.9</c:v>
                </c:pt>
                <c:pt idx="43">
                  <c:v>25.2</c:v>
                </c:pt>
                <c:pt idx="44">
                  <c:v>18.399999999999999</c:v>
                </c:pt>
                <c:pt idx="45">
                  <c:v>7.5</c:v>
                </c:pt>
                <c:pt idx="46">
                  <c:v>7.5</c:v>
                </c:pt>
                <c:pt idx="47">
                  <c:v>28</c:v>
                </c:pt>
                <c:pt idx="48">
                  <c:v>22.3</c:v>
                </c:pt>
                <c:pt idx="49">
                  <c:v>24.5</c:v>
                </c:pt>
                <c:pt idx="50">
                  <c:v>21.8</c:v>
                </c:pt>
                <c:pt idx="51">
                  <c:v>22.1</c:v>
                </c:pt>
                <c:pt idx="52">
                  <c:v>24.4</c:v>
                </c:pt>
                <c:pt idx="53">
                  <c:v>24.5</c:v>
                </c:pt>
                <c:pt idx="54">
                  <c:v>25.5</c:v>
                </c:pt>
                <c:pt idx="55">
                  <c:v>5.0999999999999996</c:v>
                </c:pt>
                <c:pt idx="56">
                  <c:v>22.2</c:v>
                </c:pt>
                <c:pt idx="57">
                  <c:v>24.4</c:v>
                </c:pt>
                <c:pt idx="58">
                  <c:v>1.7</c:v>
                </c:pt>
                <c:pt idx="59">
                  <c:v>10.7</c:v>
                </c:pt>
                <c:pt idx="60">
                  <c:v>25</c:v>
                </c:pt>
                <c:pt idx="61">
                  <c:v>27.5</c:v>
                </c:pt>
                <c:pt idx="62">
                  <c:v>5.8</c:v>
                </c:pt>
                <c:pt idx="63">
                  <c:v>8.4</c:v>
                </c:pt>
                <c:pt idx="64">
                  <c:v>27.2</c:v>
                </c:pt>
                <c:pt idx="65">
                  <c:v>15.4</c:v>
                </c:pt>
                <c:pt idx="66">
                  <c:v>26.6</c:v>
                </c:pt>
                <c:pt idx="67">
                  <c:v>23.4</c:v>
                </c:pt>
                <c:pt idx="68">
                  <c:v>25.7</c:v>
                </c:pt>
                <c:pt idx="69">
                  <c:v>26.7</c:v>
                </c:pt>
                <c:pt idx="70">
                  <c:v>25.9</c:v>
                </c:pt>
                <c:pt idx="71">
                  <c:v>24.8</c:v>
                </c:pt>
                <c:pt idx="72">
                  <c:v>23.5</c:v>
                </c:pt>
                <c:pt idx="73">
                  <c:v>22.7</c:v>
                </c:pt>
                <c:pt idx="74">
                  <c:v>9.8000000000000007</c:v>
                </c:pt>
                <c:pt idx="75">
                  <c:v>1.7</c:v>
                </c:pt>
                <c:pt idx="76">
                  <c:v>23.7</c:v>
                </c:pt>
                <c:pt idx="77">
                  <c:v>25.8</c:v>
                </c:pt>
                <c:pt idx="78">
                  <c:v>17.2</c:v>
                </c:pt>
                <c:pt idx="79">
                  <c:v>21.4</c:v>
                </c:pt>
                <c:pt idx="80">
                  <c:v>9.3000000000000007</c:v>
                </c:pt>
                <c:pt idx="81">
                  <c:v>19.2</c:v>
                </c:pt>
                <c:pt idx="82">
                  <c:v>13.4</c:v>
                </c:pt>
                <c:pt idx="83">
                  <c:v>11.1</c:v>
                </c:pt>
                <c:pt idx="84">
                  <c:v>18.3</c:v>
                </c:pt>
                <c:pt idx="85">
                  <c:v>6.4</c:v>
                </c:pt>
                <c:pt idx="86">
                  <c:v>24.7</c:v>
                </c:pt>
                <c:pt idx="87">
                  <c:v>28.2</c:v>
                </c:pt>
                <c:pt idx="88">
                  <c:v>9.9</c:v>
                </c:pt>
                <c:pt idx="89">
                  <c:v>25.3</c:v>
                </c:pt>
                <c:pt idx="90">
                  <c:v>1.6</c:v>
                </c:pt>
                <c:pt idx="91">
                  <c:v>22.7</c:v>
                </c:pt>
                <c:pt idx="92">
                  <c:v>5.6</c:v>
                </c:pt>
                <c:pt idx="93">
                  <c:v>16.399999999999999</c:v>
                </c:pt>
                <c:pt idx="94">
                  <c:v>11.8</c:v>
                </c:pt>
                <c:pt idx="95">
                  <c:v>25.3</c:v>
                </c:pt>
                <c:pt idx="96">
                  <c:v>21.8</c:v>
                </c:pt>
                <c:pt idx="97">
                  <c:v>6.2</c:v>
                </c:pt>
                <c:pt idx="98">
                  <c:v>8.6999999999999993</c:v>
                </c:pt>
                <c:pt idx="99">
                  <c:v>22.8</c:v>
                </c:pt>
                <c:pt idx="100">
                  <c:v>9.8000000000000007</c:v>
                </c:pt>
                <c:pt idx="101">
                  <c:v>22.6</c:v>
                </c:pt>
                <c:pt idx="102">
                  <c:v>21.9</c:v>
                </c:pt>
                <c:pt idx="103">
                  <c:v>25.4</c:v>
                </c:pt>
                <c:pt idx="104">
                  <c:v>27.6</c:v>
                </c:pt>
                <c:pt idx="105">
                  <c:v>28.2</c:v>
                </c:pt>
                <c:pt idx="106">
                  <c:v>19.2</c:v>
                </c:pt>
                <c:pt idx="107">
                  <c:v>27.4</c:v>
                </c:pt>
                <c:pt idx="108">
                  <c:v>27.6</c:v>
                </c:pt>
                <c:pt idx="109">
                  <c:v>22.4</c:v>
                </c:pt>
                <c:pt idx="110">
                  <c:v>21</c:v>
                </c:pt>
                <c:pt idx="111">
                  <c:v>27.6</c:v>
                </c:pt>
                <c:pt idx="112">
                  <c:v>9.4</c:v>
                </c:pt>
                <c:pt idx="113">
                  <c:v>-0.7</c:v>
                </c:pt>
                <c:pt idx="114">
                  <c:v>9.9</c:v>
                </c:pt>
                <c:pt idx="115">
                  <c:v>17.100000000000001</c:v>
                </c:pt>
                <c:pt idx="116">
                  <c:v>23.8</c:v>
                </c:pt>
                <c:pt idx="117">
                  <c:v>19.899999999999999</c:v>
                </c:pt>
                <c:pt idx="118">
                  <c:v>8.1</c:v>
                </c:pt>
                <c:pt idx="119">
                  <c:v>9.1999999999999993</c:v>
                </c:pt>
                <c:pt idx="120">
                  <c:v>10.5</c:v>
                </c:pt>
                <c:pt idx="121">
                  <c:v>24.8</c:v>
                </c:pt>
                <c:pt idx="122">
                  <c:v>27.1</c:v>
                </c:pt>
                <c:pt idx="123">
                  <c:v>26.8</c:v>
                </c:pt>
                <c:pt idx="124">
                  <c:v>1.5</c:v>
                </c:pt>
                <c:pt idx="125">
                  <c:v>25.6</c:v>
                </c:pt>
                <c:pt idx="126">
                  <c:v>20.2</c:v>
                </c:pt>
                <c:pt idx="127">
                  <c:v>27.6</c:v>
                </c:pt>
                <c:pt idx="128">
                  <c:v>19.2</c:v>
                </c:pt>
                <c:pt idx="129">
                  <c:v>25.4</c:v>
                </c:pt>
                <c:pt idx="130">
                  <c:v>25.2</c:v>
                </c:pt>
                <c:pt idx="131">
                  <c:v>23.5</c:v>
                </c:pt>
                <c:pt idx="132">
                  <c:v>19.600000000000001</c:v>
                </c:pt>
                <c:pt idx="133">
                  <c:v>25.8</c:v>
                </c:pt>
                <c:pt idx="134">
                  <c:v>7.8</c:v>
                </c:pt>
                <c:pt idx="135">
                  <c:v>15.1</c:v>
                </c:pt>
                <c:pt idx="136">
                  <c:v>25.2</c:v>
                </c:pt>
                <c:pt idx="137">
                  <c:v>27.2</c:v>
                </c:pt>
                <c:pt idx="138">
                  <c:v>8.8000000000000007</c:v>
                </c:pt>
                <c:pt idx="139">
                  <c:v>-5.0999999999999996</c:v>
                </c:pt>
                <c:pt idx="140">
                  <c:v>17.899999999999999</c:v>
                </c:pt>
                <c:pt idx="141">
                  <c:v>23.7</c:v>
                </c:pt>
                <c:pt idx="142">
                  <c:v>24.4</c:v>
                </c:pt>
                <c:pt idx="143">
                  <c:v>25.5</c:v>
                </c:pt>
                <c:pt idx="144">
                  <c:v>26.7</c:v>
                </c:pt>
                <c:pt idx="145">
                  <c:v>26.7</c:v>
                </c:pt>
                <c:pt idx="146">
                  <c:v>24.6</c:v>
                </c:pt>
                <c:pt idx="147">
                  <c:v>27.8</c:v>
                </c:pt>
                <c:pt idx="148">
                  <c:v>9.9</c:v>
                </c:pt>
                <c:pt idx="149">
                  <c:v>27.1</c:v>
                </c:pt>
                <c:pt idx="150">
                  <c:v>26</c:v>
                </c:pt>
                <c:pt idx="151">
                  <c:v>26.4</c:v>
                </c:pt>
                <c:pt idx="152">
                  <c:v>6.8</c:v>
                </c:pt>
                <c:pt idx="153">
                  <c:v>8.9</c:v>
                </c:pt>
                <c:pt idx="154">
                  <c:v>25.6</c:v>
                </c:pt>
                <c:pt idx="155">
                  <c:v>17.8</c:v>
                </c:pt>
                <c:pt idx="156">
                  <c:v>11.5</c:v>
                </c:pt>
                <c:pt idx="157">
                  <c:v>13.3</c:v>
                </c:pt>
                <c:pt idx="158">
                  <c:v>26.9</c:v>
                </c:pt>
                <c:pt idx="159">
                  <c:v>26.8</c:v>
                </c:pt>
                <c:pt idx="160">
                  <c:v>25.7</c:v>
                </c:pt>
                <c:pt idx="161">
                  <c:v>21.4</c:v>
                </c:pt>
                <c:pt idx="162">
                  <c:v>2.1</c:v>
                </c:pt>
                <c:pt idx="163">
                  <c:v>5.5</c:v>
                </c:pt>
                <c:pt idx="164">
                  <c:v>2</c:v>
                </c:pt>
                <c:pt idx="165">
                  <c:v>22.3</c:v>
                </c:pt>
                <c:pt idx="166">
                  <c:v>26.3</c:v>
                </c:pt>
                <c:pt idx="167">
                  <c:v>25.8</c:v>
                </c:pt>
                <c:pt idx="168">
                  <c:v>27.1</c:v>
                </c:pt>
                <c:pt idx="169">
                  <c:v>25.2</c:v>
                </c:pt>
                <c:pt idx="170">
                  <c:v>25.7</c:v>
                </c:pt>
                <c:pt idx="171">
                  <c:v>19.2</c:v>
                </c:pt>
                <c:pt idx="172">
                  <c:v>11.1</c:v>
                </c:pt>
                <c:pt idx="173">
                  <c:v>15.1</c:v>
                </c:pt>
                <c:pt idx="174">
                  <c:v>28</c:v>
                </c:pt>
                <c:pt idx="175">
                  <c:v>22.8</c:v>
                </c:pt>
                <c:pt idx="176">
                  <c:v>8.3000000000000007</c:v>
                </c:pt>
                <c:pt idx="177">
                  <c:v>27</c:v>
                </c:pt>
                <c:pt idx="178">
                  <c:v>8.4</c:v>
                </c:pt>
                <c:pt idx="179">
                  <c:v>8.5</c:v>
                </c:pt>
                <c:pt idx="180">
                  <c:v>17.5</c:v>
                </c:pt>
                <c:pt idx="181">
                  <c:v>12.1</c:v>
                </c:pt>
                <c:pt idx="182">
                  <c:v>24</c:v>
                </c:pt>
                <c:pt idx="183">
                  <c:v>25.3</c:v>
                </c:pt>
                <c:pt idx="184">
                  <c:v>24.4</c:v>
                </c:pt>
                <c:pt idx="185">
                  <c:v>23.8</c:v>
                </c:pt>
                <c:pt idx="186">
                  <c:v>21.4</c:v>
                </c:pt>
                <c:pt idx="187">
                  <c:v>21</c:v>
                </c:pt>
              </c:numCache>
            </c:numRef>
          </c:xVal>
          <c:yVal>
            <c:numRef>
              <c:f>country!$N$3:$N$190</c:f>
              <c:numCache>
                <c:formatCode>0.0</c:formatCode>
                <c:ptCount val="188"/>
                <c:pt idx="0">
                  <c:v>-8.7030729959466857</c:v>
                </c:pt>
                <c:pt idx="1">
                  <c:v>-4.3931142467177722</c:v>
                </c:pt>
                <c:pt idx="2">
                  <c:v>-9.5051321960945998</c:v>
                </c:pt>
                <c:pt idx="3">
                  <c:v>-9.3908404652708111</c:v>
                </c:pt>
                <c:pt idx="4">
                  <c:v>-8.8805928602644837</c:v>
                </c:pt>
                <c:pt idx="5">
                  <c:v>-4.6422624579257805</c:v>
                </c:pt>
                <c:pt idx="6">
                  <c:v>-3.3610570562054134</c:v>
                </c:pt>
                <c:pt idx="7">
                  <c:v>-4.9983956862366643</c:v>
                </c:pt>
                <c:pt idx="8">
                  <c:v>1.982628388478733</c:v>
                </c:pt>
                <c:pt idx="9">
                  <c:v>-4.7604312206829258</c:v>
                </c:pt>
                <c:pt idx="10">
                  <c:v>-7.3445352685387952</c:v>
                </c:pt>
                <c:pt idx="11">
                  <c:v>-8.75984629328706</c:v>
                </c:pt>
                <c:pt idx="12">
                  <c:v>-13.588902625765336</c:v>
                </c:pt>
                <c:pt idx="13">
                  <c:v>-8.5196476386069477</c:v>
                </c:pt>
                <c:pt idx="14">
                  <c:v>-1.5825922782995818</c:v>
                </c:pt>
                <c:pt idx="15">
                  <c:v>0.41121426930730531</c:v>
                </c:pt>
                <c:pt idx="16">
                  <c:v>-10.298668154725755</c:v>
                </c:pt>
                <c:pt idx="17">
                  <c:v>-14.676303245086567</c:v>
                </c:pt>
                <c:pt idx="18">
                  <c:v>-3.6062201937020273</c:v>
                </c:pt>
                <c:pt idx="19">
                  <c:v>-3.6730985845785291</c:v>
                </c:pt>
                <c:pt idx="20">
                  <c:v>-10.707354195501219</c:v>
                </c:pt>
                <c:pt idx="21">
                  <c:v>-3.7133263953766082</c:v>
                </c:pt>
                <c:pt idx="22">
                  <c:v>-7.9283739664116251</c:v>
                </c:pt>
                <c:pt idx="23">
                  <c:v>-9.6058320557725416</c:v>
                </c:pt>
                <c:pt idx="24">
                  <c:v>-8.0223127486970682</c:v>
                </c:pt>
                <c:pt idx="25">
                  <c:v>-3.5666696227187185</c:v>
                </c:pt>
                <c:pt idx="26">
                  <c:v>-15.300759383274706</c:v>
                </c:pt>
                <c:pt idx="27">
                  <c:v>-13.35316229387262</c:v>
                </c:pt>
                <c:pt idx="28">
                  <c:v>-13.206477882948194</c:v>
                </c:pt>
                <c:pt idx="29">
                  <c:v>-14.201903966227993</c:v>
                </c:pt>
                <c:pt idx="30">
                  <c:v>-12.490769284347017</c:v>
                </c:pt>
                <c:pt idx="31">
                  <c:v>7.1193798483696042</c:v>
                </c:pt>
                <c:pt idx="32">
                  <c:v>-10.151765744749229</c:v>
                </c:pt>
                <c:pt idx="33">
                  <c:v>-13.901724590260841</c:v>
                </c:pt>
                <c:pt idx="34">
                  <c:v>-13.778183435063328</c:v>
                </c:pt>
                <c:pt idx="35">
                  <c:v>-1.5336863416526028</c:v>
                </c:pt>
                <c:pt idx="36">
                  <c:v>-2.6620102076749639</c:v>
                </c:pt>
                <c:pt idx="37">
                  <c:v>-10.023581825762429</c:v>
                </c:pt>
                <c:pt idx="38">
                  <c:v>-13.664845116668387</c:v>
                </c:pt>
                <c:pt idx="39">
                  <c:v>-14.41893255052087</c:v>
                </c:pt>
                <c:pt idx="40">
                  <c:v>-11.239425929203009</c:v>
                </c:pt>
                <c:pt idx="41">
                  <c:v>-9.6408588344027351</c:v>
                </c:pt>
                <c:pt idx="42">
                  <c:v>-2.2953201162743531</c:v>
                </c:pt>
                <c:pt idx="43">
                  <c:v>-9.9654807128137435</c:v>
                </c:pt>
                <c:pt idx="44">
                  <c:v>-4.7911584330318959</c:v>
                </c:pt>
                <c:pt idx="45">
                  <c:v>-0.25474055381616112</c:v>
                </c:pt>
                <c:pt idx="46">
                  <c:v>1.7409926539734693</c:v>
                </c:pt>
                <c:pt idx="47">
                  <c:v>-13.757745746026977</c:v>
                </c:pt>
                <c:pt idx="48">
                  <c:v>-8.2325530203447244</c:v>
                </c:pt>
                <c:pt idx="49">
                  <c:v>-9.6990653561815527</c:v>
                </c:pt>
                <c:pt idx="50">
                  <c:v>-9.1349065306859369</c:v>
                </c:pt>
                <c:pt idx="51">
                  <c:v>-10.51359934873541</c:v>
                </c:pt>
                <c:pt idx="52">
                  <c:v>-10.464256967098899</c:v>
                </c:pt>
                <c:pt idx="53">
                  <c:v>-8.2091482581266302</c:v>
                </c:pt>
                <c:pt idx="54">
                  <c:v>-15.618885453700832</c:v>
                </c:pt>
                <c:pt idx="55">
                  <c:v>0.30358135143954423</c:v>
                </c:pt>
                <c:pt idx="56">
                  <c:v>-13.73360366684371</c:v>
                </c:pt>
                <c:pt idx="57">
                  <c:v>-10.165611142544879</c:v>
                </c:pt>
                <c:pt idx="58">
                  <c:v>4.0132917147457023</c:v>
                </c:pt>
                <c:pt idx="59">
                  <c:v>-0.21769383553694088</c:v>
                </c:pt>
                <c:pt idx="60">
                  <c:v>-9.4788909177372247</c:v>
                </c:pt>
                <c:pt idx="61">
                  <c:v>-14.952552407152282</c:v>
                </c:pt>
                <c:pt idx="62">
                  <c:v>-2.9058056008680673</c:v>
                </c:pt>
                <c:pt idx="63">
                  <c:v>0.920774738526146</c:v>
                </c:pt>
                <c:pt idx="64">
                  <c:v>-14.367423039160807</c:v>
                </c:pt>
                <c:pt idx="65">
                  <c:v>-3.1055077927263417</c:v>
                </c:pt>
                <c:pt idx="66">
                  <c:v>-10.162983482296305</c:v>
                </c:pt>
                <c:pt idx="67">
                  <c:v>-10.455755382647279</c:v>
                </c:pt>
                <c:pt idx="68">
                  <c:v>-14.885162707673272</c:v>
                </c:pt>
                <c:pt idx="69">
                  <c:v>-14.799760898722798</c:v>
                </c:pt>
                <c:pt idx="70">
                  <c:v>-12.692181135224542</c:v>
                </c:pt>
                <c:pt idx="71">
                  <c:v>-13.85673343593316</c:v>
                </c:pt>
                <c:pt idx="72">
                  <c:v>-11.180099261634762</c:v>
                </c:pt>
                <c:pt idx="73">
                  <c:v>-5.7317658710928843</c:v>
                </c:pt>
                <c:pt idx="74">
                  <c:v>-1.716365703960083</c:v>
                </c:pt>
                <c:pt idx="75">
                  <c:v>4.5221377556782993</c:v>
                </c:pt>
                <c:pt idx="76">
                  <c:v>-11.915559551167451</c:v>
                </c:pt>
                <c:pt idx="77">
                  <c:v>-12.151486581566218</c:v>
                </c:pt>
                <c:pt idx="78">
                  <c:v>-7.0674872890517078</c:v>
                </c:pt>
                <c:pt idx="79">
                  <c:v>-9.6325320120075659</c:v>
                </c:pt>
                <c:pt idx="80">
                  <c:v>0.90244701960256246</c:v>
                </c:pt>
                <c:pt idx="81">
                  <c:v>-4.7431744420982316</c:v>
                </c:pt>
                <c:pt idx="82">
                  <c:v>-1.681358773798568</c:v>
                </c:pt>
                <c:pt idx="83">
                  <c:v>-0.27408728953932582</c:v>
                </c:pt>
                <c:pt idx="84">
                  <c:v>-7.8056033179697639</c:v>
                </c:pt>
                <c:pt idx="85">
                  <c:v>-1.5975651739027252</c:v>
                </c:pt>
                <c:pt idx="86">
                  <c:v>-13.345864440265016</c:v>
                </c:pt>
                <c:pt idx="87">
                  <c:v>-13.776998659200967</c:v>
                </c:pt>
                <c:pt idx="88">
                  <c:v>-4.116362323892214</c:v>
                </c:pt>
                <c:pt idx="89">
                  <c:v>-7.0499538758567653</c:v>
                </c:pt>
                <c:pt idx="90">
                  <c:v>-3.0281012745048352</c:v>
                </c:pt>
                <c:pt idx="91">
                  <c:v>-12.298737499323876</c:v>
                </c:pt>
                <c:pt idx="92">
                  <c:v>-0.5993297194336995</c:v>
                </c:pt>
                <c:pt idx="93">
                  <c:v>-5.4044046846804097</c:v>
                </c:pt>
                <c:pt idx="94">
                  <c:v>-6.8632726284289669</c:v>
                </c:pt>
                <c:pt idx="95">
                  <c:v>-15.064986155293662</c:v>
                </c:pt>
                <c:pt idx="96">
                  <c:v>-7.4054861327745289</c:v>
                </c:pt>
                <c:pt idx="97">
                  <c:v>-0.55974729759385444</c:v>
                </c:pt>
                <c:pt idx="98">
                  <c:v>2.1277627439860156</c:v>
                </c:pt>
                <c:pt idx="99">
                  <c:v>-5.4220466579446445</c:v>
                </c:pt>
                <c:pt idx="100">
                  <c:v>-3.6794866327325675</c:v>
                </c:pt>
                <c:pt idx="101">
                  <c:v>-13.654460297523732</c:v>
                </c:pt>
                <c:pt idx="102">
                  <c:v>-13.711077810397862</c:v>
                </c:pt>
                <c:pt idx="103">
                  <c:v>-9.6326215060885261</c:v>
                </c:pt>
                <c:pt idx="104">
                  <c:v>-11.129707860432106</c:v>
                </c:pt>
                <c:pt idx="105">
                  <c:v>-15.155640008780717</c:v>
                </c:pt>
                <c:pt idx="106">
                  <c:v>-5.2919265275797631</c:v>
                </c:pt>
                <c:pt idx="107">
                  <c:v>-11.891163085992337</c:v>
                </c:pt>
                <c:pt idx="108">
                  <c:v>-14.135045336745158</c:v>
                </c:pt>
                <c:pt idx="109">
                  <c:v>-8.3437655804663287</c:v>
                </c:pt>
                <c:pt idx="110">
                  <c:v>-7.2453261840391772</c:v>
                </c:pt>
                <c:pt idx="111">
                  <c:v>-12.261211800953582</c:v>
                </c:pt>
                <c:pt idx="112">
                  <c:v>-5.5835227238719867</c:v>
                </c:pt>
                <c:pt idx="113">
                  <c:v>-0.61938377208077866</c:v>
                </c:pt>
                <c:pt idx="114">
                  <c:v>-3.2436264297544204</c:v>
                </c:pt>
                <c:pt idx="115">
                  <c:v>-7.5461865373593024</c:v>
                </c:pt>
                <c:pt idx="116">
                  <c:v>-13.634631596011777</c:v>
                </c:pt>
                <c:pt idx="117">
                  <c:v>-7.8922752760072878</c:v>
                </c:pt>
                <c:pt idx="118">
                  <c:v>-6.6136644175398871</c:v>
                </c:pt>
                <c:pt idx="119">
                  <c:v>0.77911093265522857</c:v>
                </c:pt>
                <c:pt idx="120">
                  <c:v>-0.48047090122230451</c:v>
                </c:pt>
                <c:pt idx="121">
                  <c:v>-12.112798653911412</c:v>
                </c:pt>
                <c:pt idx="122">
                  <c:v>-15.657516919216095</c:v>
                </c:pt>
                <c:pt idx="123">
                  <c:v>-13.365293903275786</c:v>
                </c:pt>
                <c:pt idx="124">
                  <c:v>4.99143514915382</c:v>
                </c:pt>
                <c:pt idx="125">
                  <c:v>-8.2740240611426206</c:v>
                </c:pt>
                <c:pt idx="126">
                  <c:v>-10.885960493579331</c:v>
                </c:pt>
                <c:pt idx="127">
                  <c:v>-10.062310671943058</c:v>
                </c:pt>
                <c:pt idx="128">
                  <c:v>-9.5494396913349853</c:v>
                </c:pt>
                <c:pt idx="129">
                  <c:v>-9.6794187747020963</c:v>
                </c:pt>
                <c:pt idx="130">
                  <c:v>-12.717088124706027</c:v>
                </c:pt>
                <c:pt idx="131">
                  <c:v>-10.961205684912507</c:v>
                </c:pt>
                <c:pt idx="132">
                  <c:v>-8.0067195352715625</c:v>
                </c:pt>
                <c:pt idx="133">
                  <c:v>-12.340244574527738</c:v>
                </c:pt>
                <c:pt idx="134">
                  <c:v>-0.96228863270174059</c:v>
                </c:pt>
                <c:pt idx="135">
                  <c:v>-3.2052891815665472</c:v>
                </c:pt>
                <c:pt idx="136">
                  <c:v>-7.5424999481446822</c:v>
                </c:pt>
                <c:pt idx="137">
                  <c:v>-6.7075825970332179</c:v>
                </c:pt>
                <c:pt idx="138">
                  <c:v>-2.4765982372129791</c:v>
                </c:pt>
                <c:pt idx="139">
                  <c:v>4.0632994560838567</c:v>
                </c:pt>
                <c:pt idx="140">
                  <c:v>-11.13372443964094</c:v>
                </c:pt>
                <c:pt idx="141">
                  <c:v>-12.067806990402406</c:v>
                </c:pt>
                <c:pt idx="142">
                  <c:v>-8.31583928690352</c:v>
                </c:pt>
                <c:pt idx="143">
                  <c:v>-9.7340952955823266</c:v>
                </c:pt>
                <c:pt idx="144">
                  <c:v>-10.480982838725796</c:v>
                </c:pt>
                <c:pt idx="145">
                  <c:v>-11.919770178661656</c:v>
                </c:pt>
                <c:pt idx="146">
                  <c:v>-7.7134073146516613</c:v>
                </c:pt>
                <c:pt idx="147">
                  <c:v>-14.18051085281258</c:v>
                </c:pt>
                <c:pt idx="148">
                  <c:v>-3.5255927664646807</c:v>
                </c:pt>
                <c:pt idx="149">
                  <c:v>-9.2294163708325847</c:v>
                </c:pt>
                <c:pt idx="150">
                  <c:v>-14.667809774615094</c:v>
                </c:pt>
                <c:pt idx="151">
                  <c:v>-7.2165397016166111</c:v>
                </c:pt>
                <c:pt idx="152">
                  <c:v>6.4817285717646778E-2</c:v>
                </c:pt>
                <c:pt idx="153">
                  <c:v>-0.3783757293056913</c:v>
                </c:pt>
                <c:pt idx="154">
                  <c:v>-12.832135968586941</c:v>
                </c:pt>
                <c:pt idx="155">
                  <c:v>-6.3690362874757147</c:v>
                </c:pt>
                <c:pt idx="156">
                  <c:v>-1.2849168876504946</c:v>
                </c:pt>
                <c:pt idx="157">
                  <c:v>-1.8557291201012858</c:v>
                </c:pt>
                <c:pt idx="158">
                  <c:v>-12.602604847983459</c:v>
                </c:pt>
                <c:pt idx="159">
                  <c:v>-13.350015068646627</c:v>
                </c:pt>
                <c:pt idx="160">
                  <c:v>-10.465671332876834</c:v>
                </c:pt>
                <c:pt idx="161">
                  <c:v>-9.434054087292111</c:v>
                </c:pt>
                <c:pt idx="162">
                  <c:v>4.0319201371826292</c:v>
                </c:pt>
                <c:pt idx="163">
                  <c:v>2.9165622303446499</c:v>
                </c:pt>
                <c:pt idx="164">
                  <c:v>-3.7052140471306885</c:v>
                </c:pt>
                <c:pt idx="165">
                  <c:v>-12.725101843574613</c:v>
                </c:pt>
                <c:pt idx="166">
                  <c:v>-11.198508945505274</c:v>
                </c:pt>
                <c:pt idx="167">
                  <c:v>-13.655629968853178</c:v>
                </c:pt>
                <c:pt idx="168">
                  <c:v>-15.062405059141707</c:v>
                </c:pt>
                <c:pt idx="169">
                  <c:v>-11.046226431759409</c:v>
                </c:pt>
                <c:pt idx="170">
                  <c:v>-8.3951585413827701</c:v>
                </c:pt>
                <c:pt idx="171">
                  <c:v>-7.6796020269340648</c:v>
                </c:pt>
                <c:pt idx="172">
                  <c:v>-2.8585062082946848</c:v>
                </c:pt>
                <c:pt idx="173">
                  <c:v>-6.4846583929624657</c:v>
                </c:pt>
                <c:pt idx="174">
                  <c:v>-12.409003622861359</c:v>
                </c:pt>
                <c:pt idx="175">
                  <c:v>-13.132736478575753</c:v>
                </c:pt>
                <c:pt idx="176">
                  <c:v>-3.9181864900082921</c:v>
                </c:pt>
                <c:pt idx="177">
                  <c:v>-8.0926327496947312</c:v>
                </c:pt>
                <c:pt idx="178">
                  <c:v>1.0012411640248271</c:v>
                </c:pt>
                <c:pt idx="179">
                  <c:v>1.2053607642940773</c:v>
                </c:pt>
                <c:pt idx="180">
                  <c:v>-5.9686478761716844</c:v>
                </c:pt>
                <c:pt idx="181">
                  <c:v>-7.2434754003682666</c:v>
                </c:pt>
                <c:pt idx="182">
                  <c:v>-10.831003507057867</c:v>
                </c:pt>
                <c:pt idx="183">
                  <c:v>-9.671965509112006</c:v>
                </c:pt>
                <c:pt idx="184">
                  <c:v>-12.457803182126748</c:v>
                </c:pt>
                <c:pt idx="185">
                  <c:v>-12.230958831656496</c:v>
                </c:pt>
                <c:pt idx="186">
                  <c:v>-11.438941440077949</c:v>
                </c:pt>
                <c:pt idx="187">
                  <c:v>-12.305641907741744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C-47AC-9C31-7B176CAE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281504"/>
        <c:axId val="551281896"/>
      </c:scatterChart>
      <c:valAx>
        <c:axId val="55128150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(in degrees centrigrade)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51281896"/>
        <c:crosses val="autoZero"/>
        <c:crossBetween val="midCat"/>
      </c:valAx>
      <c:valAx>
        <c:axId val="551281896"/>
        <c:scaling>
          <c:orientation val="minMax"/>
          <c:max val="1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Welfare-equivalent income change (in percent)</a:t>
                </a:r>
              </a:p>
            </c:rich>
          </c:tx>
          <c:layout>
            <c:manualLayout>
              <c:xMode val="edge"/>
              <c:yMode val="edge"/>
              <c:x val="6.8281941405061702E-3"/>
              <c:y val="0.159888715969195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512815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9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876" cy="60685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876" cy="60685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5876" cy="60685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ichardTol\Google%20Drive\Kaya\Data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hard\Google%20Drive\Kaya\Data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NominalGDP"/>
      <sheetName val="Inflation"/>
      <sheetName val="Chart1"/>
      <sheetName val="Chart1 (2)"/>
      <sheetName val="USSR"/>
      <sheetName val="RealGDP"/>
      <sheetName val="Export"/>
      <sheetName val="Import"/>
      <sheetName val="GDPcap"/>
      <sheetName val="GDPcap (PPP, nom)"/>
      <sheetName val="GDPcap (PPP, real)"/>
      <sheetName val="Energy"/>
      <sheetName val="EnergyIntensity"/>
      <sheetName val="CO2"/>
      <sheetName val="CO2IntEnergy"/>
      <sheetName val="CO2IntEconomy"/>
      <sheetName val="CO2transfer"/>
      <sheetName val="TaxShare"/>
      <sheetName val="TaxRevenue"/>
      <sheetName val="GDPAgShare"/>
      <sheetName val="CH4"/>
      <sheetName val="CH4AgShare"/>
      <sheetName val="CH4Ag"/>
      <sheetName val="CH4IntAgEcon"/>
      <sheetName val="N2O"/>
      <sheetName val="N2OAgShare"/>
      <sheetName val="N2OAg"/>
      <sheetName val="N2OIntAgEcon"/>
      <sheetName val="Democracy"/>
      <sheetName val="Chart2"/>
      <sheetName val="Chart3"/>
      <sheetName val="Chart4"/>
      <sheetName val="Chart5"/>
    </sheetNames>
    <sheetDataSet>
      <sheetData sheetId="0" refreshError="1">
        <row r="2">
          <cell r="D2">
            <v>1960</v>
          </cell>
        </row>
        <row r="3">
          <cell r="BB3">
            <v>28397812</v>
          </cell>
        </row>
        <row r="4">
          <cell r="BB4">
            <v>3150143</v>
          </cell>
        </row>
        <row r="5">
          <cell r="BB5">
            <v>37062820</v>
          </cell>
        </row>
        <row r="8">
          <cell r="BB8">
            <v>19549124</v>
          </cell>
        </row>
        <row r="11">
          <cell r="BB11">
            <v>87233</v>
          </cell>
        </row>
        <row r="12">
          <cell r="BB12">
            <v>40374224</v>
          </cell>
        </row>
        <row r="13">
          <cell r="BB13">
            <v>2963496</v>
          </cell>
        </row>
        <row r="15">
          <cell r="BB15">
            <v>22065300</v>
          </cell>
        </row>
        <row r="16">
          <cell r="BB16">
            <v>8389771</v>
          </cell>
        </row>
        <row r="17">
          <cell r="BB17">
            <v>9054332</v>
          </cell>
        </row>
        <row r="18">
          <cell r="BB18">
            <v>360498</v>
          </cell>
        </row>
        <row r="19">
          <cell r="BB19">
            <v>1251513</v>
          </cell>
        </row>
        <row r="20">
          <cell r="BB20">
            <v>151125475</v>
          </cell>
        </row>
        <row r="21">
          <cell r="BB21">
            <v>280396</v>
          </cell>
        </row>
        <row r="22">
          <cell r="BB22">
            <v>9490000</v>
          </cell>
        </row>
        <row r="23">
          <cell r="BB23">
            <v>10895586</v>
          </cell>
        </row>
        <row r="24">
          <cell r="BB24">
            <v>308595</v>
          </cell>
        </row>
        <row r="25">
          <cell r="BB25">
            <v>9509798</v>
          </cell>
        </row>
        <row r="26">
          <cell r="BB26">
            <v>65124</v>
          </cell>
        </row>
        <row r="27">
          <cell r="BB27">
            <v>716939</v>
          </cell>
        </row>
        <row r="28">
          <cell r="BB28">
            <v>10156601</v>
          </cell>
        </row>
        <row r="29">
          <cell r="BB29">
            <v>3845929</v>
          </cell>
        </row>
        <row r="30">
          <cell r="BB30">
            <v>1969341</v>
          </cell>
        </row>
        <row r="32">
          <cell r="BB32">
            <v>195210154</v>
          </cell>
        </row>
        <row r="35">
          <cell r="BB35">
            <v>400569</v>
          </cell>
        </row>
        <row r="36">
          <cell r="BB36">
            <v>7534289</v>
          </cell>
        </row>
        <row r="37">
          <cell r="BB37">
            <v>15540284</v>
          </cell>
        </row>
        <row r="38">
          <cell r="BB38">
            <v>9232753</v>
          </cell>
        </row>
        <row r="39">
          <cell r="BB39">
            <v>18976588</v>
          </cell>
        </row>
        <row r="40">
          <cell r="BB40">
            <v>14364931</v>
          </cell>
        </row>
        <row r="41">
          <cell r="BB41">
            <v>20624343</v>
          </cell>
        </row>
        <row r="42">
          <cell r="BB42">
            <v>34126547</v>
          </cell>
        </row>
        <row r="43">
          <cell r="BB43">
            <v>487601</v>
          </cell>
        </row>
        <row r="45">
          <cell r="BB45">
            <v>4349921</v>
          </cell>
        </row>
        <row r="46">
          <cell r="BB46">
            <v>11720781</v>
          </cell>
        </row>
        <row r="47">
          <cell r="BB47">
            <v>17150760</v>
          </cell>
        </row>
        <row r="48">
          <cell r="BB48">
            <v>1337705000</v>
          </cell>
        </row>
        <row r="51">
          <cell r="BB51">
            <v>46444798</v>
          </cell>
        </row>
        <row r="52">
          <cell r="BB52">
            <v>683081</v>
          </cell>
        </row>
        <row r="53">
          <cell r="BB53">
            <v>62191161</v>
          </cell>
        </row>
        <row r="54">
          <cell r="BB54">
            <v>4111715</v>
          </cell>
        </row>
        <row r="56">
          <cell r="BB56">
            <v>4669685</v>
          </cell>
        </row>
        <row r="57">
          <cell r="BB57">
            <v>4417800</v>
          </cell>
        </row>
        <row r="58">
          <cell r="BB58">
            <v>11281768</v>
          </cell>
        </row>
        <row r="59">
          <cell r="BB59">
            <v>1103685</v>
          </cell>
        </row>
        <row r="60">
          <cell r="BB60">
            <v>10519792</v>
          </cell>
        </row>
        <row r="61">
          <cell r="BB61">
            <v>5547683</v>
          </cell>
        </row>
        <row r="62">
          <cell r="BB62">
            <v>834036</v>
          </cell>
        </row>
        <row r="63">
          <cell r="BB63">
            <v>71167</v>
          </cell>
        </row>
        <row r="64">
          <cell r="BB64">
            <v>10016797</v>
          </cell>
        </row>
        <row r="65">
          <cell r="BB65">
            <v>15001072</v>
          </cell>
        </row>
        <row r="66">
          <cell r="BB66">
            <v>78075705</v>
          </cell>
        </row>
        <row r="67">
          <cell r="BB67">
            <v>6218195</v>
          </cell>
        </row>
        <row r="68">
          <cell r="BB68">
            <v>696167</v>
          </cell>
        </row>
        <row r="69">
          <cell r="BB69">
            <v>5741159</v>
          </cell>
        </row>
        <row r="70">
          <cell r="BB70">
            <v>1340161</v>
          </cell>
        </row>
        <row r="71">
          <cell r="BB71">
            <v>87095281</v>
          </cell>
        </row>
        <row r="74">
          <cell r="BB74">
            <v>860559</v>
          </cell>
        </row>
        <row r="75">
          <cell r="BB75">
            <v>5363352</v>
          </cell>
        </row>
        <row r="76">
          <cell r="BB76">
            <v>65031235</v>
          </cell>
        </row>
        <row r="80">
          <cell r="BB80">
            <v>1556222</v>
          </cell>
        </row>
        <row r="81">
          <cell r="BB81">
            <v>1680640</v>
          </cell>
        </row>
        <row r="83">
          <cell r="BB83">
            <v>4452800</v>
          </cell>
        </row>
        <row r="84">
          <cell r="BB84">
            <v>81776930</v>
          </cell>
        </row>
        <row r="85">
          <cell r="BB85">
            <v>24262901</v>
          </cell>
        </row>
        <row r="87">
          <cell r="BB87">
            <v>11307502</v>
          </cell>
        </row>
        <row r="89">
          <cell r="BB89">
            <v>104677</v>
          </cell>
        </row>
        <row r="92">
          <cell r="BB92">
            <v>14341576</v>
          </cell>
        </row>
        <row r="94">
          <cell r="BB94">
            <v>10876033</v>
          </cell>
        </row>
        <row r="95">
          <cell r="BB95">
            <v>1586624</v>
          </cell>
        </row>
        <row r="96">
          <cell r="BB96">
            <v>786126</v>
          </cell>
        </row>
        <row r="97">
          <cell r="BB97">
            <v>9896400</v>
          </cell>
        </row>
        <row r="99">
          <cell r="BB99">
            <v>7621204</v>
          </cell>
        </row>
        <row r="100">
          <cell r="BB100">
            <v>7024200</v>
          </cell>
        </row>
        <row r="101">
          <cell r="BB101">
            <v>10000023</v>
          </cell>
        </row>
        <row r="102">
          <cell r="BB102">
            <v>318041</v>
          </cell>
        </row>
        <row r="103">
          <cell r="BB103">
            <v>1205624648</v>
          </cell>
        </row>
        <row r="104">
          <cell r="BB104">
            <v>240676485</v>
          </cell>
        </row>
        <row r="105">
          <cell r="BB105">
            <v>74462314</v>
          </cell>
        </row>
        <row r="106">
          <cell r="BB106">
            <v>30962380</v>
          </cell>
        </row>
        <row r="107">
          <cell r="BB107">
            <v>4474356</v>
          </cell>
        </row>
        <row r="109">
          <cell r="BB109">
            <v>7623600</v>
          </cell>
        </row>
        <row r="110">
          <cell r="BB110">
            <v>60483385</v>
          </cell>
        </row>
        <row r="112">
          <cell r="BB112">
            <v>127450459</v>
          </cell>
        </row>
        <row r="114">
          <cell r="BB114">
            <v>6046000</v>
          </cell>
        </row>
        <row r="115">
          <cell r="BB115">
            <v>16323287</v>
          </cell>
        </row>
        <row r="116">
          <cell r="BB116">
            <v>40909194</v>
          </cell>
        </row>
        <row r="117">
          <cell r="BB117">
            <v>97743</v>
          </cell>
        </row>
        <row r="118">
          <cell r="BB118">
            <v>1775680</v>
          </cell>
        </row>
        <row r="119">
          <cell r="BB119">
            <v>2991580</v>
          </cell>
        </row>
        <row r="120">
          <cell r="BB120">
            <v>5447900</v>
          </cell>
        </row>
        <row r="121">
          <cell r="BB121">
            <v>6395713</v>
          </cell>
        </row>
        <row r="122">
          <cell r="BB122">
            <v>2239008</v>
          </cell>
        </row>
        <row r="123">
          <cell r="BB123">
            <v>4341092</v>
          </cell>
        </row>
        <row r="124">
          <cell r="BB124">
            <v>2008921</v>
          </cell>
        </row>
        <row r="125">
          <cell r="BB125">
            <v>3957990</v>
          </cell>
        </row>
        <row r="126">
          <cell r="BB126">
            <v>6040612</v>
          </cell>
        </row>
        <row r="128">
          <cell r="BB128">
            <v>3286820</v>
          </cell>
        </row>
        <row r="129">
          <cell r="BB129">
            <v>506953</v>
          </cell>
        </row>
        <row r="130">
          <cell r="BB130">
            <v>534626</v>
          </cell>
        </row>
        <row r="131">
          <cell r="BB131">
            <v>2102216</v>
          </cell>
        </row>
        <row r="132">
          <cell r="BB132">
            <v>21079532</v>
          </cell>
        </row>
        <row r="133">
          <cell r="BB133">
            <v>15013694</v>
          </cell>
        </row>
        <row r="134">
          <cell r="BB134">
            <v>28275835</v>
          </cell>
        </row>
        <row r="135">
          <cell r="BB135">
            <v>325694</v>
          </cell>
        </row>
        <row r="136">
          <cell r="BB136">
            <v>13985961</v>
          </cell>
        </row>
        <row r="137">
          <cell r="BB137">
            <v>415995</v>
          </cell>
        </row>
        <row r="138">
          <cell r="BB138">
            <v>52428</v>
          </cell>
        </row>
        <row r="140">
          <cell r="BB140">
            <v>3609420</v>
          </cell>
        </row>
        <row r="141">
          <cell r="BB141">
            <v>1280924</v>
          </cell>
        </row>
        <row r="143">
          <cell r="BB143">
            <v>117886404</v>
          </cell>
        </row>
        <row r="144">
          <cell r="BB144">
            <v>103619</v>
          </cell>
        </row>
        <row r="145">
          <cell r="BB145">
            <v>3562062</v>
          </cell>
        </row>
        <row r="147">
          <cell r="BB147">
            <v>2712738</v>
          </cell>
        </row>
        <row r="148">
          <cell r="BB148">
            <v>620078</v>
          </cell>
        </row>
        <row r="150">
          <cell r="BB150">
            <v>31642360</v>
          </cell>
        </row>
        <row r="151">
          <cell r="BB151">
            <v>23967265</v>
          </cell>
        </row>
        <row r="153">
          <cell r="BB153">
            <v>2178967</v>
          </cell>
        </row>
        <row r="155">
          <cell r="BB155">
            <v>26846016</v>
          </cell>
        </row>
        <row r="156">
          <cell r="BB156">
            <v>16615394</v>
          </cell>
        </row>
        <row r="159">
          <cell r="BB159">
            <v>4367800</v>
          </cell>
        </row>
        <row r="160">
          <cell r="BB160">
            <v>5822209</v>
          </cell>
        </row>
        <row r="161">
          <cell r="BB161">
            <v>15893746</v>
          </cell>
        </row>
        <row r="162">
          <cell r="BB162">
            <v>159707780</v>
          </cell>
        </row>
        <row r="167">
          <cell r="BB167">
            <v>4889252</v>
          </cell>
        </row>
        <row r="168">
          <cell r="BB168">
            <v>2802768</v>
          </cell>
        </row>
        <row r="169">
          <cell r="BB169">
            <v>173149306</v>
          </cell>
        </row>
        <row r="170">
          <cell r="BB170">
            <v>20470</v>
          </cell>
        </row>
        <row r="171">
          <cell r="BB171">
            <v>3811102</v>
          </cell>
        </row>
        <row r="172">
          <cell r="BB172">
            <v>3678128</v>
          </cell>
        </row>
        <row r="173">
          <cell r="BB173">
            <v>6858945</v>
          </cell>
        </row>
        <row r="174">
          <cell r="BB174">
            <v>6459721</v>
          </cell>
        </row>
        <row r="175">
          <cell r="BB175">
            <v>29262830</v>
          </cell>
        </row>
        <row r="176">
          <cell r="BB176">
            <v>93444322</v>
          </cell>
        </row>
        <row r="178">
          <cell r="BB178">
            <v>38183683</v>
          </cell>
        </row>
        <row r="179">
          <cell r="BB179">
            <v>10637346</v>
          </cell>
        </row>
        <row r="180">
          <cell r="BB180">
            <v>3721208</v>
          </cell>
        </row>
        <row r="181">
          <cell r="BB181">
            <v>1749713</v>
          </cell>
        </row>
        <row r="183">
          <cell r="BB183">
            <v>21438001</v>
          </cell>
        </row>
        <row r="184">
          <cell r="BB184">
            <v>142389000</v>
          </cell>
        </row>
        <row r="185">
          <cell r="BB185">
            <v>10836732</v>
          </cell>
        </row>
        <row r="186">
          <cell r="BB186">
            <v>178228</v>
          </cell>
        </row>
        <row r="188">
          <cell r="BB188">
            <v>52352</v>
          </cell>
        </row>
        <row r="189">
          <cell r="BB189">
            <v>177397</v>
          </cell>
        </row>
        <row r="191">
          <cell r="BB191">
            <v>109316</v>
          </cell>
        </row>
        <row r="192">
          <cell r="BB192">
            <v>186029</v>
          </cell>
        </row>
        <row r="194">
          <cell r="BB194">
            <v>27258387</v>
          </cell>
        </row>
        <row r="195">
          <cell r="BB195">
            <v>12950564</v>
          </cell>
        </row>
        <row r="196">
          <cell r="BB196">
            <v>7291436</v>
          </cell>
        </row>
        <row r="197">
          <cell r="BB197">
            <v>89770</v>
          </cell>
        </row>
        <row r="198">
          <cell r="BB198">
            <v>5751976</v>
          </cell>
        </row>
        <row r="199">
          <cell r="BB199">
            <v>5076700</v>
          </cell>
        </row>
        <row r="200">
          <cell r="BB200">
            <v>5430099</v>
          </cell>
        </row>
        <row r="201">
          <cell r="BB201">
            <v>2048583</v>
          </cell>
        </row>
        <row r="202">
          <cell r="BB202">
            <v>526447</v>
          </cell>
        </row>
        <row r="204">
          <cell r="BB204">
            <v>49991300</v>
          </cell>
        </row>
        <row r="206">
          <cell r="BB206">
            <v>49410000</v>
          </cell>
        </row>
        <row r="207">
          <cell r="BB207">
            <v>46070971</v>
          </cell>
        </row>
        <row r="208">
          <cell r="BB208">
            <v>20653000</v>
          </cell>
        </row>
        <row r="209">
          <cell r="BB209">
            <v>35652002</v>
          </cell>
        </row>
        <row r="210">
          <cell r="BB210">
            <v>524960</v>
          </cell>
        </row>
        <row r="212">
          <cell r="BB212">
            <v>1193148</v>
          </cell>
        </row>
        <row r="213">
          <cell r="BB213">
            <v>9378126</v>
          </cell>
        </row>
        <row r="214">
          <cell r="BB214">
            <v>7824909</v>
          </cell>
        </row>
        <row r="217">
          <cell r="BB217">
            <v>7627326</v>
          </cell>
        </row>
        <row r="218">
          <cell r="BB218">
            <v>44973330</v>
          </cell>
        </row>
        <row r="219">
          <cell r="BB219">
            <v>66402316</v>
          </cell>
        </row>
        <row r="220">
          <cell r="BB220">
            <v>1142502</v>
          </cell>
        </row>
        <row r="221">
          <cell r="BB221">
            <v>6306014</v>
          </cell>
        </row>
        <row r="223">
          <cell r="BB223">
            <v>104098</v>
          </cell>
        </row>
        <row r="224">
          <cell r="BB224">
            <v>1328095</v>
          </cell>
        </row>
        <row r="225">
          <cell r="BB225">
            <v>10549100</v>
          </cell>
        </row>
        <row r="226">
          <cell r="BB226">
            <v>72137546</v>
          </cell>
        </row>
        <row r="227">
          <cell r="BB227">
            <v>5041995</v>
          </cell>
        </row>
        <row r="229">
          <cell r="BB229">
            <v>9827</v>
          </cell>
        </row>
        <row r="232">
          <cell r="BB232">
            <v>33987213</v>
          </cell>
        </row>
        <row r="233">
          <cell r="BB233">
            <v>45870700</v>
          </cell>
        </row>
        <row r="234">
          <cell r="BB234">
            <v>8441537</v>
          </cell>
        </row>
        <row r="235">
          <cell r="BB235">
            <v>62271177</v>
          </cell>
        </row>
        <row r="236">
          <cell r="BB236">
            <v>309326225</v>
          </cell>
        </row>
        <row r="237">
          <cell r="BB237">
            <v>3371982</v>
          </cell>
        </row>
        <row r="238">
          <cell r="BB238">
            <v>28562400</v>
          </cell>
        </row>
        <row r="239">
          <cell r="BB239">
            <v>236299</v>
          </cell>
        </row>
        <row r="241">
          <cell r="BB241">
            <v>29043283</v>
          </cell>
        </row>
        <row r="242">
          <cell r="BB242">
            <v>86932500</v>
          </cell>
        </row>
        <row r="245">
          <cell r="BB245">
            <v>22763008</v>
          </cell>
        </row>
        <row r="246">
          <cell r="BB246">
            <v>13216985</v>
          </cell>
        </row>
        <row r="247">
          <cell r="BB247">
            <v>13076978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C3">
            <v>1</v>
          </cell>
          <cell r="BB3">
            <v>10243250245.699793</v>
          </cell>
        </row>
        <row r="4">
          <cell r="BB4">
            <v>10725150216.110325</v>
          </cell>
        </row>
        <row r="5">
          <cell r="BB5">
            <v>116511760871.08984</v>
          </cell>
        </row>
        <row r="8">
          <cell r="BB8">
            <v>50371160616.47271</v>
          </cell>
        </row>
        <row r="11">
          <cell r="BB11">
            <v>1012173532.2035601</v>
          </cell>
        </row>
        <row r="12">
          <cell r="BB12">
            <v>293697869622.22595</v>
          </cell>
        </row>
        <row r="13">
          <cell r="BB13">
            <v>5918216827.4621973</v>
          </cell>
        </row>
        <row r="15">
          <cell r="BB15">
            <v>797442264201.02002</v>
          </cell>
        </row>
        <row r="16">
          <cell r="BB16">
            <v>325550262356.948</v>
          </cell>
        </row>
        <row r="17">
          <cell r="BB17">
            <v>28310397706.794827</v>
          </cell>
        </row>
        <row r="18">
          <cell r="BB18">
            <v>7575468595.4633093</v>
          </cell>
        </row>
        <row r="19">
          <cell r="BB19">
            <v>20928102319.771168</v>
          </cell>
        </row>
        <row r="20">
          <cell r="BB20">
            <v>81471733197.377762</v>
          </cell>
        </row>
        <row r="21">
          <cell r="BB21">
            <v>4033125824.922358</v>
          </cell>
        </row>
        <row r="22">
          <cell r="BB22">
            <v>42955347353.866852</v>
          </cell>
        </row>
        <row r="23">
          <cell r="BB23">
            <v>400383139123.5824</v>
          </cell>
        </row>
        <row r="24">
          <cell r="BB24">
            <v>1277265951.2394526</v>
          </cell>
        </row>
        <row r="25">
          <cell r="BB25">
            <v>5230812507.6709518</v>
          </cell>
        </row>
        <row r="26">
          <cell r="BB26">
            <v>4975071875.076025</v>
          </cell>
        </row>
        <row r="27">
          <cell r="BB27">
            <v>1288216614.4579239</v>
          </cell>
        </row>
        <row r="28">
          <cell r="BB28">
            <v>11954060130.08857</v>
          </cell>
        </row>
        <row r="29">
          <cell r="BB29">
            <v>12803068421.085346</v>
          </cell>
        </row>
        <row r="30">
          <cell r="BB30">
            <v>12116816308.861942</v>
          </cell>
        </row>
        <row r="32">
          <cell r="BB32">
            <v>1096754010432.5254</v>
          </cell>
        </row>
        <row r="35">
          <cell r="BB35">
            <v>9849702194.2507877</v>
          </cell>
        </row>
        <row r="36">
          <cell r="BB36">
            <v>32991740544.129009</v>
          </cell>
        </row>
        <row r="37">
          <cell r="BB37">
            <v>7105465610.4591045</v>
          </cell>
        </row>
        <row r="38">
          <cell r="BB38">
            <v>1391766915.34813</v>
          </cell>
        </row>
        <row r="39">
          <cell r="BB39">
            <v>18173099407.3027</v>
          </cell>
        </row>
        <row r="40">
          <cell r="BB40">
            <v>8693197235.5684757</v>
          </cell>
        </row>
        <row r="41">
          <cell r="BB41">
            <v>19209829592.645119</v>
          </cell>
        </row>
        <row r="42">
          <cell r="BB42">
            <v>1240064039807.2598</v>
          </cell>
        </row>
        <row r="43">
          <cell r="BB43">
            <v>1291490221.8474941</v>
          </cell>
        </row>
        <row r="45">
          <cell r="BB45">
            <v>1895403784.9660907</v>
          </cell>
        </row>
        <row r="46">
          <cell r="BB46">
            <v>8425171572.2620554</v>
          </cell>
        </row>
        <row r="47">
          <cell r="BB47">
            <v>147668421646.38379</v>
          </cell>
        </row>
        <row r="48">
          <cell r="BB48">
            <v>3839284159376.0742</v>
          </cell>
        </row>
        <row r="51">
          <cell r="BB51">
            <v>182893446717.7428</v>
          </cell>
        </row>
        <row r="52">
          <cell r="BB52">
            <v>413107576.03941357</v>
          </cell>
        </row>
        <row r="53">
          <cell r="BB53">
            <v>15665220568.04055</v>
          </cell>
        </row>
        <row r="54">
          <cell r="BB54">
            <v>7852666838.4847937</v>
          </cell>
        </row>
        <row r="56">
          <cell r="BB56">
            <v>25017792422.605213</v>
          </cell>
        </row>
        <row r="57">
          <cell r="BB57">
            <v>45872253522.123985</v>
          </cell>
        </row>
        <row r="58">
          <cell r="BB58">
            <v>55436887630.693001</v>
          </cell>
        </row>
        <row r="59">
          <cell r="BB59">
            <v>19207097486.442326</v>
          </cell>
        </row>
        <row r="60">
          <cell r="BB60">
            <v>148480783612.59024</v>
          </cell>
        </row>
        <row r="61">
          <cell r="BB61">
            <v>256817427641.90231</v>
          </cell>
        </row>
        <row r="62">
          <cell r="BB62">
            <v>905664174.69392717</v>
          </cell>
        </row>
        <row r="63">
          <cell r="BB63">
            <v>452332573.93279916</v>
          </cell>
        </row>
        <row r="64">
          <cell r="BB64">
            <v>47848657632.10955</v>
          </cell>
        </row>
        <row r="65">
          <cell r="BB65">
            <v>48764673104.869774</v>
          </cell>
        </row>
        <row r="66">
          <cell r="BB66">
            <v>121036124473.08067</v>
          </cell>
        </row>
        <row r="67">
          <cell r="BB67">
            <v>18341273339.874924</v>
          </cell>
        </row>
        <row r="68">
          <cell r="BB68">
            <v>8071655046.0093536</v>
          </cell>
        </row>
        <row r="69">
          <cell r="BB69">
            <v>1056636372.397827</v>
          </cell>
        </row>
        <row r="70">
          <cell r="BB70">
            <v>13897254466.99498</v>
          </cell>
        </row>
        <row r="71">
          <cell r="BB71">
            <v>20402844449.621059</v>
          </cell>
        </row>
        <row r="74">
          <cell r="BB74">
            <v>3032066121.2225323</v>
          </cell>
        </row>
        <row r="75">
          <cell r="BB75">
            <v>204154134528.24445</v>
          </cell>
        </row>
        <row r="76">
          <cell r="BB76">
            <v>2204446339914.4404</v>
          </cell>
        </row>
        <row r="80">
          <cell r="BB80">
            <v>9684595588.4366875</v>
          </cell>
        </row>
        <row r="81">
          <cell r="BB81">
            <v>784275580.67721629</v>
          </cell>
        </row>
        <row r="83">
          <cell r="BB83">
            <v>8241335082.6298161</v>
          </cell>
        </row>
        <row r="84">
          <cell r="BB84">
            <v>2954359050887.9268</v>
          </cell>
        </row>
        <row r="85">
          <cell r="BB85">
            <v>14804825656.667994</v>
          </cell>
        </row>
        <row r="87">
          <cell r="BB87">
            <v>240951131470.42734</v>
          </cell>
        </row>
        <row r="89">
          <cell r="BB89">
            <v>664521216.22512019</v>
          </cell>
        </row>
        <row r="92">
          <cell r="BB92">
            <v>32556756308.965832</v>
          </cell>
        </row>
        <row r="94">
          <cell r="BB94">
            <v>3267609254.7415366</v>
          </cell>
        </row>
        <row r="95">
          <cell r="BB95">
            <v>654977405.69626474</v>
          </cell>
        </row>
        <row r="96">
          <cell r="BB96">
            <v>918902044.7624557</v>
          </cell>
        </row>
        <row r="97">
          <cell r="BB97">
            <v>4312557777.9740305</v>
          </cell>
        </row>
        <row r="99">
          <cell r="BB99">
            <v>11546063422.563662</v>
          </cell>
        </row>
        <row r="100">
          <cell r="BB100">
            <v>220058248223.22446</v>
          </cell>
        </row>
        <row r="101">
          <cell r="BB101">
            <v>109264940823.83978</v>
          </cell>
        </row>
        <row r="102">
          <cell r="BB102">
            <v>16388138908.052595</v>
          </cell>
        </row>
        <row r="103">
          <cell r="BB103">
            <v>1243675499465.8105</v>
          </cell>
        </row>
        <row r="104">
          <cell r="BB104">
            <v>377898889669.60541</v>
          </cell>
        </row>
        <row r="105">
          <cell r="BB105">
            <v>242702371179.19858</v>
          </cell>
        </row>
        <row r="106">
          <cell r="BB106">
            <v>67270649065.243828</v>
          </cell>
        </row>
        <row r="107">
          <cell r="BB107">
            <v>203306959563.6236</v>
          </cell>
        </row>
        <row r="109">
          <cell r="BB109">
            <v>169010664818.13025</v>
          </cell>
        </row>
        <row r="110">
          <cell r="BB110">
            <v>1763885790470.2776</v>
          </cell>
        </row>
        <row r="112">
          <cell r="BB112">
            <v>4648468621132.7568</v>
          </cell>
        </row>
        <row r="114">
          <cell r="BB114">
            <v>17034536275.580128</v>
          </cell>
        </row>
        <row r="115">
          <cell r="BB115">
            <v>77245319067.247726</v>
          </cell>
        </row>
        <row r="116">
          <cell r="BB116">
            <v>23525253225.790203</v>
          </cell>
        </row>
        <row r="117">
          <cell r="BB117">
            <v>110681568.59474988</v>
          </cell>
        </row>
        <row r="118">
          <cell r="BB118">
            <v>4776327556.26161</v>
          </cell>
        </row>
        <row r="119">
          <cell r="BB119">
            <v>85606896366.229919</v>
          </cell>
        </row>
        <row r="120">
          <cell r="BB120">
            <v>3055806771.435782</v>
          </cell>
        </row>
        <row r="121">
          <cell r="BB121">
            <v>4021824831.5087829</v>
          </cell>
        </row>
        <row r="122">
          <cell r="BB122">
            <v>15502642580.339478</v>
          </cell>
        </row>
        <row r="123">
          <cell r="BB123">
            <v>30751708803.782261</v>
          </cell>
        </row>
        <row r="124">
          <cell r="BB124">
            <v>1749548111.1919663</v>
          </cell>
        </row>
        <row r="125">
          <cell r="BB125">
            <v>960255604.18450153</v>
          </cell>
        </row>
        <row r="126">
          <cell r="BB126">
            <v>54963979226.010597</v>
          </cell>
        </row>
        <row r="128">
          <cell r="BB128">
            <v>27346902406.20084</v>
          </cell>
        </row>
        <row r="129">
          <cell r="BB129">
            <v>40696164751.529617</v>
          </cell>
        </row>
        <row r="130">
          <cell r="BB130">
            <v>20684154508.54776</v>
          </cell>
        </row>
        <row r="131">
          <cell r="BB131">
            <v>7140636379.2323322</v>
          </cell>
        </row>
        <row r="132">
          <cell r="BB132">
            <v>5759450979.3430977</v>
          </cell>
        </row>
        <row r="133">
          <cell r="BB133">
            <v>3290262502.0248256</v>
          </cell>
        </row>
        <row r="134">
          <cell r="BB134">
            <v>178672208075.05682</v>
          </cell>
        </row>
        <row r="135">
          <cell r="BB135">
            <v>1518834121.3135984</v>
          </cell>
        </row>
        <row r="136">
          <cell r="BB136">
            <v>6971653980.9015436</v>
          </cell>
        </row>
        <row r="137">
          <cell r="BB137">
            <v>6652772997.1789989</v>
          </cell>
        </row>
        <row r="138">
          <cell r="BB138">
            <v>147320121.96961504</v>
          </cell>
        </row>
        <row r="140">
          <cell r="BB140">
            <v>2814034804.5275235</v>
          </cell>
        </row>
        <row r="141">
          <cell r="BB141">
            <v>7826157631.8455935</v>
          </cell>
        </row>
        <row r="143">
          <cell r="BB143">
            <v>953067840505.29358</v>
          </cell>
        </row>
        <row r="144">
          <cell r="BB144">
            <v>246418335.62772667</v>
          </cell>
        </row>
        <row r="145">
          <cell r="BB145">
            <v>3501430331.6016059</v>
          </cell>
        </row>
        <row r="147">
          <cell r="BB147">
            <v>3453733409.7557302</v>
          </cell>
        </row>
        <row r="148">
          <cell r="BB148">
            <v>2803866144.4280138</v>
          </cell>
        </row>
        <row r="150">
          <cell r="BB150">
            <v>75523499823.662308</v>
          </cell>
        </row>
        <row r="151">
          <cell r="BB151">
            <v>9127794918.9110737</v>
          </cell>
        </row>
        <row r="153">
          <cell r="BB153">
            <v>8936748666.272974</v>
          </cell>
        </row>
        <row r="155">
          <cell r="BB155">
            <v>10103288981.142262</v>
          </cell>
        </row>
        <row r="156">
          <cell r="BB156">
            <v>683063473113.4657</v>
          </cell>
        </row>
        <row r="159">
          <cell r="BB159">
            <v>120042479359.5708</v>
          </cell>
        </row>
        <row r="160">
          <cell r="BB160">
            <v>7163269747.9907646</v>
          </cell>
        </row>
        <row r="161">
          <cell r="BB161">
            <v>4381636014.6785507</v>
          </cell>
        </row>
        <row r="162">
          <cell r="BB162">
            <v>159017874554.81158</v>
          </cell>
        </row>
        <row r="167">
          <cell r="BB167">
            <v>315796662786.18549</v>
          </cell>
        </row>
        <row r="168">
          <cell r="BB168">
            <v>41935096066.201286</v>
          </cell>
        </row>
        <row r="169">
          <cell r="BB169">
            <v>129517496849.86209</v>
          </cell>
        </row>
        <row r="170">
          <cell r="BB170">
            <v>180183623.83524305</v>
          </cell>
        </row>
        <row r="171">
          <cell r="BB171">
            <v>4836140076.078743</v>
          </cell>
        </row>
        <row r="172">
          <cell r="BB172">
            <v>22603329668.360188</v>
          </cell>
        </row>
        <row r="173">
          <cell r="BB173">
            <v>6553203635.5810919</v>
          </cell>
        </row>
        <row r="174">
          <cell r="BB174">
            <v>11148152913.231319</v>
          </cell>
        </row>
        <row r="175">
          <cell r="BB175">
            <v>103487662932.25778</v>
          </cell>
        </row>
        <row r="176">
          <cell r="BB176">
            <v>131131009140.35426</v>
          </cell>
        </row>
        <row r="178">
          <cell r="BB178">
            <v>383205737633.98334</v>
          </cell>
        </row>
        <row r="179">
          <cell r="BB179">
            <v>197164604092.98117</v>
          </cell>
        </row>
        <row r="180">
          <cell r="BB180">
            <v>77337254437.921829</v>
          </cell>
        </row>
        <row r="181">
          <cell r="BB181">
            <v>101932972130.43025</v>
          </cell>
        </row>
        <row r="183">
          <cell r="BB183">
            <v>114088972368.88327</v>
          </cell>
        </row>
        <row r="184">
          <cell r="BB184">
            <v>909241662711.50525</v>
          </cell>
        </row>
        <row r="185">
          <cell r="BB185">
            <v>3785756661.0048919</v>
          </cell>
        </row>
        <row r="186">
          <cell r="BB186">
            <v>167926229.92155305</v>
          </cell>
        </row>
        <row r="188">
          <cell r="BB188">
            <v>554642952.86511683</v>
          </cell>
        </row>
        <row r="189">
          <cell r="BB189">
            <v>1083804878.6319301</v>
          </cell>
        </row>
        <row r="191">
          <cell r="BB191">
            <v>589844929.93824661</v>
          </cell>
        </row>
        <row r="192">
          <cell r="BB192">
            <v>426326498.14749146</v>
          </cell>
        </row>
        <row r="194">
          <cell r="BB194">
            <v>435991918415.44006</v>
          </cell>
        </row>
        <row r="195">
          <cell r="BB195">
            <v>10366034228.236326</v>
          </cell>
        </row>
        <row r="196">
          <cell r="BB196">
            <v>27876766882.558659</v>
          </cell>
        </row>
        <row r="197">
          <cell r="BB197">
            <v>1135149255.7550099</v>
          </cell>
        </row>
        <row r="198">
          <cell r="BB198">
            <v>2130751272.7919905</v>
          </cell>
        </row>
        <row r="199">
          <cell r="BB199">
            <v>176457991287.06442</v>
          </cell>
        </row>
        <row r="200">
          <cell r="BB200">
            <v>76899962691.20755</v>
          </cell>
        </row>
        <row r="201">
          <cell r="BB201">
            <v>39034227961.239731</v>
          </cell>
        </row>
        <row r="202">
          <cell r="BB202">
            <v>522614190.24701446</v>
          </cell>
        </row>
        <row r="204">
          <cell r="BB204">
            <v>289811738503.83063</v>
          </cell>
        </row>
        <row r="206">
          <cell r="BB206">
            <v>1098690046553.521</v>
          </cell>
        </row>
        <row r="207">
          <cell r="BB207">
            <v>1179232117935.5505</v>
          </cell>
        </row>
        <row r="208">
          <cell r="BB208">
            <v>33253082140.166439</v>
          </cell>
        </row>
        <row r="209">
          <cell r="BB209">
            <v>35822262376.238686</v>
          </cell>
        </row>
        <row r="210">
          <cell r="BB210">
            <v>2188868338.2963519</v>
          </cell>
        </row>
        <row r="212">
          <cell r="BB212">
            <v>2917342648.1127834</v>
          </cell>
        </row>
        <row r="213">
          <cell r="BB213">
            <v>401624584927.2937</v>
          </cell>
        </row>
        <row r="214">
          <cell r="BB214">
            <v>427575024211.02106</v>
          </cell>
        </row>
        <row r="217">
          <cell r="BB217">
            <v>3181403840.3997879</v>
          </cell>
        </row>
        <row r="218">
          <cell r="BB218">
            <v>19720449298.896339</v>
          </cell>
        </row>
        <row r="219">
          <cell r="BB219">
            <v>210090542914.01364</v>
          </cell>
        </row>
        <row r="220">
          <cell r="BB220">
            <v>732847298.62475431</v>
          </cell>
        </row>
        <row r="221">
          <cell r="BB221">
            <v>2477349486.2692142</v>
          </cell>
        </row>
        <row r="223">
          <cell r="BB223">
            <v>268854242.96830958</v>
          </cell>
        </row>
        <row r="224">
          <cell r="BB224">
            <v>18988955441.46624</v>
          </cell>
        </row>
        <row r="225">
          <cell r="BB225">
            <v>40735443534.70594</v>
          </cell>
        </row>
        <row r="226">
          <cell r="BB226">
            <v>565091528615.37659</v>
          </cell>
        </row>
        <row r="227">
          <cell r="BB227">
            <v>13272686025.408352</v>
          </cell>
        </row>
        <row r="229">
          <cell r="BB229">
            <v>23813390.625238709</v>
          </cell>
        </row>
        <row r="232">
          <cell r="BB232">
            <v>13362034649.013441</v>
          </cell>
        </row>
        <row r="233">
          <cell r="BB233">
            <v>90577255847.674149</v>
          </cell>
        </row>
        <row r="234">
          <cell r="BB234">
            <v>204448097188.77359</v>
          </cell>
        </row>
        <row r="235">
          <cell r="BB235">
            <v>2360033739558.0132</v>
          </cell>
        </row>
        <row r="236">
          <cell r="BB236">
            <v>13595644353592.4</v>
          </cell>
        </row>
        <row r="237">
          <cell r="BB237">
            <v>22899299769.575714</v>
          </cell>
        </row>
        <row r="238">
          <cell r="BB238">
            <v>21491158366.324051</v>
          </cell>
        </row>
        <row r="239">
          <cell r="BB239">
            <v>503575271.44056231</v>
          </cell>
        </row>
        <row r="241">
          <cell r="BB241">
            <v>174552448164.40952</v>
          </cell>
        </row>
        <row r="242">
          <cell r="BB242">
            <v>78282167937.76619</v>
          </cell>
        </row>
        <row r="245">
          <cell r="BB245">
            <v>19989098341.112953</v>
          </cell>
        </row>
        <row r="246">
          <cell r="BB246">
            <v>9799629000.3266487</v>
          </cell>
        </row>
        <row r="247">
          <cell r="BB247">
            <v>5202304268.4389067</v>
          </cell>
        </row>
      </sheetData>
      <sheetData sheetId="7" refreshError="1"/>
      <sheetData sheetId="8" refreshError="1"/>
      <sheetData sheetId="9" refreshError="1">
        <row r="3">
          <cell r="BB3">
            <v>360.70561512625665</v>
          </cell>
        </row>
        <row r="4">
          <cell r="BB4">
            <v>3404.6550318859572</v>
          </cell>
        </row>
        <row r="5">
          <cell r="BB5">
            <v>3143.6291375316246</v>
          </cell>
        </row>
        <row r="8">
          <cell r="BB8">
            <v>2576.6454096087737</v>
          </cell>
        </row>
        <row r="11">
          <cell r="BB11">
            <v>11603.103552595465</v>
          </cell>
        </row>
        <row r="12">
          <cell r="BB12">
            <v>7274.3904532313973</v>
          </cell>
        </row>
        <row r="13">
          <cell r="BB13">
            <v>1997.0389119682286</v>
          </cell>
        </row>
        <row r="15">
          <cell r="BB15">
            <v>36140.105242213795</v>
          </cell>
        </row>
        <row r="16">
          <cell r="BB16">
            <v>38803.235792365253</v>
          </cell>
        </row>
        <row r="17">
          <cell r="BB17">
            <v>3126.7240594662121</v>
          </cell>
        </row>
        <row r="18">
          <cell r="BB18">
            <v>21013.899093651864</v>
          </cell>
        </row>
        <row r="19">
          <cell r="BB19">
            <v>16722.241255001882</v>
          </cell>
        </row>
        <row r="20">
          <cell r="BB20">
            <v>539.09993134762863</v>
          </cell>
        </row>
        <row r="21">
          <cell r="BB21">
            <v>14383.678172735552</v>
          </cell>
        </row>
        <row r="22">
          <cell r="BB22">
            <v>4526.3801215876556</v>
          </cell>
        </row>
        <row r="23">
          <cell r="BB23">
            <v>36747.279047091397</v>
          </cell>
        </row>
        <row r="24">
          <cell r="BB24">
            <v>4138.971633498445</v>
          </cell>
        </row>
        <row r="25">
          <cell r="BB25">
            <v>550.04454433952765</v>
          </cell>
        </row>
        <row r="26">
          <cell r="BB26">
            <v>76393.831384374804</v>
          </cell>
        </row>
        <row r="27">
          <cell r="BB27">
            <v>1796.8287601287193</v>
          </cell>
        </row>
        <row r="28">
          <cell r="BB28">
            <v>1176.9744750324021</v>
          </cell>
        </row>
        <row r="29">
          <cell r="BB29">
            <v>3328.9924023780331</v>
          </cell>
        </row>
        <row r="30">
          <cell r="BB30">
            <v>6152.7263733715708</v>
          </cell>
        </row>
        <row r="32">
          <cell r="BB32">
            <v>5618.3246002281494</v>
          </cell>
        </row>
        <row r="35">
          <cell r="BB35">
            <v>24589.277238754839</v>
          </cell>
        </row>
        <row r="36">
          <cell r="BB36">
            <v>4378.8790878779682</v>
          </cell>
        </row>
        <row r="37">
          <cell r="BB37">
            <v>457.22881322240346</v>
          </cell>
        </row>
        <row r="38">
          <cell r="BB38">
            <v>150.74235337478757</v>
          </cell>
        </row>
        <row r="39">
          <cell r="BB39">
            <v>957.65895361709386</v>
          </cell>
        </row>
        <row r="40">
          <cell r="BB40">
            <v>605.16804679176505</v>
          </cell>
        </row>
        <row r="41">
          <cell r="BB41">
            <v>931.41534703166633</v>
          </cell>
        </row>
        <row r="42">
          <cell r="BB42">
            <v>36337.22567382102</v>
          </cell>
        </row>
        <row r="43">
          <cell r="BB43">
            <v>2648.6619630548216</v>
          </cell>
        </row>
        <row r="45">
          <cell r="BB45">
            <v>435.73292134870741</v>
          </cell>
        </row>
        <row r="46">
          <cell r="BB46">
            <v>718.82339344639706</v>
          </cell>
        </row>
        <row r="47">
          <cell r="BB47">
            <v>8610.0220425441075</v>
          </cell>
        </row>
        <row r="48">
          <cell r="BB48">
            <v>2870.0529334764196</v>
          </cell>
        </row>
        <row r="51">
          <cell r="BB51">
            <v>3937.8672013546661</v>
          </cell>
        </row>
        <row r="52">
          <cell r="BB52">
            <v>604.77099500559018</v>
          </cell>
        </row>
        <row r="53">
          <cell r="BB53">
            <v>251.88821556234575</v>
          </cell>
        </row>
        <row r="54">
          <cell r="BB54">
            <v>1909.827611710635</v>
          </cell>
        </row>
        <row r="56">
          <cell r="BB56">
            <v>5357.4903708933716</v>
          </cell>
        </row>
        <row r="57">
          <cell r="BB57">
            <v>10383.506161918598</v>
          </cell>
        </row>
        <row r="58">
          <cell r="BB58">
            <v>4913.8475131462556</v>
          </cell>
        </row>
        <row r="59">
          <cell r="BB59">
            <v>17402.698674388368</v>
          </cell>
        </row>
        <row r="60">
          <cell r="BB60">
            <v>14114.421997373165</v>
          </cell>
        </row>
        <row r="61">
          <cell r="BB61">
            <v>46292.736560813282</v>
          </cell>
        </row>
        <row r="62">
          <cell r="BB62">
            <v>1085.8813944409201</v>
          </cell>
        </row>
        <row r="63">
          <cell r="BB63">
            <v>6355.9314560512476</v>
          </cell>
        </row>
        <row r="64">
          <cell r="BB64">
            <v>4776.8421015330105</v>
          </cell>
        </row>
        <row r="65">
          <cell r="BB65">
            <v>3250.7458870185928</v>
          </cell>
        </row>
        <row r="66">
          <cell r="BB66">
            <v>1550.2405578416574</v>
          </cell>
        </row>
        <row r="67">
          <cell r="BB67">
            <v>2949.613728722712</v>
          </cell>
        </row>
        <row r="68">
          <cell r="BB68">
            <v>11594.42353057435</v>
          </cell>
        </row>
        <row r="69">
          <cell r="BB69">
            <v>184.04582983990289</v>
          </cell>
        </row>
        <row r="70">
          <cell r="BB70">
            <v>10369.839494653985</v>
          </cell>
        </row>
        <row r="71">
          <cell r="BB71">
            <v>234.25889686975188</v>
          </cell>
        </row>
        <row r="74">
          <cell r="BB74">
            <v>3523.3680912320156</v>
          </cell>
        </row>
        <row r="75">
          <cell r="BB75">
            <v>38064.653322818347</v>
          </cell>
        </row>
        <row r="76">
          <cell r="BB76">
            <v>33898.26965325878</v>
          </cell>
        </row>
        <row r="80">
          <cell r="BB80">
            <v>6223.1452764687092</v>
          </cell>
        </row>
        <row r="81">
          <cell r="BB81">
            <v>466.6529302392043</v>
          </cell>
        </row>
        <row r="83">
          <cell r="BB83">
            <v>1850.8208503929698</v>
          </cell>
        </row>
        <row r="84">
          <cell r="BB84">
            <v>36127.047700224583</v>
          </cell>
        </row>
        <row r="85">
          <cell r="BB85">
            <v>610.18365679635724</v>
          </cell>
        </row>
        <row r="87">
          <cell r="BB87">
            <v>21308.962091753539</v>
          </cell>
        </row>
        <row r="89">
          <cell r="BB89">
            <v>6348.3020742390418</v>
          </cell>
        </row>
        <row r="92">
          <cell r="BB92">
            <v>2270.0961392922113</v>
          </cell>
        </row>
        <row r="94">
          <cell r="BB94">
            <v>300.44127805988973</v>
          </cell>
        </row>
        <row r="95">
          <cell r="BB95">
            <v>412.81198676955898</v>
          </cell>
        </row>
        <row r="96">
          <cell r="BB96">
            <v>1168.8991901583915</v>
          </cell>
        </row>
        <row r="97">
          <cell r="BB97">
            <v>435.77035871367673</v>
          </cell>
        </row>
        <row r="99">
          <cell r="BB99">
            <v>1514.9920435883439</v>
          </cell>
        </row>
        <row r="100">
          <cell r="BB100">
            <v>31328.585208738998</v>
          </cell>
        </row>
        <row r="101">
          <cell r="BB101">
            <v>10926.468951505391</v>
          </cell>
        </row>
        <row r="102">
          <cell r="BB102">
            <v>51528.384416011126</v>
          </cell>
        </row>
        <row r="103">
          <cell r="BB103">
            <v>1031.5611094455749</v>
          </cell>
        </row>
        <row r="104">
          <cell r="BB104">
            <v>1570.1529365014842</v>
          </cell>
        </row>
        <row r="105">
          <cell r="BB105">
            <v>3259.3987232145187</v>
          </cell>
        </row>
        <row r="106">
          <cell r="BB106">
            <v>2172.6575626694016</v>
          </cell>
        </row>
        <row r="107">
          <cell r="BB107">
            <v>45438.261855700264</v>
          </cell>
        </row>
        <row r="109">
          <cell r="BB109">
            <v>22169.403538765182</v>
          </cell>
        </row>
        <row r="110">
          <cell r="BB110">
            <v>29163.146051932734</v>
          </cell>
        </row>
        <row r="112">
          <cell r="BB112">
            <v>36472.749157637452</v>
          </cell>
        </row>
        <row r="114">
          <cell r="BB114">
            <v>2817.4886330764352</v>
          </cell>
        </row>
        <row r="115">
          <cell r="BB115">
            <v>4732.2159481266071</v>
          </cell>
        </row>
        <row r="116">
          <cell r="BB116">
            <v>575.06029636736923</v>
          </cell>
        </row>
        <row r="117">
          <cell r="BB117">
            <v>1132.3733525137338</v>
          </cell>
        </row>
        <row r="118">
          <cell r="BB118">
            <v>2689.8582831712979</v>
          </cell>
        </row>
        <row r="119">
          <cell r="BB119">
            <v>28615.94754819524</v>
          </cell>
        </row>
        <row r="120">
          <cell r="BB120">
            <v>560.91462241153135</v>
          </cell>
        </row>
        <row r="121">
          <cell r="BB121">
            <v>628.83134867195929</v>
          </cell>
        </row>
        <row r="122">
          <cell r="BB122">
            <v>6923.8888741529627</v>
          </cell>
        </row>
        <row r="123">
          <cell r="BB123">
            <v>7083.864798023691</v>
          </cell>
        </row>
        <row r="124">
          <cell r="BB124">
            <v>870.88945319002903</v>
          </cell>
        </row>
        <row r="125">
          <cell r="BB125">
            <v>242.61193287110416</v>
          </cell>
        </row>
        <row r="126">
          <cell r="BB126">
            <v>9099.0746013832031</v>
          </cell>
        </row>
        <row r="128">
          <cell r="BB128">
            <v>8320.1703793334709</v>
          </cell>
        </row>
        <row r="129">
          <cell r="BB129">
            <v>80276.011290059658</v>
          </cell>
        </row>
        <row r="130">
          <cell r="BB130">
            <v>38689.01719809317</v>
          </cell>
        </row>
        <row r="131">
          <cell r="BB131">
            <v>3396.7186907683758</v>
          </cell>
        </row>
        <row r="132">
          <cell r="BB132">
            <v>273.22480306218836</v>
          </cell>
        </row>
        <row r="133">
          <cell r="BB133">
            <v>219.15076343135976</v>
          </cell>
        </row>
        <row r="134">
          <cell r="BB134">
            <v>6318.9012128220729</v>
          </cell>
        </row>
        <row r="135">
          <cell r="BB135">
            <v>4663.3776529920669</v>
          </cell>
        </row>
        <row r="136">
          <cell r="BB136">
            <v>498.47514810755899</v>
          </cell>
        </row>
        <row r="137">
          <cell r="BB137">
            <v>15992.434998447094</v>
          </cell>
        </row>
        <row r="138">
          <cell r="BB138">
            <v>2809.9512086979294</v>
          </cell>
        </row>
        <row r="140">
          <cell r="BB140">
            <v>779.63628630847154</v>
          </cell>
        </row>
        <row r="141">
          <cell r="BB141">
            <v>6109.775155938677</v>
          </cell>
        </row>
        <row r="143">
          <cell r="BB143">
            <v>8084.6290001796442</v>
          </cell>
        </row>
        <row r="144">
          <cell r="BB144">
            <v>2378.1192216459017</v>
          </cell>
        </row>
        <row r="145">
          <cell r="BB145">
            <v>982.97849155955339</v>
          </cell>
        </row>
        <row r="147">
          <cell r="BB147">
            <v>1273.1540641800757</v>
          </cell>
        </row>
        <row r="148">
          <cell r="BB148">
            <v>4521.7958779831151</v>
          </cell>
        </row>
        <row r="150">
          <cell r="BB150">
            <v>2386.7846716762692</v>
          </cell>
        </row>
        <row r="151">
          <cell r="BB151">
            <v>380.84424396822391</v>
          </cell>
        </row>
        <row r="153">
          <cell r="BB153">
            <v>4101.3694407822486</v>
          </cell>
        </row>
        <row r="155">
          <cell r="BB155">
            <v>376.34220962776232</v>
          </cell>
        </row>
        <row r="156">
          <cell r="BB156">
            <v>41110.27840287541</v>
          </cell>
        </row>
        <row r="159">
          <cell r="BB159">
            <v>27483.511003152802</v>
          </cell>
        </row>
        <row r="160">
          <cell r="BB160">
            <v>1230.3353843860234</v>
          </cell>
        </row>
        <row r="161">
          <cell r="BB161">
            <v>275.68302744227515</v>
          </cell>
        </row>
        <row r="162">
          <cell r="BB162">
            <v>995.6802013953959</v>
          </cell>
        </row>
        <row r="167">
          <cell r="BB167">
            <v>64589.974659965468</v>
          </cell>
        </row>
        <row r="168">
          <cell r="BB168">
            <v>14962.028989271066</v>
          </cell>
        </row>
        <row r="169">
          <cell r="BB169">
            <v>748.01048783794772</v>
          </cell>
        </row>
        <row r="170">
          <cell r="BB170">
            <v>8802.3265185756245</v>
          </cell>
        </row>
        <row r="171">
          <cell r="BB171">
            <v>1268.9610711229307</v>
          </cell>
        </row>
        <row r="172">
          <cell r="BB172">
            <v>6145.3352543359524</v>
          </cell>
        </row>
        <row r="173">
          <cell r="BB173">
            <v>955.42443270518891</v>
          </cell>
        </row>
        <row r="174">
          <cell r="BB174">
            <v>1725.7948003065951</v>
          </cell>
        </row>
        <row r="175">
          <cell r="BB175">
            <v>3536.4885396339923</v>
          </cell>
        </row>
        <row r="176">
          <cell r="BB176">
            <v>1403.3063361554944</v>
          </cell>
        </row>
        <row r="178">
          <cell r="BB178">
            <v>10035.850591834826</v>
          </cell>
        </row>
        <row r="179">
          <cell r="BB179">
            <v>18535.131234142536</v>
          </cell>
        </row>
        <row r="180">
          <cell r="BB180">
            <v>20782.83569150712</v>
          </cell>
        </row>
        <row r="181">
          <cell r="BB181">
            <v>58256.966788513462</v>
          </cell>
        </row>
        <row r="183">
          <cell r="BB183">
            <v>5321.8101990424975</v>
          </cell>
        </row>
        <row r="184">
          <cell r="BB184">
            <v>6385.6173068952321</v>
          </cell>
        </row>
        <row r="185">
          <cell r="BB185">
            <v>349.34486347036096</v>
          </cell>
        </row>
        <row r="186">
          <cell r="BB186">
            <v>942.19892453235764</v>
          </cell>
        </row>
        <row r="188">
          <cell r="BB188">
            <v>10594.494056867299</v>
          </cell>
        </row>
        <row r="189">
          <cell r="BB189">
            <v>6109.4882023480113</v>
          </cell>
        </row>
        <row r="191">
          <cell r="BB191">
            <v>5395.7785679886438</v>
          </cell>
        </row>
        <row r="192">
          <cell r="BB192">
            <v>2291.7206357476061</v>
          </cell>
        </row>
        <row r="194">
          <cell r="BB194">
            <v>15994.78055746439</v>
          </cell>
        </row>
        <row r="195">
          <cell r="BB195">
            <v>800.43110309607573</v>
          </cell>
        </row>
        <row r="196">
          <cell r="BB196">
            <v>3823.2204030260514</v>
          </cell>
        </row>
        <row r="197">
          <cell r="BB197">
            <v>12645.084724908209</v>
          </cell>
        </row>
        <row r="198">
          <cell r="BB198">
            <v>370.43813687539563</v>
          </cell>
        </row>
        <row r="199">
          <cell r="BB199">
            <v>34758.404334915285</v>
          </cell>
        </row>
        <row r="200">
          <cell r="BB200">
            <v>14161.797545718329</v>
          </cell>
        </row>
        <row r="201">
          <cell r="BB201">
            <v>19054.257484924816</v>
          </cell>
        </row>
        <row r="202">
          <cell r="BB202">
            <v>992.71947650383504</v>
          </cell>
        </row>
        <row r="204">
          <cell r="BB204">
            <v>5797.2434904439497</v>
          </cell>
        </row>
        <row r="206">
          <cell r="BB206">
            <v>22236.187948867053</v>
          </cell>
        </row>
        <row r="207">
          <cell r="BB207">
            <v>25595.990106992766</v>
          </cell>
        </row>
        <row r="208">
          <cell r="BB208">
            <v>1610.0848370777339</v>
          </cell>
        </row>
        <row r="209">
          <cell r="BB209">
            <v>1004.7756189466916</v>
          </cell>
        </row>
        <row r="210">
          <cell r="BB210">
            <v>4169.5907084279788</v>
          </cell>
        </row>
        <row r="212">
          <cell r="BB212">
            <v>2445.0802818366064</v>
          </cell>
        </row>
        <row r="213">
          <cell r="BB213">
            <v>42825.675932195161</v>
          </cell>
        </row>
        <row r="214">
          <cell r="BB214">
            <v>54642.81108074497</v>
          </cell>
        </row>
        <row r="217">
          <cell r="BB217">
            <v>417.10605268475319</v>
          </cell>
        </row>
        <row r="218">
          <cell r="BB218">
            <v>438.4920862852793</v>
          </cell>
        </row>
        <row r="219">
          <cell r="BB219">
            <v>3163.9038450709104</v>
          </cell>
        </row>
        <row r="220">
          <cell r="BB220">
            <v>641.4407139985351</v>
          </cell>
        </row>
        <row r="221">
          <cell r="BB221">
            <v>392.85505650149429</v>
          </cell>
        </row>
        <row r="223">
          <cell r="BB223">
            <v>2582.7032504784875</v>
          </cell>
        </row>
        <row r="224">
          <cell r="BB224">
            <v>14297.889414135465</v>
          </cell>
        </row>
        <row r="225">
          <cell r="BB225">
            <v>3861.5088997834828</v>
          </cell>
        </row>
        <row r="226">
          <cell r="BB226">
            <v>7833.5285846205052</v>
          </cell>
        </row>
        <row r="227">
          <cell r="BB227">
            <v>2632.4274469546981</v>
          </cell>
        </row>
        <row r="229">
          <cell r="BB229">
            <v>2423.2614862357495</v>
          </cell>
        </row>
        <row r="232">
          <cell r="BB232">
            <v>393.14887775627386</v>
          </cell>
        </row>
        <row r="233">
          <cell r="BB233">
            <v>1974.6211818802449</v>
          </cell>
        </row>
        <row r="234">
          <cell r="BB234">
            <v>24219.297645532275</v>
          </cell>
        </row>
        <row r="235">
          <cell r="BB235">
            <v>37899.295520911917</v>
          </cell>
        </row>
        <row r="236">
          <cell r="BB236">
            <v>43952.446494287382</v>
          </cell>
        </row>
        <row r="237">
          <cell r="BB237">
            <v>6791.0504176996537</v>
          </cell>
        </row>
        <row r="238">
          <cell r="BB238">
            <v>752.42831016735465</v>
          </cell>
        </row>
        <row r="239">
          <cell r="BB239">
            <v>2131.0935359039281</v>
          </cell>
        </row>
        <row r="241">
          <cell r="BB241">
            <v>6010.0797889966334</v>
          </cell>
        </row>
        <row r="242">
          <cell r="BB242">
            <v>900.49369266691042</v>
          </cell>
        </row>
        <row r="245">
          <cell r="BB245">
            <v>878.13958248017809</v>
          </cell>
        </row>
        <row r="246">
          <cell r="BB246">
            <v>741.44209139426641</v>
          </cell>
        </row>
        <row r="247">
          <cell r="BB247">
            <v>397.82159673579832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NominalGDP"/>
      <sheetName val="Inflation"/>
      <sheetName val="Chart1"/>
      <sheetName val="Chart1 (2)"/>
      <sheetName val="USSR"/>
      <sheetName val="RealGDP"/>
      <sheetName val="Export"/>
      <sheetName val="Import"/>
      <sheetName val="GDPcap"/>
      <sheetName val="GDPcap (PPP, nom)"/>
      <sheetName val="GDPcap (PPP, real)"/>
      <sheetName val="Energy"/>
      <sheetName val="EnergyIntensity"/>
      <sheetName val="CO2"/>
      <sheetName val="CO2IntEnergy"/>
      <sheetName val="CO2IntEconomy"/>
      <sheetName val="CO2transfer"/>
      <sheetName val="TaxShare"/>
      <sheetName val="TaxRevenue"/>
      <sheetName val="GDPAgShare"/>
      <sheetName val="CH4"/>
      <sheetName val="CH4AgShare"/>
      <sheetName val="CH4Ag"/>
      <sheetName val="CH4IntAgEcon"/>
      <sheetName val="N2O"/>
      <sheetName val="N2OAgShare"/>
      <sheetName val="N2OAg"/>
      <sheetName val="N2OIntAgEcon"/>
      <sheetName val="Democracy"/>
    </sheetNames>
    <sheetDataSet>
      <sheetData sheetId="0"/>
      <sheetData sheetId="1"/>
      <sheetData sheetId="2"/>
      <sheetData sheetId="3"/>
      <sheetData sheetId="4"/>
      <sheetData sheetId="5" refreshError="1"/>
      <sheetData sheetId="6">
        <row r="236">
          <cell r="R236">
            <v>4958472075641.3496</v>
          </cell>
        </row>
        <row r="255">
          <cell r="R255">
            <v>18163103155136.863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12" sqref="A12"/>
    </sheetView>
  </sheetViews>
  <sheetFormatPr defaultRowHeight="14.5" x14ac:dyDescent="0.35"/>
  <cols>
    <col min="1" max="1" width="13.26953125" customWidth="1"/>
  </cols>
  <sheetData>
    <row r="1" spans="1:2" x14ac:dyDescent="0.35">
      <c r="A1" t="s">
        <v>672</v>
      </c>
      <c r="B1" t="s">
        <v>673</v>
      </c>
    </row>
    <row r="2" spans="1:2" x14ac:dyDescent="0.35">
      <c r="A2" t="s">
        <v>60</v>
      </c>
      <c r="B2" t="s">
        <v>348</v>
      </c>
    </row>
    <row r="3" spans="1:2" x14ac:dyDescent="0.35">
      <c r="A3" t="s">
        <v>61</v>
      </c>
      <c r="B3" t="s">
        <v>62</v>
      </c>
    </row>
    <row r="4" spans="1:2" x14ac:dyDescent="0.35">
      <c r="A4" t="s">
        <v>64</v>
      </c>
      <c r="B4" t="s">
        <v>347</v>
      </c>
    </row>
    <row r="5" spans="1:2" x14ac:dyDescent="0.35">
      <c r="A5" t="s">
        <v>65</v>
      </c>
      <c r="B5" t="s">
        <v>668</v>
      </c>
    </row>
    <row r="6" spans="1:2" x14ac:dyDescent="0.35">
      <c r="A6" t="s">
        <v>669</v>
      </c>
      <c r="B6" t="s">
        <v>674</v>
      </c>
    </row>
    <row r="7" spans="1:2" x14ac:dyDescent="0.35">
      <c r="A7" t="s">
        <v>671</v>
      </c>
      <c r="B7" t="s">
        <v>63</v>
      </c>
    </row>
    <row r="8" spans="1:2" x14ac:dyDescent="0.35">
      <c r="A8" t="s">
        <v>675</v>
      </c>
      <c r="B8" t="s">
        <v>670</v>
      </c>
    </row>
    <row r="9" spans="1:2" x14ac:dyDescent="0.35">
      <c r="A9" t="s">
        <v>676</v>
      </c>
      <c r="B9" t="s">
        <v>677</v>
      </c>
    </row>
    <row r="11" spans="1:2" x14ac:dyDescent="0.35">
      <c r="A11" t="s">
        <v>694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39"/>
  <sheetViews>
    <sheetView workbookViewId="0">
      <selection activeCell="E2" sqref="E2"/>
    </sheetView>
  </sheetViews>
  <sheetFormatPr defaultRowHeight="14.5" x14ac:dyDescent="0.35"/>
  <cols>
    <col min="4" max="4" width="11" bestFit="1" customWidth="1"/>
    <col min="5" max="5" width="12" bestFit="1" customWidth="1"/>
    <col min="6" max="6" width="11" bestFit="1" customWidth="1"/>
  </cols>
  <sheetData>
    <row r="1" spans="1:32" x14ac:dyDescent="0.35">
      <c r="B1" t="s">
        <v>116</v>
      </c>
      <c r="C1" t="s">
        <v>98</v>
      </c>
      <c r="D1" t="s">
        <v>323</v>
      </c>
      <c r="F1" t="s">
        <v>618</v>
      </c>
      <c r="M1" t="s">
        <v>22</v>
      </c>
      <c r="X1" t="s">
        <v>22</v>
      </c>
    </row>
    <row r="2" spans="1:32" ht="15" thickBot="1" x14ac:dyDescent="0.4">
      <c r="A2" t="s">
        <v>369</v>
      </c>
      <c r="B2">
        <v>-5</v>
      </c>
      <c r="C2">
        <f>SUMPRODUCT(regions!$C3:$C190,regions!Z3:Z190)</f>
        <v>3839284159376.0742</v>
      </c>
      <c r="D2">
        <f>SUMPRODUCT(regions!$B3:$B190,regions!Z3:Z190)</f>
        <v>1337705000</v>
      </c>
      <c r="E2" s="10">
        <f>C2/D2</f>
        <v>2870.0529334764196</v>
      </c>
      <c r="F2" s="1">
        <f>G2/D2</f>
        <v>6.9</v>
      </c>
      <c r="G2">
        <f>SUMPRODUCT(regions!$X3:$X190,regions!Z3:Z190,regions!$B3:$B190)</f>
        <v>9230164500</v>
      </c>
      <c r="I2">
        <f>LN(-B2)</f>
        <v>1.6094379124341003</v>
      </c>
      <c r="J2">
        <f>LN(E2)</f>
        <v>7.9620857523035902</v>
      </c>
      <c r="K2" s="1">
        <f>F2</f>
        <v>6.9</v>
      </c>
    </row>
    <row r="3" spans="1:32" x14ac:dyDescent="0.35">
      <c r="A3" t="s">
        <v>370</v>
      </c>
      <c r="B3">
        <v>0.2</v>
      </c>
      <c r="C3">
        <f>SUMPRODUCT(regions!$C3:$C190,regions!AA3:AA190)</f>
        <v>4648468621132.7568</v>
      </c>
      <c r="D3">
        <f>SUMPRODUCT(regions!$B3:$B190,regions!AA3:AA190)</f>
        <v>127450459</v>
      </c>
      <c r="E3" s="10">
        <f t="shared" ref="E3:E16" si="0">C3/D3</f>
        <v>36472.749157637452</v>
      </c>
      <c r="F3" s="1">
        <f t="shared" ref="F3:F16" si="1">G3/D3</f>
        <v>11.1</v>
      </c>
      <c r="G3">
        <f>SUMPRODUCT(regions!$X3:$X190,regions!AA3:AA190,regions!$B3:$B190)</f>
        <v>1414700094.8999999</v>
      </c>
      <c r="I3">
        <f>LN(-B4)</f>
        <v>2.5257286443082556</v>
      </c>
      <c r="J3">
        <f>LN(E4)</f>
        <v>7.7195419974871751</v>
      </c>
      <c r="K3" s="1">
        <f>F4</f>
        <v>25.575773499058045</v>
      </c>
      <c r="M3" s="5" t="s">
        <v>23</v>
      </c>
      <c r="N3" s="5"/>
      <c r="X3" s="5" t="s">
        <v>23</v>
      </c>
      <c r="Y3" s="5"/>
    </row>
    <row r="4" spans="1:32" x14ac:dyDescent="0.35">
      <c r="A4" t="s">
        <v>371</v>
      </c>
      <c r="B4">
        <v>-12.5</v>
      </c>
      <c r="C4">
        <f>SUMPRODUCT(regions!$C3:$C190,regions!AB3:AB190)</f>
        <v>896731759478.74573</v>
      </c>
      <c r="D4">
        <f>SUMPRODUCT(regions!$B3:$B190,regions!AB3:AB190)</f>
        <v>398206238</v>
      </c>
      <c r="E4" s="10">
        <f t="shared" si="0"/>
        <v>2251.9279556809597</v>
      </c>
      <c r="F4" s="1">
        <f t="shared" si="1"/>
        <v>25.575773499058045</v>
      </c>
      <c r="G4">
        <f>SUMPRODUCT(regions!$X3:$X190,regions!AB3:AB190,regions!$B3:$B190)</f>
        <v>10184432549</v>
      </c>
      <c r="I4">
        <f>LN(-B5)</f>
        <v>1.7227665977411035</v>
      </c>
      <c r="J4">
        <f>LN(E5)</f>
        <v>6.9388285740386788</v>
      </c>
      <c r="K4" s="1">
        <f t="shared" ref="K4:K7" si="2">F5</f>
        <v>23.7</v>
      </c>
      <c r="M4" s="2" t="s">
        <v>24</v>
      </c>
      <c r="N4" s="2">
        <v>0.71909030443948119</v>
      </c>
      <c r="X4" s="2" t="s">
        <v>24</v>
      </c>
      <c r="Y4" s="2">
        <v>0.70267918664292206</v>
      </c>
    </row>
    <row r="5" spans="1:32" x14ac:dyDescent="0.35">
      <c r="A5" t="s">
        <v>372</v>
      </c>
      <c r="B5">
        <v>-5.6</v>
      </c>
      <c r="C5">
        <f>SUMPRODUCT(regions!$C3:$C190,regions!AC3:AC190)</f>
        <v>1243675499465.8105</v>
      </c>
      <c r="D5">
        <f>SUMPRODUCT(regions!$B3:$B190,regions!AC3:AC190)</f>
        <v>1205624648</v>
      </c>
      <c r="E5" s="10">
        <f t="shared" si="0"/>
        <v>1031.5611094455749</v>
      </c>
      <c r="F5" s="1">
        <f t="shared" si="1"/>
        <v>23.7</v>
      </c>
      <c r="G5">
        <f>SUMPRODUCT(regions!$X3:$X190,regions!AC3:AC190,regions!$B3:$B190)</f>
        <v>28573304157.599998</v>
      </c>
      <c r="I5">
        <f>LN(-B6)</f>
        <v>1.8082887711792655</v>
      </c>
      <c r="J5">
        <f>LN(E6)</f>
        <v>6.4971058771581269</v>
      </c>
      <c r="K5" s="1">
        <f t="shared" si="2"/>
        <v>20.983111409807595</v>
      </c>
      <c r="M5" s="2" t="s">
        <v>25</v>
      </c>
      <c r="N5" s="2">
        <v>0.51709086593886566</v>
      </c>
      <c r="X5" s="2" t="s">
        <v>25</v>
      </c>
      <c r="Y5" s="2">
        <v>0.49375803934115847</v>
      </c>
    </row>
    <row r="6" spans="1:32" x14ac:dyDescent="0.35">
      <c r="A6" t="s">
        <v>373</v>
      </c>
      <c r="B6">
        <v>-6.1</v>
      </c>
      <c r="C6">
        <f>SUMPRODUCT(regions!$C3:$C190,regions!AD3:AD190)</f>
        <v>265877068028.7063</v>
      </c>
      <c r="D6">
        <f>SUMPRODUCT(regions!$B3:$B190,regions!AD3:AD190)</f>
        <v>400888548</v>
      </c>
      <c r="E6" s="10">
        <f t="shared" si="0"/>
        <v>663.219414361286</v>
      </c>
      <c r="F6" s="1">
        <f t="shared" si="1"/>
        <v>20.983111409807595</v>
      </c>
      <c r="G6">
        <f>SUMPRODUCT(regions!$X3:$X190,regions!AD3:AD190,regions!$B3:$B190)</f>
        <v>8411889065.5999994</v>
      </c>
      <c r="I6">
        <f>LN(-B7)</f>
        <v>-0.35667494393873245</v>
      </c>
      <c r="J6">
        <f>LN(E7)</f>
        <v>10.690863566963092</v>
      </c>
      <c r="K6" s="1">
        <f t="shared" si="2"/>
        <v>8.5</v>
      </c>
      <c r="M6" s="2" t="s">
        <v>26</v>
      </c>
      <c r="N6" s="2">
        <v>0.39636358242358205</v>
      </c>
      <c r="X6" s="2" t="s">
        <v>26</v>
      </c>
      <c r="Y6" s="2">
        <v>0.4375089326012872</v>
      </c>
    </row>
    <row r="7" spans="1:32" x14ac:dyDescent="0.35">
      <c r="A7" t="s">
        <v>89</v>
      </c>
      <c r="B7">
        <v>-0.7</v>
      </c>
      <c r="C7">
        <f>SUMPRODUCT(regions!$C3:$C190,regions!AE3:AE190)</f>
        <v>13595644353592.4</v>
      </c>
      <c r="D7">
        <f>SUMPRODUCT(regions!$B3:$B190,regions!AE3:AE190)</f>
        <v>309326225</v>
      </c>
      <c r="E7" s="10">
        <f t="shared" si="0"/>
        <v>43952.446494287382</v>
      </c>
      <c r="F7" s="1">
        <f t="shared" si="1"/>
        <v>8.5</v>
      </c>
      <c r="G7">
        <f>SUMPRODUCT(regions!$X3:$X190,regions!AE3:AE190,regions!$B3:$B190)</f>
        <v>2629272912.5</v>
      </c>
      <c r="I7">
        <f>LN(-B8)</f>
        <v>1.7578579175523736</v>
      </c>
      <c r="J7">
        <f>LN(E8)</f>
        <v>8.6337887846045653</v>
      </c>
      <c r="K7" s="1">
        <f t="shared" si="2"/>
        <v>24.9</v>
      </c>
      <c r="M7" s="2" t="s">
        <v>27</v>
      </c>
      <c r="N7" s="2">
        <v>0.85931659795243698</v>
      </c>
      <c r="X7" s="2" t="s">
        <v>27</v>
      </c>
      <c r="Y7" s="2">
        <v>0.82951319540919721</v>
      </c>
    </row>
    <row r="8" spans="1:32" ht="15" thickBot="1" x14ac:dyDescent="0.4">
      <c r="A8" t="s">
        <v>374</v>
      </c>
      <c r="B8">
        <v>-5.8</v>
      </c>
      <c r="C8">
        <f>SUMPRODUCT(regions!$C3:$C190,regions!AF3:AF190)</f>
        <v>1096754010432.5254</v>
      </c>
      <c r="D8">
        <f>SUMPRODUCT(regions!$B3:$B190,regions!AF3:AF190)</f>
        <v>195210154</v>
      </c>
      <c r="E8" s="10">
        <f t="shared" si="0"/>
        <v>5618.3246002281494</v>
      </c>
      <c r="F8" s="1">
        <f t="shared" si="1"/>
        <v>24.9</v>
      </c>
      <c r="G8">
        <f>SUMPRODUCT(regions!$X3:$X190,regions!AF3:AF190,regions!$B3:$B190)</f>
        <v>4860732834.5999994</v>
      </c>
      <c r="I8">
        <f>LN(-B10)</f>
        <v>1.0296194171811581</v>
      </c>
      <c r="J8">
        <f>LN(E10)</f>
        <v>8.2863530561787613</v>
      </c>
      <c r="K8" s="1">
        <f>F10</f>
        <v>14.71072896688988</v>
      </c>
      <c r="M8" s="3" t="s">
        <v>28</v>
      </c>
      <c r="N8" s="3">
        <v>11</v>
      </c>
      <c r="X8" s="3" t="s">
        <v>28</v>
      </c>
      <c r="Y8" s="3">
        <v>11</v>
      </c>
    </row>
    <row r="9" spans="1:32" x14ac:dyDescent="0.35">
      <c r="A9" t="s">
        <v>375</v>
      </c>
      <c r="B9">
        <v>2.4</v>
      </c>
      <c r="C9">
        <f>SUMPRODUCT(regions!$C3:$C190,regions!AG3:AG190)</f>
        <v>909241662711.50525</v>
      </c>
      <c r="D9">
        <f>SUMPRODUCT(regions!$B3:$B190,regions!AG3:AG190)</f>
        <v>142389000</v>
      </c>
      <c r="E9" s="10">
        <f t="shared" si="0"/>
        <v>6385.6173068952321</v>
      </c>
      <c r="F9" s="1">
        <f t="shared" si="1"/>
        <v>-5.0999999999999996</v>
      </c>
      <c r="G9">
        <f>SUMPRODUCT(regions!$X3:$X190,regions!AG3:AG190,regions!$B3:$B190)</f>
        <v>-726183900</v>
      </c>
      <c r="I9">
        <f>LN(-B11)</f>
        <v>2.1282317058492679</v>
      </c>
      <c r="J9">
        <f>LN(E11)</f>
        <v>6.9002905681085069</v>
      </c>
      <c r="K9" s="1">
        <f>F11</f>
        <v>24.202575129113367</v>
      </c>
    </row>
    <row r="10" spans="1:32" ht="15" thickBot="1" x14ac:dyDescent="0.4">
      <c r="A10" t="s">
        <v>376</v>
      </c>
      <c r="B10">
        <v>-2.8</v>
      </c>
      <c r="C10">
        <f>SUMPRODUCT(regions!$C3:$C190,regions!AH3:AH190)</f>
        <v>1659567149582.458</v>
      </c>
      <c r="D10">
        <f>SUMPRODUCT(regions!$B3:$B190,regions!AH3:AH190)</f>
        <v>418097357</v>
      </c>
      <c r="E10" s="10">
        <f t="shared" si="0"/>
        <v>3969.3318357486246</v>
      </c>
      <c r="F10" s="1">
        <f t="shared" si="1"/>
        <v>14.71072896688988</v>
      </c>
      <c r="G10">
        <f>SUMPRODUCT(regions!$X3:$X190,regions!AH3:AH190,regions!$B3:$B190)</f>
        <v>6150516900.5999994</v>
      </c>
      <c r="I10">
        <f>LN(-B13)</f>
        <v>2.341805806147327</v>
      </c>
      <c r="J10">
        <f>LN(E13)</f>
        <v>8.6339324863073372</v>
      </c>
      <c r="K10" s="1">
        <f>F13</f>
        <v>19.183920581012391</v>
      </c>
      <c r="M10" t="s">
        <v>29</v>
      </c>
      <c r="X10" t="s">
        <v>29</v>
      </c>
    </row>
    <row r="11" spans="1:32" x14ac:dyDescent="0.35">
      <c r="A11" t="s">
        <v>130</v>
      </c>
      <c r="B11">
        <v>-8.4</v>
      </c>
      <c r="C11">
        <f>SUMPRODUCT(regions!$C3:$C190,regions!AI3:AI190)</f>
        <v>838699344666.90784</v>
      </c>
      <c r="D11">
        <f>SUMPRODUCT(regions!$B3:$B190,regions!AI3:AI190)</f>
        <v>844983418</v>
      </c>
      <c r="E11" s="10">
        <f t="shared" si="0"/>
        <v>992.56308088510661</v>
      </c>
      <c r="F11" s="1">
        <f t="shared" si="1"/>
        <v>24.202575129113367</v>
      </c>
      <c r="G11">
        <f>SUMPRODUCT(regions!$X3:$X190,regions!AI3:AI190,regions!$B3:$B190)</f>
        <v>20450774657.000004</v>
      </c>
      <c r="I11">
        <f>LN(-B15)</f>
        <v>-0.916290731874155</v>
      </c>
      <c r="J11">
        <f>LN(E15)</f>
        <v>9.4811952351062203</v>
      </c>
      <c r="K11" s="1">
        <f>F15</f>
        <v>18.389317247187861</v>
      </c>
      <c r="M11" s="4"/>
      <c r="N11" s="4" t="s">
        <v>34</v>
      </c>
      <c r="O11" s="4" t="s">
        <v>35</v>
      </c>
      <c r="P11" s="4" t="s">
        <v>36</v>
      </c>
      <c r="Q11" s="4" t="s">
        <v>37</v>
      </c>
      <c r="R11" s="4" t="s">
        <v>38</v>
      </c>
      <c r="X11" s="4"/>
      <c r="Y11" s="4" t="s">
        <v>34</v>
      </c>
      <c r="Z11" s="4" t="s">
        <v>35</v>
      </c>
      <c r="AA11" s="4" t="s">
        <v>36</v>
      </c>
      <c r="AB11" s="4" t="s">
        <v>37</v>
      </c>
      <c r="AC11" s="4" t="s">
        <v>38</v>
      </c>
    </row>
    <row r="12" spans="1:32" x14ac:dyDescent="0.35">
      <c r="A12" t="s">
        <v>377</v>
      </c>
      <c r="B12">
        <v>1.4</v>
      </c>
      <c r="C12">
        <f>SUMPRODUCT(regions!$C3:$C190,regions!AJ3:AJ190)</f>
        <v>14201288616725.086</v>
      </c>
      <c r="D12">
        <f>SUMPRODUCT(regions!$B3:$B190,regions!AJ3:AJ190)</f>
        <v>413301649</v>
      </c>
      <c r="E12" s="10">
        <f t="shared" si="0"/>
        <v>34360.590264001308</v>
      </c>
      <c r="F12" s="1">
        <f t="shared" si="1"/>
        <v>10.088954888975051</v>
      </c>
      <c r="G12">
        <f>SUMPRODUCT(regions!$X3:$X190,regions!AJ3:AJ190,regions!$B3:$B190)</f>
        <v>4169781692.3000002</v>
      </c>
      <c r="I12">
        <f>LN(-B16)</f>
        <v>2.1282317058492679</v>
      </c>
      <c r="J12">
        <f>LN(E16)</f>
        <v>8.4770625591972912</v>
      </c>
      <c r="K12" s="1">
        <f>F16</f>
        <v>21.359324071141661</v>
      </c>
      <c r="M12" s="2" t="s">
        <v>30</v>
      </c>
      <c r="N12" s="2">
        <v>2</v>
      </c>
      <c r="O12" s="2">
        <v>6.3255433169095499</v>
      </c>
      <c r="P12" s="2">
        <v>3.1627716584547749</v>
      </c>
      <c r="Q12" s="2">
        <v>4.283131789952054</v>
      </c>
      <c r="R12" s="2">
        <v>5.4382814494229451E-2</v>
      </c>
      <c r="X12" s="2" t="s">
        <v>30</v>
      </c>
      <c r="Y12" s="2">
        <v>1</v>
      </c>
      <c r="Z12" s="2">
        <v>6.0401141688201587</v>
      </c>
      <c r="AA12" s="2">
        <v>6.0401141688201587</v>
      </c>
      <c r="AB12" s="2">
        <v>8.7780600965733377</v>
      </c>
      <c r="AC12" s="2">
        <v>1.5887638237947178E-2</v>
      </c>
    </row>
    <row r="13" spans="1:32" x14ac:dyDescent="0.35">
      <c r="A13" t="s">
        <v>378</v>
      </c>
      <c r="B13">
        <v>-10.4</v>
      </c>
      <c r="C13">
        <f>SUMPRODUCT(regions!$C3:$C190,regions!AK3:AK190)</f>
        <v>2416300587589.8984</v>
      </c>
      <c r="D13">
        <f>SUMPRODUCT(regions!$B3:$B190,regions!AK3:AK190)</f>
        <v>430013137</v>
      </c>
      <c r="E13" s="10">
        <f t="shared" si="0"/>
        <v>5619.1320210524136</v>
      </c>
      <c r="F13" s="1">
        <f t="shared" si="1"/>
        <v>19.183920581012391</v>
      </c>
      <c r="G13">
        <f>SUMPRODUCT(regions!$X3:$X190,regions!AK3:AK190,regions!$B3:$B190)</f>
        <v>8249337869.000001</v>
      </c>
      <c r="M13" s="2" t="s">
        <v>31</v>
      </c>
      <c r="N13" s="2">
        <v>8</v>
      </c>
      <c r="O13" s="2">
        <v>5.9074001241324021</v>
      </c>
      <c r="P13" s="2">
        <v>0.73842501551655026</v>
      </c>
      <c r="Q13" s="2"/>
      <c r="R13" s="2"/>
      <c r="X13" s="2" t="s">
        <v>31</v>
      </c>
      <c r="Y13" s="2">
        <v>9</v>
      </c>
      <c r="Z13" s="2">
        <v>6.1928292722217932</v>
      </c>
      <c r="AA13" s="2">
        <v>0.68809214135797703</v>
      </c>
      <c r="AB13" s="2"/>
      <c r="AC13" s="2"/>
    </row>
    <row r="14" spans="1:32" ht="15" thickBot="1" x14ac:dyDescent="0.4">
      <c r="A14" t="s">
        <v>379</v>
      </c>
      <c r="B14">
        <v>0.5</v>
      </c>
      <c r="C14">
        <f>SUMPRODUCT(regions!$C3:$C190,regions!AL3:AL190)</f>
        <v>2157548783367.8506</v>
      </c>
      <c r="D14">
        <f>SUMPRODUCT(regions!$B3:$B190,regions!AL3:AL190)</f>
        <v>60559647</v>
      </c>
      <c r="E14" s="10">
        <f t="shared" si="0"/>
        <v>35626.838831604327</v>
      </c>
      <c r="F14" s="1">
        <f t="shared" si="1"/>
        <v>5.5843955992676122</v>
      </c>
      <c r="G14">
        <f>SUMPRODUCT(regions!$X3:$X190,regions!AL3:AL190,regions!$B3:$B190)</f>
        <v>338189026.20000005</v>
      </c>
      <c r="I14">
        <f>LN(B3)</f>
        <v>-1.6094379124341003</v>
      </c>
      <c r="J14">
        <f>LN(E3)</f>
        <v>10.504320662306291</v>
      </c>
      <c r="K14" s="1">
        <f>F3</f>
        <v>11.1</v>
      </c>
      <c r="M14" s="3" t="s">
        <v>32</v>
      </c>
      <c r="N14" s="3">
        <v>10</v>
      </c>
      <c r="O14" s="3">
        <v>12.232943441041952</v>
      </c>
      <c r="P14" s="3"/>
      <c r="Q14" s="3"/>
      <c r="R14" s="3"/>
      <c r="X14" s="3" t="s">
        <v>32</v>
      </c>
      <c r="Y14" s="3">
        <v>10</v>
      </c>
      <c r="Z14" s="3">
        <v>12.232943441041952</v>
      </c>
      <c r="AA14" s="3"/>
      <c r="AB14" s="3"/>
      <c r="AC14" s="3"/>
    </row>
    <row r="15" spans="1:32" ht="15" thickBot="1" x14ac:dyDescent="0.4">
      <c r="A15" t="s">
        <v>380</v>
      </c>
      <c r="B15">
        <v>-0.4</v>
      </c>
      <c r="C15">
        <f>SUMPRODUCT(regions!$C3:$C190,regions!AM3:AM190)</f>
        <v>2292500289790.5869</v>
      </c>
      <c r="D15">
        <f>SUMPRODUCT(regions!$B3:$B190,regions!AM3:AM190)</f>
        <v>174855230</v>
      </c>
      <c r="E15" s="10">
        <f t="shared" si="0"/>
        <v>13110.847698353586</v>
      </c>
      <c r="F15" s="1">
        <f t="shared" si="1"/>
        <v>18.389317247187861</v>
      </c>
      <c r="G15">
        <f>SUMPRODUCT(regions!$X3:$X190,regions!AM3:AM190,regions!$B3:$B190)</f>
        <v>3215468296.8000002</v>
      </c>
      <c r="I15">
        <f>LN(B9)</f>
        <v>0.87546873735389985</v>
      </c>
      <c r="J15">
        <f>LN(E9)</f>
        <v>8.7618034445913526</v>
      </c>
      <c r="K15" s="1">
        <f>F9</f>
        <v>-5.0999999999999996</v>
      </c>
    </row>
    <row r="16" spans="1:32" x14ac:dyDescent="0.35">
      <c r="A16" t="s">
        <v>381</v>
      </c>
      <c r="B16">
        <v>-8.4</v>
      </c>
      <c r="C16">
        <f>SUMPRODUCT(regions!$C3:$C190,regions!AN3:AN190)</f>
        <v>1351660692286.6143</v>
      </c>
      <c r="D16">
        <f>SUMPRODUCT(regions!$B3:$B190,regions!AN3:AN190)</f>
        <v>281401360</v>
      </c>
      <c r="E16" s="10">
        <f t="shared" si="0"/>
        <v>4803.3196864670954</v>
      </c>
      <c r="F16" s="1">
        <f t="shared" si="1"/>
        <v>21.359324071141661</v>
      </c>
      <c r="G16">
        <f>SUMPRODUCT(regions!$X3:$X190,regions!AN3:AN190,regions!$B3:$B190)</f>
        <v>6010542842.3000002</v>
      </c>
      <c r="I16">
        <f>LN(B12)</f>
        <v>0.33647223662121289</v>
      </c>
      <c r="J16">
        <f>LN(E12)</f>
        <v>10.444665554763249</v>
      </c>
      <c r="K16" s="1">
        <f>F12</f>
        <v>10.088954888975051</v>
      </c>
      <c r="M16" s="4"/>
      <c r="N16" s="4" t="s">
        <v>39</v>
      </c>
      <c r="O16" s="4" t="s">
        <v>27</v>
      </c>
      <c r="P16" s="4" t="s">
        <v>40</v>
      </c>
      <c r="Q16" s="4" t="s">
        <v>41</v>
      </c>
      <c r="R16" s="4" t="s">
        <v>42</v>
      </c>
      <c r="S16" s="4" t="s">
        <v>43</v>
      </c>
      <c r="T16" s="4" t="s">
        <v>44</v>
      </c>
      <c r="U16" s="4" t="s">
        <v>45</v>
      </c>
      <c r="X16" s="4"/>
      <c r="Y16" s="4" t="s">
        <v>39</v>
      </c>
      <c r="Z16" s="4" t="s">
        <v>27</v>
      </c>
      <c r="AA16" s="4" t="s">
        <v>40</v>
      </c>
      <c r="AB16" s="4" t="s">
        <v>41</v>
      </c>
      <c r="AC16" s="4" t="s">
        <v>42</v>
      </c>
      <c r="AD16" s="4" t="s">
        <v>43</v>
      </c>
      <c r="AE16" s="4" t="s">
        <v>44</v>
      </c>
      <c r="AF16" s="4" t="s">
        <v>45</v>
      </c>
    </row>
    <row r="17" spans="1:32" x14ac:dyDescent="0.35">
      <c r="I17">
        <f>LN(B14)</f>
        <v>-0.69314718055994529</v>
      </c>
      <c r="J17">
        <f>LN(E14)</f>
        <v>10.48085453256461</v>
      </c>
      <c r="K17" s="1">
        <f>F14</f>
        <v>5.5843955992676122</v>
      </c>
      <c r="M17" s="2" t="s">
        <v>33</v>
      </c>
      <c r="N17" s="2">
        <v>5.3300824126041064</v>
      </c>
      <c r="O17" s="2">
        <v>2.7865670291286535</v>
      </c>
      <c r="P17" s="2">
        <v>1.912777391280194</v>
      </c>
      <c r="Q17" s="2">
        <v>9.2135912689477628E-2</v>
      </c>
      <c r="R17" s="2">
        <v>-1.0957526795901593</v>
      </c>
      <c r="S17" s="2">
        <v>11.755917504798372</v>
      </c>
      <c r="T17" s="2">
        <v>-1.0957526795901593</v>
      </c>
      <c r="U17" s="2">
        <v>11.755917504798372</v>
      </c>
      <c r="X17" s="2" t="s">
        <v>33</v>
      </c>
      <c r="Y17" s="2">
        <v>6.6332679676587505</v>
      </c>
      <c r="Z17" s="2">
        <v>1.7724432627775797</v>
      </c>
      <c r="AA17" s="2">
        <v>3.7424430485091054</v>
      </c>
      <c r="AB17" s="2">
        <v>4.608085976310454E-3</v>
      </c>
      <c r="AC17" s="2">
        <v>2.6237227451130272</v>
      </c>
      <c r="AD17" s="2">
        <v>10.642813190204475</v>
      </c>
      <c r="AE17" s="2">
        <v>2.6237227451130272</v>
      </c>
      <c r="AF17" s="2">
        <v>10.642813190204475</v>
      </c>
    </row>
    <row r="18" spans="1:32" ht="15" thickBot="1" x14ac:dyDescent="0.4">
      <c r="M18" s="2" t="s">
        <v>46</v>
      </c>
      <c r="N18" s="2">
        <v>-0.54911285126147757</v>
      </c>
      <c r="O18" s="2">
        <v>0.26219372796997592</v>
      </c>
      <c r="P18" s="2">
        <v>-2.0943020091020523</v>
      </c>
      <c r="Q18" s="2">
        <v>6.9551204311176382E-2</v>
      </c>
      <c r="R18" s="2">
        <v>-1.1537326721848387</v>
      </c>
      <c r="S18" s="2">
        <v>5.5506969661883399E-2</v>
      </c>
      <c r="T18" s="2">
        <v>-1.1537326721848387</v>
      </c>
      <c r="U18" s="2">
        <v>5.5506969661883399E-2</v>
      </c>
      <c r="X18" s="3" t="s">
        <v>46</v>
      </c>
      <c r="Y18" s="3">
        <v>-0.63560885517720256</v>
      </c>
      <c r="Z18" s="3">
        <v>0.21453129985767985</v>
      </c>
      <c r="AA18" s="3">
        <v>-2.9627791170745978</v>
      </c>
      <c r="AB18" s="3">
        <v>1.5887638237947192E-2</v>
      </c>
      <c r="AC18" s="3">
        <v>-1.1209123717946627</v>
      </c>
      <c r="AD18" s="3">
        <v>-0.15030533855974249</v>
      </c>
      <c r="AE18" s="3">
        <v>-1.1209123717946627</v>
      </c>
      <c r="AF18" s="3">
        <v>-0.15030533855974249</v>
      </c>
    </row>
    <row r="19" spans="1:32" ht="15" thickBot="1" x14ac:dyDescent="0.4">
      <c r="A19" t="s">
        <v>619</v>
      </c>
      <c r="B19" t="s">
        <v>620</v>
      </c>
      <c r="C19">
        <f>N18</f>
        <v>-0.54911285126147757</v>
      </c>
      <c r="D19">
        <f>O18</f>
        <v>0.26219372796997592</v>
      </c>
      <c r="E19">
        <f>1/D19/D19</f>
        <v>14.5463958851985</v>
      </c>
      <c r="F19">
        <f>C19*E19</f>
        <v>-7.9876129200995729</v>
      </c>
      <c r="M19" s="3" t="s">
        <v>47</v>
      </c>
      <c r="N19" s="3">
        <v>3.1645654653376182E-2</v>
      </c>
      <c r="O19" s="3">
        <v>5.0900040055364172E-2</v>
      </c>
      <c r="P19" s="3">
        <v>0.62172160609215787</v>
      </c>
      <c r="Q19" s="3">
        <v>0.55142662302287193</v>
      </c>
      <c r="R19" s="3">
        <v>-8.5730048196351341E-2</v>
      </c>
      <c r="S19" s="3">
        <v>0.14902135750310369</v>
      </c>
      <c r="T19" s="3">
        <v>-8.5730048196351341E-2</v>
      </c>
      <c r="U19" s="3">
        <v>0.14902135750310369</v>
      </c>
    </row>
    <row r="20" spans="1:32" x14ac:dyDescent="0.35">
      <c r="B20" t="s">
        <v>621</v>
      </c>
      <c r="C20">
        <f>-N38</f>
        <v>0.76534762946327628</v>
      </c>
      <c r="D20">
        <f>O38</f>
        <v>2.7803433293323612</v>
      </c>
      <c r="E20">
        <f>1/D20/D20</f>
        <v>0.12936093450511804</v>
      </c>
      <c r="F20">
        <f>C20*E20</f>
        <v>9.9006084568646235E-2</v>
      </c>
    </row>
    <row r="21" spans="1:32" x14ac:dyDescent="0.35">
      <c r="B21" t="s">
        <v>622</v>
      </c>
      <c r="C21">
        <f>(F19+F20)*E21</f>
        <v>-0.537526407151944</v>
      </c>
      <c r="D21">
        <f>SQRT(E21)</f>
        <v>0.26103560372776735</v>
      </c>
      <c r="E21">
        <f>1/(E19+E20)</f>
        <v>6.8139586413519984E-2</v>
      </c>
      <c r="M21" t="s">
        <v>22</v>
      </c>
    </row>
    <row r="22" spans="1:32" ht="15" thickBot="1" x14ac:dyDescent="0.4">
      <c r="A22" t="s">
        <v>618</v>
      </c>
      <c r="B22" t="s">
        <v>620</v>
      </c>
      <c r="C22">
        <f>N19</f>
        <v>3.1645654653376182E-2</v>
      </c>
      <c r="D22">
        <f>O19</f>
        <v>5.0900040055364172E-2</v>
      </c>
      <c r="E22">
        <f>1/D22/D22</f>
        <v>385.97906682358592</v>
      </c>
      <c r="F22">
        <f>C22*E22</f>
        <v>12.214560252131609</v>
      </c>
    </row>
    <row r="23" spans="1:32" x14ac:dyDescent="0.35">
      <c r="B23" t="s">
        <v>621</v>
      </c>
      <c r="C23">
        <f>-N39</f>
        <v>1.8786881907377428E-2</v>
      </c>
      <c r="D23">
        <f>O39</f>
        <v>0.32181678420529797</v>
      </c>
      <c r="E23">
        <f>1/D23/D23</f>
        <v>9.655674533192137</v>
      </c>
      <c r="F23">
        <f>C23*E23</f>
        <v>0.18140001719115237</v>
      </c>
      <c r="M23" s="5" t="s">
        <v>23</v>
      </c>
      <c r="N23" s="5"/>
      <c r="X23" s="5" t="s">
        <v>23</v>
      </c>
      <c r="Y23" s="5"/>
    </row>
    <row r="24" spans="1:32" x14ac:dyDescent="0.35">
      <c r="B24" t="s">
        <v>622</v>
      </c>
      <c r="C24">
        <f>(F22+F23)*E24</f>
        <v>3.1331829522383246E-2</v>
      </c>
      <c r="D24">
        <f>SQRT(E24)</f>
        <v>5.0275082233597189E-2</v>
      </c>
      <c r="E24">
        <f>1/(E22+E23)</f>
        <v>2.5275838935949597E-3</v>
      </c>
      <c r="M24" s="2" t="s">
        <v>24</v>
      </c>
      <c r="N24" s="2">
        <v>0.71535343328039369</v>
      </c>
      <c r="X24" s="2" t="s">
        <v>24</v>
      </c>
      <c r="Y24" s="2">
        <v>0.71418942943840225</v>
      </c>
    </row>
    <row r="25" spans="1:32" x14ac:dyDescent="0.35">
      <c r="M25" s="2" t="s">
        <v>25</v>
      </c>
      <c r="N25" s="2">
        <v>0.51173053450604666</v>
      </c>
      <c r="X25" s="2" t="s">
        <v>25</v>
      </c>
      <c r="Y25" s="2">
        <v>0.51006654112155059</v>
      </c>
    </row>
    <row r="26" spans="1:32" x14ac:dyDescent="0.35">
      <c r="A26" t="s">
        <v>619</v>
      </c>
      <c r="B26" t="s">
        <v>620</v>
      </c>
      <c r="C26">
        <f>Y18</f>
        <v>-0.63560885517720256</v>
      </c>
      <c r="D26">
        <f>Z18</f>
        <v>0.21453129985767985</v>
      </c>
      <c r="E26">
        <f>1/D26/D26</f>
        <v>21.727945918588539</v>
      </c>
      <c r="F26">
        <f>C26*E26</f>
        <v>-13.810474830666232</v>
      </c>
      <c r="M26" s="2" t="s">
        <v>26</v>
      </c>
      <c r="N26" s="2">
        <v>-0.4648083964818599</v>
      </c>
      <c r="X26" s="2" t="s">
        <v>26</v>
      </c>
      <c r="Y26" s="2">
        <v>0.26509981168232588</v>
      </c>
    </row>
    <row r="27" spans="1:32" x14ac:dyDescent="0.35">
      <c r="B27" t="s">
        <v>621</v>
      </c>
      <c r="C27">
        <f>-Y38</f>
        <v>0.9189366837060432</v>
      </c>
      <c r="D27">
        <f>Z38</f>
        <v>0.63683323868544661</v>
      </c>
      <c r="E27">
        <f>1/D27/D27</f>
        <v>2.4657472332328707</v>
      </c>
      <c r="F27">
        <f>C27*E27</f>
        <v>2.2658655853643657</v>
      </c>
      <c r="M27" s="2" t="s">
        <v>27</v>
      </c>
      <c r="N27" s="2">
        <v>1.33553780037362</v>
      </c>
      <c r="X27" s="2" t="s">
        <v>27</v>
      </c>
      <c r="Y27" s="2">
        <v>0.94597564130434197</v>
      </c>
    </row>
    <row r="28" spans="1:32" ht="15" thickBot="1" x14ac:dyDescent="0.4">
      <c r="B28" t="s">
        <v>622</v>
      </c>
      <c r="C28">
        <f>(F26+F27)*E28</f>
        <v>-0.47717432691472889</v>
      </c>
      <c r="D28">
        <f>SQRT(E28)</f>
        <v>0.20330540084396098</v>
      </c>
      <c r="E28">
        <f>1/(E26+E27)</f>
        <v>4.1333086012323647E-2</v>
      </c>
      <c r="M28" s="3" t="s">
        <v>28</v>
      </c>
      <c r="N28" s="3">
        <v>4</v>
      </c>
      <c r="X28" s="3" t="s">
        <v>28</v>
      </c>
      <c r="Y28" s="3">
        <v>4</v>
      </c>
    </row>
    <row r="30" spans="1:32" ht="15" thickBot="1" x14ac:dyDescent="0.4">
      <c r="M30" t="s">
        <v>29</v>
      </c>
      <c r="X30" t="s">
        <v>29</v>
      </c>
    </row>
    <row r="31" spans="1:32" x14ac:dyDescent="0.35">
      <c r="M31" s="4"/>
      <c r="N31" s="4" t="s">
        <v>34</v>
      </c>
      <c r="O31" s="4" t="s">
        <v>35</v>
      </c>
      <c r="P31" s="4" t="s">
        <v>36</v>
      </c>
      <c r="Q31" s="4" t="s">
        <v>37</v>
      </c>
      <c r="R31" s="4" t="s">
        <v>38</v>
      </c>
      <c r="X31" s="4"/>
      <c r="Y31" s="4" t="s">
        <v>34</v>
      </c>
      <c r="Z31" s="4" t="s">
        <v>35</v>
      </c>
      <c r="AA31" s="4" t="s">
        <v>36</v>
      </c>
      <c r="AB31" s="4" t="s">
        <v>37</v>
      </c>
      <c r="AC31" s="4" t="s">
        <v>38</v>
      </c>
    </row>
    <row r="32" spans="1:32" x14ac:dyDescent="0.35">
      <c r="M32" s="2" t="s">
        <v>30</v>
      </c>
      <c r="N32" s="2">
        <v>2</v>
      </c>
      <c r="O32" s="2">
        <v>1.8693651191848957</v>
      </c>
      <c r="P32" s="2">
        <v>0.93468255959244784</v>
      </c>
      <c r="Q32" s="2">
        <v>0.52402471449690102</v>
      </c>
      <c r="R32" s="2">
        <v>0.69876281061169343</v>
      </c>
      <c r="X32" s="2" t="s">
        <v>30</v>
      </c>
      <c r="Y32" s="2">
        <v>1</v>
      </c>
      <c r="Z32" s="2">
        <v>1.8632865075293807</v>
      </c>
      <c r="AA32" s="2">
        <v>1.8632865075293807</v>
      </c>
      <c r="AB32" s="2">
        <v>2.082187006738383</v>
      </c>
      <c r="AC32" s="2">
        <v>0.28581057056159775</v>
      </c>
    </row>
    <row r="33" spans="13:32" x14ac:dyDescent="0.35">
      <c r="M33" s="2" t="s">
        <v>31</v>
      </c>
      <c r="N33" s="2">
        <v>1</v>
      </c>
      <c r="O33" s="2">
        <v>1.7836612162268073</v>
      </c>
      <c r="P33" s="2">
        <v>1.7836612162268073</v>
      </c>
      <c r="Q33" s="2"/>
      <c r="R33" s="2"/>
      <c r="X33" s="2" t="s">
        <v>31</v>
      </c>
      <c r="Y33" s="2">
        <v>2</v>
      </c>
      <c r="Z33" s="2">
        <v>1.7897398278823222</v>
      </c>
      <c r="AA33" s="2">
        <v>0.89486991394116111</v>
      </c>
      <c r="AB33" s="2"/>
      <c r="AC33" s="2"/>
    </row>
    <row r="34" spans="13:32" ht="15" thickBot="1" x14ac:dyDescent="0.4">
      <c r="M34" s="3" t="s">
        <v>32</v>
      </c>
      <c r="N34" s="3">
        <v>3</v>
      </c>
      <c r="O34" s="3">
        <v>3.653026335411703</v>
      </c>
      <c r="P34" s="3"/>
      <c r="Q34" s="3"/>
      <c r="R34" s="3"/>
      <c r="X34" s="3" t="s">
        <v>32</v>
      </c>
      <c r="Y34" s="3">
        <v>3</v>
      </c>
      <c r="Z34" s="3">
        <v>3.653026335411703</v>
      </c>
      <c r="AA34" s="3"/>
      <c r="AB34" s="3"/>
      <c r="AC34" s="3"/>
    </row>
    <row r="35" spans="13:32" ht="15" thickBot="1" x14ac:dyDescent="0.4"/>
    <row r="36" spans="13:32" x14ac:dyDescent="0.35">
      <c r="M36" s="4"/>
      <c r="N36" s="4" t="s">
        <v>39</v>
      </c>
      <c r="O36" s="4" t="s">
        <v>27</v>
      </c>
      <c r="P36" s="4" t="s">
        <v>40</v>
      </c>
      <c r="Q36" s="4" t="s">
        <v>41</v>
      </c>
      <c r="R36" s="4" t="s">
        <v>42</v>
      </c>
      <c r="S36" s="4" t="s">
        <v>43</v>
      </c>
      <c r="T36" s="4" t="s">
        <v>44</v>
      </c>
      <c r="U36" s="4" t="s">
        <v>45</v>
      </c>
      <c r="X36" s="4"/>
      <c r="Y36" s="4" t="s">
        <v>39</v>
      </c>
      <c r="Z36" s="4" t="s">
        <v>27</v>
      </c>
      <c r="AA36" s="4" t="s">
        <v>40</v>
      </c>
      <c r="AB36" s="4" t="s">
        <v>41</v>
      </c>
      <c r="AC36" s="4" t="s">
        <v>42</v>
      </c>
      <c r="AD36" s="4" t="s">
        <v>43</v>
      </c>
      <c r="AE36" s="4" t="s">
        <v>44</v>
      </c>
      <c r="AF36" s="4" t="s">
        <v>45</v>
      </c>
    </row>
    <row r="37" spans="13:32" x14ac:dyDescent="0.35">
      <c r="M37" s="2" t="s">
        <v>33</v>
      </c>
      <c r="N37" s="2">
        <v>7.519074566718146</v>
      </c>
      <c r="O37" s="2">
        <v>26.301011730592617</v>
      </c>
      <c r="P37" s="2">
        <v>0.28588537367831229</v>
      </c>
      <c r="Q37" s="2">
        <v>0.82272824122990906</v>
      </c>
      <c r="R37" s="2">
        <v>-326.66696525072427</v>
      </c>
      <c r="S37" s="2">
        <v>341.70511438416054</v>
      </c>
      <c r="T37" s="2">
        <v>-326.66696525072427</v>
      </c>
      <c r="U37" s="2">
        <v>341.70511438416054</v>
      </c>
      <c r="X37" s="2" t="s">
        <v>33</v>
      </c>
      <c r="Y37" s="2">
        <v>8.9605262265962704</v>
      </c>
      <c r="Z37" s="2">
        <v>6.416158082649952</v>
      </c>
      <c r="AA37" s="2">
        <v>1.3965563365445421</v>
      </c>
      <c r="AB37" s="2">
        <v>0.29734912025054872</v>
      </c>
      <c r="AC37" s="2">
        <v>-18.645973862221631</v>
      </c>
      <c r="AD37" s="2">
        <v>36.567026315414168</v>
      </c>
      <c r="AE37" s="2">
        <v>-18.645973862221631</v>
      </c>
      <c r="AF37" s="2">
        <v>36.567026315414168</v>
      </c>
    </row>
    <row r="38" spans="13:32" ht="15" thickBot="1" x14ac:dyDescent="0.4">
      <c r="M38" s="2" t="s">
        <v>46</v>
      </c>
      <c r="N38" s="2">
        <v>-0.76534762946327628</v>
      </c>
      <c r="O38" s="2">
        <v>2.7803433293323612</v>
      </c>
      <c r="P38" s="2">
        <v>-0.27527090679375121</v>
      </c>
      <c r="Q38" s="2">
        <v>0.82899243602427963</v>
      </c>
      <c r="R38" s="2">
        <v>-36.092959208817881</v>
      </c>
      <c r="S38" s="2">
        <v>34.562263949891324</v>
      </c>
      <c r="T38" s="2">
        <v>-36.092959208817881</v>
      </c>
      <c r="U38" s="2">
        <v>34.562263949891324</v>
      </c>
      <c r="X38" s="3" t="s">
        <v>46</v>
      </c>
      <c r="Y38" s="3">
        <v>-0.9189366837060432</v>
      </c>
      <c r="Z38" s="3">
        <v>0.63683323868544661</v>
      </c>
      <c r="AA38" s="3">
        <v>-1.4429785191534843</v>
      </c>
      <c r="AB38" s="3">
        <v>0.28581057056159775</v>
      </c>
      <c r="AC38" s="3">
        <v>-3.6590089565311721</v>
      </c>
      <c r="AD38" s="3">
        <v>1.8211355891190855</v>
      </c>
      <c r="AE38" s="3">
        <v>-3.6590089565311721</v>
      </c>
      <c r="AF38" s="3">
        <v>1.8211355891190855</v>
      </c>
    </row>
    <row r="39" spans="13:32" ht="15" thickBot="1" x14ac:dyDescent="0.4">
      <c r="M39" s="3" t="s">
        <v>47</v>
      </c>
      <c r="N39" s="3">
        <v>-1.8786881907377428E-2</v>
      </c>
      <c r="O39" s="3">
        <v>0.32181678420529797</v>
      </c>
      <c r="P39" s="3">
        <v>-5.8377570187242413E-2</v>
      </c>
      <c r="Q39" s="3">
        <v>0.96287781636763292</v>
      </c>
      <c r="R39" s="3">
        <v>-4.1078568295572486</v>
      </c>
      <c r="S39" s="3">
        <v>4.0702830657424931</v>
      </c>
      <c r="T39" s="3">
        <v>-4.1078568295572486</v>
      </c>
      <c r="U39" s="3">
        <v>4.0702830657424931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39"/>
  <sheetViews>
    <sheetView workbookViewId="0">
      <selection activeCell="B2" sqref="B2"/>
    </sheetView>
  </sheetViews>
  <sheetFormatPr defaultRowHeight="14.5" x14ac:dyDescent="0.35"/>
  <cols>
    <col min="1" max="1" width="18.26953125" customWidth="1"/>
    <col min="3" max="3" width="12" bestFit="1" customWidth="1"/>
    <col min="4" max="4" width="10" bestFit="1" customWidth="1"/>
    <col min="7" max="7" width="11" bestFit="1" customWidth="1"/>
  </cols>
  <sheetData>
    <row r="1" spans="1:32" x14ac:dyDescent="0.35">
      <c r="C1" t="s">
        <v>98</v>
      </c>
      <c r="D1" t="s">
        <v>323</v>
      </c>
      <c r="F1" t="s">
        <v>618</v>
      </c>
      <c r="M1" t="s">
        <v>22</v>
      </c>
      <c r="X1" t="s">
        <v>22</v>
      </c>
    </row>
    <row r="2" spans="1:32" ht="15" thickBot="1" x14ac:dyDescent="0.4">
      <c r="A2" t="s">
        <v>89</v>
      </c>
      <c r="B2">
        <v>0.2</v>
      </c>
      <c r="C2">
        <f>SUMPRODUCT(regions!$C3:$C190,regions!AQ3:AQ190)</f>
        <v>13595644353592.4</v>
      </c>
      <c r="D2">
        <f>SUMPRODUCT(regions!$B3:$B190,regions!AQ3:AQ190)</f>
        <v>309326225</v>
      </c>
      <c r="E2" s="10">
        <f>C2/D2</f>
        <v>43952.446494287382</v>
      </c>
      <c r="F2" s="1">
        <f>G2/D2</f>
        <v>8.5</v>
      </c>
      <c r="G2">
        <f>SUMPRODUCT(regions!$X3:$X190,regions!AQ3:AQ190,regions!$B3:$B190)</f>
        <v>2629272912.5</v>
      </c>
      <c r="I2">
        <f>LN(-B3)</f>
        <v>-2.3025850929940455</v>
      </c>
      <c r="J2">
        <f>LN(E3)</f>
        <v>10.267079177627066</v>
      </c>
      <c r="K2" s="1">
        <f>F3</f>
        <v>12.725497753733746</v>
      </c>
    </row>
    <row r="3" spans="1:32" x14ac:dyDescent="0.35">
      <c r="A3" t="s">
        <v>360</v>
      </c>
      <c r="B3">
        <v>-0.1</v>
      </c>
      <c r="C3">
        <f>SUMPRODUCT(regions!$C3:$C190,regions!AR3:AR190)</f>
        <v>5611539854367.2988</v>
      </c>
      <c r="D3">
        <f>SUMPRODUCT(regions!$B3:$B190,regions!AR3:AR190)</f>
        <v>195050119</v>
      </c>
      <c r="E3" s="10">
        <f t="shared" ref="E3:E15" si="0">C3/D3</f>
        <v>28769.733046752455</v>
      </c>
      <c r="F3" s="1">
        <f t="shared" ref="F3:F15" si="1">G3/D3</f>
        <v>12.725497753733746</v>
      </c>
      <c r="G3">
        <f>SUMPRODUCT(regions!$X3:$X190,regions!AR3:AR190,regions!$B3:$B190)</f>
        <v>2482109851.1999998</v>
      </c>
      <c r="I3">
        <f>LN(-B5)</f>
        <v>-1.6094379124341003</v>
      </c>
      <c r="J3">
        <f>LN(E5)</f>
        <v>9.0576370668994652</v>
      </c>
      <c r="K3" s="1">
        <f>F5</f>
        <v>8.7523932509296056</v>
      </c>
      <c r="M3" s="5" t="s">
        <v>23</v>
      </c>
      <c r="N3" s="5"/>
      <c r="X3" s="5" t="s">
        <v>23</v>
      </c>
      <c r="Y3" s="5"/>
    </row>
    <row r="4" spans="1:32" x14ac:dyDescent="0.35">
      <c r="A4" t="s">
        <v>359</v>
      </c>
      <c r="B4">
        <v>0.2</v>
      </c>
      <c r="C4">
        <f>SUMPRODUCT(regions!$C3:$C190,regions!AS3:AS190)</f>
        <v>8589748762357.7891</v>
      </c>
      <c r="D4">
        <f>SUMPRODUCT(regions!$B3:$B190,regions!AS3:AS190)</f>
        <v>218251530</v>
      </c>
      <c r="E4" s="10">
        <f t="shared" si="0"/>
        <v>39357.106739905968</v>
      </c>
      <c r="F4" s="1">
        <f t="shared" si="1"/>
        <v>7.7326919133167129</v>
      </c>
      <c r="G4">
        <f>SUMPRODUCT(regions!$X3:$X190,regions!AS3:AS190,regions!$B3:$B190)</f>
        <v>1687671841.0999999</v>
      </c>
      <c r="I4">
        <f>LN(-B8)</f>
        <v>-2.3025850929940455</v>
      </c>
      <c r="J4">
        <f>LN(E8)</f>
        <v>10.497042957829937</v>
      </c>
      <c r="K4" s="1">
        <f>F8</f>
        <v>7.69098275422974</v>
      </c>
      <c r="M4" s="2" t="s">
        <v>24</v>
      </c>
      <c r="N4" s="2">
        <v>0.94238876630766322</v>
      </c>
      <c r="X4" s="2" t="s">
        <v>24</v>
      </c>
      <c r="Y4" s="2">
        <v>0.92126638402772787</v>
      </c>
    </row>
    <row r="5" spans="1:32" x14ac:dyDescent="0.35">
      <c r="A5" t="s">
        <v>361</v>
      </c>
      <c r="B5">
        <v>-0.2</v>
      </c>
      <c r="C5">
        <f>SUMPRODUCT(regions!$C3:$C190,regions!AT3:AT190)</f>
        <v>1015964434757.6732</v>
      </c>
      <c r="D5">
        <f>SUMPRODUCT(regions!$B3:$B190,regions!AT3:AT190)</f>
        <v>118357752</v>
      </c>
      <c r="E5" s="10">
        <f t="shared" si="0"/>
        <v>8583.843623167777</v>
      </c>
      <c r="F5" s="1">
        <f t="shared" si="1"/>
        <v>8.7523932509296056</v>
      </c>
      <c r="G5">
        <f>SUMPRODUCT(regions!$X3:$X190,regions!AT3:AT190,regions!$B3:$B190)</f>
        <v>1035913589.8000001</v>
      </c>
      <c r="I5">
        <f>LN(-B9)</f>
        <v>0.99325177301028345</v>
      </c>
      <c r="J5">
        <f>LN(E9)</f>
        <v>7.9851477283737804</v>
      </c>
      <c r="K5" s="1">
        <f>F9</f>
        <v>19.904799160373422</v>
      </c>
      <c r="M5" s="2" t="s">
        <v>25</v>
      </c>
      <c r="N5" s="2">
        <v>0.88809658686287951</v>
      </c>
      <c r="X5" s="2" t="s">
        <v>25</v>
      </c>
      <c r="Y5" s="2">
        <v>0.84873175033952497</v>
      </c>
    </row>
    <row r="6" spans="1:32" x14ac:dyDescent="0.35">
      <c r="A6" t="s">
        <v>93</v>
      </c>
      <c r="B6">
        <v>0.8</v>
      </c>
      <c r="C6">
        <f>SUMPRODUCT(regions!$C3:$C190,regions!AU3:AU190)</f>
        <v>1263738819385.8857</v>
      </c>
      <c r="D6">
        <f>SUMPRODUCT(regions!$B3:$B190,regions!AU3:AU190)</f>
        <v>287651287</v>
      </c>
      <c r="E6" s="10">
        <f t="shared" si="0"/>
        <v>4393.3014608270669</v>
      </c>
      <c r="F6" s="1">
        <f t="shared" si="1"/>
        <v>1.7083495558982151</v>
      </c>
      <c r="G6">
        <f>SUMPRODUCT(regions!$X3:$X190,regions!AU3:AU190,regions!$B3:$B190)</f>
        <v>491408948.40000004</v>
      </c>
      <c r="I6">
        <f>LN(-B10)</f>
        <v>-0.22314355131420971</v>
      </c>
      <c r="J6">
        <f>LN(E10)</f>
        <v>8.7363543675372242</v>
      </c>
      <c r="K6" s="1">
        <f>F10</f>
        <v>19.021037416027387</v>
      </c>
      <c r="M6" s="2" t="s">
        <v>26</v>
      </c>
      <c r="N6" s="2">
        <v>0.85079544915050598</v>
      </c>
      <c r="X6" s="2" t="s">
        <v>26</v>
      </c>
      <c r="Y6" s="2">
        <v>0.82712200038802852</v>
      </c>
    </row>
    <row r="7" spans="1:32" x14ac:dyDescent="0.35">
      <c r="A7" t="s">
        <v>362</v>
      </c>
      <c r="B7">
        <v>0.1</v>
      </c>
      <c r="C7">
        <f>SUMPRODUCT(regions!$C3:$C190,regions!AV3:AV190)</f>
        <v>2185944049258.3716</v>
      </c>
      <c r="D7">
        <f>SUMPRODUCT(regions!$B3:$B190,regions!AV3:AV190)</f>
        <v>121466600</v>
      </c>
      <c r="E7" s="10">
        <f t="shared" si="0"/>
        <v>17996.256166373074</v>
      </c>
      <c r="F7" s="1">
        <f t="shared" si="1"/>
        <v>15.927593428975538</v>
      </c>
      <c r="G7">
        <f>SUMPRODUCT(regions!$X3:$X190,regions!AV3:AV190,regions!$B3:$B190)</f>
        <v>1934670620</v>
      </c>
      <c r="I7">
        <f>LN(-B11)</f>
        <v>0.40546510810816438</v>
      </c>
      <c r="J7">
        <f>LN(E11)</f>
        <v>6.9002905681085069</v>
      </c>
      <c r="K7" s="1">
        <f>F11</f>
        <v>24.202575129113367</v>
      </c>
      <c r="M7" s="2" t="s">
        <v>27</v>
      </c>
      <c r="N7" s="2">
        <v>0.5459723074262276</v>
      </c>
      <c r="X7" s="2" t="s">
        <v>27</v>
      </c>
      <c r="Y7" s="2">
        <v>0.58769154772212895</v>
      </c>
    </row>
    <row r="8" spans="1:32" ht="15" thickBot="1" x14ac:dyDescent="0.4">
      <c r="A8" t="s">
        <v>363</v>
      </c>
      <c r="B8">
        <v>-0.1</v>
      </c>
      <c r="C8">
        <f>SUMPRODUCT(regions!$C3:$C190,regions!AW3:AW190)</f>
        <v>6008575140299.5879</v>
      </c>
      <c r="D8">
        <f>SUMPRODUCT(regions!$B3:$B190,regions!AW3:AW190)</f>
        <v>165944806</v>
      </c>
      <c r="E8" s="10">
        <f t="shared" si="0"/>
        <v>36208.274818192185</v>
      </c>
      <c r="F8" s="1">
        <f t="shared" si="1"/>
        <v>7.69098275422974</v>
      </c>
      <c r="G8">
        <f>SUMPRODUCT(regions!$X3:$X190,regions!AW3:AW190,regions!$B3:$B190)</f>
        <v>1276278641.0999999</v>
      </c>
      <c r="I8">
        <f>LN(-B12)</f>
        <v>1.2237754316221157</v>
      </c>
      <c r="J8">
        <f>LN(E12)</f>
        <v>6.8461982767928502</v>
      </c>
      <c r="K8" s="1">
        <f>F12</f>
        <v>23.022256757242907</v>
      </c>
      <c r="M8" s="3" t="s">
        <v>28</v>
      </c>
      <c r="N8" s="3">
        <v>9</v>
      </c>
      <c r="X8" s="3" t="s">
        <v>28</v>
      </c>
      <c r="Y8" s="3">
        <v>9</v>
      </c>
    </row>
    <row r="9" spans="1:32" x14ac:dyDescent="0.35">
      <c r="A9" t="s">
        <v>364</v>
      </c>
      <c r="B9">
        <v>-2.7</v>
      </c>
      <c r="C9">
        <f>SUMPRODUCT(regions!$C3:$C190,regions!AX3:AX190)</f>
        <v>232770704229.45807</v>
      </c>
      <c r="D9">
        <f>SUMPRODUCT(regions!$B3:$B190,regions!AX3:AX190)</f>
        <v>79254280</v>
      </c>
      <c r="E9" s="10">
        <f t="shared" si="0"/>
        <v>2937.0111523246196</v>
      </c>
      <c r="F9" s="1">
        <f t="shared" si="1"/>
        <v>19.904799160373422</v>
      </c>
      <c r="G9">
        <f>SUMPRODUCT(regions!$X3:$X190,regions!AX3:AX190,regions!$B3:$B190)</f>
        <v>1577540526</v>
      </c>
      <c r="I9">
        <f>LN(-B14)</f>
        <v>1.0296194171811581</v>
      </c>
      <c r="J9">
        <f>LN(E14)</f>
        <v>7.8428085119963438</v>
      </c>
      <c r="K9" s="1">
        <f>F14</f>
        <v>25.441676073854516</v>
      </c>
    </row>
    <row r="10" spans="1:32" ht="15" thickBot="1" x14ac:dyDescent="0.4">
      <c r="A10" t="s">
        <v>365</v>
      </c>
      <c r="B10">
        <v>-0.8</v>
      </c>
      <c r="C10">
        <f>SUMPRODUCT(regions!$C3:$C190,regions!AY3:AY190)</f>
        <v>2183529883360.4409</v>
      </c>
      <c r="D10">
        <f>SUMPRODUCT(regions!$B3:$B190,regions!AY3:AY190)</f>
        <v>350758857</v>
      </c>
      <c r="E10" s="10">
        <f t="shared" si="0"/>
        <v>6225.1596496690627</v>
      </c>
      <c r="F10" s="1">
        <f t="shared" si="1"/>
        <v>19.021037416027387</v>
      </c>
      <c r="G10">
        <f>SUMPRODUCT(regions!$X3:$X190,regions!AY3:AY190,regions!$B3:$B190)</f>
        <v>6671797343</v>
      </c>
      <c r="I10">
        <f>LN(-B15)</f>
        <v>-0.35667494393873245</v>
      </c>
      <c r="J10">
        <f>LN(E15)</f>
        <v>8.6540208658481657</v>
      </c>
      <c r="K10" s="1">
        <f>F15</f>
        <v>22.436521795575018</v>
      </c>
      <c r="M10" t="s">
        <v>29</v>
      </c>
      <c r="X10" t="s">
        <v>29</v>
      </c>
    </row>
    <row r="11" spans="1:32" x14ac:dyDescent="0.35">
      <c r="A11" t="s">
        <v>130</v>
      </c>
      <c r="B11">
        <v>-1.5</v>
      </c>
      <c r="C11">
        <f>SUMPRODUCT(regions!$C3:$C190,regions!AZ3:AZ190)</f>
        <v>838699344666.90784</v>
      </c>
      <c r="D11">
        <f>SUMPRODUCT(regions!$B3:$B190,regions!AZ3:AZ190)</f>
        <v>844983418</v>
      </c>
      <c r="E11" s="10">
        <f t="shared" si="0"/>
        <v>992.56308088510661</v>
      </c>
      <c r="F11" s="1">
        <f t="shared" si="1"/>
        <v>24.202575129113367</v>
      </c>
      <c r="G11">
        <f>SUMPRODUCT(regions!$X3:$X190,regions!AZ3:AZ190,regions!$B3:$B190)</f>
        <v>20450774657.000004</v>
      </c>
      <c r="M11" s="4"/>
      <c r="N11" s="4" t="s">
        <v>34</v>
      </c>
      <c r="O11" s="4" t="s">
        <v>35</v>
      </c>
      <c r="P11" s="4" t="s">
        <v>36</v>
      </c>
      <c r="Q11" s="4" t="s">
        <v>37</v>
      </c>
      <c r="R11" s="4" t="s">
        <v>38</v>
      </c>
      <c r="X11" s="4"/>
      <c r="Y11" s="4" t="s">
        <v>34</v>
      </c>
      <c r="Z11" s="4" t="s">
        <v>35</v>
      </c>
      <c r="AA11" s="4" t="s">
        <v>36</v>
      </c>
      <c r="AB11" s="4" t="s">
        <v>37</v>
      </c>
      <c r="AC11" s="4" t="s">
        <v>38</v>
      </c>
    </row>
    <row r="12" spans="1:32" x14ac:dyDescent="0.35">
      <c r="A12" t="s">
        <v>366</v>
      </c>
      <c r="B12">
        <v>-3.4</v>
      </c>
      <c r="C12">
        <f>SUMPRODUCT(regions!$C3:$C190,regions!BA3:BA190)</f>
        <v>1510687716750.272</v>
      </c>
      <c r="D12">
        <f>SUMPRODUCT(regions!$B3:$B190,regions!BA3:BA190)</f>
        <v>1606602966</v>
      </c>
      <c r="E12" s="10">
        <f t="shared" si="0"/>
        <v>940.29934509051066</v>
      </c>
      <c r="F12" s="1">
        <f t="shared" si="1"/>
        <v>23.022256757242907</v>
      </c>
      <c r="G12">
        <f>SUMPRODUCT(regions!$X3:$X190,regions!BA3:BA190,regions!$B3:$B190)</f>
        <v>36987625990.199997</v>
      </c>
      <c r="I12">
        <f>LN(B2)</f>
        <v>-1.6094379124341003</v>
      </c>
      <c r="J12">
        <f>LN(E2)</f>
        <v>10.690863566963092</v>
      </c>
      <c r="K12" s="1">
        <f>F2</f>
        <v>8.5</v>
      </c>
      <c r="M12" s="2" t="s">
        <v>30</v>
      </c>
      <c r="N12" s="2">
        <v>2</v>
      </c>
      <c r="O12" s="2">
        <v>14.194148634969347</v>
      </c>
      <c r="P12" s="2">
        <v>7.0970743174846733</v>
      </c>
      <c r="Q12" s="2">
        <v>23.808833760271096</v>
      </c>
      <c r="R12" s="2">
        <v>1.4012963768264767E-3</v>
      </c>
      <c r="X12" s="2" t="s">
        <v>30</v>
      </c>
      <c r="Y12" s="2">
        <v>1</v>
      </c>
      <c r="Z12" s="2">
        <v>13.564993710979042</v>
      </c>
      <c r="AA12" s="2">
        <v>13.564993710979042</v>
      </c>
      <c r="AB12" s="2">
        <v>39.275408195121308</v>
      </c>
      <c r="AC12" s="2">
        <v>4.172310885697184E-4</v>
      </c>
    </row>
    <row r="13" spans="1:32" x14ac:dyDescent="0.35">
      <c r="A13" t="s">
        <v>91</v>
      </c>
      <c r="B13">
        <v>0.1</v>
      </c>
      <c r="C13">
        <f>SUMPRODUCT(regions!$C3:$C190,regions!BB3:BB190)</f>
        <v>3839284159376.0742</v>
      </c>
      <c r="D13">
        <f>SUMPRODUCT(regions!$B3:$B190,regions!BB3:BB190)</f>
        <v>1337705000</v>
      </c>
      <c r="E13" s="10">
        <f t="shared" si="0"/>
        <v>2870.0529334764196</v>
      </c>
      <c r="F13" s="1">
        <f t="shared" si="1"/>
        <v>6.9</v>
      </c>
      <c r="G13">
        <f>SUMPRODUCT(regions!$X3:$X190,regions!BB3:BB190,regions!$B3:$B190)</f>
        <v>9230164500</v>
      </c>
      <c r="I13">
        <f>LN(B4)</f>
        <v>-1.6094379124341003</v>
      </c>
      <c r="J13">
        <f>LN(E4)</f>
        <v>10.580431840840031</v>
      </c>
      <c r="K13" s="1">
        <f>F4</f>
        <v>7.7326919133167129</v>
      </c>
      <c r="M13" s="2" t="s">
        <v>31</v>
      </c>
      <c r="N13" s="2">
        <v>6</v>
      </c>
      <c r="O13" s="2">
        <v>1.7885145628579153</v>
      </c>
      <c r="P13" s="2">
        <v>0.29808576047631924</v>
      </c>
      <c r="Q13" s="2"/>
      <c r="R13" s="2"/>
      <c r="X13" s="2" t="s">
        <v>31</v>
      </c>
      <c r="Y13" s="2">
        <v>7</v>
      </c>
      <c r="Z13" s="2">
        <v>2.4176694868482196</v>
      </c>
      <c r="AA13" s="2">
        <v>0.34538135526403135</v>
      </c>
      <c r="AB13" s="2"/>
      <c r="AC13" s="2"/>
    </row>
    <row r="14" spans="1:32" ht="15" thickBot="1" x14ac:dyDescent="0.4">
      <c r="A14" t="s">
        <v>367</v>
      </c>
      <c r="B14">
        <v>-2.8</v>
      </c>
      <c r="C14">
        <f>SUMPRODUCT(regions!$C3:$C190,regions!BC3:BC190)</f>
        <v>1433560407846.9143</v>
      </c>
      <c r="D14">
        <f>SUMPRODUCT(regions!$B3:$B190,regions!BC3:BC190)</f>
        <v>562765595</v>
      </c>
      <c r="E14" s="10">
        <f t="shared" si="0"/>
        <v>2547.3490571983425</v>
      </c>
      <c r="F14" s="1">
        <f t="shared" si="1"/>
        <v>25.441676073854516</v>
      </c>
      <c r="G14">
        <f>SUMPRODUCT(regions!$X3:$X190,regions!BC3:BC190,regions!$B3:$B190)</f>
        <v>14317699973.5</v>
      </c>
      <c r="I14">
        <f>LN(B6)</f>
        <v>-0.22314355131420971</v>
      </c>
      <c r="J14">
        <f>LN(E6)</f>
        <v>8.3878362646186133</v>
      </c>
      <c r="K14" s="1">
        <f>F6</f>
        <v>1.7083495558982151</v>
      </c>
      <c r="M14" s="3" t="s">
        <v>32</v>
      </c>
      <c r="N14" s="3">
        <v>8</v>
      </c>
      <c r="O14" s="3">
        <v>15.982663197827263</v>
      </c>
      <c r="P14" s="3"/>
      <c r="Q14" s="3"/>
      <c r="R14" s="3"/>
      <c r="X14" s="3" t="s">
        <v>32</v>
      </c>
      <c r="Y14" s="3">
        <v>8</v>
      </c>
      <c r="Z14" s="3">
        <v>15.982663197827261</v>
      </c>
      <c r="AA14" s="3"/>
      <c r="AB14" s="3"/>
      <c r="AC14" s="3"/>
    </row>
    <row r="15" spans="1:32" ht="15" thickBot="1" x14ac:dyDescent="0.4">
      <c r="A15" t="s">
        <v>368</v>
      </c>
      <c r="B15">
        <v>-0.7</v>
      </c>
      <c r="C15">
        <f>SUMPRODUCT(regions!$C3:$C190,regions!BD3:BD190)</f>
        <v>3393366706482.6875</v>
      </c>
      <c r="D15">
        <f>SUMPRODUCT(regions!$B3:$B190,regions!BD3:BD190)</f>
        <v>591884935</v>
      </c>
      <c r="E15" s="10">
        <f t="shared" si="0"/>
        <v>5733.1526886770444</v>
      </c>
      <c r="F15" s="1">
        <f t="shared" si="1"/>
        <v>22.436521795575018</v>
      </c>
      <c r="G15">
        <f>SUMPRODUCT(regions!$X3:$X190,regions!BD3:BD190,regions!$B3:$B190)</f>
        <v>13279839244.600002</v>
      </c>
      <c r="I15">
        <f>LN(B7)</f>
        <v>-2.3025850929940455</v>
      </c>
      <c r="J15">
        <f>LN(E7)</f>
        <v>9.7979190244881735</v>
      </c>
      <c r="K15" s="1">
        <f>F7</f>
        <v>15.927593428975538</v>
      </c>
    </row>
    <row r="16" spans="1:32" x14ac:dyDescent="0.35">
      <c r="I16">
        <f>LN(B13)</f>
        <v>-2.3025850929940455</v>
      </c>
      <c r="J16">
        <f>LN(E13)</f>
        <v>7.9620857523035902</v>
      </c>
      <c r="K16" s="1">
        <f>F13</f>
        <v>6.9</v>
      </c>
      <c r="M16" s="4"/>
      <c r="N16" s="4" t="s">
        <v>39</v>
      </c>
      <c r="O16" s="4" t="s">
        <v>27</v>
      </c>
      <c r="P16" s="4" t="s">
        <v>40</v>
      </c>
      <c r="Q16" s="4" t="s">
        <v>41</v>
      </c>
      <c r="R16" s="4" t="s">
        <v>42</v>
      </c>
      <c r="S16" s="4" t="s">
        <v>43</v>
      </c>
      <c r="T16" s="4" t="s">
        <v>44</v>
      </c>
      <c r="U16" s="4" t="s">
        <v>45</v>
      </c>
      <c r="X16" s="4"/>
      <c r="Y16" s="4" t="s">
        <v>39</v>
      </c>
      <c r="Z16" s="4" t="s">
        <v>27</v>
      </c>
      <c r="AA16" s="4" t="s">
        <v>40</v>
      </c>
      <c r="AB16" s="4" t="s">
        <v>41</v>
      </c>
      <c r="AC16" s="4" t="s">
        <v>42</v>
      </c>
      <c r="AD16" s="4" t="s">
        <v>43</v>
      </c>
      <c r="AE16" s="4" t="s">
        <v>44</v>
      </c>
      <c r="AF16" s="4" t="s">
        <v>45</v>
      </c>
    </row>
    <row r="17" spans="1:32" x14ac:dyDescent="0.35">
      <c r="A17" t="s">
        <v>619</v>
      </c>
      <c r="B17" t="s">
        <v>620</v>
      </c>
      <c r="C17">
        <f>N18</f>
        <v>-0.65313341535321168</v>
      </c>
      <c r="D17">
        <f>O18</f>
        <v>0.27811737938064957</v>
      </c>
      <c r="E17">
        <f>1/D17/D17</f>
        <v>12.928369113304059</v>
      </c>
      <c r="F17">
        <f>C17*E17</f>
        <v>-8.4439498739192533</v>
      </c>
      <c r="M17" s="2" t="s">
        <v>33</v>
      </c>
      <c r="N17" s="2">
        <v>3.7683555931798471</v>
      </c>
      <c r="O17" s="2">
        <v>3.2545865406682362</v>
      </c>
      <c r="P17" s="2">
        <v>1.1578600065144138</v>
      </c>
      <c r="Q17" s="2">
        <v>0.2909246892649256</v>
      </c>
      <c r="R17" s="2">
        <v>-4.1953307837581697</v>
      </c>
      <c r="S17" s="2">
        <v>11.732041970117864</v>
      </c>
      <c r="T17" s="2">
        <v>-4.1953307837581697</v>
      </c>
      <c r="U17" s="2">
        <v>11.732041970117864</v>
      </c>
      <c r="X17" s="2" t="s">
        <v>33</v>
      </c>
      <c r="Y17" s="2">
        <v>8.1224520521192094</v>
      </c>
      <c r="Z17" s="2">
        <v>1.3658976026352465</v>
      </c>
      <c r="AA17" s="2">
        <v>5.9466039302275968</v>
      </c>
      <c r="AB17" s="2">
        <v>5.7201213745800613E-4</v>
      </c>
      <c r="AC17" s="2">
        <v>4.8926174557354605</v>
      </c>
      <c r="AD17" s="2">
        <v>11.352286648502957</v>
      </c>
      <c r="AE17" s="2">
        <v>4.8926174557354605</v>
      </c>
      <c r="AF17" s="2">
        <v>11.352286648502957</v>
      </c>
    </row>
    <row r="18" spans="1:32" ht="15" thickBot="1" x14ac:dyDescent="0.4">
      <c r="B18" t="s">
        <v>621</v>
      </c>
      <c r="C18">
        <f>-N38</f>
        <v>-0.15692699392668361</v>
      </c>
      <c r="D18">
        <f>O38</f>
        <v>0.31774797384465348</v>
      </c>
      <c r="E18">
        <f>1/D18/D18</f>
        <v>9.9045425071016471</v>
      </c>
      <c r="F18">
        <f>C18*E18</f>
        <v>-1.5542900818585197</v>
      </c>
      <c r="M18" s="2" t="s">
        <v>46</v>
      </c>
      <c r="N18" s="2">
        <v>-0.65313341535321168</v>
      </c>
      <c r="O18" s="2">
        <v>0.27811737938064957</v>
      </c>
      <c r="P18" s="2">
        <v>-2.3484092105559888</v>
      </c>
      <c r="Q18" s="2">
        <v>5.7182649636330775E-2</v>
      </c>
      <c r="R18" s="2">
        <v>-1.3336621269691047</v>
      </c>
      <c r="S18" s="2">
        <v>2.7395296262681335E-2</v>
      </c>
      <c r="T18" s="2">
        <v>-1.3336621269691047</v>
      </c>
      <c r="U18" s="2">
        <v>2.7395296262681335E-2</v>
      </c>
      <c r="X18" s="3" t="s">
        <v>46</v>
      </c>
      <c r="Y18" s="3">
        <v>-0.99560054344917004</v>
      </c>
      <c r="Z18" s="3">
        <v>0.15886373586995117</v>
      </c>
      <c r="AA18" s="3">
        <v>-6.2670095097359875</v>
      </c>
      <c r="AB18" s="3">
        <v>4.1723108856971873E-4</v>
      </c>
      <c r="AC18" s="3">
        <v>-1.3712535859858872</v>
      </c>
      <c r="AD18" s="3">
        <v>-0.61994750091245288</v>
      </c>
      <c r="AE18" s="3">
        <v>-1.3712535859858872</v>
      </c>
      <c r="AF18" s="3">
        <v>-0.61994750091245288</v>
      </c>
    </row>
    <row r="19" spans="1:32" ht="15" thickBot="1" x14ac:dyDescent="0.4">
      <c r="B19" t="s">
        <v>622</v>
      </c>
      <c r="C19">
        <f>(F17+F18)*E19</f>
        <v>-0.4378872095682434</v>
      </c>
      <c r="D19">
        <f>SQRT(E19)</f>
        <v>0.20927596451112723</v>
      </c>
      <c r="E19">
        <f>1/(E17+E18)</f>
        <v>4.3796429322062583E-2</v>
      </c>
      <c r="M19" s="3" t="s">
        <v>47</v>
      </c>
      <c r="N19" s="3">
        <v>7.9906582452985528E-2</v>
      </c>
      <c r="O19" s="3">
        <v>5.5001479494822599E-2</v>
      </c>
      <c r="P19" s="3">
        <v>1.4528078732956138</v>
      </c>
      <c r="Q19" s="3">
        <v>0.19649252344469381</v>
      </c>
      <c r="R19" s="3">
        <v>-5.4677189553402936E-2</v>
      </c>
      <c r="S19" s="3">
        <v>0.21449035445937398</v>
      </c>
      <c r="T19" s="3">
        <v>-5.4677189553402936E-2</v>
      </c>
      <c r="U19" s="3">
        <v>0.21449035445937398</v>
      </c>
    </row>
    <row r="20" spans="1:32" x14ac:dyDescent="0.35">
      <c r="A20" t="s">
        <v>618</v>
      </c>
      <c r="B20" t="s">
        <v>620</v>
      </c>
      <c r="C20">
        <f>N19</f>
        <v>7.9906582452985528E-2</v>
      </c>
      <c r="D20">
        <f>O19</f>
        <v>5.5001479494822599E-2</v>
      </c>
      <c r="E20">
        <f>1/D20/D20</f>
        <v>330.560728052564</v>
      </c>
      <c r="F20">
        <f>C20*E20</f>
        <v>26.413978071851133</v>
      </c>
    </row>
    <row r="21" spans="1:32" x14ac:dyDescent="0.35">
      <c r="B21" t="s">
        <v>621</v>
      </c>
      <c r="C21">
        <f>-N39</f>
        <v>0.14671868927303913</v>
      </c>
      <c r="D21">
        <f>O39</f>
        <v>7.8091120962737876E-2</v>
      </c>
      <c r="E21">
        <f>1/D21/D21</f>
        <v>163.98219146717059</v>
      </c>
      <c r="F21">
        <f>C21*E21</f>
        <v>24.059252196183813</v>
      </c>
      <c r="M21" t="s">
        <v>22</v>
      </c>
      <c r="X21" t="s">
        <v>22</v>
      </c>
    </row>
    <row r="22" spans="1:32" ht="15" thickBot="1" x14ac:dyDescent="0.4">
      <c r="B22" t="s">
        <v>622</v>
      </c>
      <c r="C22">
        <f>(F20+F21)*E22</f>
        <v>0.10206036377398955</v>
      </c>
      <c r="D22">
        <f>SQRT(E22)</f>
        <v>4.4967423637536599E-2</v>
      </c>
      <c r="E22">
        <f>1/(E20+E21)</f>
        <v>2.0220691885976852E-3</v>
      </c>
    </row>
    <row r="23" spans="1:32" x14ac:dyDescent="0.35">
      <c r="M23" s="5" t="s">
        <v>23</v>
      </c>
      <c r="N23" s="5"/>
      <c r="X23" s="5" t="s">
        <v>23</v>
      </c>
      <c r="Y23" s="5"/>
    </row>
    <row r="24" spans="1:32" x14ac:dyDescent="0.35">
      <c r="A24" t="s">
        <v>619</v>
      </c>
      <c r="B24" t="s">
        <v>620</v>
      </c>
      <c r="C24">
        <f>Y18</f>
        <v>-0.99560054344917004</v>
      </c>
      <c r="D24">
        <f>Z18</f>
        <v>0.15886373586995117</v>
      </c>
      <c r="E24">
        <f>1/D24/D24</f>
        <v>39.623283102664054</v>
      </c>
      <c r="F24">
        <f>C24*E24</f>
        <v>-39.448962190252651</v>
      </c>
      <c r="M24" s="2" t="s">
        <v>24</v>
      </c>
      <c r="N24" s="2">
        <v>0.80476287040660188</v>
      </c>
      <c r="X24" s="2" t="s">
        <v>24</v>
      </c>
      <c r="Y24" s="2">
        <v>0.16044902675030692</v>
      </c>
    </row>
    <row r="25" spans="1:32" x14ac:dyDescent="0.35">
      <c r="B25" t="s">
        <v>621</v>
      </c>
      <c r="C25">
        <f>-Y38</f>
        <v>0.10877001099655219</v>
      </c>
      <c r="D25">
        <f>Z38</f>
        <v>0.38632074241496395</v>
      </c>
      <c r="E25">
        <f>1/D25/D25</f>
        <v>6.7004496180305724</v>
      </c>
      <c r="F25">
        <f>C25*E25</f>
        <v>0.72880797863502922</v>
      </c>
      <c r="M25" s="2" t="s">
        <v>25</v>
      </c>
      <c r="N25" s="2">
        <v>0.64764327758507312</v>
      </c>
      <c r="X25" s="2" t="s">
        <v>25</v>
      </c>
      <c r="Y25" s="2">
        <v>2.5743890185120709E-2</v>
      </c>
    </row>
    <row r="26" spans="1:32" x14ac:dyDescent="0.35">
      <c r="B26" t="s">
        <v>622</v>
      </c>
      <c r="C26">
        <f>(F24+F25)*E26</f>
        <v>-0.83585997797452549</v>
      </c>
      <c r="D26">
        <f>SQRT(E26)</f>
        <v>0.14692585491804958</v>
      </c>
      <c r="E26">
        <f>1/(E24+E25)</f>
        <v>2.158720684339975E-2</v>
      </c>
      <c r="M26" s="2" t="s">
        <v>26</v>
      </c>
      <c r="N26" s="2">
        <v>0.29528655517014624</v>
      </c>
      <c r="X26" s="2" t="s">
        <v>26</v>
      </c>
      <c r="Y26" s="2">
        <v>-0.29900814641983903</v>
      </c>
    </row>
    <row r="27" spans="1:32" x14ac:dyDescent="0.35">
      <c r="M27" s="2" t="s">
        <v>27</v>
      </c>
      <c r="N27" s="2">
        <v>0.71265177174814631</v>
      </c>
      <c r="X27" s="2" t="s">
        <v>27</v>
      </c>
      <c r="Y27" s="2">
        <v>0.96755804403537549</v>
      </c>
    </row>
    <row r="28" spans="1:32" ht="15" thickBot="1" x14ac:dyDescent="0.4">
      <c r="M28" s="3" t="s">
        <v>28</v>
      </c>
      <c r="N28" s="3">
        <v>5</v>
      </c>
      <c r="X28" s="3" t="s">
        <v>28</v>
      </c>
      <c r="Y28" s="3">
        <v>5</v>
      </c>
    </row>
    <row r="30" spans="1:32" ht="15" thickBot="1" x14ac:dyDescent="0.4">
      <c r="M30" t="s">
        <v>29</v>
      </c>
      <c r="X30" t="s">
        <v>29</v>
      </c>
    </row>
    <row r="31" spans="1:32" x14ac:dyDescent="0.35">
      <c r="M31" s="4"/>
      <c r="N31" s="4" t="s">
        <v>34</v>
      </c>
      <c r="O31" s="4" t="s">
        <v>35</v>
      </c>
      <c r="P31" s="4" t="s">
        <v>36</v>
      </c>
      <c r="Q31" s="4" t="s">
        <v>37</v>
      </c>
      <c r="R31" s="4" t="s">
        <v>38</v>
      </c>
      <c r="X31" s="4"/>
      <c r="Y31" s="4" t="s">
        <v>34</v>
      </c>
      <c r="Z31" s="4" t="s">
        <v>35</v>
      </c>
      <c r="AA31" s="4" t="s">
        <v>36</v>
      </c>
      <c r="AB31" s="4" t="s">
        <v>37</v>
      </c>
      <c r="AC31" s="4" t="s">
        <v>38</v>
      </c>
    </row>
    <row r="32" spans="1:32" x14ac:dyDescent="0.35">
      <c r="M32" s="2" t="s">
        <v>30</v>
      </c>
      <c r="N32" s="2">
        <v>2</v>
      </c>
      <c r="O32" s="2">
        <v>1.8669729879576638</v>
      </c>
      <c r="P32" s="2">
        <v>0.93348649397883188</v>
      </c>
      <c r="Q32" s="2">
        <v>1.8380329830132311</v>
      </c>
      <c r="R32" s="2">
        <v>0.35235672241492694</v>
      </c>
      <c r="X32" s="2" t="s">
        <v>30</v>
      </c>
      <c r="Y32" s="2">
        <v>1</v>
      </c>
      <c r="Z32" s="2">
        <v>7.4212377776522676E-2</v>
      </c>
      <c r="AA32" s="2">
        <v>7.4212377776522676E-2</v>
      </c>
      <c r="AB32" s="2">
        <v>7.9272451850506839E-2</v>
      </c>
      <c r="AC32" s="2">
        <v>0.79658990731399659</v>
      </c>
    </row>
    <row r="33" spans="13:32" x14ac:dyDescent="0.35">
      <c r="M33" s="2" t="s">
        <v>31</v>
      </c>
      <c r="N33" s="2">
        <v>2</v>
      </c>
      <c r="O33" s="2">
        <v>1.0157450955515439</v>
      </c>
      <c r="P33" s="2">
        <v>0.50787254777577195</v>
      </c>
      <c r="Q33" s="2"/>
      <c r="R33" s="2"/>
      <c r="X33" s="2" t="s">
        <v>31</v>
      </c>
      <c r="Y33" s="2">
        <v>3</v>
      </c>
      <c r="Z33" s="2">
        <v>2.808505705732685</v>
      </c>
      <c r="AA33" s="2">
        <v>0.9361685685775617</v>
      </c>
      <c r="AB33" s="2"/>
      <c r="AC33" s="2"/>
    </row>
    <row r="34" spans="13:32" ht="15" thickBot="1" x14ac:dyDescent="0.4">
      <c r="M34" s="3" t="s">
        <v>32</v>
      </c>
      <c r="N34" s="3">
        <v>4</v>
      </c>
      <c r="O34" s="3">
        <v>2.8827180835092077</v>
      </c>
      <c r="P34" s="3"/>
      <c r="Q34" s="3"/>
      <c r="R34" s="3"/>
      <c r="X34" s="3" t="s">
        <v>32</v>
      </c>
      <c r="Y34" s="3">
        <v>4</v>
      </c>
      <c r="Z34" s="3">
        <v>2.8827180835092077</v>
      </c>
      <c r="AA34" s="3"/>
      <c r="AB34" s="3"/>
      <c r="AC34" s="3"/>
    </row>
    <row r="35" spans="13:32" ht="15" thickBot="1" x14ac:dyDescent="0.4"/>
    <row r="36" spans="13:32" x14ac:dyDescent="0.35">
      <c r="M36" s="4"/>
      <c r="N36" s="4" t="s">
        <v>39</v>
      </c>
      <c r="O36" s="4" t="s">
        <v>27</v>
      </c>
      <c r="P36" s="4" t="s">
        <v>40</v>
      </c>
      <c r="Q36" s="4" t="s">
        <v>41</v>
      </c>
      <c r="R36" s="4" t="s">
        <v>42</v>
      </c>
      <c r="S36" s="4" t="s">
        <v>43</v>
      </c>
      <c r="T36" s="4" t="s">
        <v>44</v>
      </c>
      <c r="U36" s="4" t="s">
        <v>45</v>
      </c>
      <c r="X36" s="4"/>
      <c r="Y36" s="4" t="s">
        <v>39</v>
      </c>
      <c r="Z36" s="4" t="s">
        <v>27</v>
      </c>
      <c r="AA36" s="4" t="s">
        <v>40</v>
      </c>
      <c r="AB36" s="4" t="s">
        <v>41</v>
      </c>
      <c r="AC36" s="4" t="s">
        <v>42</v>
      </c>
      <c r="AD36" s="4" t="s">
        <v>43</v>
      </c>
      <c r="AE36" s="4" t="s">
        <v>44</v>
      </c>
      <c r="AF36" s="4" t="s">
        <v>45</v>
      </c>
    </row>
    <row r="37" spans="13:32" x14ac:dyDescent="0.35">
      <c r="M37" s="2" t="s">
        <v>33</v>
      </c>
      <c r="N37" s="2">
        <v>-1.901659553282977</v>
      </c>
      <c r="O37" s="2">
        <v>2.8071155297110568</v>
      </c>
      <c r="P37" s="2">
        <v>-0.67744256805800918</v>
      </c>
      <c r="Q37" s="2">
        <v>0.5679842916900959</v>
      </c>
      <c r="R37" s="2">
        <v>-13.979702849916368</v>
      </c>
      <c r="S37" s="2">
        <v>10.176383743350414</v>
      </c>
      <c r="T37" s="2">
        <v>-13.979702849916368</v>
      </c>
      <c r="U37" s="2">
        <v>10.176383743350414</v>
      </c>
      <c r="X37" s="2" t="s">
        <v>33</v>
      </c>
      <c r="Y37" s="2">
        <v>-0.57790448804000194</v>
      </c>
      <c r="Z37" s="2">
        <v>3.689182943101283</v>
      </c>
      <c r="AA37" s="2">
        <v>-0.15664836820322903</v>
      </c>
      <c r="AB37" s="2">
        <v>0.88547031890478567</v>
      </c>
      <c r="AC37" s="2">
        <v>-12.31853111482836</v>
      </c>
      <c r="AD37" s="2">
        <v>11.162722138748357</v>
      </c>
      <c r="AE37" s="2">
        <v>-12.31853111482836</v>
      </c>
      <c r="AF37" s="2">
        <v>11.162722138748357</v>
      </c>
    </row>
    <row r="38" spans="13:32" ht="15" thickBot="1" x14ac:dyDescent="0.4">
      <c r="M38" s="2" t="s">
        <v>46</v>
      </c>
      <c r="N38" s="2">
        <v>0.15692699392668361</v>
      </c>
      <c r="O38" s="2">
        <v>0.31774797384465348</v>
      </c>
      <c r="P38" s="2">
        <v>0.49387252427738526</v>
      </c>
      <c r="Q38" s="2">
        <v>0.67030516629716264</v>
      </c>
      <c r="R38" s="2">
        <v>-1.2102321931083759</v>
      </c>
      <c r="S38" s="2">
        <v>1.524086180961743</v>
      </c>
      <c r="T38" s="2">
        <v>-1.2102321931083759</v>
      </c>
      <c r="U38" s="2">
        <v>1.524086180961743</v>
      </c>
      <c r="X38" s="3" t="s">
        <v>46</v>
      </c>
      <c r="Y38" s="3">
        <v>-0.10877001099655219</v>
      </c>
      <c r="Z38" s="3">
        <v>0.38632074241496395</v>
      </c>
      <c r="AA38" s="3">
        <v>-0.28155363938423367</v>
      </c>
      <c r="AB38" s="3">
        <v>0.79658990731399637</v>
      </c>
      <c r="AC38" s="3">
        <v>-1.3382150303495137</v>
      </c>
      <c r="AD38" s="3">
        <v>1.1206750083564094</v>
      </c>
      <c r="AE38" s="3">
        <v>-1.3382150303495137</v>
      </c>
      <c r="AF38" s="3">
        <v>1.1206750083564094</v>
      </c>
    </row>
    <row r="39" spans="13:32" ht="15" thickBot="1" x14ac:dyDescent="0.4">
      <c r="M39" s="3" t="s">
        <v>47</v>
      </c>
      <c r="N39" s="3">
        <v>-0.14671868927303913</v>
      </c>
      <c r="O39" s="3">
        <v>7.8091120962737876E-2</v>
      </c>
      <c r="P39" s="3">
        <v>-1.878813973525207</v>
      </c>
      <c r="Q39" s="3">
        <v>0.20104283564065428</v>
      </c>
      <c r="R39" s="3">
        <v>-0.48271766405255878</v>
      </c>
      <c r="S39" s="3">
        <v>0.18928028550648054</v>
      </c>
      <c r="T39" s="3">
        <v>-0.48271766405255878</v>
      </c>
      <c r="U39" s="3">
        <v>0.18928028550648054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38"/>
  <sheetViews>
    <sheetView topLeftCell="B1" workbookViewId="0">
      <selection activeCell="R2" sqref="R2"/>
    </sheetView>
  </sheetViews>
  <sheetFormatPr defaultRowHeight="14.5" x14ac:dyDescent="0.35"/>
  <cols>
    <col min="1" max="1" width="17.81640625" customWidth="1"/>
    <col min="19" max="19" width="12" bestFit="1" customWidth="1"/>
    <col min="20" max="20" width="10" bestFit="1" customWidth="1"/>
  </cols>
  <sheetData>
    <row r="1" spans="1:37" x14ac:dyDescent="0.35">
      <c r="H1" t="s">
        <v>22</v>
      </c>
      <c r="S1" t="s">
        <v>98</v>
      </c>
      <c r="T1" t="s">
        <v>323</v>
      </c>
      <c r="V1" t="s">
        <v>618</v>
      </c>
      <c r="AC1" t="s">
        <v>22</v>
      </c>
    </row>
    <row r="2" spans="1:37" ht="15" thickBot="1" x14ac:dyDescent="0.4">
      <c r="B2" t="s">
        <v>113</v>
      </c>
      <c r="Q2" t="str">
        <f>A3</f>
        <v>USA</v>
      </c>
      <c r="R2">
        <f>B3</f>
        <v>0.45</v>
      </c>
      <c r="S2">
        <f>SUMPRODUCT(regions!$C3:$C190,regions!BG3:BG190)</f>
        <v>13595644353592.4</v>
      </c>
      <c r="T2">
        <f>SUMPRODUCT(regions!$B3:$B190,regions!BG3:BG190)</f>
        <v>309326225</v>
      </c>
      <c r="U2" s="10">
        <f>S2/T2</f>
        <v>43952.446494287382</v>
      </c>
      <c r="V2" s="1">
        <f>W2/T2</f>
        <v>8.5</v>
      </c>
      <c r="W2">
        <f>SUMPRODUCT(regions!$X3:$X190,regions!BG3:BG190,regions!$B3:$B190)</f>
        <v>2629272912.5</v>
      </c>
      <c r="Y2">
        <f>LN(R2)</f>
        <v>-0.79850769621777162</v>
      </c>
      <c r="Z2">
        <f>LN(U2)</f>
        <v>10.690863566963092</v>
      </c>
      <c r="AA2" s="1">
        <f>V2</f>
        <v>8.5</v>
      </c>
    </row>
    <row r="3" spans="1:37" x14ac:dyDescent="0.35">
      <c r="A3" t="s">
        <v>89</v>
      </c>
      <c r="B3">
        <v>0.45</v>
      </c>
      <c r="C3">
        <f>C17</f>
        <v>53480</v>
      </c>
      <c r="E3">
        <f t="shared" ref="E3:F6" si="0">LN(B3)</f>
        <v>-0.79850769621777162</v>
      </c>
      <c r="F3">
        <f t="shared" si="0"/>
        <v>10.887063031215879</v>
      </c>
      <c r="H3" s="5" t="s">
        <v>23</v>
      </c>
      <c r="I3" s="5"/>
      <c r="Q3" t="str">
        <f t="shared" ref="Q3:Q14" si="1">A4</f>
        <v>China</v>
      </c>
      <c r="R3">
        <f t="shared" ref="R3:R14" si="2">B4</f>
        <v>0.22</v>
      </c>
      <c r="S3">
        <f>SUMPRODUCT(regions!$C3:$C190,regions!BH3:BH190)</f>
        <v>3839284159376.0742</v>
      </c>
      <c r="T3">
        <f>SUMPRODUCT(regions!$B3:$B190,regions!BH3:BH190)</f>
        <v>1337705000</v>
      </c>
      <c r="U3" s="10">
        <f t="shared" ref="U3:U14" si="3">S3/T3</f>
        <v>2870.0529334764196</v>
      </c>
      <c r="V3" s="1">
        <f t="shared" ref="V3:V14" si="4">W3/T3</f>
        <v>6.9</v>
      </c>
      <c r="W3">
        <f>SUMPRODUCT(regions!$X3:$X190,regions!BH3:BH190,regions!$B3:$B190)</f>
        <v>9230164500</v>
      </c>
      <c r="Y3">
        <f t="shared" ref="Y3:Y5" si="5">LN(R3)</f>
        <v>-1.5141277326297755</v>
      </c>
      <c r="Z3">
        <f t="shared" ref="Z3:Z5" si="6">LN(U3)</f>
        <v>7.9620857523035902</v>
      </c>
      <c r="AA3" s="1">
        <f t="shared" ref="AA3:AA5" si="7">V3</f>
        <v>6.9</v>
      </c>
      <c r="AC3" s="5" t="s">
        <v>23</v>
      </c>
      <c r="AD3" s="5"/>
    </row>
    <row r="4" spans="1:37" x14ac:dyDescent="0.35">
      <c r="A4" t="s">
        <v>91</v>
      </c>
      <c r="B4">
        <v>0.22</v>
      </c>
      <c r="C4">
        <f>C23</f>
        <v>5442</v>
      </c>
      <c r="E4">
        <f t="shared" si="0"/>
        <v>-1.5141277326297755</v>
      </c>
      <c r="F4">
        <f t="shared" si="0"/>
        <v>8.6019019193431916</v>
      </c>
      <c r="H4" s="2" t="s">
        <v>24</v>
      </c>
      <c r="I4" s="2">
        <v>0.20369490611160268</v>
      </c>
      <c r="Q4" t="str">
        <f t="shared" si="1"/>
        <v>Japan</v>
      </c>
      <c r="R4">
        <f t="shared" si="2"/>
        <v>0.5</v>
      </c>
      <c r="S4">
        <f>SUMPRODUCT(regions!$C3:$C190,regions!BI3:BI190)</f>
        <v>4648468621132.7568</v>
      </c>
      <c r="T4">
        <f>SUMPRODUCT(regions!$B3:$B190,regions!BI3:BI190)</f>
        <v>127450459</v>
      </c>
      <c r="U4" s="10">
        <f t="shared" si="3"/>
        <v>36472.749157637452</v>
      </c>
      <c r="V4" s="1">
        <f t="shared" si="4"/>
        <v>11.1</v>
      </c>
      <c r="W4">
        <f>SUMPRODUCT(regions!$X3:$X190,regions!BI3:BI190,regions!$B3:$B190)</f>
        <v>1414700094.8999999</v>
      </c>
      <c r="Y4">
        <f t="shared" si="5"/>
        <v>-0.69314718055994529</v>
      </c>
      <c r="Z4">
        <f t="shared" si="6"/>
        <v>10.504320662306291</v>
      </c>
      <c r="AA4" s="1">
        <f t="shared" si="7"/>
        <v>11.1</v>
      </c>
      <c r="AC4" s="2" t="s">
        <v>24</v>
      </c>
      <c r="AD4" s="2">
        <v>0.81000990235660286</v>
      </c>
    </row>
    <row r="5" spans="1:37" x14ac:dyDescent="0.35">
      <c r="A5" t="s">
        <v>90</v>
      </c>
      <c r="B5">
        <v>0.5</v>
      </c>
      <c r="C5">
        <f>C18</f>
        <v>43822</v>
      </c>
      <c r="E5">
        <f t="shared" si="0"/>
        <v>-0.69314718055994529</v>
      </c>
      <c r="F5">
        <f t="shared" si="0"/>
        <v>10.687891253367626</v>
      </c>
      <c r="H5" s="2" t="s">
        <v>25</v>
      </c>
      <c r="I5" s="2">
        <v>4.1491614775814631E-2</v>
      </c>
      <c r="Q5" t="str">
        <f t="shared" si="1"/>
        <v>OECD Europe</v>
      </c>
      <c r="R5">
        <f t="shared" si="2"/>
        <v>2.83</v>
      </c>
      <c r="S5">
        <f>SUMPRODUCT(regions!$C3:$C190,regions!BJ3:BJ190)</f>
        <v>14175428746241.467</v>
      </c>
      <c r="T5">
        <f>SUMPRODUCT(regions!$B3:$B190,regions!BJ3:BJ190)</f>
        <v>411781969</v>
      </c>
      <c r="U5" s="10">
        <f t="shared" si="3"/>
        <v>34424.597999436606</v>
      </c>
      <c r="V5" s="1">
        <f t="shared" si="4"/>
        <v>10.057474819398903</v>
      </c>
      <c r="W5">
        <f>SUMPRODUCT(regions!$X3:$X190,regions!BJ3:BJ190,regions!$B3:$B190)</f>
        <v>4141486784.3000002</v>
      </c>
      <c r="Y5">
        <f t="shared" si="5"/>
        <v>1.0402767116551463</v>
      </c>
      <c r="Z5">
        <f t="shared" si="6"/>
        <v>10.446526645952394</v>
      </c>
      <c r="AA5" s="1">
        <f t="shared" si="7"/>
        <v>10.057474819398903</v>
      </c>
      <c r="AC5" s="2" t="s">
        <v>25</v>
      </c>
      <c r="AD5" s="2">
        <v>0.65611604191575335</v>
      </c>
    </row>
    <row r="6" spans="1:37" x14ac:dyDescent="0.35">
      <c r="A6" t="s">
        <v>328</v>
      </c>
      <c r="B6">
        <v>2.83</v>
      </c>
      <c r="C6">
        <f>C19</f>
        <v>53013</v>
      </c>
      <c r="E6">
        <f t="shared" si="0"/>
        <v>1.0402767116551463</v>
      </c>
      <c r="F6">
        <f t="shared" si="0"/>
        <v>10.878292445476164</v>
      </c>
      <c r="H6" s="2" t="s">
        <v>26</v>
      </c>
      <c r="I6" s="2">
        <v>-6.500931691576152E-2</v>
      </c>
      <c r="Q6" t="str">
        <f t="shared" si="1"/>
        <v>Russia</v>
      </c>
      <c r="R6">
        <f t="shared" si="2"/>
        <v>-0.65</v>
      </c>
      <c r="S6">
        <f>SUMPRODUCT(regions!$C3:$C190,regions!BK3:BK190)</f>
        <v>909241662711.50525</v>
      </c>
      <c r="T6">
        <f>SUMPRODUCT(regions!$B3:$B190,regions!BK3:BK190)</f>
        <v>142389000</v>
      </c>
      <c r="U6" s="10">
        <f t="shared" si="3"/>
        <v>6385.6173068952321</v>
      </c>
      <c r="V6" s="1">
        <f t="shared" si="4"/>
        <v>-5.0999999999999996</v>
      </c>
      <c r="W6">
        <f>SUMPRODUCT(regions!$X3:$X190,regions!BK3:BK190,regions!$B3:$B190)</f>
        <v>-726183900</v>
      </c>
      <c r="Y6">
        <f>LN(R7)</f>
        <v>1.5953389880545987</v>
      </c>
      <c r="Z6">
        <f>LN(U7)</f>
        <v>6.9388285740386788</v>
      </c>
      <c r="AA6" s="1">
        <f>V7</f>
        <v>23.7</v>
      </c>
      <c r="AC6" s="2" t="s">
        <v>26</v>
      </c>
      <c r="AD6" s="2">
        <v>0.57014505239469171</v>
      </c>
    </row>
    <row r="7" spans="1:37" x14ac:dyDescent="0.35">
      <c r="A7" t="s">
        <v>261</v>
      </c>
      <c r="B7">
        <v>-0.65</v>
      </c>
      <c r="C7">
        <f>C20</f>
        <v>13443</v>
      </c>
      <c r="E7">
        <f>LN(B8)</f>
        <v>1.5953389880545987</v>
      </c>
      <c r="F7">
        <f>LN(C8)</f>
        <v>9.5062138034542532</v>
      </c>
      <c r="H7" s="2" t="s">
        <v>27</v>
      </c>
      <c r="I7" s="2">
        <v>1.0450775474223748</v>
      </c>
      <c r="Q7" t="str">
        <f t="shared" si="1"/>
        <v>India</v>
      </c>
      <c r="R7">
        <f t="shared" si="2"/>
        <v>4.93</v>
      </c>
      <c r="S7">
        <f>SUMPRODUCT(regions!$C3:$C190,regions!BL3:BL190)</f>
        <v>1243675499465.8105</v>
      </c>
      <c r="T7">
        <f>SUMPRODUCT(regions!$B3:$B190,regions!BL3:BL190)</f>
        <v>1205624648</v>
      </c>
      <c r="U7" s="10">
        <f t="shared" si="3"/>
        <v>1031.5611094455749</v>
      </c>
      <c r="V7" s="1">
        <f t="shared" si="4"/>
        <v>23.7</v>
      </c>
      <c r="W7">
        <f>SUMPRODUCT(regions!$X3:$X190,regions!BL3:BL190,regions!$B3:$B190)</f>
        <v>28573304157.599998</v>
      </c>
      <c r="Y7">
        <f t="shared" ref="Y7:Y12" si="8">LN(R9)</f>
        <v>0.66782937257565544</v>
      </c>
      <c r="Z7">
        <f t="shared" ref="Z7:Z12" si="9">LN(U9)</f>
        <v>9.8395708209158066</v>
      </c>
      <c r="AA7" s="1">
        <f t="shared" ref="AA7:AA12" si="10">V9</f>
        <v>24.930649632654696</v>
      </c>
      <c r="AC7" s="2" t="s">
        <v>27</v>
      </c>
      <c r="AD7" s="2">
        <v>0.6639460305148206</v>
      </c>
    </row>
    <row r="8" spans="1:37" ht="15" thickBot="1" x14ac:dyDescent="0.4">
      <c r="A8" t="s">
        <v>178</v>
      </c>
      <c r="B8">
        <v>4.93</v>
      </c>
      <c r="C8">
        <f>C20</f>
        <v>13443</v>
      </c>
      <c r="E8">
        <f t="shared" ref="E8:F13" si="11">LN(B10)</f>
        <v>0.66782937257565544</v>
      </c>
      <c r="F8">
        <f t="shared" si="11"/>
        <v>9.995063496023338</v>
      </c>
      <c r="H8" s="3" t="s">
        <v>28</v>
      </c>
      <c r="I8" s="3">
        <v>11</v>
      </c>
      <c r="Q8" t="str">
        <f t="shared" si="1"/>
        <v>Other high income</v>
      </c>
      <c r="R8">
        <f t="shared" si="2"/>
        <v>-0.39</v>
      </c>
      <c r="S8">
        <f>SUMPRODUCT(regions!$C3:$C190,regions!BM3:BM190)</f>
        <v>2735626228166.8091</v>
      </c>
      <c r="T8">
        <f>SUMPRODUCT(regions!$B3:$B190,regions!BM3:BM190)</f>
        <v>80709769</v>
      </c>
      <c r="U8" s="10">
        <f t="shared" si="3"/>
        <v>33894.611049708357</v>
      </c>
      <c r="V8" s="1">
        <f t="shared" si="4"/>
        <v>9.767886435160035</v>
      </c>
      <c r="W8">
        <f>SUMPRODUCT(regions!$X3:$X190,regions!BM3:BM190,regions!$B3:$B190)</f>
        <v>788363857.79999995</v>
      </c>
      <c r="Y8">
        <f t="shared" si="8"/>
        <v>-0.34249030894677601</v>
      </c>
      <c r="Z8">
        <f t="shared" si="9"/>
        <v>8.798538291891548</v>
      </c>
      <c r="AA8" s="1">
        <f t="shared" si="10"/>
        <v>8.3581885420237185</v>
      </c>
      <c r="AC8" s="3" t="s">
        <v>28</v>
      </c>
      <c r="AD8" s="3">
        <v>11</v>
      </c>
    </row>
    <row r="9" spans="1:37" x14ac:dyDescent="0.35">
      <c r="A9" t="s">
        <v>329</v>
      </c>
      <c r="B9">
        <v>-0.39</v>
      </c>
      <c r="C9">
        <f>C18</f>
        <v>43822</v>
      </c>
      <c r="E9">
        <f t="shared" si="11"/>
        <v>-0.34249030894677601</v>
      </c>
      <c r="F9">
        <f t="shared" si="11"/>
        <v>9.5062138034542532</v>
      </c>
      <c r="Q9" t="str">
        <f t="shared" si="1"/>
        <v>High income OPEC</v>
      </c>
      <c r="R9">
        <f t="shared" si="2"/>
        <v>1.95</v>
      </c>
      <c r="S9">
        <f>SUMPRODUCT(regions!$C3:$C190,regions!BN3:BN190)</f>
        <v>955656763907.10767</v>
      </c>
      <c r="T9">
        <f>SUMPRODUCT(regions!$B3:$B190,regions!BN3:BN190)</f>
        <v>50936679</v>
      </c>
      <c r="U9" s="10">
        <f t="shared" si="3"/>
        <v>18761.66217878295</v>
      </c>
      <c r="V9" s="1">
        <f t="shared" si="4"/>
        <v>24.930649632654696</v>
      </c>
      <c r="W9">
        <f>SUMPRODUCT(regions!$X3:$X190,regions!BN3:BN190,regions!$B3:$B190)</f>
        <v>1269884497.6000001</v>
      </c>
      <c r="Y9">
        <f t="shared" si="8"/>
        <v>0.89199803930511046</v>
      </c>
      <c r="Z9">
        <f t="shared" si="9"/>
        <v>9.077828055396246</v>
      </c>
      <c r="AA9" s="1">
        <f t="shared" si="10"/>
        <v>21.610528167801519</v>
      </c>
    </row>
    <row r="10" spans="1:37" ht="15" thickBot="1" x14ac:dyDescent="0.4">
      <c r="A10" t="s">
        <v>330</v>
      </c>
      <c r="B10">
        <v>1.95</v>
      </c>
      <c r="C10">
        <f>C21</f>
        <v>21918</v>
      </c>
      <c r="E10">
        <f t="shared" si="11"/>
        <v>0.89199803930511046</v>
      </c>
      <c r="F10">
        <f t="shared" si="11"/>
        <v>9.995063496023338</v>
      </c>
      <c r="H10" t="s">
        <v>29</v>
      </c>
      <c r="Q10" t="str">
        <f t="shared" si="1"/>
        <v>Eastern Europe</v>
      </c>
      <c r="R10">
        <f t="shared" si="2"/>
        <v>0.71</v>
      </c>
      <c r="S10">
        <f>SUMPRODUCT(regions!$C3:$C190,regions!BO3:BO190)</f>
        <v>1199020117528.2407</v>
      </c>
      <c r="T10">
        <f>SUMPRODUCT(regions!$B3:$B190,regions!BO3:BO190)</f>
        <v>180996360</v>
      </c>
      <c r="U10" s="10">
        <f t="shared" si="3"/>
        <v>6624.553761900188</v>
      </c>
      <c r="V10" s="1">
        <f t="shared" si="4"/>
        <v>8.3581885420237185</v>
      </c>
      <c r="W10">
        <f>SUMPRODUCT(regions!$X3:$X190,regions!BO3:BO190,regions!$B3:$B190)</f>
        <v>1512801702.3000002</v>
      </c>
      <c r="Y10">
        <f t="shared" si="8"/>
        <v>0.59332684527773438</v>
      </c>
      <c r="Z10">
        <f t="shared" si="9"/>
        <v>8.5444289667837268</v>
      </c>
      <c r="AA10" s="1">
        <f t="shared" si="10"/>
        <v>19.612959356130443</v>
      </c>
      <c r="AC10" t="s">
        <v>29</v>
      </c>
    </row>
    <row r="11" spans="1:37" x14ac:dyDescent="0.35">
      <c r="A11" t="s">
        <v>331</v>
      </c>
      <c r="B11">
        <v>0.71</v>
      </c>
      <c r="C11">
        <f>C20</f>
        <v>13443</v>
      </c>
      <c r="E11">
        <f t="shared" si="11"/>
        <v>0.59332684527773438</v>
      </c>
      <c r="F11">
        <f t="shared" si="11"/>
        <v>9.3698196865215042</v>
      </c>
      <c r="H11" s="4"/>
      <c r="I11" s="4" t="s">
        <v>34</v>
      </c>
      <c r="J11" s="4" t="s">
        <v>35</v>
      </c>
      <c r="K11" s="4" t="s">
        <v>36</v>
      </c>
      <c r="L11" s="4" t="s">
        <v>37</v>
      </c>
      <c r="M11" s="4" t="s">
        <v>38</v>
      </c>
      <c r="Q11" t="str">
        <f t="shared" si="1"/>
        <v>Middle Income</v>
      </c>
      <c r="R11">
        <f t="shared" si="2"/>
        <v>2.44</v>
      </c>
      <c r="S11">
        <f>SUMPRODUCT(regions!$C3:$C190,regions!BP3:BP190)</f>
        <v>2830376729925.998</v>
      </c>
      <c r="T11">
        <f>SUMPRODUCT(regions!$B3:$B190,regions!BP3:BP190)</f>
        <v>323142152</v>
      </c>
      <c r="U11" s="10">
        <f t="shared" si="3"/>
        <v>8758.921460441341</v>
      </c>
      <c r="V11" s="1">
        <f t="shared" si="4"/>
        <v>21.610528167801519</v>
      </c>
      <c r="W11">
        <f>SUMPRODUCT(regions!$X3:$X190,regions!BP3:BP190,regions!$B3:$B190)</f>
        <v>6983272578</v>
      </c>
      <c r="Y11">
        <f t="shared" si="8"/>
        <v>1.3635373739972745</v>
      </c>
      <c r="Z11">
        <f t="shared" si="9"/>
        <v>6.4974289035787596</v>
      </c>
      <c r="AA11" s="1">
        <f t="shared" si="10"/>
        <v>24.601219506502975</v>
      </c>
      <c r="AC11" s="4"/>
      <c r="AD11" s="4" t="s">
        <v>34</v>
      </c>
      <c r="AE11" s="4" t="s">
        <v>35</v>
      </c>
      <c r="AF11" s="4" t="s">
        <v>36</v>
      </c>
      <c r="AG11" s="4" t="s">
        <v>37</v>
      </c>
      <c r="AH11" s="4" t="s">
        <v>38</v>
      </c>
    </row>
    <row r="12" spans="1:37" x14ac:dyDescent="0.35">
      <c r="A12" t="s">
        <v>332</v>
      </c>
      <c r="B12">
        <v>2.44</v>
      </c>
      <c r="C12">
        <f>C21</f>
        <v>21918</v>
      </c>
      <c r="E12">
        <f t="shared" si="11"/>
        <v>1.3635373739972745</v>
      </c>
      <c r="F12">
        <f t="shared" si="11"/>
        <v>8.0910150417105307</v>
      </c>
      <c r="H12" s="2" t="s">
        <v>30</v>
      </c>
      <c r="I12" s="2">
        <v>1</v>
      </c>
      <c r="J12" s="2">
        <v>0.42550431129523503</v>
      </c>
      <c r="K12" s="2">
        <v>0.42550431129523503</v>
      </c>
      <c r="L12" s="2">
        <v>0.38958921876827557</v>
      </c>
      <c r="M12" s="2">
        <v>0.54800844837813523</v>
      </c>
      <c r="Q12" t="str">
        <f t="shared" si="1"/>
        <v>Lower Middle Income</v>
      </c>
      <c r="R12">
        <f t="shared" si="2"/>
        <v>1.81</v>
      </c>
      <c r="S12">
        <f>SUMPRODUCT(regions!$C3:$C190,regions!BQ3:BQ190)</f>
        <v>3475213085680.2041</v>
      </c>
      <c r="T12">
        <f>SUMPRODUCT(regions!$B3:$B190,regions!BQ3:BQ190)</f>
        <v>676368055</v>
      </c>
      <c r="U12" s="10">
        <f t="shared" si="3"/>
        <v>5138.0502967133834</v>
      </c>
      <c r="V12" s="1">
        <f t="shared" si="4"/>
        <v>19.612959356130443</v>
      </c>
      <c r="W12">
        <f>SUMPRODUCT(regions!$X3:$X190,regions!BQ3:BQ190,regions!$B3:$B190)</f>
        <v>13265579172.5</v>
      </c>
      <c r="Y12">
        <f t="shared" si="8"/>
        <v>0.97077891715822484</v>
      </c>
      <c r="Z12">
        <f t="shared" si="9"/>
        <v>7.0581871386676749</v>
      </c>
      <c r="AA12" s="1">
        <f t="shared" si="10"/>
        <v>22.317417547098582</v>
      </c>
      <c r="AC12" s="2" t="s">
        <v>30</v>
      </c>
      <c r="AD12" s="2">
        <v>2</v>
      </c>
      <c r="AE12" s="2">
        <v>6.7285933809414349</v>
      </c>
      <c r="AF12" s="2">
        <v>3.3642966904707174</v>
      </c>
      <c r="AG12" s="2">
        <v>7.6318307555947609</v>
      </c>
      <c r="AH12" s="2">
        <v>1.3984523310598915E-2</v>
      </c>
    </row>
    <row r="13" spans="1:37" x14ac:dyDescent="0.35">
      <c r="A13" t="s">
        <v>333</v>
      </c>
      <c r="B13">
        <v>1.81</v>
      </c>
      <c r="C13">
        <f>C22</f>
        <v>11729</v>
      </c>
      <c r="E13">
        <f t="shared" si="11"/>
        <v>0.97077891715822484</v>
      </c>
      <c r="F13">
        <f t="shared" si="11"/>
        <v>8.0910150417105307</v>
      </c>
      <c r="H13" s="2" t="s">
        <v>31</v>
      </c>
      <c r="I13" s="2">
        <v>9</v>
      </c>
      <c r="J13" s="2">
        <v>9.8296837211372967</v>
      </c>
      <c r="K13" s="2">
        <v>1.0921870801263662</v>
      </c>
      <c r="L13" s="2"/>
      <c r="M13" s="2"/>
      <c r="Q13" t="str">
        <f t="shared" si="1"/>
        <v>Africa</v>
      </c>
      <c r="R13">
        <f t="shared" si="2"/>
        <v>3.91</v>
      </c>
      <c r="S13">
        <f>SUMPRODUCT(regions!$C3:$C190,regions!BR3:BR190)</f>
        <v>519794828560.33118</v>
      </c>
      <c r="T13">
        <f>SUMPRODUCT(regions!$B3:$B190,regions!BR3:BR190)</f>
        <v>783491763</v>
      </c>
      <c r="U13" s="10">
        <f t="shared" si="3"/>
        <v>663.43368636069658</v>
      </c>
      <c r="V13" s="1">
        <f t="shared" si="4"/>
        <v>24.601219506502975</v>
      </c>
      <c r="W13">
        <f>SUMPRODUCT(regions!$X3:$X190,regions!BR3:BR190,regions!$B3:$B190)</f>
        <v>19274852843.100006</v>
      </c>
      <c r="AC13" s="2" t="s">
        <v>31</v>
      </c>
      <c r="AD13" s="2">
        <v>8</v>
      </c>
      <c r="AE13" s="2">
        <v>3.5265946514910969</v>
      </c>
      <c r="AF13" s="2">
        <v>0.44082433143638711</v>
      </c>
      <c r="AG13" s="2"/>
      <c r="AH13" s="2"/>
    </row>
    <row r="14" spans="1:37" ht="15" thickBot="1" x14ac:dyDescent="0.4">
      <c r="A14" t="s">
        <v>334</v>
      </c>
      <c r="B14">
        <v>3.91</v>
      </c>
      <c r="C14">
        <f>C24</f>
        <v>3265</v>
      </c>
      <c r="H14" s="3" t="s">
        <v>32</v>
      </c>
      <c r="I14" s="3">
        <v>10</v>
      </c>
      <c r="J14" s="3">
        <v>10.255188032432532</v>
      </c>
      <c r="K14" s="3"/>
      <c r="L14" s="3"/>
      <c r="M14" s="3"/>
      <c r="Q14" t="str">
        <f t="shared" si="1"/>
        <v>Low Income</v>
      </c>
      <c r="R14">
        <f t="shared" si="2"/>
        <v>2.64</v>
      </c>
      <c r="S14">
        <f>SUMPRODUCT(regions!$C3:$C190,regions!BS3:BS190)</f>
        <v>1282727942330.9729</v>
      </c>
      <c r="T14">
        <f>SUMPRODUCT(regions!$B3:$B190,regions!BS3:BS190)</f>
        <v>1103577478</v>
      </c>
      <c r="U14" s="10">
        <f t="shared" si="3"/>
        <v>1162.3361004572557</v>
      </c>
      <c r="V14" s="1">
        <f t="shared" si="4"/>
        <v>22.317417547098582</v>
      </c>
      <c r="W14">
        <f>SUMPRODUCT(regions!$X3:$X190,regions!BS3:BS190,regions!$B3:$B190)</f>
        <v>24628999372.099998</v>
      </c>
      <c r="AC14" s="3" t="s">
        <v>32</v>
      </c>
      <c r="AD14" s="3">
        <v>10</v>
      </c>
      <c r="AE14" s="3">
        <v>10.255188032432532</v>
      </c>
      <c r="AF14" s="3"/>
      <c r="AG14" s="3"/>
      <c r="AH14" s="3"/>
    </row>
    <row r="15" spans="1:37" ht="15" thickBot="1" x14ac:dyDescent="0.4">
      <c r="A15" t="s">
        <v>335</v>
      </c>
      <c r="B15">
        <v>2.64</v>
      </c>
      <c r="C15">
        <f>C24</f>
        <v>3265</v>
      </c>
    </row>
    <row r="16" spans="1:37" x14ac:dyDescent="0.35">
      <c r="H16" s="4"/>
      <c r="I16" s="4" t="s">
        <v>39</v>
      </c>
      <c r="J16" s="4" t="s">
        <v>27</v>
      </c>
      <c r="K16" s="4" t="s">
        <v>40</v>
      </c>
      <c r="L16" s="4" t="s">
        <v>41</v>
      </c>
      <c r="M16" s="4" t="s">
        <v>42</v>
      </c>
      <c r="N16" s="4" t="s">
        <v>43</v>
      </c>
      <c r="O16" s="4" t="s">
        <v>44</v>
      </c>
      <c r="P16" s="4" t="s">
        <v>45</v>
      </c>
      <c r="AC16" s="4"/>
      <c r="AD16" s="4" t="s">
        <v>39</v>
      </c>
      <c r="AE16" s="4" t="s">
        <v>27</v>
      </c>
      <c r="AF16" s="4" t="s">
        <v>40</v>
      </c>
      <c r="AG16" s="4" t="s">
        <v>41</v>
      </c>
      <c r="AH16" s="4" t="s">
        <v>42</v>
      </c>
      <c r="AI16" s="4" t="s">
        <v>43</v>
      </c>
      <c r="AJ16" s="4" t="s">
        <v>44</v>
      </c>
      <c r="AK16" s="4" t="s">
        <v>45</v>
      </c>
    </row>
    <row r="17" spans="1:37" x14ac:dyDescent="0.35">
      <c r="A17" t="s">
        <v>89</v>
      </c>
      <c r="C17">
        <v>53480</v>
      </c>
      <c r="H17" s="2" t="s">
        <v>33</v>
      </c>
      <c r="I17" s="2">
        <v>2.2844910505350686</v>
      </c>
      <c r="J17" s="2">
        <v>3.1261691851583286</v>
      </c>
      <c r="K17" s="2">
        <v>0.73076372877732387</v>
      </c>
      <c r="L17" s="2">
        <v>0.48351235379820334</v>
      </c>
      <c r="M17" s="2">
        <v>-4.7873949637898736</v>
      </c>
      <c r="N17" s="2">
        <v>9.3563770648600109</v>
      </c>
      <c r="O17" s="2">
        <v>-4.7873949637898736</v>
      </c>
      <c r="P17" s="2">
        <v>9.3563770648600109</v>
      </c>
      <c r="AC17" s="2" t="s">
        <v>33</v>
      </c>
      <c r="AD17" s="2">
        <v>-1.4810087543494455</v>
      </c>
      <c r="AE17" s="2">
        <v>1.7891287091250228</v>
      </c>
      <c r="AF17" s="2">
        <v>-0.82778211919350175</v>
      </c>
      <c r="AG17" s="2">
        <v>0.43179247363561102</v>
      </c>
      <c r="AH17" s="2">
        <v>-5.6067469560042413</v>
      </c>
      <c r="AI17" s="2">
        <v>2.6447294473053509</v>
      </c>
      <c r="AJ17" s="2">
        <v>-5.6067469560042413</v>
      </c>
      <c r="AK17" s="2">
        <v>2.6447294473053509</v>
      </c>
    </row>
    <row r="18" spans="1:37" ht="15" thickBot="1" x14ac:dyDescent="0.4">
      <c r="A18" t="s">
        <v>342</v>
      </c>
      <c r="C18">
        <v>43822</v>
      </c>
      <c r="H18" s="3" t="s">
        <v>46</v>
      </c>
      <c r="I18" s="3">
        <v>-0.20220318726768816</v>
      </c>
      <c r="J18" s="3">
        <v>0.32395488409929685</v>
      </c>
      <c r="K18" s="3">
        <v>-0.62417082498966114</v>
      </c>
      <c r="L18" s="3">
        <v>0.54800844837813589</v>
      </c>
      <c r="M18" s="3">
        <v>-0.93504004875637492</v>
      </c>
      <c r="N18" s="3">
        <v>0.53063367422099861</v>
      </c>
      <c r="O18" s="3">
        <v>-0.93504004875637492</v>
      </c>
      <c r="P18" s="3">
        <v>0.53063367422099861</v>
      </c>
      <c r="AC18" s="2" t="s">
        <v>46</v>
      </c>
      <c r="AD18" s="2">
        <v>-2.6846071127146305E-4</v>
      </c>
      <c r="AE18" s="2">
        <v>0.16260646563584091</v>
      </c>
      <c r="AF18" s="2">
        <v>-1.6509842349853661E-3</v>
      </c>
      <c r="AG18" s="2">
        <v>0.99872313267799562</v>
      </c>
      <c r="AH18" s="2">
        <v>-0.3752396428784549</v>
      </c>
      <c r="AI18" s="2">
        <v>0.37470272145591199</v>
      </c>
      <c r="AJ18" s="2">
        <v>-0.3752396428784549</v>
      </c>
      <c r="AK18" s="2">
        <v>0.37470272145591199</v>
      </c>
    </row>
    <row r="19" spans="1:37" ht="15" thickBot="1" x14ac:dyDescent="0.4">
      <c r="A19" t="s">
        <v>328</v>
      </c>
      <c r="C19">
        <v>53013</v>
      </c>
      <c r="AC19" s="3" t="s">
        <v>47</v>
      </c>
      <c r="AD19" s="3">
        <v>0.11079544448978203</v>
      </c>
      <c r="AE19" s="3">
        <v>3.3461934518957723E-2</v>
      </c>
      <c r="AF19" s="3">
        <v>3.3110890354235591</v>
      </c>
      <c r="AG19" s="3">
        <v>1.0680868746691396E-2</v>
      </c>
      <c r="AH19" s="3">
        <v>3.3632085117134461E-2</v>
      </c>
      <c r="AI19" s="3">
        <v>0.18795880386242958</v>
      </c>
      <c r="AJ19" s="3">
        <v>3.3632085117134461E-2</v>
      </c>
      <c r="AK19" s="3">
        <v>0.18795880386242958</v>
      </c>
    </row>
    <row r="20" spans="1:37" x14ac:dyDescent="0.35">
      <c r="A20" t="s">
        <v>343</v>
      </c>
      <c r="C20">
        <v>13443</v>
      </c>
    </row>
    <row r="21" spans="1:37" x14ac:dyDescent="0.35">
      <c r="A21" t="s">
        <v>344</v>
      </c>
      <c r="C21">
        <v>21918</v>
      </c>
      <c r="AC21" t="s">
        <v>22</v>
      </c>
    </row>
    <row r="22" spans="1:37" ht="15" thickBot="1" x14ac:dyDescent="0.4">
      <c r="A22" t="s">
        <v>345</v>
      </c>
      <c r="C22">
        <v>11729</v>
      </c>
    </row>
    <row r="23" spans="1:37" x14ac:dyDescent="0.35">
      <c r="A23" t="s">
        <v>91</v>
      </c>
      <c r="C23">
        <v>5442</v>
      </c>
      <c r="AC23" s="5" t="s">
        <v>23</v>
      </c>
      <c r="AD23" s="5"/>
    </row>
    <row r="24" spans="1:37" x14ac:dyDescent="0.35">
      <c r="A24" t="s">
        <v>346</v>
      </c>
      <c r="C24">
        <v>3265</v>
      </c>
      <c r="AC24" s="2" t="s">
        <v>24</v>
      </c>
      <c r="AD24" s="2">
        <v>0.42994500990219298</v>
      </c>
    </row>
    <row r="25" spans="1:37" x14ac:dyDescent="0.35">
      <c r="AC25" s="2" t="s">
        <v>25</v>
      </c>
      <c r="AD25" s="2">
        <v>0.18485271153979682</v>
      </c>
    </row>
    <row r="26" spans="1:37" x14ac:dyDescent="0.35">
      <c r="AC26" s="2" t="s">
        <v>26</v>
      </c>
      <c r="AD26" s="2">
        <v>9.4280790599774261E-2</v>
      </c>
    </row>
    <row r="27" spans="1:37" x14ac:dyDescent="0.35">
      <c r="AC27" s="2" t="s">
        <v>27</v>
      </c>
      <c r="AD27" s="2">
        <v>0.96375934739879177</v>
      </c>
    </row>
    <row r="28" spans="1:37" ht="15" thickBot="1" x14ac:dyDescent="0.4">
      <c r="AC28" s="3" t="s">
        <v>28</v>
      </c>
      <c r="AD28" s="3">
        <v>11</v>
      </c>
    </row>
    <row r="30" spans="1:37" ht="15" thickBot="1" x14ac:dyDescent="0.4">
      <c r="AC30" t="s">
        <v>29</v>
      </c>
    </row>
    <row r="31" spans="1:37" x14ac:dyDescent="0.35">
      <c r="AC31" s="4"/>
      <c r="AD31" s="4" t="s">
        <v>34</v>
      </c>
      <c r="AE31" s="4" t="s">
        <v>35</v>
      </c>
      <c r="AF31" s="4" t="s">
        <v>36</v>
      </c>
      <c r="AG31" s="4" t="s">
        <v>37</v>
      </c>
      <c r="AH31" s="4" t="s">
        <v>38</v>
      </c>
    </row>
    <row r="32" spans="1:37" x14ac:dyDescent="0.35">
      <c r="AC32" s="2" t="s">
        <v>30</v>
      </c>
      <c r="AD32" s="2">
        <v>1</v>
      </c>
      <c r="AE32" s="2">
        <v>1.8956993151456274</v>
      </c>
      <c r="AF32" s="2">
        <v>1.8956993151456274</v>
      </c>
      <c r="AG32" s="2">
        <v>2.040949442401776</v>
      </c>
      <c r="AH32" s="2">
        <v>0.18688621060144761</v>
      </c>
    </row>
    <row r="33" spans="29:37" x14ac:dyDescent="0.35">
      <c r="AC33" s="2" t="s">
        <v>31</v>
      </c>
      <c r="AD33" s="2">
        <v>9</v>
      </c>
      <c r="AE33" s="2">
        <v>8.3594887172869043</v>
      </c>
      <c r="AF33" s="2">
        <v>0.92883207969854498</v>
      </c>
      <c r="AG33" s="2"/>
      <c r="AH33" s="2"/>
    </row>
    <row r="34" spans="29:37" ht="15" thickBot="1" x14ac:dyDescent="0.4">
      <c r="AC34" s="3" t="s">
        <v>32</v>
      </c>
      <c r="AD34" s="3">
        <v>10</v>
      </c>
      <c r="AE34" s="3">
        <v>10.255188032432532</v>
      </c>
      <c r="AF34" s="3"/>
      <c r="AG34" s="3"/>
      <c r="AH34" s="3"/>
    </row>
    <row r="35" spans="29:37" ht="15" thickBot="1" x14ac:dyDescent="0.4"/>
    <row r="36" spans="29:37" x14ac:dyDescent="0.35">
      <c r="AC36" s="4"/>
      <c r="AD36" s="4" t="s">
        <v>39</v>
      </c>
      <c r="AE36" s="4" t="s">
        <v>27</v>
      </c>
      <c r="AF36" s="4" t="s">
        <v>40</v>
      </c>
      <c r="AG36" s="4" t="s">
        <v>41</v>
      </c>
      <c r="AH36" s="4" t="s">
        <v>42</v>
      </c>
      <c r="AI36" s="4" t="s">
        <v>43</v>
      </c>
      <c r="AJ36" s="4" t="s">
        <v>44</v>
      </c>
      <c r="AK36" s="4" t="s">
        <v>45</v>
      </c>
    </row>
    <row r="37" spans="29:37" x14ac:dyDescent="0.35">
      <c r="AC37" s="2" t="s">
        <v>33</v>
      </c>
      <c r="AD37" s="2">
        <v>2.8441826223714726</v>
      </c>
      <c r="AE37" s="2">
        <v>1.7746079645207207</v>
      </c>
      <c r="AF37" s="2">
        <v>1.602710389694221</v>
      </c>
      <c r="AG37" s="2">
        <v>0.14346225972695742</v>
      </c>
      <c r="AH37" s="2">
        <v>-1.1702594957278194</v>
      </c>
      <c r="AI37" s="2">
        <v>6.8586247404707645</v>
      </c>
      <c r="AJ37" s="2">
        <v>-1.1702594957278194</v>
      </c>
      <c r="AK37" s="2">
        <v>6.8586247404707645</v>
      </c>
    </row>
    <row r="38" spans="29:37" ht="15" thickBot="1" x14ac:dyDescent="0.4">
      <c r="AC38" s="3" t="s">
        <v>46</v>
      </c>
      <c r="AD38" s="3">
        <v>-0.28585522969973798</v>
      </c>
      <c r="AE38" s="3">
        <v>0.20009213521369695</v>
      </c>
      <c r="AF38" s="3">
        <v>-1.4286180183666222</v>
      </c>
      <c r="AG38" s="3">
        <v>0.18688621060144772</v>
      </c>
      <c r="AH38" s="3">
        <v>-0.73849508659298957</v>
      </c>
      <c r="AI38" s="3">
        <v>0.16678462719351361</v>
      </c>
      <c r="AJ38" s="3">
        <v>-0.73849508659298957</v>
      </c>
      <c r="AK38" s="3">
        <v>0.16678462719351361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38"/>
  <sheetViews>
    <sheetView topLeftCell="K1" workbookViewId="0">
      <selection activeCell="T2" sqref="T2"/>
    </sheetView>
  </sheetViews>
  <sheetFormatPr defaultRowHeight="14.5" x14ac:dyDescent="0.35"/>
  <cols>
    <col min="1" max="1" width="14.453125" customWidth="1"/>
    <col min="21" max="21" width="12" bestFit="1" customWidth="1"/>
    <col min="22" max="22" width="10" bestFit="1" customWidth="1"/>
    <col min="25" max="25" width="11" bestFit="1" customWidth="1"/>
  </cols>
  <sheetData>
    <row r="1" spans="1:39" x14ac:dyDescent="0.35">
      <c r="J1" t="s">
        <v>22</v>
      </c>
      <c r="U1" t="s">
        <v>98</v>
      </c>
      <c r="V1" t="s">
        <v>323</v>
      </c>
      <c r="X1" t="s">
        <v>618</v>
      </c>
      <c r="AE1" t="s">
        <v>22</v>
      </c>
    </row>
    <row r="2" spans="1:39" ht="15" thickBot="1" x14ac:dyDescent="0.4">
      <c r="A2" t="s">
        <v>336</v>
      </c>
      <c r="B2">
        <v>1.5</v>
      </c>
      <c r="C2" s="10">
        <f>C13+C14</f>
        <v>277.41399999999999</v>
      </c>
      <c r="D2" s="10">
        <f>D13+D14</f>
        <v>8978.8040453250214</v>
      </c>
      <c r="E2" s="10">
        <f>D2/C2*1000</f>
        <v>32366.081183087452</v>
      </c>
      <c r="G2">
        <f>LN(E2)</f>
        <v>10.38486627635668</v>
      </c>
      <c r="H2">
        <f>LN(B2)</f>
        <v>0.40546510810816438</v>
      </c>
      <c r="S2" t="s">
        <v>336</v>
      </c>
      <c r="T2">
        <v>1.5</v>
      </c>
      <c r="U2">
        <f>SUMPRODUCT(regions!$C3:$C190,regions!BV3:BV190)</f>
        <v>14835708393399.66</v>
      </c>
      <c r="V2">
        <f>SUMPRODUCT(regions!$B3:$B190,regions!BV3:BV190)</f>
        <v>343452772</v>
      </c>
      <c r="W2" s="10">
        <f>U2/V2</f>
        <v>43195.774216664817</v>
      </c>
      <c r="X2" s="1">
        <f>Y2/V2</f>
        <v>7.1188523081712081</v>
      </c>
      <c r="Y2">
        <f>SUMPRODUCT(regions!$X3:$X190,regions!BV3:BV190,regions!$B3:$B190)</f>
        <v>2444989558.6999998</v>
      </c>
      <c r="AA2">
        <f>LN(T2)</f>
        <v>0.40546510810816438</v>
      </c>
      <c r="AB2">
        <f>LN(W2)</f>
        <v>10.673497950388921</v>
      </c>
      <c r="AC2" s="1">
        <f>X2</f>
        <v>7.1188523081712081</v>
      </c>
    </row>
    <row r="3" spans="1:39" x14ac:dyDescent="0.35">
      <c r="A3" t="s">
        <v>337</v>
      </c>
      <c r="B3">
        <v>1.3</v>
      </c>
      <c r="C3" s="10">
        <f>C15</f>
        <v>378.62175100000002</v>
      </c>
      <c r="D3" s="10">
        <f>D15</f>
        <v>9889.9597636472754</v>
      </c>
      <c r="E3" s="10">
        <f t="shared" ref="E3:E10" si="0">D3/C3*1000</f>
        <v>26120.949833247363</v>
      </c>
      <c r="G3">
        <f t="shared" ref="G3:G4" si="1">LN(E3)</f>
        <v>10.170492946942352</v>
      </c>
      <c r="H3">
        <f t="shared" ref="H3:H4" si="2">LN(B3)</f>
        <v>0.26236426446749106</v>
      </c>
      <c r="J3" s="5" t="s">
        <v>23</v>
      </c>
      <c r="K3" s="5"/>
      <c r="S3" t="s">
        <v>337</v>
      </c>
      <c r="T3">
        <v>1.3</v>
      </c>
      <c r="U3">
        <f>SUMPRODUCT(regions!$C3:$C190,regions!BW3:BW190)</f>
        <v>14370299281543.217</v>
      </c>
      <c r="V3">
        <f>SUMPRODUCT(regions!$B3:$B190,regions!BW3:BW190)</f>
        <v>420925249</v>
      </c>
      <c r="W3" s="10">
        <f t="shared" ref="W3:W10" si="3">U3/V3</f>
        <v>34139.789227856978</v>
      </c>
      <c r="X3" s="1">
        <f t="shared" ref="X3:X10" si="4">Y3/V3</f>
        <v>10.253969849881825</v>
      </c>
      <c r="Y3">
        <f>SUMPRODUCT(regions!$X3:$X190,regions!BW3:BW190,regions!$B3:$B190)</f>
        <v>4316154812.3000002</v>
      </c>
      <c r="AA3">
        <f t="shared" ref="AA3:AA4" si="5">LN(T3)</f>
        <v>0.26236426446749106</v>
      </c>
      <c r="AB3">
        <f t="shared" ref="AB3:AB4" si="6">LN(W3)</f>
        <v>10.438218822570059</v>
      </c>
      <c r="AC3" s="1">
        <f t="shared" ref="AC3:AC4" si="7">X3</f>
        <v>10.253969849881825</v>
      </c>
      <c r="AE3" s="5" t="s">
        <v>23</v>
      </c>
      <c r="AF3" s="5"/>
    </row>
    <row r="4" spans="1:39" x14ac:dyDescent="0.35">
      <c r="A4" t="s">
        <v>338</v>
      </c>
      <c r="B4">
        <v>2.8</v>
      </c>
      <c r="C4" s="10">
        <f>C16+C17</f>
        <v>186.80090000000001</v>
      </c>
      <c r="D4" s="10">
        <f>D16+D17</f>
        <v>4723.280334859498</v>
      </c>
      <c r="E4" s="10">
        <f t="shared" si="0"/>
        <v>25285.104808700053</v>
      </c>
      <c r="G4">
        <f t="shared" si="1"/>
        <v>10.137970758599424</v>
      </c>
      <c r="H4">
        <f t="shared" si="2"/>
        <v>1.0296194171811581</v>
      </c>
      <c r="J4" s="2" t="s">
        <v>24</v>
      </c>
      <c r="K4" s="2">
        <v>0.91181667001433442</v>
      </c>
      <c r="S4" t="s">
        <v>338</v>
      </c>
      <c r="T4">
        <v>2.8</v>
      </c>
      <c r="U4">
        <f>SUMPRODUCT(regions!$C3:$C190,regions!BX3:BX190)</f>
        <v>5565953364693.3477</v>
      </c>
      <c r="V4">
        <f>SUMPRODUCT(regions!$B3:$B190,regions!BX3:BX190)</f>
        <v>153883559</v>
      </c>
      <c r="W4" s="10">
        <f t="shared" si="3"/>
        <v>36169.902755455165</v>
      </c>
      <c r="X4" s="1">
        <f t="shared" si="4"/>
        <v>12.588560386103364</v>
      </c>
      <c r="Y4">
        <f>SUMPRODUCT(regions!$X3:$X190,regions!BX3:BX190,regions!$B3:$B190)</f>
        <v>1937172474.8999999</v>
      </c>
      <c r="AA4">
        <f t="shared" si="5"/>
        <v>1.0296194171811581</v>
      </c>
      <c r="AB4">
        <f t="shared" si="6"/>
        <v>10.495982636401063</v>
      </c>
      <c r="AC4" s="1">
        <f t="shared" si="7"/>
        <v>12.588560386103364</v>
      </c>
      <c r="AE4" s="2" t="s">
        <v>24</v>
      </c>
      <c r="AF4" s="2">
        <v>0.8685750760468417</v>
      </c>
    </row>
    <row r="5" spans="1:39" x14ac:dyDescent="0.35">
      <c r="A5" t="s">
        <v>339</v>
      </c>
      <c r="B5">
        <v>-0.3</v>
      </c>
      <c r="C5" s="10">
        <f>C18+C19</f>
        <v>410.580645</v>
      </c>
      <c r="D5" s="10">
        <f>D18+D19</f>
        <v>1766.6636805778564</v>
      </c>
      <c r="E5" s="10">
        <f t="shared" si="0"/>
        <v>4302.8420898356189</v>
      </c>
      <c r="G5">
        <f>LN(E6)</f>
        <v>8.3414891284874759</v>
      </c>
      <c r="H5">
        <f>LN(B6)</f>
        <v>1.410986973710262</v>
      </c>
      <c r="J5" s="2" t="s">
        <v>25</v>
      </c>
      <c r="K5" s="2">
        <v>0.83140963971602966</v>
      </c>
      <c r="S5" t="s">
        <v>339</v>
      </c>
      <c r="T5">
        <v>-0.3</v>
      </c>
      <c r="U5">
        <f>SUMPRODUCT(regions!$C3:$C190,regions!BY3:BY190)</f>
        <v>2291249317566.1226</v>
      </c>
      <c r="V5">
        <f>SUMPRODUCT(regions!$B3:$B190,regions!BY3:BY190)</f>
        <v>413630243</v>
      </c>
      <c r="W5" s="10">
        <f t="shared" si="3"/>
        <v>5539.3660312360735</v>
      </c>
      <c r="X5" s="1">
        <f t="shared" si="4"/>
        <v>4.1254740461518917</v>
      </c>
      <c r="Y5">
        <f>SUMPRODUCT(regions!$X3:$X190,regions!BY3:BY190,regions!$B3:$B190)</f>
        <v>1706420832.2</v>
      </c>
      <c r="AA5">
        <f>LN(T6)</f>
        <v>1.410986973710262</v>
      </c>
      <c r="AB5">
        <f>LN(W6)</f>
        <v>8.8675697902079769</v>
      </c>
      <c r="AC5" s="1">
        <f>X6</f>
        <v>18.022874315291386</v>
      </c>
      <c r="AE5" s="2" t="s">
        <v>25</v>
      </c>
      <c r="AF5" s="2">
        <v>0.75442266272977687</v>
      </c>
    </row>
    <row r="6" spans="1:39" x14ac:dyDescent="0.35">
      <c r="A6" t="s">
        <v>123</v>
      </c>
      <c r="B6">
        <v>4.0999999999999996</v>
      </c>
      <c r="C6" s="10">
        <f>C20</f>
        <v>187.48196300000001</v>
      </c>
      <c r="D6" s="10">
        <f>D20</f>
        <v>786.3614076767243</v>
      </c>
      <c r="E6" s="10">
        <f t="shared" si="0"/>
        <v>4194.3309910656544</v>
      </c>
      <c r="G6">
        <f>LN(E7)</f>
        <v>8.3021090147193455</v>
      </c>
      <c r="H6">
        <f>LN(B7)</f>
        <v>1.4586150226995167</v>
      </c>
      <c r="J6" s="2" t="s">
        <v>26</v>
      </c>
      <c r="K6" s="2">
        <v>0.80331124633536799</v>
      </c>
      <c r="S6" t="s">
        <v>123</v>
      </c>
      <c r="T6">
        <v>4.0999999999999996</v>
      </c>
      <c r="U6">
        <f>SUMPRODUCT(regions!$C3:$C190,regions!BZ3:BZ190)</f>
        <v>1838519114843.2197</v>
      </c>
      <c r="V6">
        <f>SUMPRODUCT(regions!$B3:$B190,regions!BZ3:BZ190)</f>
        <v>259018940</v>
      </c>
      <c r="W6" s="10">
        <f t="shared" si="3"/>
        <v>7098.0103418044246</v>
      </c>
      <c r="X6" s="1">
        <f t="shared" si="4"/>
        <v>18.022874315291386</v>
      </c>
      <c r="Y6">
        <f>SUMPRODUCT(regions!$X3:$X190,regions!BZ3:BZ190,regions!$B3:$B190)</f>
        <v>4668265800.9000006</v>
      </c>
      <c r="AA6">
        <f>LN(T7)</f>
        <v>1.4586150226995167</v>
      </c>
      <c r="AB6">
        <f t="shared" ref="AB6:AB9" si="8">LN(W7)</f>
        <v>8.663572299162988</v>
      </c>
      <c r="AC6" s="1">
        <f>X7</f>
        <v>22.4226496622978</v>
      </c>
      <c r="AE6" s="2" t="s">
        <v>26</v>
      </c>
      <c r="AF6" s="2">
        <v>0.65619172782168766</v>
      </c>
    </row>
    <row r="7" spans="1:39" x14ac:dyDescent="0.35">
      <c r="A7" t="s">
        <v>340</v>
      </c>
      <c r="B7">
        <v>4.3</v>
      </c>
      <c r="C7" s="10">
        <f>C21+C22+C28</f>
        <v>448.36656300000004</v>
      </c>
      <c r="D7" s="10">
        <f>D21+D22+D28</f>
        <v>1807.9788711518756</v>
      </c>
      <c r="E7" s="10">
        <f t="shared" si="0"/>
        <v>4032.3677552018421</v>
      </c>
      <c r="G7">
        <f>LN(E8)</f>
        <v>6.3368181154985423</v>
      </c>
      <c r="H7">
        <f>LN(B8)</f>
        <v>2.1517622032594619</v>
      </c>
      <c r="J7" s="2" t="s">
        <v>27</v>
      </c>
      <c r="K7" s="2">
        <v>0.31706148886334351</v>
      </c>
      <c r="S7" t="s">
        <v>340</v>
      </c>
      <c r="T7">
        <v>4.3</v>
      </c>
      <c r="U7">
        <f>SUMPRODUCT(regions!$C3:$C190,regions!CA3:CA190)</f>
        <v>3381820643060.1235</v>
      </c>
      <c r="V7">
        <f>SUMPRODUCT(regions!$B3:$B190,regions!CA3:CA190)</f>
        <v>584263731</v>
      </c>
      <c r="W7" s="10">
        <f t="shared" si="3"/>
        <v>5788.1748662918862</v>
      </c>
      <c r="X7" s="1">
        <f t="shared" si="4"/>
        <v>22.4226496622978</v>
      </c>
      <c r="Y7">
        <f>SUMPRODUCT(regions!$X3:$X190,regions!CA3:CA190,regions!$B3:$B190)</f>
        <v>13100740950.600002</v>
      </c>
      <c r="AA7">
        <f>LN(T8)</f>
        <v>2.1517622032594619</v>
      </c>
      <c r="AB7">
        <f t="shared" si="8"/>
        <v>7.4501085272257264</v>
      </c>
      <c r="AC7" s="1">
        <f>X8</f>
        <v>23.411200932455088</v>
      </c>
      <c r="AE7" s="2" t="s">
        <v>27</v>
      </c>
      <c r="AF7" s="2">
        <v>0.41919094358776404</v>
      </c>
    </row>
    <row r="8" spans="1:39" ht="15" thickBot="1" x14ac:dyDescent="0.4">
      <c r="A8" t="s">
        <v>341</v>
      </c>
      <c r="B8">
        <v>8.6</v>
      </c>
      <c r="C8" s="10">
        <f>C23+C24</f>
        <v>1579.791189</v>
      </c>
      <c r="D8" s="10">
        <f>D23+D24</f>
        <v>892.57522422048555</v>
      </c>
      <c r="E8" s="10">
        <f t="shared" si="0"/>
        <v>564.99569717532188</v>
      </c>
      <c r="G8">
        <f>LN(E9)</f>
        <v>6.2988492362508914</v>
      </c>
      <c r="H8">
        <f>LN(B9)</f>
        <v>1.6486586255873816</v>
      </c>
      <c r="J8" s="3" t="s">
        <v>28</v>
      </c>
      <c r="K8" s="3">
        <v>8</v>
      </c>
      <c r="S8" t="s">
        <v>341</v>
      </c>
      <c r="T8">
        <v>8.6</v>
      </c>
      <c r="U8">
        <f>SUMPRODUCT(regions!$C3:$C190,regions!CB3:CB190)</f>
        <v>3798742035009.1792</v>
      </c>
      <c r="V8">
        <f>SUMPRODUCT(regions!$B3:$B190,regions!CB3:CB190)</f>
        <v>2208506997</v>
      </c>
      <c r="W8" s="10">
        <f t="shared" si="3"/>
        <v>1720.0498074804964</v>
      </c>
      <c r="X8" s="1">
        <f t="shared" si="4"/>
        <v>23.411200932455088</v>
      </c>
      <c r="Y8">
        <f>SUMPRODUCT(regions!$X3:$X190,regions!CB3:CB190,regions!$B3:$B190)</f>
        <v>51703801067.499985</v>
      </c>
      <c r="AA8">
        <f>LN(T9)</f>
        <v>1.6486586255873816</v>
      </c>
      <c r="AB8">
        <f t="shared" si="8"/>
        <v>8.0161002908138119</v>
      </c>
      <c r="AC8" s="1">
        <f>X9</f>
        <v>6.97334408270914</v>
      </c>
      <c r="AE8" s="3" t="s">
        <v>28</v>
      </c>
      <c r="AF8" s="3">
        <v>8</v>
      </c>
    </row>
    <row r="9" spans="1:39" x14ac:dyDescent="0.35">
      <c r="A9" t="s">
        <v>91</v>
      </c>
      <c r="B9">
        <v>5.2</v>
      </c>
      <c r="C9" s="10">
        <f>C25</f>
        <v>1163.627755</v>
      </c>
      <c r="D9" s="10">
        <f>D25</f>
        <v>632.9501938226208</v>
      </c>
      <c r="E9" s="10">
        <f t="shared" si="0"/>
        <v>543.94559695133853</v>
      </c>
      <c r="G9">
        <f>LN(E10)</f>
        <v>6.8219641861671025</v>
      </c>
      <c r="H9">
        <f>LN(B10)</f>
        <v>2.1633230256605378</v>
      </c>
      <c r="S9" t="s">
        <v>91</v>
      </c>
      <c r="T9">
        <v>5.2</v>
      </c>
      <c r="U9">
        <f>SUMPRODUCT(regions!$C3:$C190,regions!CC3:CC190)</f>
        <v>4083480295517.6025</v>
      </c>
      <c r="V9">
        <f>SUMPRODUCT(regions!$B3:$B190,regions!CC3:CC190)</f>
        <v>1347976564</v>
      </c>
      <c r="W9" s="10">
        <f t="shared" si="3"/>
        <v>3029.340720435257</v>
      </c>
      <c r="X9" s="1">
        <f t="shared" si="4"/>
        <v>6.97334408270914</v>
      </c>
      <c r="Y9">
        <f>SUMPRODUCT(regions!$X3:$X190,regions!CC3:CC190,regions!$B3:$B190)</f>
        <v>9399904396.1999989</v>
      </c>
      <c r="AA9">
        <f>LN(T10)</f>
        <v>2.1633230256605378</v>
      </c>
      <c r="AB9">
        <f t="shared" si="8"/>
        <v>7.1205535882161088</v>
      </c>
      <c r="AC9" s="1">
        <f>X10</f>
        <v>23.687587146762144</v>
      </c>
    </row>
    <row r="10" spans="1:39" ht="15" thickBot="1" x14ac:dyDescent="0.4">
      <c r="A10" t="s">
        <v>334</v>
      </c>
      <c r="B10">
        <v>8.6999999999999993</v>
      </c>
      <c r="C10" s="10">
        <f>C26+C27</f>
        <v>620.06746599999997</v>
      </c>
      <c r="D10" s="10">
        <f>D26+D27</f>
        <v>569.0892041752445</v>
      </c>
      <c r="E10" s="10">
        <f t="shared" si="0"/>
        <v>917.78594327225119</v>
      </c>
      <c r="J10" t="s">
        <v>29</v>
      </c>
      <c r="S10" t="s">
        <v>334</v>
      </c>
      <c r="T10">
        <v>8.6999999999999993</v>
      </c>
      <c r="U10">
        <f>SUMPRODUCT(regions!$C3:$C190,regions!CD3:CD190)</f>
        <v>1247470152595.4575</v>
      </c>
      <c r="V10">
        <f>SUMPRODUCT(regions!$B3:$B190,regions!CD3:CD190)</f>
        <v>1008354015</v>
      </c>
      <c r="W10" s="10">
        <f t="shared" si="3"/>
        <v>1237.1351073516155</v>
      </c>
      <c r="X10" s="1">
        <f t="shared" si="4"/>
        <v>23.687587146762144</v>
      </c>
      <c r="Y10">
        <f>SUMPRODUCT(regions!$X3:$X190,regions!CD3:CD190,regions!$B3:$B190)</f>
        <v>23885473605.100002</v>
      </c>
      <c r="AE10" t="s">
        <v>29</v>
      </c>
    </row>
    <row r="11" spans="1:39" x14ac:dyDescent="0.35">
      <c r="C11" s="10"/>
      <c r="D11" s="10"/>
      <c r="E11" s="10"/>
      <c r="J11" s="4"/>
      <c r="K11" s="4" t="s">
        <v>34</v>
      </c>
      <c r="L11" s="4" t="s">
        <v>35</v>
      </c>
      <c r="M11" s="4" t="s">
        <v>36</v>
      </c>
      <c r="N11" s="4" t="s">
        <v>37</v>
      </c>
      <c r="O11" s="4" t="s">
        <v>38</v>
      </c>
      <c r="AE11" s="4"/>
      <c r="AF11" s="4" t="s">
        <v>34</v>
      </c>
      <c r="AG11" s="4" t="s">
        <v>35</v>
      </c>
      <c r="AH11" s="4" t="s">
        <v>36</v>
      </c>
      <c r="AI11" s="4" t="s">
        <v>37</v>
      </c>
      <c r="AJ11" s="4" t="s">
        <v>38</v>
      </c>
    </row>
    <row r="12" spans="1:39" x14ac:dyDescent="0.35">
      <c r="C12" s="10">
        <v>1990</v>
      </c>
      <c r="D12" s="10">
        <v>1990</v>
      </c>
      <c r="E12" s="10"/>
      <c r="J12" s="2" t="s">
        <v>30</v>
      </c>
      <c r="K12" s="2">
        <v>1</v>
      </c>
      <c r="L12" s="2">
        <v>2.9745450894493071</v>
      </c>
      <c r="M12" s="2">
        <v>2.9745450894493071</v>
      </c>
      <c r="N12" s="2">
        <v>29.589223428277364</v>
      </c>
      <c r="O12" s="2">
        <v>1.6029668793525026E-3</v>
      </c>
      <c r="AE12" s="2" t="s">
        <v>30</v>
      </c>
      <c r="AF12" s="2">
        <v>2</v>
      </c>
      <c r="AG12" s="2">
        <v>2.6991077798407477</v>
      </c>
      <c r="AH12" s="2">
        <v>1.3495538899203738</v>
      </c>
      <c r="AI12" s="2">
        <v>7.680092462070732</v>
      </c>
      <c r="AJ12" s="2">
        <v>2.9886201158864107E-2</v>
      </c>
    </row>
    <row r="13" spans="1:39" x14ac:dyDescent="0.35">
      <c r="A13" t="s">
        <v>89</v>
      </c>
      <c r="C13" s="10">
        <v>249.62299999999999</v>
      </c>
      <c r="D13" s="10">
        <v>8228.9184270420574</v>
      </c>
      <c r="E13" s="10"/>
      <c r="J13" s="2" t="s">
        <v>31</v>
      </c>
      <c r="K13" s="2">
        <v>6</v>
      </c>
      <c r="L13" s="2">
        <v>0.60316792632144056</v>
      </c>
      <c r="M13" s="2">
        <v>0.10052798772024009</v>
      </c>
      <c r="N13" s="2"/>
      <c r="O13" s="2"/>
      <c r="AE13" s="2" t="s">
        <v>31</v>
      </c>
      <c r="AF13" s="2">
        <v>5</v>
      </c>
      <c r="AG13" s="2">
        <v>0.87860523592999995</v>
      </c>
      <c r="AH13" s="2">
        <v>0.17572104718599998</v>
      </c>
      <c r="AI13" s="2"/>
      <c r="AJ13" s="2"/>
    </row>
    <row r="14" spans="1:39" ht="15" thickBot="1" x14ac:dyDescent="0.4">
      <c r="A14" t="s">
        <v>117</v>
      </c>
      <c r="C14" s="10">
        <v>27.791</v>
      </c>
      <c r="D14" s="10">
        <v>749.88561828296326</v>
      </c>
      <c r="E14" s="10"/>
      <c r="J14" s="3" t="s">
        <v>32</v>
      </c>
      <c r="K14" s="3">
        <v>7</v>
      </c>
      <c r="L14" s="3">
        <v>3.5777130157707475</v>
      </c>
      <c r="M14" s="3"/>
      <c r="N14" s="3"/>
      <c r="O14" s="3"/>
      <c r="AE14" s="3" t="s">
        <v>32</v>
      </c>
      <c r="AF14" s="3">
        <v>7</v>
      </c>
      <c r="AG14" s="3">
        <v>3.5777130157707475</v>
      </c>
      <c r="AH14" s="3"/>
      <c r="AI14" s="3"/>
      <c r="AJ14" s="3"/>
    </row>
    <row r="15" spans="1:39" ht="15" thickBot="1" x14ac:dyDescent="0.4">
      <c r="A15" t="s">
        <v>118</v>
      </c>
      <c r="C15" s="10">
        <v>378.62175100000002</v>
      </c>
      <c r="D15" s="10">
        <v>9889.9597636472754</v>
      </c>
      <c r="E15" s="10"/>
    </row>
    <row r="16" spans="1:39" x14ac:dyDescent="0.35">
      <c r="A16" t="s">
        <v>119</v>
      </c>
      <c r="C16" s="10">
        <v>166.40600000000001</v>
      </c>
      <c r="D16" s="10">
        <v>4227.165129541745</v>
      </c>
      <c r="E16" s="10"/>
      <c r="J16" s="4"/>
      <c r="K16" s="4" t="s">
        <v>39</v>
      </c>
      <c r="L16" s="4" t="s">
        <v>27</v>
      </c>
      <c r="M16" s="4" t="s">
        <v>40</v>
      </c>
      <c r="N16" s="4" t="s">
        <v>41</v>
      </c>
      <c r="O16" s="4" t="s">
        <v>42</v>
      </c>
      <c r="P16" s="4" t="s">
        <v>43</v>
      </c>
      <c r="Q16" s="4" t="s">
        <v>44</v>
      </c>
      <c r="R16" s="4" t="s">
        <v>45</v>
      </c>
      <c r="AE16" s="4"/>
      <c r="AF16" s="4" t="s">
        <v>39</v>
      </c>
      <c r="AG16" s="4" t="s">
        <v>27</v>
      </c>
      <c r="AH16" s="4" t="s">
        <v>40</v>
      </c>
      <c r="AI16" s="4" t="s">
        <v>41</v>
      </c>
      <c r="AJ16" s="4" t="s">
        <v>42</v>
      </c>
      <c r="AK16" s="4" t="s">
        <v>43</v>
      </c>
      <c r="AL16" s="4" t="s">
        <v>44</v>
      </c>
      <c r="AM16" s="4" t="s">
        <v>45</v>
      </c>
    </row>
    <row r="17" spans="1:39" x14ac:dyDescent="0.35">
      <c r="A17" t="s">
        <v>120</v>
      </c>
      <c r="C17" s="10">
        <v>20.3949</v>
      </c>
      <c r="D17" s="10">
        <v>496.11520531775324</v>
      </c>
      <c r="E17" s="10"/>
      <c r="J17" s="2" t="s">
        <v>33</v>
      </c>
      <c r="K17" s="2">
        <v>4.4402067370328995</v>
      </c>
      <c r="L17" s="2">
        <v>0.58511932116483767</v>
      </c>
      <c r="M17" s="2">
        <v>7.5885491666784679</v>
      </c>
      <c r="N17" s="2">
        <v>2.7240697440515161E-4</v>
      </c>
      <c r="O17" s="2">
        <v>3.0084713357407584</v>
      </c>
      <c r="P17" s="2">
        <v>5.871942138325041</v>
      </c>
      <c r="Q17" s="2">
        <v>3.0084713357407584</v>
      </c>
      <c r="R17" s="2">
        <v>5.871942138325041</v>
      </c>
      <c r="AE17" s="2" t="s">
        <v>33</v>
      </c>
      <c r="AF17" s="2">
        <v>17.720115023426299</v>
      </c>
      <c r="AG17" s="2">
        <v>7.9821890070190546</v>
      </c>
      <c r="AH17" s="2">
        <v>2.2199568323732124</v>
      </c>
      <c r="AI17" s="2">
        <v>7.7132437350353689E-2</v>
      </c>
      <c r="AJ17" s="2">
        <v>-2.7987550466327562</v>
      </c>
      <c r="AK17" s="2">
        <v>38.238985093485354</v>
      </c>
      <c r="AL17" s="2">
        <v>-2.7987550466327562</v>
      </c>
      <c r="AM17" s="2">
        <v>38.238985093485354</v>
      </c>
    </row>
    <row r="18" spans="1:39" ht="15" thickBot="1" x14ac:dyDescent="0.4">
      <c r="A18" t="s">
        <v>121</v>
      </c>
      <c r="C18" s="10">
        <v>122.861301</v>
      </c>
      <c r="D18" s="10">
        <v>613.36191860851113</v>
      </c>
      <c r="E18" s="10"/>
      <c r="J18" s="3" t="s">
        <v>46</v>
      </c>
      <c r="K18" s="3">
        <v>-0.37414513070627259</v>
      </c>
      <c r="L18" s="3">
        <v>6.8781764664336831E-2</v>
      </c>
      <c r="M18" s="3">
        <v>-5.4395977266960971</v>
      </c>
      <c r="N18" s="3">
        <v>1.6029668793525042E-3</v>
      </c>
      <c r="O18" s="3">
        <v>-0.54244804580610273</v>
      </c>
      <c r="P18" s="3">
        <v>-0.2058422156064425</v>
      </c>
      <c r="Q18" s="3">
        <v>-0.54244804580610273</v>
      </c>
      <c r="R18" s="3">
        <v>-0.2058422156064425</v>
      </c>
      <c r="AE18" s="2" t="s">
        <v>46</v>
      </c>
      <c r="AF18" s="2">
        <v>-0.57454920863622261</v>
      </c>
      <c r="AG18" s="2">
        <v>0.26157472180036129</v>
      </c>
      <c r="AH18" s="2">
        <v>-2.1965012700070052</v>
      </c>
      <c r="AI18" s="2">
        <v>7.9443213961750248E-2</v>
      </c>
      <c r="AJ18" s="2">
        <v>-1.2469484371578536</v>
      </c>
      <c r="AK18" s="2">
        <v>9.7850019885408535E-2</v>
      </c>
      <c r="AL18" s="2">
        <v>-1.2469484371578536</v>
      </c>
      <c r="AM18" s="2">
        <v>9.7850019885408535E-2</v>
      </c>
    </row>
    <row r="19" spans="1:39" ht="15" thickBot="1" x14ac:dyDescent="0.4">
      <c r="A19" t="s">
        <v>122</v>
      </c>
      <c r="C19" s="10">
        <v>287.71934399999998</v>
      </c>
      <c r="D19" s="10">
        <v>1153.3017619693453</v>
      </c>
      <c r="E19" s="10"/>
      <c r="AE19" s="3" t="s">
        <v>47</v>
      </c>
      <c r="AF19" s="3">
        <v>2.0828458245557891E-2</v>
      </c>
      <c r="AG19" s="3">
        <v>3.1815898351708886E-2</v>
      </c>
      <c r="AH19" s="3">
        <v>0.65465566979469425</v>
      </c>
      <c r="AI19" s="3">
        <v>0.54160337489190058</v>
      </c>
      <c r="AJ19" s="3">
        <v>-6.0956912141796354E-2</v>
      </c>
      <c r="AK19" s="3">
        <v>0.10261382863291213</v>
      </c>
      <c r="AL19" s="3">
        <v>-6.0956912141796354E-2</v>
      </c>
      <c r="AM19" s="3">
        <v>0.10261382863291213</v>
      </c>
    </row>
    <row r="20" spans="1:39" x14ac:dyDescent="0.35">
      <c r="A20" t="s">
        <v>123</v>
      </c>
      <c r="C20" s="10">
        <v>187.48196300000001</v>
      </c>
      <c r="D20" s="10">
        <v>786.3614076767243</v>
      </c>
      <c r="E20" s="10"/>
    </row>
    <row r="21" spans="1:39" x14ac:dyDescent="0.35">
      <c r="A21" t="s">
        <v>124</v>
      </c>
      <c r="C21" s="10">
        <v>118.64292</v>
      </c>
      <c r="D21" s="10">
        <v>668.55336952256607</v>
      </c>
      <c r="E21" s="10"/>
      <c r="AE21" t="s">
        <v>22</v>
      </c>
    </row>
    <row r="22" spans="1:39" ht="15" thickBot="1" x14ac:dyDescent="0.4">
      <c r="A22" t="s">
        <v>125</v>
      </c>
      <c r="C22" s="10">
        <v>295.71604100000002</v>
      </c>
      <c r="D22" s="10">
        <v>1054.6511436298779</v>
      </c>
      <c r="E22" s="10"/>
    </row>
    <row r="23" spans="1:39" x14ac:dyDescent="0.35">
      <c r="A23" t="s">
        <v>126</v>
      </c>
      <c r="C23" s="10">
        <v>1134.7605570000001</v>
      </c>
      <c r="D23" s="10">
        <v>454.16563330480011</v>
      </c>
      <c r="E23" s="10"/>
      <c r="AE23" s="5" t="s">
        <v>23</v>
      </c>
      <c r="AF23" s="5"/>
    </row>
    <row r="24" spans="1:39" x14ac:dyDescent="0.35">
      <c r="A24" t="s">
        <v>127</v>
      </c>
      <c r="C24" s="10">
        <v>445.03063200000003</v>
      </c>
      <c r="D24" s="10">
        <v>438.40959091568544</v>
      </c>
      <c r="E24" s="10"/>
      <c r="AE24" s="2" t="s">
        <v>24</v>
      </c>
      <c r="AF24" s="2">
        <v>0.85637202670457047</v>
      </c>
    </row>
    <row r="25" spans="1:39" x14ac:dyDescent="0.35">
      <c r="A25" t="s">
        <v>128</v>
      </c>
      <c r="C25" s="10">
        <v>1163.627755</v>
      </c>
      <c r="D25" s="10">
        <v>632.9501938226208</v>
      </c>
      <c r="E25" s="10"/>
      <c r="AE25" s="2" t="s">
        <v>25</v>
      </c>
      <c r="AF25" s="2">
        <v>0.73337304812209358</v>
      </c>
    </row>
    <row r="26" spans="1:39" x14ac:dyDescent="0.35">
      <c r="A26" t="s">
        <v>129</v>
      </c>
      <c r="C26" s="10">
        <v>119.66550700000001</v>
      </c>
      <c r="D26" s="10">
        <v>169.58741093153526</v>
      </c>
      <c r="E26" s="10"/>
      <c r="AE26" s="2" t="s">
        <v>26</v>
      </c>
      <c r="AF26" s="2">
        <v>0.68893522280910924</v>
      </c>
    </row>
    <row r="27" spans="1:39" x14ac:dyDescent="0.35">
      <c r="A27" t="s">
        <v>130</v>
      </c>
      <c r="C27" s="10">
        <v>500.40195899999998</v>
      </c>
      <c r="D27" s="10">
        <v>399.50179324370919</v>
      </c>
      <c r="E27" s="10"/>
      <c r="AE27" s="2" t="s">
        <v>27</v>
      </c>
      <c r="AF27" s="2">
        <v>0.39873021708269252</v>
      </c>
    </row>
    <row r="28" spans="1:39" ht="15" thickBot="1" x14ac:dyDescent="0.4">
      <c r="A28" t="s">
        <v>131</v>
      </c>
      <c r="C28" s="10">
        <v>34.007601999999999</v>
      </c>
      <c r="D28" s="10">
        <v>84.774357999431743</v>
      </c>
      <c r="E28" s="10"/>
      <c r="AE28" s="3" t="s">
        <v>28</v>
      </c>
      <c r="AF28" s="3">
        <v>8</v>
      </c>
    </row>
    <row r="29" spans="1:39" x14ac:dyDescent="0.35">
      <c r="C29" s="10"/>
      <c r="D29" s="10"/>
      <c r="E29" s="10"/>
    </row>
    <row r="30" spans="1:39" ht="15" thickBot="1" x14ac:dyDescent="0.4">
      <c r="A30" t="s">
        <v>32</v>
      </c>
      <c r="C30" s="10">
        <f>SUM(C13:C28)</f>
        <v>5252.7522319999998</v>
      </c>
      <c r="D30" s="10">
        <f>SUM(D13:D28)</f>
        <v>30047.662725456605</v>
      </c>
      <c r="E30" s="10"/>
      <c r="AE30" t="s">
        <v>29</v>
      </c>
    </row>
    <row r="31" spans="1:39" x14ac:dyDescent="0.35">
      <c r="AE31" s="4"/>
      <c r="AF31" s="4" t="s">
        <v>34</v>
      </c>
      <c r="AG31" s="4" t="s">
        <v>35</v>
      </c>
      <c r="AH31" s="4" t="s">
        <v>36</v>
      </c>
      <c r="AI31" s="4" t="s">
        <v>37</v>
      </c>
      <c r="AJ31" s="4" t="s">
        <v>38</v>
      </c>
    </row>
    <row r="32" spans="1:39" x14ac:dyDescent="0.35">
      <c r="AE32" s="2" t="s">
        <v>30</v>
      </c>
      <c r="AF32" s="2">
        <v>1</v>
      </c>
      <c r="AG32" s="2">
        <v>2.6237982996818809</v>
      </c>
      <c r="AH32" s="2">
        <v>2.6237982996818809</v>
      </c>
      <c r="AI32" s="2">
        <v>16.503351434432307</v>
      </c>
      <c r="AJ32" s="2">
        <v>6.63225596007484E-3</v>
      </c>
    </row>
    <row r="33" spans="31:39" x14ac:dyDescent="0.35">
      <c r="AE33" s="2" t="s">
        <v>31</v>
      </c>
      <c r="AF33" s="2">
        <v>6</v>
      </c>
      <c r="AG33" s="2">
        <v>0.95391471608886669</v>
      </c>
      <c r="AH33" s="2">
        <v>0.15898578601481111</v>
      </c>
      <c r="AI33" s="2"/>
      <c r="AJ33" s="2"/>
    </row>
    <row r="34" spans="31:39" ht="15" thickBot="1" x14ac:dyDescent="0.4">
      <c r="AE34" s="3" t="s">
        <v>32</v>
      </c>
      <c r="AF34" s="3">
        <v>7</v>
      </c>
      <c r="AG34" s="3">
        <v>3.5777130157707475</v>
      </c>
      <c r="AH34" s="3"/>
      <c r="AI34" s="3"/>
      <c r="AJ34" s="3"/>
    </row>
    <row r="35" spans="31:39" ht="15" thickBot="1" x14ac:dyDescent="0.4"/>
    <row r="36" spans="31:39" x14ac:dyDescent="0.35">
      <c r="AE36" s="4"/>
      <c r="AF36" s="4" t="s">
        <v>39</v>
      </c>
      <c r="AG36" s="4" t="s">
        <v>27</v>
      </c>
      <c r="AH36" s="4" t="s">
        <v>40</v>
      </c>
      <c r="AI36" s="4" t="s">
        <v>41</v>
      </c>
      <c r="AJ36" s="4" t="s">
        <v>42</v>
      </c>
      <c r="AK36" s="4" t="s">
        <v>43</v>
      </c>
      <c r="AL36" s="4" t="s">
        <v>44</v>
      </c>
      <c r="AM36" s="4" t="s">
        <v>45</v>
      </c>
    </row>
    <row r="37" spans="31:39" x14ac:dyDescent="0.35">
      <c r="AE37" s="2" t="s">
        <v>33</v>
      </c>
      <c r="AF37" s="2">
        <v>21.648458435516385</v>
      </c>
      <c r="AG37" s="2">
        <v>5.0068959617156787</v>
      </c>
      <c r="AH37" s="2">
        <v>4.3237284339533701</v>
      </c>
      <c r="AI37" s="2">
        <v>4.962492539088318E-3</v>
      </c>
      <c r="AJ37" s="2">
        <v>9.3970253693444015</v>
      </c>
      <c r="AK37" s="2">
        <v>33.899891501688373</v>
      </c>
      <c r="AL37" s="2">
        <v>9.3970253693444015</v>
      </c>
      <c r="AM37" s="2">
        <v>33.899891501688373</v>
      </c>
    </row>
    <row r="38" spans="31:39" ht="15" thickBot="1" x14ac:dyDescent="0.4">
      <c r="AE38" s="3" t="s">
        <v>46</v>
      </c>
      <c r="AF38" s="3">
        <v>-0.69834648551128797</v>
      </c>
      <c r="AG38" s="3">
        <v>0.1719035628414817</v>
      </c>
      <c r="AH38" s="3">
        <v>-4.0624317144331545</v>
      </c>
      <c r="AI38" s="3">
        <v>6.6322559600748452E-3</v>
      </c>
      <c r="AJ38" s="3">
        <v>-1.1189793506821535</v>
      </c>
      <c r="AK38" s="3">
        <v>-0.27771362034042235</v>
      </c>
      <c r="AL38" s="3">
        <v>-1.1189793506821535</v>
      </c>
      <c r="AM38" s="3">
        <v>-0.27771362034042235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N57"/>
  <sheetViews>
    <sheetView topLeftCell="F1" workbookViewId="0">
      <selection activeCell="W2" sqref="W2"/>
    </sheetView>
  </sheetViews>
  <sheetFormatPr defaultRowHeight="14.5" x14ac:dyDescent="0.35"/>
  <cols>
    <col min="1" max="1" width="14.453125" customWidth="1"/>
    <col min="22" max="22" width="12" bestFit="1" customWidth="1"/>
  </cols>
  <sheetData>
    <row r="1" spans="1:40" x14ac:dyDescent="0.35">
      <c r="J1" t="s">
        <v>22</v>
      </c>
      <c r="M1">
        <f>SUM(O2:O3)*N1*N1</f>
        <v>-0.13278557854570447</v>
      </c>
      <c r="N1">
        <f>SQRT(1/SUM(P2:P3))</f>
        <v>0.16473724460664022</v>
      </c>
      <c r="AF1" t="s">
        <v>22</v>
      </c>
    </row>
    <row r="2" spans="1:40" ht="15" thickBot="1" x14ac:dyDescent="0.4">
      <c r="A2" t="s">
        <v>336</v>
      </c>
      <c r="B2">
        <v>3.4</v>
      </c>
      <c r="C2" s="10">
        <f>C13+C14</f>
        <v>277.41399999999999</v>
      </c>
      <c r="D2" s="10">
        <f>D13+D14</f>
        <v>8978.8040453250214</v>
      </c>
      <c r="E2" s="10">
        <f>D2/C2*1000</f>
        <v>32366.081183087452</v>
      </c>
      <c r="G2">
        <f>LN(E2)</f>
        <v>10.38486627635668</v>
      </c>
      <c r="H2">
        <f>LN(B2)</f>
        <v>1.2237754316221157</v>
      </c>
      <c r="M2">
        <f>-K18</f>
        <v>-7.2703571383440718E-2</v>
      </c>
      <c r="N2">
        <f>L18</f>
        <v>0.16788203492041748</v>
      </c>
      <c r="O2">
        <f>M2/N2/N2</f>
        <v>-2.579569869834184</v>
      </c>
      <c r="P2">
        <f>1/N2/N2</f>
        <v>35.480648622190223</v>
      </c>
      <c r="T2" t="str">
        <f>A2</f>
        <v>OECD-America</v>
      </c>
      <c r="U2">
        <f>B2</f>
        <v>3.4</v>
      </c>
      <c r="V2">
        <f>'Tol1995'!U2</f>
        <v>14835708393399.66</v>
      </c>
      <c r="W2">
        <f>'Tol1995'!V2</f>
        <v>343452772</v>
      </c>
      <c r="X2" s="10">
        <f>'Tol1995'!W2</f>
        <v>43195.774216664817</v>
      </c>
      <c r="Y2">
        <f>'Tol1995'!X2</f>
        <v>7.1188523081712081</v>
      </c>
      <c r="Z2">
        <f>'Tol1995'!Y2</f>
        <v>2444989558.6999998</v>
      </c>
      <c r="AB2">
        <f>LN(U2)</f>
        <v>1.2237754316221157</v>
      </c>
      <c r="AC2">
        <f>LN(X2)</f>
        <v>10.673497950388921</v>
      </c>
      <c r="AD2" s="1">
        <f>Y2</f>
        <v>7.1188523081712081</v>
      </c>
    </row>
    <row r="3" spans="1:40" x14ac:dyDescent="0.35">
      <c r="A3" t="s">
        <v>337</v>
      </c>
      <c r="B3">
        <v>3.7</v>
      </c>
      <c r="C3" s="10">
        <f>C15</f>
        <v>378.62175100000002</v>
      </c>
      <c r="D3" s="10">
        <f>D15</f>
        <v>9889.9597636472754</v>
      </c>
      <c r="E3" s="10">
        <f t="shared" ref="E3:E10" si="0">D3/C3*1000</f>
        <v>26120.949833247363</v>
      </c>
      <c r="G3">
        <f>LN(E3)</f>
        <v>10.170492946942352</v>
      </c>
      <c r="H3">
        <f>LN(B3)</f>
        <v>1.3083328196501789</v>
      </c>
      <c r="J3" s="5" t="s">
        <v>23</v>
      </c>
      <c r="K3" s="5"/>
      <c r="M3">
        <f>K37</f>
        <v>-1.6915802641237114</v>
      </c>
      <c r="N3">
        <f>L37</f>
        <v>0.85511882357334701</v>
      </c>
      <c r="O3">
        <f>M3/N3/N3</f>
        <v>-2.3133411136270872</v>
      </c>
      <c r="P3">
        <f>1/N3/N3</f>
        <v>1.3675621326933995</v>
      </c>
      <c r="T3" t="str">
        <f t="shared" ref="T3:T10" si="1">A3</f>
        <v>OECD-Europe</v>
      </c>
      <c r="U3">
        <f t="shared" ref="U3:U10" si="2">B3</f>
        <v>3.7</v>
      </c>
      <c r="V3">
        <f>'Tol1995'!U3</f>
        <v>14370299281543.217</v>
      </c>
      <c r="W3">
        <f>'Tol1995'!V3</f>
        <v>420925249</v>
      </c>
      <c r="X3" s="10">
        <f>'Tol1995'!W3</f>
        <v>34139.789227856978</v>
      </c>
      <c r="Y3">
        <f>'Tol1995'!X3</f>
        <v>10.253969849881825</v>
      </c>
      <c r="Z3">
        <f>'Tol1995'!Y3</f>
        <v>4316154812.3000002</v>
      </c>
      <c r="AB3">
        <f t="shared" ref="AB3:AB6" si="3">LN(U3)</f>
        <v>1.3083328196501789</v>
      </c>
      <c r="AC3">
        <f>LN(X3)</f>
        <v>10.438218822570059</v>
      </c>
      <c r="AD3" s="1">
        <f t="shared" ref="AD3:AD6" si="4">Y3</f>
        <v>10.253969849881825</v>
      </c>
      <c r="AF3" s="5" t="s">
        <v>23</v>
      </c>
      <c r="AG3" s="5"/>
    </row>
    <row r="4" spans="1:40" x14ac:dyDescent="0.35">
      <c r="A4" t="s">
        <v>338</v>
      </c>
      <c r="B4">
        <v>1</v>
      </c>
      <c r="C4" s="10">
        <f>C16+C17</f>
        <v>186.80090000000001</v>
      </c>
      <c r="D4" s="10">
        <f>D16+D17</f>
        <v>4723.280334859498</v>
      </c>
      <c r="E4" s="10">
        <f t="shared" si="0"/>
        <v>25285.104808700053</v>
      </c>
      <c r="G4">
        <f>LN(E4)</f>
        <v>10.137970758599424</v>
      </c>
      <c r="H4">
        <f>LN(B4)</f>
        <v>0</v>
      </c>
      <c r="J4" s="2" t="s">
        <v>24</v>
      </c>
      <c r="K4" s="2">
        <v>0.2116273684694695</v>
      </c>
      <c r="T4" t="str">
        <f t="shared" si="1"/>
        <v>OECD-Pacific</v>
      </c>
      <c r="U4">
        <f t="shared" si="2"/>
        <v>1</v>
      </c>
      <c r="V4">
        <f>'Tol1995'!U4</f>
        <v>5565953364693.3477</v>
      </c>
      <c r="W4">
        <f>'Tol1995'!V4</f>
        <v>153883559</v>
      </c>
      <c r="X4" s="10">
        <f>'Tol1995'!W4</f>
        <v>36169.902755455165</v>
      </c>
      <c r="Y4">
        <f>'Tol1995'!X4</f>
        <v>12.588560386103364</v>
      </c>
      <c r="Z4">
        <f>'Tol1995'!Y4</f>
        <v>1937172474.8999999</v>
      </c>
      <c r="AB4">
        <f t="shared" si="3"/>
        <v>0</v>
      </c>
      <c r="AC4">
        <f>LN(X4)</f>
        <v>10.495982636401063</v>
      </c>
      <c r="AD4" s="1">
        <f t="shared" si="4"/>
        <v>12.588560386103364</v>
      </c>
      <c r="AF4" s="2" t="s">
        <v>24</v>
      </c>
      <c r="AG4" s="2">
        <v>0.69092415297655585</v>
      </c>
    </row>
    <row r="5" spans="1:40" x14ac:dyDescent="0.35">
      <c r="A5" t="s">
        <v>339</v>
      </c>
      <c r="B5">
        <v>2</v>
      </c>
      <c r="C5" s="10">
        <f>C18+C19</f>
        <v>410.580645</v>
      </c>
      <c r="D5" s="10">
        <f>D18+D19</f>
        <v>1766.6636805778564</v>
      </c>
      <c r="E5" s="10">
        <f t="shared" si="0"/>
        <v>4302.8420898356189</v>
      </c>
      <c r="G5">
        <f>LN(E5)</f>
        <v>8.3670310344742216</v>
      </c>
      <c r="H5">
        <f>LN(B5)</f>
        <v>0.69314718055994529</v>
      </c>
      <c r="J5" s="2" t="s">
        <v>25</v>
      </c>
      <c r="K5" s="2">
        <v>4.4786143085312619E-2</v>
      </c>
      <c r="T5" t="str">
        <f t="shared" si="1"/>
        <v>EEFSU</v>
      </c>
      <c r="U5">
        <f t="shared" si="2"/>
        <v>2</v>
      </c>
      <c r="V5">
        <f>'Tol1995'!U5</f>
        <v>2291249317566.1226</v>
      </c>
      <c r="W5">
        <f>'Tol1995'!V5</f>
        <v>413630243</v>
      </c>
      <c r="X5" s="10">
        <f>'Tol1995'!W5</f>
        <v>5539.3660312360735</v>
      </c>
      <c r="Y5">
        <f>'Tol1995'!X5</f>
        <v>4.1254740461518917</v>
      </c>
      <c r="Z5">
        <f>'Tol1995'!Y5</f>
        <v>1706420832.2</v>
      </c>
      <c r="AB5">
        <f t="shared" si="3"/>
        <v>0.69314718055994529</v>
      </c>
      <c r="AC5">
        <f>LN(X5)</f>
        <v>8.6196353383982363</v>
      </c>
      <c r="AD5" s="1">
        <f t="shared" si="4"/>
        <v>4.1254740461518917</v>
      </c>
      <c r="AF5" s="2" t="s">
        <v>25</v>
      </c>
      <c r="AG5" s="2">
        <v>0.47737618516637115</v>
      </c>
    </row>
    <row r="6" spans="1:40" x14ac:dyDescent="0.35">
      <c r="A6" t="s">
        <v>123</v>
      </c>
      <c r="B6">
        <v>1.1000000000000001</v>
      </c>
      <c r="C6" s="10">
        <f>C20</f>
        <v>187.48196300000001</v>
      </c>
      <c r="D6" s="10">
        <f>D20</f>
        <v>786.3614076767243</v>
      </c>
      <c r="E6" s="10">
        <f t="shared" si="0"/>
        <v>4194.3309910656544</v>
      </c>
      <c r="G6">
        <f>LN(E6)</f>
        <v>8.3414891284874759</v>
      </c>
      <c r="H6">
        <f>LN(B6)</f>
        <v>9.5310179804324935E-2</v>
      </c>
      <c r="J6" s="2" t="s">
        <v>26</v>
      </c>
      <c r="K6" s="2">
        <v>-0.19401732114335923</v>
      </c>
      <c r="T6" t="str">
        <f t="shared" si="1"/>
        <v>MDE</v>
      </c>
      <c r="U6">
        <f t="shared" si="2"/>
        <v>1.1000000000000001</v>
      </c>
      <c r="V6">
        <f>'Tol1995'!U6</f>
        <v>1838519114843.2197</v>
      </c>
      <c r="W6">
        <f>'Tol1995'!V6</f>
        <v>259018940</v>
      </c>
      <c r="X6" s="10">
        <f>'Tol1995'!W6</f>
        <v>7098.0103418044246</v>
      </c>
      <c r="Y6">
        <f>'Tol1995'!X6</f>
        <v>18.022874315291386</v>
      </c>
      <c r="Z6">
        <f>'Tol1995'!Y6</f>
        <v>4668265800.9000006</v>
      </c>
      <c r="AB6">
        <f t="shared" si="3"/>
        <v>9.5310179804324935E-2</v>
      </c>
      <c r="AC6">
        <f>LN(X6)</f>
        <v>8.8675697902079769</v>
      </c>
      <c r="AD6" s="1">
        <f t="shared" si="4"/>
        <v>18.022874315291386</v>
      </c>
      <c r="AF6" s="2" t="s">
        <v>26</v>
      </c>
      <c r="AG6" s="2">
        <v>0.12896030861061858</v>
      </c>
    </row>
    <row r="7" spans="1:40" x14ac:dyDescent="0.35">
      <c r="A7" t="s">
        <v>340</v>
      </c>
      <c r="B7">
        <v>-0.1</v>
      </c>
      <c r="C7" s="10">
        <f>C21+C22+C28</f>
        <v>448.36656300000004</v>
      </c>
      <c r="D7" s="10">
        <f>D21+D22+D28</f>
        <v>1807.9788711518756</v>
      </c>
      <c r="E7" s="10">
        <f t="shared" si="0"/>
        <v>4032.3677552018421</v>
      </c>
      <c r="G7">
        <f>LN(E9)</f>
        <v>6.2988492362508914</v>
      </c>
      <c r="H7">
        <f>LN(B9)</f>
        <v>0.74193734472937733</v>
      </c>
      <c r="J7" s="2" t="s">
        <v>27</v>
      </c>
      <c r="K7" s="2">
        <v>0.59824586767309706</v>
      </c>
      <c r="T7" t="str">
        <f t="shared" si="1"/>
        <v>Latin America</v>
      </c>
      <c r="U7">
        <f t="shared" si="2"/>
        <v>-0.1</v>
      </c>
      <c r="V7">
        <f>'Tol1995'!U7</f>
        <v>3381820643060.1235</v>
      </c>
      <c r="W7">
        <f>'Tol1995'!V7</f>
        <v>584263731</v>
      </c>
      <c r="X7" s="10">
        <f>'Tol1995'!W7</f>
        <v>5788.1748662918862</v>
      </c>
      <c r="Y7">
        <f>'Tol1995'!X7</f>
        <v>22.4226496622978</v>
      </c>
      <c r="Z7">
        <f>'Tol1995'!Y7</f>
        <v>13100740950.600002</v>
      </c>
      <c r="AB7">
        <f>LN(U9)</f>
        <v>0.74193734472937733</v>
      </c>
      <c r="AC7">
        <f>LN(X9)</f>
        <v>8.0161002908138119</v>
      </c>
      <c r="AD7" s="1">
        <f>Y9</f>
        <v>6.97334408270914</v>
      </c>
      <c r="AF7" s="2" t="s">
        <v>27</v>
      </c>
      <c r="AG7" s="2">
        <v>0.51096760451095558</v>
      </c>
    </row>
    <row r="8" spans="1:40" ht="15" thickBot="1" x14ac:dyDescent="0.4">
      <c r="A8" t="s">
        <v>341</v>
      </c>
      <c r="B8">
        <v>-1.7</v>
      </c>
      <c r="C8" s="10">
        <f>C23+C24</f>
        <v>1579.791189</v>
      </c>
      <c r="D8" s="10">
        <f>D23+D24</f>
        <v>892.57522422048555</v>
      </c>
      <c r="E8" s="10">
        <f t="shared" si="0"/>
        <v>564.99569717532188</v>
      </c>
      <c r="J8" s="3" t="s">
        <v>28</v>
      </c>
      <c r="K8" s="3">
        <v>6</v>
      </c>
      <c r="T8" t="str">
        <f t="shared" si="1"/>
        <v>S&amp;SEA</v>
      </c>
      <c r="U8">
        <f t="shared" si="2"/>
        <v>-1.7</v>
      </c>
      <c r="V8">
        <f>'Tol1995'!U8</f>
        <v>3798742035009.1792</v>
      </c>
      <c r="W8">
        <f>'Tol1995'!V8</f>
        <v>2208506997</v>
      </c>
      <c r="X8" s="10">
        <f>'Tol1995'!W8</f>
        <v>1720.0498074804964</v>
      </c>
      <c r="Y8">
        <f>'Tol1995'!X8</f>
        <v>23.411200932455088</v>
      </c>
      <c r="Z8">
        <f>'Tol1995'!Y8</f>
        <v>51703801067.499985</v>
      </c>
      <c r="AF8" s="3" t="s">
        <v>28</v>
      </c>
      <c r="AG8" s="3">
        <v>6</v>
      </c>
    </row>
    <row r="9" spans="1:40" x14ac:dyDescent="0.35">
      <c r="A9" t="s">
        <v>91</v>
      </c>
      <c r="B9">
        <v>2.1</v>
      </c>
      <c r="C9" s="10">
        <f>C25</f>
        <v>1163.627755</v>
      </c>
      <c r="D9" s="10">
        <f>D25</f>
        <v>632.9501938226208</v>
      </c>
      <c r="E9" s="10">
        <f t="shared" si="0"/>
        <v>543.94559695133853</v>
      </c>
      <c r="G9">
        <f>LN(E7)</f>
        <v>8.3021090147193455</v>
      </c>
      <c r="H9">
        <f>LN(-B7)</f>
        <v>-2.3025850929940455</v>
      </c>
      <c r="T9" t="str">
        <f t="shared" si="1"/>
        <v>China</v>
      </c>
      <c r="U9">
        <f t="shared" si="2"/>
        <v>2.1</v>
      </c>
      <c r="V9">
        <f>'Tol1995'!U9</f>
        <v>4083480295517.6025</v>
      </c>
      <c r="W9">
        <f>'Tol1995'!V9</f>
        <v>1347976564</v>
      </c>
      <c r="X9" s="10">
        <f>'Tol1995'!W9</f>
        <v>3029.340720435257</v>
      </c>
      <c r="Y9">
        <f>'Tol1995'!X9</f>
        <v>6.97334408270914</v>
      </c>
      <c r="Z9">
        <f>'Tol1995'!Y9</f>
        <v>9399904396.1999989</v>
      </c>
      <c r="AB9">
        <f>LN(-U7)</f>
        <v>-2.3025850929940455</v>
      </c>
      <c r="AC9">
        <f>LN(X7)</f>
        <v>8.663572299162988</v>
      </c>
      <c r="AD9" s="1">
        <f>Y7</f>
        <v>22.4226496622978</v>
      </c>
    </row>
    <row r="10" spans="1:40" ht="15" thickBot="1" x14ac:dyDescent="0.4">
      <c r="A10" t="s">
        <v>334</v>
      </c>
      <c r="B10">
        <v>-4.0999999999999996</v>
      </c>
      <c r="C10" s="10">
        <f>C26+C27</f>
        <v>620.06746599999997</v>
      </c>
      <c r="D10" s="10">
        <f>D26+D27</f>
        <v>569.0892041752445</v>
      </c>
      <c r="E10" s="10">
        <f t="shared" si="0"/>
        <v>917.78594327225119</v>
      </c>
      <c r="G10">
        <f>LN(E8)</f>
        <v>6.3368181154985423</v>
      </c>
      <c r="H10">
        <f>LN(-B8)</f>
        <v>0.53062825106217038</v>
      </c>
      <c r="J10" t="s">
        <v>29</v>
      </c>
      <c r="T10" t="str">
        <f t="shared" si="1"/>
        <v>Africa</v>
      </c>
      <c r="U10">
        <f t="shared" si="2"/>
        <v>-4.0999999999999996</v>
      </c>
      <c r="V10">
        <f>'Tol1995'!U10</f>
        <v>1247470152595.4575</v>
      </c>
      <c r="W10">
        <f>'Tol1995'!V10</f>
        <v>1008354015</v>
      </c>
      <c r="X10" s="10">
        <f>'Tol1995'!W10</f>
        <v>1237.1351073516155</v>
      </c>
      <c r="Y10">
        <f>'Tol1995'!X10</f>
        <v>23.687587146762144</v>
      </c>
      <c r="Z10">
        <f>'Tol1995'!Y10</f>
        <v>23885473605.100002</v>
      </c>
      <c r="AB10">
        <f>LN(-U8)</f>
        <v>0.53062825106217038</v>
      </c>
      <c r="AC10">
        <f>LN(X8)</f>
        <v>7.4501085272257264</v>
      </c>
      <c r="AD10" s="1">
        <f>Y8</f>
        <v>23.411200932455088</v>
      </c>
      <c r="AF10" t="s">
        <v>29</v>
      </c>
    </row>
    <row r="11" spans="1:40" x14ac:dyDescent="0.35">
      <c r="C11" s="10"/>
      <c r="D11" s="10"/>
      <c r="E11" s="10"/>
      <c r="G11">
        <f>LN(E10)</f>
        <v>6.8219641861671025</v>
      </c>
      <c r="H11">
        <f>LN(-B10)</f>
        <v>1.410986973710262</v>
      </c>
      <c r="J11" s="4"/>
      <c r="K11" s="4" t="s">
        <v>34</v>
      </c>
      <c r="L11" s="4" t="s">
        <v>35</v>
      </c>
      <c r="M11" s="4" t="s">
        <v>36</v>
      </c>
      <c r="N11" s="4" t="s">
        <v>37</v>
      </c>
      <c r="O11" s="4" t="s">
        <v>38</v>
      </c>
      <c r="AB11">
        <f>LN(-U10)</f>
        <v>1.410986973710262</v>
      </c>
      <c r="AC11">
        <f>LN(X10)</f>
        <v>7.1205535882161088</v>
      </c>
      <c r="AD11" s="1">
        <f>Y10</f>
        <v>23.687587146762144</v>
      </c>
      <c r="AF11" s="4"/>
      <c r="AG11" s="4" t="s">
        <v>34</v>
      </c>
      <c r="AH11" s="4" t="s">
        <v>35</v>
      </c>
      <c r="AI11" s="4" t="s">
        <v>36</v>
      </c>
      <c r="AJ11" s="4" t="s">
        <v>37</v>
      </c>
      <c r="AK11" s="4" t="s">
        <v>38</v>
      </c>
    </row>
    <row r="12" spans="1:40" x14ac:dyDescent="0.35">
      <c r="C12" s="10">
        <v>1990</v>
      </c>
      <c r="D12" s="10">
        <v>1990</v>
      </c>
      <c r="E12" s="10"/>
      <c r="J12" s="2" t="s">
        <v>30</v>
      </c>
      <c r="K12" s="2">
        <v>1</v>
      </c>
      <c r="L12" s="2">
        <v>6.7121623980212597E-2</v>
      </c>
      <c r="M12" s="2">
        <v>6.7121623980212597E-2</v>
      </c>
      <c r="N12" s="2">
        <v>0.18754394217006251</v>
      </c>
      <c r="O12" s="2">
        <v>0.68729793409831674</v>
      </c>
      <c r="AF12" s="2" t="s">
        <v>30</v>
      </c>
      <c r="AG12" s="2">
        <v>2</v>
      </c>
      <c r="AH12" s="2">
        <v>0.71545041815296651</v>
      </c>
      <c r="AI12" s="2">
        <v>0.35772520907648325</v>
      </c>
      <c r="AJ12" s="2">
        <v>1.3701332725863387</v>
      </c>
      <c r="AK12" s="2">
        <v>0.37781899942581026</v>
      </c>
    </row>
    <row r="13" spans="1:40" x14ac:dyDescent="0.35">
      <c r="A13" t="s">
        <v>89</v>
      </c>
      <c r="C13" s="10">
        <v>249.62299999999999</v>
      </c>
      <c r="D13" s="10">
        <v>8228.9184270420574</v>
      </c>
      <c r="E13" s="10"/>
      <c r="J13" s="2" t="s">
        <v>31</v>
      </c>
      <c r="K13" s="2">
        <v>4</v>
      </c>
      <c r="L13" s="2">
        <v>1.4315924727517468</v>
      </c>
      <c r="M13" s="2">
        <v>0.35789811818793671</v>
      </c>
      <c r="N13" s="2"/>
      <c r="O13" s="2"/>
      <c r="AF13" s="2" t="s">
        <v>31</v>
      </c>
      <c r="AG13" s="2">
        <v>3</v>
      </c>
      <c r="AH13" s="2">
        <v>0.78326367857899293</v>
      </c>
      <c r="AI13" s="2">
        <v>0.26108789285966433</v>
      </c>
      <c r="AJ13" s="2"/>
      <c r="AK13" s="2"/>
    </row>
    <row r="14" spans="1:40" ht="15" thickBot="1" x14ac:dyDescent="0.4">
      <c r="A14" t="s">
        <v>117</v>
      </c>
      <c r="C14" s="10">
        <v>27.791</v>
      </c>
      <c r="D14" s="10">
        <v>749.88561828296326</v>
      </c>
      <c r="E14" s="10"/>
      <c r="J14" s="3" t="s">
        <v>32</v>
      </c>
      <c r="K14" s="3">
        <v>5</v>
      </c>
      <c r="L14" s="3">
        <v>1.4987140967319594</v>
      </c>
      <c r="M14" s="3"/>
      <c r="N14" s="3"/>
      <c r="O14" s="3"/>
      <c r="AF14" s="3" t="s">
        <v>32</v>
      </c>
      <c r="AG14" s="3">
        <v>5</v>
      </c>
      <c r="AH14" s="3">
        <v>1.4987140967319594</v>
      </c>
      <c r="AI14" s="3"/>
      <c r="AJ14" s="3"/>
      <c r="AK14" s="3"/>
    </row>
    <row r="15" spans="1:40" ht="15" thickBot="1" x14ac:dyDescent="0.4">
      <c r="A15" t="s">
        <v>118</v>
      </c>
      <c r="C15" s="10">
        <v>378.62175100000002</v>
      </c>
      <c r="D15" s="10">
        <v>9889.9597636472754</v>
      </c>
      <c r="E15" s="10"/>
    </row>
    <row r="16" spans="1:40" x14ac:dyDescent="0.35">
      <c r="A16" t="s">
        <v>119</v>
      </c>
      <c r="C16" s="10">
        <v>166.40600000000001</v>
      </c>
      <c r="D16" s="10">
        <v>4227.165129541745</v>
      </c>
      <c r="E16" s="10"/>
      <c r="J16" s="4"/>
      <c r="K16" s="4" t="s">
        <v>39</v>
      </c>
      <c r="L16" s="4" t="s">
        <v>27</v>
      </c>
      <c r="M16" s="4" t="s">
        <v>40</v>
      </c>
      <c r="N16" s="4" t="s">
        <v>41</v>
      </c>
      <c r="O16" s="4" t="s">
        <v>42</v>
      </c>
      <c r="P16" s="4" t="s">
        <v>43</v>
      </c>
      <c r="Q16" s="4" t="s">
        <v>44</v>
      </c>
      <c r="R16" s="4" t="s">
        <v>45</v>
      </c>
      <c r="AF16" s="4"/>
      <c r="AG16" s="4" t="s">
        <v>39</v>
      </c>
      <c r="AH16" s="4" t="s">
        <v>27</v>
      </c>
      <c r="AI16" s="4" t="s">
        <v>40</v>
      </c>
      <c r="AJ16" s="4" t="s">
        <v>41</v>
      </c>
      <c r="AK16" s="4" t="s">
        <v>42</v>
      </c>
      <c r="AL16" s="4" t="s">
        <v>43</v>
      </c>
      <c r="AM16" s="4" t="s">
        <v>44</v>
      </c>
      <c r="AN16" s="4" t="s">
        <v>45</v>
      </c>
    </row>
    <row r="17" spans="1:40" x14ac:dyDescent="0.35">
      <c r="A17" t="s">
        <v>120</v>
      </c>
      <c r="C17" s="10">
        <v>20.3949</v>
      </c>
      <c r="D17" s="10">
        <v>496.11520531775324</v>
      </c>
      <c r="E17" s="10"/>
      <c r="J17" s="2" t="s">
        <v>33</v>
      </c>
      <c r="K17" s="2">
        <v>2.6378387595107466E-2</v>
      </c>
      <c r="L17" s="2">
        <v>1.5222836804338689</v>
      </c>
      <c r="M17" s="2">
        <v>1.7328168155615591E-2</v>
      </c>
      <c r="N17" s="2">
        <v>0.98700468679570619</v>
      </c>
      <c r="O17" s="2">
        <v>-4.20015868566799</v>
      </c>
      <c r="P17" s="2">
        <v>4.2529154608582047</v>
      </c>
      <c r="Q17" s="2">
        <v>-4.20015868566799</v>
      </c>
      <c r="R17" s="2">
        <v>4.2529154608582047</v>
      </c>
      <c r="AF17" s="2" t="s">
        <v>33</v>
      </c>
      <c r="AG17" s="2">
        <v>-0.1785863293995773</v>
      </c>
      <c r="AH17" s="2">
        <v>1.8895793944334003</v>
      </c>
      <c r="AI17" s="2">
        <v>-9.4511154136038458E-2</v>
      </c>
      <c r="AJ17" s="2">
        <v>0.930661898165692</v>
      </c>
      <c r="AK17" s="2">
        <v>-6.1920712917543801</v>
      </c>
      <c r="AL17" s="2">
        <v>5.8348986329552259</v>
      </c>
      <c r="AM17" s="2">
        <v>-6.1920712917543801</v>
      </c>
      <c r="AN17" s="2">
        <v>5.8348986329552259</v>
      </c>
    </row>
    <row r="18" spans="1:40" ht="15" thickBot="1" x14ac:dyDescent="0.4">
      <c r="A18" t="s">
        <v>121</v>
      </c>
      <c r="C18" s="10">
        <v>122.861301</v>
      </c>
      <c r="D18" s="10">
        <v>613.36191860851113</v>
      </c>
      <c r="E18" s="10"/>
      <c r="J18" s="3" t="s">
        <v>46</v>
      </c>
      <c r="K18" s="3">
        <v>7.2703571383440718E-2</v>
      </c>
      <c r="L18" s="3">
        <v>0.16788203492041748</v>
      </c>
      <c r="M18" s="3">
        <v>0.43306343896715926</v>
      </c>
      <c r="N18" s="3">
        <v>0.68729793409831674</v>
      </c>
      <c r="O18" s="3">
        <v>-0.39341168272199745</v>
      </c>
      <c r="P18" s="3">
        <v>0.53881882548887883</v>
      </c>
      <c r="Q18" s="3">
        <v>-0.39341168272199745</v>
      </c>
      <c r="R18" s="3">
        <v>0.53881882548887883</v>
      </c>
      <c r="AF18" s="2" t="s">
        <v>46</v>
      </c>
      <c r="AG18" s="2">
        <v>0.16335732373471523</v>
      </c>
      <c r="AH18" s="2">
        <v>0.19759951416981061</v>
      </c>
      <c r="AI18" s="2">
        <v>0.82670913651301414</v>
      </c>
      <c r="AJ18" s="2">
        <v>0.46901868723778328</v>
      </c>
      <c r="AK18" s="2">
        <v>-0.46549252006085451</v>
      </c>
      <c r="AL18" s="2">
        <v>0.79220716753028497</v>
      </c>
      <c r="AM18" s="2">
        <v>-0.46549252006085451</v>
      </c>
      <c r="AN18" s="2">
        <v>0.79220716753028497</v>
      </c>
    </row>
    <row r="19" spans="1:40" ht="15" thickBot="1" x14ac:dyDescent="0.4">
      <c r="A19" t="s">
        <v>122</v>
      </c>
      <c r="C19" s="10">
        <v>287.71934399999998</v>
      </c>
      <c r="D19" s="10">
        <v>1153.3017619693453</v>
      </c>
      <c r="E19" s="10"/>
      <c r="AF19" s="3" t="s">
        <v>47</v>
      </c>
      <c r="AG19" s="3">
        <v>-7.0801615942804944E-2</v>
      </c>
      <c r="AH19" s="3">
        <v>4.6472058556941274E-2</v>
      </c>
      <c r="AI19" s="3">
        <v>-1.5235308729879731</v>
      </c>
      <c r="AJ19" s="3">
        <v>0.22501097228959496</v>
      </c>
      <c r="AK19" s="3">
        <v>-0.21869644699627089</v>
      </c>
      <c r="AL19" s="3">
        <v>7.7093215110660987E-2</v>
      </c>
      <c r="AM19" s="3">
        <v>-0.21869644699627089</v>
      </c>
      <c r="AN19" s="3">
        <v>7.7093215110660987E-2</v>
      </c>
    </row>
    <row r="20" spans="1:40" x14ac:dyDescent="0.35">
      <c r="A20" t="s">
        <v>123</v>
      </c>
      <c r="C20" s="10">
        <v>187.48196300000001</v>
      </c>
      <c r="D20" s="10">
        <v>786.3614076767243</v>
      </c>
      <c r="E20" s="10"/>
      <c r="J20" t="s">
        <v>22</v>
      </c>
    </row>
    <row r="21" spans="1:40" ht="15" thickBot="1" x14ac:dyDescent="0.4">
      <c r="A21" t="s">
        <v>124</v>
      </c>
      <c r="C21" s="10">
        <v>118.64292</v>
      </c>
      <c r="D21" s="10">
        <v>668.55336952256607</v>
      </c>
      <c r="E21" s="10"/>
      <c r="AF21" t="s">
        <v>22</v>
      </c>
      <c r="AJ21">
        <f>SUM(AL22:AL23)*AK21*AK21</f>
        <v>-2.1080973761580197</v>
      </c>
      <c r="AK21">
        <f>SQRT(1/SUM(AM22:AM23))</f>
        <v>7.7485186429756867E-2</v>
      </c>
    </row>
    <row r="22" spans="1:40" ht="15" thickBot="1" x14ac:dyDescent="0.4">
      <c r="A22" t="s">
        <v>125</v>
      </c>
      <c r="C22" s="10">
        <v>295.71604100000002</v>
      </c>
      <c r="D22" s="10">
        <v>1054.6511436298779</v>
      </c>
      <c r="E22" s="10"/>
      <c r="J22" s="5" t="s">
        <v>23</v>
      </c>
      <c r="K22" s="5"/>
      <c r="AJ22">
        <f>-AG38</f>
        <v>-0.1269879807039134</v>
      </c>
      <c r="AK22">
        <f>AH38</f>
        <v>0.22623818783241834</v>
      </c>
      <c r="AL22">
        <f>AJ22/AK22/AK22</f>
        <v>-2.4810230005706222</v>
      </c>
      <c r="AM22">
        <f>1/AK22/AK22</f>
        <v>19.537463205713959</v>
      </c>
    </row>
    <row r="23" spans="1:40" x14ac:dyDescent="0.35">
      <c r="A23" t="s">
        <v>126</v>
      </c>
      <c r="C23" s="10">
        <v>1134.7605570000001</v>
      </c>
      <c r="D23" s="10">
        <v>454.16563330480011</v>
      </c>
      <c r="E23" s="10"/>
      <c r="J23" s="2" t="s">
        <v>24</v>
      </c>
      <c r="K23" s="2">
        <v>0.89244985921666797</v>
      </c>
      <c r="AF23" s="5" t="s">
        <v>23</v>
      </c>
      <c r="AG23" s="5"/>
      <c r="AJ23">
        <f>AG57</f>
        <v>-2.3713676764672629</v>
      </c>
      <c r="AK23">
        <f>AH57</f>
        <v>8.247315695040465E-2</v>
      </c>
      <c r="AL23">
        <f>AJ23/AK23/AK23</f>
        <v>-348.63714602758807</v>
      </c>
      <c r="AM23">
        <f>1/AK23/AK23</f>
        <v>147.0194392406365</v>
      </c>
    </row>
    <row r="24" spans="1:40" x14ac:dyDescent="0.35">
      <c r="A24" t="s">
        <v>127</v>
      </c>
      <c r="C24" s="10">
        <v>445.03063200000003</v>
      </c>
      <c r="D24" s="10">
        <v>438.40959091568544</v>
      </c>
      <c r="E24" s="10"/>
      <c r="J24" s="2" t="s">
        <v>25</v>
      </c>
      <c r="K24" s="2">
        <v>0.79646675121585053</v>
      </c>
      <c r="AF24" s="2" t="s">
        <v>24</v>
      </c>
      <c r="AG24" s="2">
        <v>0.2702111584535884</v>
      </c>
    </row>
    <row r="25" spans="1:40" x14ac:dyDescent="0.35">
      <c r="A25" t="s">
        <v>128</v>
      </c>
      <c r="C25" s="10">
        <v>1163.627755</v>
      </c>
      <c r="D25" s="10">
        <v>632.9501938226208</v>
      </c>
      <c r="E25" s="10"/>
      <c r="J25" s="2" t="s">
        <v>26</v>
      </c>
      <c r="K25" s="2">
        <v>0.59293350243170106</v>
      </c>
      <c r="AF25" s="2" t="s">
        <v>25</v>
      </c>
      <c r="AG25" s="2">
        <v>7.3014070152830263E-2</v>
      </c>
    </row>
    <row r="26" spans="1:40" x14ac:dyDescent="0.35">
      <c r="A26" t="s">
        <v>129</v>
      </c>
      <c r="C26" s="10">
        <v>119.66550700000001</v>
      </c>
      <c r="D26" s="10">
        <v>169.58741093153526</v>
      </c>
      <c r="E26" s="10"/>
      <c r="J26" s="2" t="s">
        <v>27</v>
      </c>
      <c r="K26" s="2">
        <v>1.2380596594238895</v>
      </c>
      <c r="AF26" s="2" t="s">
        <v>26</v>
      </c>
      <c r="AG26" s="2">
        <v>-0.15873241230896218</v>
      </c>
    </row>
    <row r="27" spans="1:40" ht="15" thickBot="1" x14ac:dyDescent="0.4">
      <c r="A27" t="s">
        <v>130</v>
      </c>
      <c r="C27" s="10">
        <v>500.40195899999998</v>
      </c>
      <c r="D27" s="10">
        <v>399.50179324370919</v>
      </c>
      <c r="E27" s="10"/>
      <c r="J27" s="3" t="s">
        <v>28</v>
      </c>
      <c r="K27" s="3">
        <v>3</v>
      </c>
      <c r="AF27" s="2" t="s">
        <v>27</v>
      </c>
      <c r="AG27" s="2">
        <v>0.58934007171881175</v>
      </c>
    </row>
    <row r="28" spans="1:40" ht="15" thickBot="1" x14ac:dyDescent="0.4">
      <c r="A28" t="s">
        <v>131</v>
      </c>
      <c r="C28" s="10">
        <v>34.007601999999999</v>
      </c>
      <c r="D28" s="10">
        <v>84.774357999431743</v>
      </c>
      <c r="E28" s="10"/>
      <c r="AF28" s="3" t="s">
        <v>28</v>
      </c>
      <c r="AG28" s="3">
        <v>6</v>
      </c>
    </row>
    <row r="29" spans="1:40" ht="15" thickBot="1" x14ac:dyDescent="0.4">
      <c r="C29" s="10"/>
      <c r="D29" s="10"/>
      <c r="E29" s="10"/>
      <c r="J29" t="s">
        <v>29</v>
      </c>
    </row>
    <row r="30" spans="1:40" ht="15" thickBot="1" x14ac:dyDescent="0.4">
      <c r="A30" t="s">
        <v>32</v>
      </c>
      <c r="C30" s="10">
        <f>SUM(C13:C28)</f>
        <v>5252.7522319999998</v>
      </c>
      <c r="D30" s="10">
        <f>SUM(D13:D28)</f>
        <v>30047.662725456605</v>
      </c>
      <c r="E30" s="10"/>
      <c r="J30" s="4"/>
      <c r="K30" s="4" t="s">
        <v>34</v>
      </c>
      <c r="L30" s="4" t="s">
        <v>35</v>
      </c>
      <c r="M30" s="4" t="s">
        <v>36</v>
      </c>
      <c r="N30" s="4" t="s">
        <v>37</v>
      </c>
      <c r="O30" s="4" t="s">
        <v>38</v>
      </c>
      <c r="AF30" t="s">
        <v>29</v>
      </c>
    </row>
    <row r="31" spans="1:40" x14ac:dyDescent="0.35">
      <c r="J31" s="2" t="s">
        <v>30</v>
      </c>
      <c r="K31" s="2">
        <v>1</v>
      </c>
      <c r="L31" s="2">
        <v>5.99812388906963</v>
      </c>
      <c r="M31" s="2">
        <v>5.99812388906963</v>
      </c>
      <c r="N31" s="2">
        <v>3.9132021719975465</v>
      </c>
      <c r="O31" s="2">
        <v>0.29796968913268856</v>
      </c>
      <c r="AF31" s="4"/>
      <c r="AG31" s="4" t="s">
        <v>34</v>
      </c>
      <c r="AH31" s="4" t="s">
        <v>35</v>
      </c>
      <c r="AI31" s="4" t="s">
        <v>36</v>
      </c>
      <c r="AJ31" s="4" t="s">
        <v>37</v>
      </c>
      <c r="AK31" s="4" t="s">
        <v>38</v>
      </c>
    </row>
    <row r="32" spans="1:40" x14ac:dyDescent="0.35">
      <c r="J32" s="2" t="s">
        <v>31</v>
      </c>
      <c r="K32" s="2">
        <v>1</v>
      </c>
      <c r="L32" s="2">
        <v>1.5327917202927972</v>
      </c>
      <c r="M32" s="2">
        <v>1.5327917202927972</v>
      </c>
      <c r="N32" s="2"/>
      <c r="O32" s="2"/>
      <c r="AF32" s="2" t="s">
        <v>30</v>
      </c>
      <c r="AG32" s="2">
        <v>1</v>
      </c>
      <c r="AH32" s="2">
        <v>0.10942721619782292</v>
      </c>
      <c r="AI32" s="2">
        <v>0.10942721619782292</v>
      </c>
      <c r="AJ32" s="2">
        <v>0.31506010092242903</v>
      </c>
      <c r="AK32" s="2">
        <v>0.60454787055932147</v>
      </c>
    </row>
    <row r="33" spans="10:40" ht="15" thickBot="1" x14ac:dyDescent="0.4">
      <c r="J33" s="3" t="s">
        <v>32</v>
      </c>
      <c r="K33" s="3">
        <v>2</v>
      </c>
      <c r="L33" s="3">
        <v>7.5309156093624274</v>
      </c>
      <c r="M33" s="3"/>
      <c r="N33" s="3"/>
      <c r="O33" s="3"/>
      <c r="AF33" s="2" t="s">
        <v>31</v>
      </c>
      <c r="AG33" s="2">
        <v>4</v>
      </c>
      <c r="AH33" s="2">
        <v>1.3892868805341365</v>
      </c>
      <c r="AI33" s="2">
        <v>0.34732172013353413</v>
      </c>
      <c r="AJ33" s="2"/>
      <c r="AK33" s="2"/>
    </row>
    <row r="34" spans="10:40" ht="15" thickBot="1" x14ac:dyDescent="0.4">
      <c r="AF34" s="3" t="s">
        <v>32</v>
      </c>
      <c r="AG34" s="3">
        <v>5</v>
      </c>
      <c r="AH34" s="3">
        <v>1.4987140967319594</v>
      </c>
      <c r="AI34" s="3"/>
      <c r="AJ34" s="3"/>
      <c r="AK34" s="3"/>
    </row>
    <row r="35" spans="10:40" ht="15" thickBot="1" x14ac:dyDescent="0.4">
      <c r="J35" s="4"/>
      <c r="K35" s="4" t="s">
        <v>39</v>
      </c>
      <c r="L35" s="4" t="s">
        <v>27</v>
      </c>
      <c r="M35" s="4" t="s">
        <v>40</v>
      </c>
      <c r="N35" s="4" t="s">
        <v>41</v>
      </c>
      <c r="O35" s="4" t="s">
        <v>42</v>
      </c>
      <c r="P35" s="4" t="s">
        <v>43</v>
      </c>
      <c r="Q35" s="4" t="s">
        <v>44</v>
      </c>
      <c r="R35" s="4" t="s">
        <v>45</v>
      </c>
    </row>
    <row r="36" spans="10:40" x14ac:dyDescent="0.35">
      <c r="J36" s="2" t="s">
        <v>33</v>
      </c>
      <c r="K36" s="2">
        <v>11.980616777693056</v>
      </c>
      <c r="L36" s="2">
        <v>6.1588242305515832</v>
      </c>
      <c r="M36" s="2">
        <v>1.9452766192387463</v>
      </c>
      <c r="N36" s="2">
        <v>0.30229046464183201</v>
      </c>
      <c r="O36" s="2">
        <v>-66.274664829809012</v>
      </c>
      <c r="P36" s="2">
        <v>90.235898385195128</v>
      </c>
      <c r="Q36" s="2">
        <v>-66.274664829809012</v>
      </c>
      <c r="R36" s="2">
        <v>90.235898385195128</v>
      </c>
      <c r="AF36" s="4"/>
      <c r="AG36" s="4" t="s">
        <v>39</v>
      </c>
      <c r="AH36" s="4" t="s">
        <v>27</v>
      </c>
      <c r="AI36" s="4" t="s">
        <v>40</v>
      </c>
      <c r="AJ36" s="4" t="s">
        <v>41</v>
      </c>
      <c r="AK36" s="4" t="s">
        <v>42</v>
      </c>
      <c r="AL36" s="4" t="s">
        <v>43</v>
      </c>
      <c r="AM36" s="4" t="s">
        <v>44</v>
      </c>
      <c r="AN36" s="4" t="s">
        <v>45</v>
      </c>
    </row>
    <row r="37" spans="10:40" ht="15" thickBot="1" x14ac:dyDescent="0.4">
      <c r="J37" s="3" t="s">
        <v>46</v>
      </c>
      <c r="K37" s="3">
        <v>-1.6915802641237114</v>
      </c>
      <c r="L37" s="3">
        <v>0.85511882357334701</v>
      </c>
      <c r="M37" s="3">
        <v>-1.9781815316086511</v>
      </c>
      <c r="N37" s="3">
        <v>0.29796968913268851</v>
      </c>
      <c r="O37" s="3">
        <v>-12.556895110203516</v>
      </c>
      <c r="P37" s="3">
        <v>9.1737345819560936</v>
      </c>
      <c r="Q37" s="3">
        <v>-12.556895110203516</v>
      </c>
      <c r="R37" s="3">
        <v>9.1737345819560936</v>
      </c>
      <c r="AF37" s="2" t="s">
        <v>33</v>
      </c>
      <c r="AG37" s="2">
        <v>-0.52956129896615578</v>
      </c>
      <c r="AH37" s="2">
        <v>2.1631466664432062</v>
      </c>
      <c r="AI37" s="2">
        <v>-0.24481063035679254</v>
      </c>
      <c r="AJ37" s="2">
        <v>0.81864903876445227</v>
      </c>
      <c r="AK37" s="2">
        <v>-6.5354192728373199</v>
      </c>
      <c r="AL37" s="2">
        <v>5.4762966749050079</v>
      </c>
      <c r="AM37" s="2">
        <v>-6.5354192728373199</v>
      </c>
      <c r="AN37" s="2">
        <v>5.4762966749050079</v>
      </c>
    </row>
    <row r="38" spans="10:40" ht="15" thickBot="1" x14ac:dyDescent="0.4">
      <c r="AF38" s="3" t="s">
        <v>46</v>
      </c>
      <c r="AG38" s="3">
        <v>0.1269879807039134</v>
      </c>
      <c r="AH38" s="3">
        <v>0.22623818783241834</v>
      </c>
      <c r="AI38" s="3">
        <v>0.56130214761964659</v>
      </c>
      <c r="AJ38" s="3">
        <v>0.60454787055932213</v>
      </c>
      <c r="AK38" s="3">
        <v>-0.50114992851222351</v>
      </c>
      <c r="AL38" s="3">
        <v>0.75512588992005025</v>
      </c>
      <c r="AM38" s="3">
        <v>-0.50114992851222351</v>
      </c>
      <c r="AN38" s="3">
        <v>0.75512588992005025</v>
      </c>
    </row>
    <row r="41" spans="10:40" ht="15" thickBot="1" x14ac:dyDescent="0.4"/>
    <row r="42" spans="10:40" x14ac:dyDescent="0.35">
      <c r="AF42" s="5" t="s">
        <v>23</v>
      </c>
      <c r="AG42" s="5"/>
    </row>
    <row r="43" spans="10:40" x14ac:dyDescent="0.35">
      <c r="AF43" s="2" t="s">
        <v>24</v>
      </c>
      <c r="AG43" s="2">
        <v>0.99939576804398744</v>
      </c>
    </row>
    <row r="44" spans="10:40" x14ac:dyDescent="0.35">
      <c r="AF44" s="2" t="s">
        <v>25</v>
      </c>
      <c r="AG44" s="2">
        <v>0.99879190118423145</v>
      </c>
    </row>
    <row r="45" spans="10:40" x14ac:dyDescent="0.35">
      <c r="AF45" s="2" t="s">
        <v>26</v>
      </c>
      <c r="AG45" s="2">
        <v>0.99758380236846289</v>
      </c>
    </row>
    <row r="46" spans="10:40" x14ac:dyDescent="0.35">
      <c r="AF46" s="2" t="s">
        <v>27</v>
      </c>
      <c r="AG46" s="2">
        <v>9.5383909698247837E-2</v>
      </c>
    </row>
    <row r="47" spans="10:40" ht="15" thickBot="1" x14ac:dyDescent="0.4">
      <c r="AF47" s="3" t="s">
        <v>28</v>
      </c>
      <c r="AG47" s="3">
        <v>3</v>
      </c>
    </row>
    <row r="49" spans="32:40" ht="15" thickBot="1" x14ac:dyDescent="0.4">
      <c r="AF49" t="s">
        <v>29</v>
      </c>
    </row>
    <row r="50" spans="32:40" x14ac:dyDescent="0.35">
      <c r="AF50" s="4"/>
      <c r="AG50" s="4" t="s">
        <v>34</v>
      </c>
      <c r="AH50" s="4" t="s">
        <v>35</v>
      </c>
      <c r="AI50" s="4" t="s">
        <v>36</v>
      </c>
      <c r="AJ50" s="4" t="s">
        <v>37</v>
      </c>
      <c r="AK50" s="4" t="s">
        <v>38</v>
      </c>
    </row>
    <row r="51" spans="32:40" x14ac:dyDescent="0.35">
      <c r="AF51" s="2" t="s">
        <v>30</v>
      </c>
      <c r="AG51" s="2">
        <v>1</v>
      </c>
      <c r="AH51" s="2">
        <v>7.521817519133104</v>
      </c>
      <c r="AI51" s="2">
        <v>7.521817519133104</v>
      </c>
      <c r="AJ51" s="2">
        <v>826.74685890561898</v>
      </c>
      <c r="AK51" s="2">
        <v>2.2131906976514539E-2</v>
      </c>
    </row>
    <row r="52" spans="32:40" x14ac:dyDescent="0.35">
      <c r="AF52" s="2" t="s">
        <v>31</v>
      </c>
      <c r="AG52" s="2">
        <v>1</v>
      </c>
      <c r="AH52" s="2">
        <v>9.0980902293234973E-3</v>
      </c>
      <c r="AI52" s="2">
        <v>9.0980902293234973E-3</v>
      </c>
      <c r="AJ52" s="2"/>
      <c r="AK52" s="2"/>
    </row>
    <row r="53" spans="32:40" ht="15" thickBot="1" x14ac:dyDescent="0.4">
      <c r="AF53" s="3" t="s">
        <v>32</v>
      </c>
      <c r="AG53" s="3">
        <v>2</v>
      </c>
      <c r="AH53" s="3">
        <v>7.5309156093624274</v>
      </c>
      <c r="AI53" s="3"/>
      <c r="AJ53" s="3"/>
      <c r="AK53" s="3"/>
    </row>
    <row r="54" spans="32:40" ht="15" thickBot="1" x14ac:dyDescent="0.4"/>
    <row r="55" spans="32:40" x14ac:dyDescent="0.35">
      <c r="AF55" s="4"/>
      <c r="AG55" s="4" t="s">
        <v>39</v>
      </c>
      <c r="AH55" s="4" t="s">
        <v>27</v>
      </c>
      <c r="AI55" s="4" t="s">
        <v>40</v>
      </c>
      <c r="AJ55" s="4" t="s">
        <v>41</v>
      </c>
      <c r="AK55" s="4" t="s">
        <v>42</v>
      </c>
      <c r="AL55" s="4" t="s">
        <v>43</v>
      </c>
      <c r="AM55" s="4" t="s">
        <v>44</v>
      </c>
      <c r="AN55" s="4" t="s">
        <v>45</v>
      </c>
    </row>
    <row r="56" spans="32:40" x14ac:dyDescent="0.35">
      <c r="AF56" s="2" t="s">
        <v>33</v>
      </c>
      <c r="AG56" s="2">
        <v>18.215212813785463</v>
      </c>
      <c r="AH56" s="2">
        <v>0.64006013809901707</v>
      </c>
      <c r="AI56" s="2">
        <v>28.458595887387656</v>
      </c>
      <c r="AJ56" s="2">
        <v>2.2360834327301644E-2</v>
      </c>
      <c r="AK56" s="2">
        <v>10.082477655635095</v>
      </c>
      <c r="AL56" s="2">
        <v>26.347947971935831</v>
      </c>
      <c r="AM56" s="2">
        <v>10.082477655635095</v>
      </c>
      <c r="AN56" s="2">
        <v>26.347947971935831</v>
      </c>
    </row>
    <row r="57" spans="32:40" ht="15" thickBot="1" x14ac:dyDescent="0.4">
      <c r="AF57" s="3" t="s">
        <v>46</v>
      </c>
      <c r="AG57" s="3">
        <v>-2.3713676764672629</v>
      </c>
      <c r="AH57" s="3">
        <v>8.247315695040465E-2</v>
      </c>
      <c r="AI57" s="3">
        <v>-28.753206063074416</v>
      </c>
      <c r="AJ57" s="3">
        <v>2.2131906976514532E-2</v>
      </c>
      <c r="AK57" s="3">
        <v>-3.4192884939177741</v>
      </c>
      <c r="AL57" s="3">
        <v>-1.3234468590167514</v>
      </c>
      <c r="AM57" s="3">
        <v>-3.4192884939177741</v>
      </c>
      <c r="AN57" s="3">
        <v>-1.3234468590167514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S38"/>
  <sheetViews>
    <sheetView topLeftCell="O1" workbookViewId="0">
      <selection activeCell="Z2" sqref="Z2"/>
    </sheetView>
  </sheetViews>
  <sheetFormatPr defaultRowHeight="14.5" x14ac:dyDescent="0.35"/>
  <cols>
    <col min="3" max="3" width="17.453125" customWidth="1"/>
    <col min="4" max="4" width="16.7265625" customWidth="1"/>
    <col min="7" max="7" width="10.453125" customWidth="1"/>
    <col min="8" max="8" width="23.7265625" customWidth="1"/>
    <col min="9" max="10" width="17.453125" customWidth="1"/>
    <col min="27" max="27" width="12" bestFit="1" customWidth="1"/>
    <col min="28" max="28" width="10" bestFit="1" customWidth="1"/>
    <col min="31" max="31" width="11" bestFit="1" customWidth="1"/>
  </cols>
  <sheetData>
    <row r="1" spans="1:45" x14ac:dyDescent="0.35">
      <c r="B1" t="s">
        <v>96</v>
      </c>
      <c r="C1" t="s">
        <v>98</v>
      </c>
      <c r="D1" t="s">
        <v>96</v>
      </c>
      <c r="F1" t="s">
        <v>96</v>
      </c>
      <c r="G1" t="s">
        <v>107</v>
      </c>
      <c r="H1" t="s">
        <v>101</v>
      </c>
      <c r="I1" t="s">
        <v>98</v>
      </c>
      <c r="J1" t="s">
        <v>96</v>
      </c>
      <c r="O1" t="s">
        <v>22</v>
      </c>
      <c r="AA1" t="s">
        <v>98</v>
      </c>
      <c r="AB1" t="s">
        <v>323</v>
      </c>
      <c r="AD1" t="s">
        <v>618</v>
      </c>
      <c r="AK1" t="s">
        <v>22</v>
      </c>
    </row>
    <row r="2" spans="1:45" ht="15" thickBot="1" x14ac:dyDescent="0.4">
      <c r="A2" t="s">
        <v>106</v>
      </c>
      <c r="C2">
        <v>1990</v>
      </c>
      <c r="D2">
        <v>1990</v>
      </c>
      <c r="G2">
        <v>2100</v>
      </c>
      <c r="H2">
        <v>2100</v>
      </c>
      <c r="I2">
        <v>2100</v>
      </c>
      <c r="J2">
        <v>2100</v>
      </c>
      <c r="Y2" t="s">
        <v>89</v>
      </c>
      <c r="Z2">
        <f t="shared" ref="Z2:Z7" si="0">100*B4</f>
        <v>1.1020000000000001</v>
      </c>
      <c r="AA2">
        <f>SUMPRODUCT(regions!$C3:$C190,regions!CQ3:CQ190)</f>
        <v>13595644353592.4</v>
      </c>
      <c r="AB2">
        <f>SUMPRODUCT(regions!$B3:$B190,regions!CQ3:CQ190)</f>
        <v>309326225</v>
      </c>
      <c r="AC2" s="10">
        <f>AA2/AB2</f>
        <v>43952.446494287382</v>
      </c>
      <c r="AD2" s="1">
        <f>AE2/AB2</f>
        <v>8.5</v>
      </c>
      <c r="AE2">
        <f>SUMPRODUCT(regions!$X3:$X190,regions!CQ3:CQ190,regions!$B3:$B190)</f>
        <v>2629272912.5</v>
      </c>
      <c r="AG2">
        <f>LN(Z2)</f>
        <v>9.7126710730722821E-2</v>
      </c>
      <c r="AH2">
        <f>LN(AC2)</f>
        <v>10.690863566963092</v>
      </c>
      <c r="AI2" s="1">
        <f>AD2</f>
        <v>8.5</v>
      </c>
    </row>
    <row r="3" spans="1:45" x14ac:dyDescent="0.35">
      <c r="B3" t="s">
        <v>100</v>
      </c>
      <c r="C3" t="s">
        <v>102</v>
      </c>
      <c r="D3" t="s">
        <v>102</v>
      </c>
      <c r="F3" t="s">
        <v>100</v>
      </c>
      <c r="G3" t="s">
        <v>103</v>
      </c>
      <c r="H3" t="s">
        <v>105</v>
      </c>
      <c r="I3" t="s">
        <v>104</v>
      </c>
      <c r="J3" t="s">
        <v>104</v>
      </c>
      <c r="O3" s="5" t="s">
        <v>23</v>
      </c>
      <c r="P3" s="5"/>
      <c r="Y3" t="s">
        <v>90</v>
      </c>
      <c r="Z3">
        <f t="shared" si="0"/>
        <v>1.1739999999999999</v>
      </c>
      <c r="AA3">
        <f>SUMPRODUCT(regions!$C3:$C190,regions!CR3:CR190)</f>
        <v>4648468621132.7568</v>
      </c>
      <c r="AB3">
        <f>SUMPRODUCT(regions!$B3:$B190,regions!CR3:CR190)</f>
        <v>127450459</v>
      </c>
      <c r="AC3" s="10">
        <f t="shared" ref="AC3:AC7" si="1">AA3/AB3</f>
        <v>36472.749157637452</v>
      </c>
      <c r="AD3" s="1">
        <f t="shared" ref="AD3:AD7" si="2">AE3/AB3</f>
        <v>11.1</v>
      </c>
      <c r="AE3">
        <f>SUMPRODUCT(regions!$X3:$X190,regions!CR3:CR190,regions!$B3:$B190)</f>
        <v>1414700094.8999999</v>
      </c>
      <c r="AG3">
        <f t="shared" ref="AG3:AG7" si="3">LN(Z3)</f>
        <v>0.16041672140590466</v>
      </c>
      <c r="AH3">
        <f t="shared" ref="AH3:AH7" si="4">LN(AC3)</f>
        <v>10.504320662306291</v>
      </c>
      <c r="AI3" s="1">
        <f t="shared" ref="AI3:AI7" si="5">AD3</f>
        <v>11.1</v>
      </c>
      <c r="AK3" s="5" t="s">
        <v>23</v>
      </c>
      <c r="AL3" s="5"/>
    </row>
    <row r="4" spans="1:45" x14ac:dyDescent="0.35">
      <c r="A4" t="s">
        <v>89</v>
      </c>
      <c r="B4">
        <v>1.102E-2</v>
      </c>
      <c r="C4" s="10">
        <v>5464796</v>
      </c>
      <c r="D4" s="10">
        <f>B4*C4</f>
        <v>60222.051919999998</v>
      </c>
      <c r="F4">
        <f>B4</f>
        <v>1.102E-2</v>
      </c>
      <c r="G4">
        <v>0.29399999999999998</v>
      </c>
      <c r="H4" s="1">
        <v>68.8</v>
      </c>
      <c r="I4" s="9">
        <f>G4*H4</f>
        <v>20.227199999999996</v>
      </c>
      <c r="J4" s="9">
        <f t="shared" ref="J4:J9" si="6">I4*F4</f>
        <v>0.22290374399999996</v>
      </c>
      <c r="L4">
        <f>LN(B4)</f>
        <v>-4.5080434752573684</v>
      </c>
      <c r="M4" s="1">
        <f>LN(H4*1000)</f>
        <v>11.138959023921435</v>
      </c>
      <c r="O4" s="2" t="s">
        <v>24</v>
      </c>
      <c r="P4" s="2">
        <v>0.38544560445814846</v>
      </c>
      <c r="Y4" t="s">
        <v>91</v>
      </c>
      <c r="Z4">
        <f t="shared" si="0"/>
        <v>1.5230000000000001</v>
      </c>
      <c r="AA4">
        <f>SUMPRODUCT(regions!$C3:$C190,regions!CS3:CS190)</f>
        <v>3839284159376.0742</v>
      </c>
      <c r="AB4">
        <f>SUMPRODUCT(regions!$B3:$B190,regions!CS3:CS190)</f>
        <v>1337705000</v>
      </c>
      <c r="AC4" s="10">
        <f t="shared" si="1"/>
        <v>2870.0529334764196</v>
      </c>
      <c r="AD4" s="1">
        <f t="shared" si="2"/>
        <v>6.9</v>
      </c>
      <c r="AE4">
        <f>SUMPRODUCT(regions!$X3:$X190,regions!CS3:CS190,regions!$B3:$B190)</f>
        <v>9230164500</v>
      </c>
      <c r="AG4">
        <f t="shared" si="3"/>
        <v>0.42068207391302487</v>
      </c>
      <c r="AH4">
        <f t="shared" si="4"/>
        <v>7.9620857523035902</v>
      </c>
      <c r="AI4" s="1">
        <f t="shared" si="5"/>
        <v>6.9</v>
      </c>
      <c r="AK4" s="2" t="s">
        <v>24</v>
      </c>
      <c r="AL4" s="2">
        <v>0.92909624207237318</v>
      </c>
    </row>
    <row r="5" spans="1:45" x14ac:dyDescent="0.35">
      <c r="A5" t="s">
        <v>90</v>
      </c>
      <c r="B5">
        <v>1.174E-2</v>
      </c>
      <c r="C5" s="10">
        <v>2932055</v>
      </c>
      <c r="D5" s="10">
        <f t="shared" ref="D5:D9" si="7">B5*C5</f>
        <v>34422.325700000001</v>
      </c>
      <c r="F5">
        <f t="shared" ref="F5:F9" si="8">B5</f>
        <v>1.174E-2</v>
      </c>
      <c r="G5">
        <v>0.125</v>
      </c>
      <c r="H5" s="1">
        <v>89.1</v>
      </c>
      <c r="I5" s="9">
        <f t="shared" ref="I5:I9" si="9">G5*H5</f>
        <v>11.137499999999999</v>
      </c>
      <c r="J5" s="9">
        <f t="shared" si="6"/>
        <v>0.13075424999999999</v>
      </c>
      <c r="L5">
        <f t="shared" ref="L5:L9" si="10">LN(B5)</f>
        <v>-4.4447534645821865</v>
      </c>
      <c r="M5" s="1">
        <f t="shared" ref="M5:M9" si="11">LN(H5*1000)</f>
        <v>11.397514613458901</v>
      </c>
      <c r="O5" s="2" t="s">
        <v>25</v>
      </c>
      <c r="P5" s="2">
        <v>0.14856831399610745</v>
      </c>
      <c r="Y5" t="s">
        <v>92</v>
      </c>
      <c r="Z5">
        <f t="shared" si="0"/>
        <v>1.1739999999999999</v>
      </c>
      <c r="AA5">
        <f>SUMPRODUCT(regions!$C3:$C190,regions!CT3:CT190)</f>
        <v>13415668920336.207</v>
      </c>
      <c r="AB5">
        <f>SUMPRODUCT(regions!$B3:$B190,regions!CT3:CT190)</f>
        <v>398749767</v>
      </c>
      <c r="AC5" s="10">
        <f t="shared" si="1"/>
        <v>33644.330431260685</v>
      </c>
      <c r="AD5" s="1">
        <f t="shared" si="2"/>
        <v>10.258501886723359</v>
      </c>
      <c r="AE5">
        <f>SUMPRODUCT(regions!$X3:$X190,regions!CT3:CT190,regions!$B3:$B190)</f>
        <v>4090575237.0999999</v>
      </c>
      <c r="AG5">
        <f t="shared" si="3"/>
        <v>0.16041672140590466</v>
      </c>
      <c r="AH5">
        <f t="shared" si="4"/>
        <v>10.423599834436448</v>
      </c>
      <c r="AI5" s="1">
        <f t="shared" si="5"/>
        <v>10.258501886723359</v>
      </c>
      <c r="AK5" s="2" t="s">
        <v>25</v>
      </c>
      <c r="AL5" s="2">
        <v>0.86321982703300593</v>
      </c>
    </row>
    <row r="6" spans="1:45" x14ac:dyDescent="0.35">
      <c r="A6" t="s">
        <v>91</v>
      </c>
      <c r="B6">
        <v>1.523E-2</v>
      </c>
      <c r="C6" s="10">
        <v>370024</v>
      </c>
      <c r="D6" s="10">
        <f t="shared" si="7"/>
        <v>5635.4655199999997</v>
      </c>
      <c r="F6">
        <f t="shared" si="8"/>
        <v>1.523E-2</v>
      </c>
      <c r="G6">
        <v>1.6559999999999999</v>
      </c>
      <c r="H6" s="1">
        <v>9.9</v>
      </c>
      <c r="I6" s="9">
        <f t="shared" si="9"/>
        <v>16.394400000000001</v>
      </c>
      <c r="J6" s="9">
        <f t="shared" si="6"/>
        <v>0.24968671200000003</v>
      </c>
      <c r="L6">
        <f t="shared" si="10"/>
        <v>-4.1844881120750665</v>
      </c>
      <c r="M6" s="1">
        <f t="shared" si="11"/>
        <v>9.2002900361226807</v>
      </c>
      <c r="O6" s="2" t="s">
        <v>26</v>
      </c>
      <c r="P6" s="2">
        <v>-6.4289607504865676E-2</v>
      </c>
      <c r="Y6" t="s">
        <v>93</v>
      </c>
      <c r="Z6">
        <f t="shared" si="0"/>
        <v>0.85699999999999998</v>
      </c>
      <c r="AA6">
        <f>SUMPRODUCT(regions!$C3:$C190,regions!CU3:CU190)</f>
        <v>1263738819385.8857</v>
      </c>
      <c r="AB6">
        <f>SUMPRODUCT(regions!$B3:$B190,regions!CU3:CU190)</f>
        <v>287651287</v>
      </c>
      <c r="AC6" s="10">
        <f t="shared" si="1"/>
        <v>4393.3014608270669</v>
      </c>
      <c r="AD6" s="1">
        <f t="shared" si="2"/>
        <v>1.7083495558982151</v>
      </c>
      <c r="AE6">
        <f>SUMPRODUCT(regions!$X3:$X190,regions!CU3:CU190,regions!$B3:$B190)</f>
        <v>491408948.40000004</v>
      </c>
      <c r="AG6">
        <f t="shared" si="3"/>
        <v>-0.15431736038435728</v>
      </c>
      <c r="AH6">
        <f t="shared" si="4"/>
        <v>8.3878362646186133</v>
      </c>
      <c r="AI6" s="1">
        <f t="shared" si="5"/>
        <v>1.7083495558982151</v>
      </c>
      <c r="AK6" s="2" t="s">
        <v>26</v>
      </c>
      <c r="AL6" s="2">
        <v>0.77203304505500991</v>
      </c>
    </row>
    <row r="7" spans="1:45" x14ac:dyDescent="0.35">
      <c r="A7" t="s">
        <v>92</v>
      </c>
      <c r="B7">
        <v>1.174E-2</v>
      </c>
      <c r="C7" s="10">
        <v>6828042</v>
      </c>
      <c r="D7" s="10">
        <f t="shared" si="7"/>
        <v>80161.213080000001</v>
      </c>
      <c r="F7">
        <f t="shared" si="8"/>
        <v>1.174E-2</v>
      </c>
      <c r="G7">
        <v>0.42699999999999999</v>
      </c>
      <c r="H7" s="1">
        <v>63</v>
      </c>
      <c r="I7" s="9">
        <f t="shared" si="9"/>
        <v>26.901</v>
      </c>
      <c r="J7" s="9">
        <f t="shared" si="6"/>
        <v>0.31581774000000001</v>
      </c>
      <c r="L7">
        <f t="shared" si="10"/>
        <v>-4.4447534645821865</v>
      </c>
      <c r="M7" s="1">
        <f t="shared" si="11"/>
        <v>11.05089000537367</v>
      </c>
      <c r="O7" s="2" t="s">
        <v>27</v>
      </c>
      <c r="P7" s="2">
        <v>0.31621660293881537</v>
      </c>
      <c r="Y7" t="s">
        <v>94</v>
      </c>
      <c r="Z7">
        <f t="shared" si="0"/>
        <v>2.093</v>
      </c>
      <c r="AA7">
        <f>SUMPRODUCT(regions!$C3:$C190,regions!CV3:CV190)</f>
        <v>14650437724404.604</v>
      </c>
      <c r="AB7">
        <f>SUMPRODUCT(regions!$B3:$B190,regions!CV3:CV190)</f>
        <v>4279129332</v>
      </c>
      <c r="AC7" s="10">
        <f t="shared" si="1"/>
        <v>3423.6959408649636</v>
      </c>
      <c r="AD7" s="1">
        <f t="shared" si="2"/>
        <v>22.272475172175987</v>
      </c>
      <c r="AE7">
        <f>SUMPRODUCT(regions!$X3:$X190,regions!CV3:CV190,regions!$B3:$B190)</f>
        <v>95306801805.500015</v>
      </c>
      <c r="AG7">
        <f t="shared" si="3"/>
        <v>0.73859844346386272</v>
      </c>
      <c r="AH7">
        <f t="shared" si="4"/>
        <v>8.1384759310009986</v>
      </c>
      <c r="AI7" s="1">
        <f t="shared" si="5"/>
        <v>22.272475172175987</v>
      </c>
      <c r="AK7" s="2" t="s">
        <v>27</v>
      </c>
      <c r="AL7" s="2">
        <v>0.14634931944280252</v>
      </c>
    </row>
    <row r="8" spans="1:45" ht="15" thickBot="1" x14ac:dyDescent="0.4">
      <c r="A8" t="s">
        <v>93</v>
      </c>
      <c r="B8">
        <v>8.5699999999999995E-3</v>
      </c>
      <c r="C8" s="10">
        <v>855207</v>
      </c>
      <c r="D8" s="10">
        <f t="shared" si="7"/>
        <v>7329.1239899999991</v>
      </c>
      <c r="F8">
        <f t="shared" si="8"/>
        <v>8.5699999999999995E-3</v>
      </c>
      <c r="G8">
        <v>0.36599999999999999</v>
      </c>
      <c r="H8" s="1">
        <v>18.899999999999999</v>
      </c>
      <c r="I8" s="9">
        <f t="shared" si="9"/>
        <v>6.9173999999999998</v>
      </c>
      <c r="J8" s="9">
        <f t="shared" si="6"/>
        <v>5.9282117999999995E-2</v>
      </c>
      <c r="L8">
        <f t="shared" si="10"/>
        <v>-4.7594875463724486</v>
      </c>
      <c r="M8" s="1">
        <f t="shared" si="11"/>
        <v>9.8469172010477344</v>
      </c>
      <c r="O8" s="3" t="s">
        <v>28</v>
      </c>
      <c r="P8" s="3">
        <v>6</v>
      </c>
      <c r="AK8" s="3" t="s">
        <v>28</v>
      </c>
      <c r="AL8" s="3">
        <v>6</v>
      </c>
    </row>
    <row r="9" spans="1:45" x14ac:dyDescent="0.35">
      <c r="A9" t="s">
        <v>94</v>
      </c>
      <c r="B9">
        <v>2.0930000000000001E-2</v>
      </c>
      <c r="C9" s="10">
        <v>4628621</v>
      </c>
      <c r="D9" s="10">
        <f t="shared" si="7"/>
        <v>96877.037530000001</v>
      </c>
      <c r="F9">
        <f t="shared" si="8"/>
        <v>2.0930000000000001E-2</v>
      </c>
      <c r="G9">
        <v>6.7380000000000004</v>
      </c>
      <c r="H9" s="1">
        <v>18.100000000000001</v>
      </c>
      <c r="I9" s="9">
        <f t="shared" si="9"/>
        <v>121.95780000000002</v>
      </c>
      <c r="J9" s="9">
        <f t="shared" si="6"/>
        <v>2.5525767540000004</v>
      </c>
      <c r="L9">
        <f t="shared" si="10"/>
        <v>-3.8665717425242287</v>
      </c>
      <c r="M9" s="1">
        <f t="shared" si="11"/>
        <v>9.803667217253917</v>
      </c>
      <c r="Z9" s="21">
        <f>SUMPRODUCT(Z2:Z7,AA2:AA7)/AA9</f>
        <v>1.4351033687575427</v>
      </c>
      <c r="AA9">
        <f>SUM(AA2:AA7)</f>
        <v>51413242598227.922</v>
      </c>
    </row>
    <row r="10" spans="1:45" ht="15" thickBot="1" x14ac:dyDescent="0.4">
      <c r="C10" s="8"/>
      <c r="I10" s="9"/>
      <c r="J10" s="9"/>
      <c r="O10" t="s">
        <v>29</v>
      </c>
      <c r="AK10" t="s">
        <v>29</v>
      </c>
    </row>
    <row r="11" spans="1:45" x14ac:dyDescent="0.35">
      <c r="A11" t="s">
        <v>32</v>
      </c>
      <c r="B11" s="11">
        <f>D11/C11</f>
        <v>1.350399265895574E-2</v>
      </c>
      <c r="C11" s="8">
        <f>SUM(C4:C9)</f>
        <v>21078745</v>
      </c>
      <c r="D11" s="8">
        <f>SUM(D4:D9)</f>
        <v>284647.21773999999</v>
      </c>
      <c r="F11" s="20">
        <f>J11/I11</f>
        <v>1.7348446770658457E-2</v>
      </c>
      <c r="I11" s="9">
        <f>SUM(I4:I9)</f>
        <v>203.53530000000001</v>
      </c>
      <c r="J11" s="9">
        <f>SUM(J4:J9)</f>
        <v>3.5310213180000005</v>
      </c>
      <c r="O11" s="4"/>
      <c r="P11" s="4" t="s">
        <v>34</v>
      </c>
      <c r="Q11" s="4" t="s">
        <v>35</v>
      </c>
      <c r="R11" s="4" t="s">
        <v>36</v>
      </c>
      <c r="S11" s="4" t="s">
        <v>37</v>
      </c>
      <c r="T11" s="4" t="s">
        <v>38</v>
      </c>
      <c r="AK11" s="4"/>
      <c r="AL11" s="4" t="s">
        <v>34</v>
      </c>
      <c r="AM11" s="4" t="s">
        <v>35</v>
      </c>
      <c r="AN11" s="4" t="s">
        <v>36</v>
      </c>
      <c r="AO11" s="4" t="s">
        <v>37</v>
      </c>
      <c r="AP11" s="4" t="s">
        <v>38</v>
      </c>
    </row>
    <row r="12" spans="1:45" x14ac:dyDescent="0.35">
      <c r="C12" s="8"/>
      <c r="O12" s="2" t="s">
        <v>30</v>
      </c>
      <c r="P12" s="2">
        <v>1</v>
      </c>
      <c r="Q12" s="2">
        <v>6.9792011491607409E-2</v>
      </c>
      <c r="R12" s="2">
        <v>6.9792011491607409E-2</v>
      </c>
      <c r="S12" s="2">
        <v>0.69796939173545502</v>
      </c>
      <c r="T12" s="2">
        <v>0.45046409510855601</v>
      </c>
      <c r="AK12" s="2" t="s">
        <v>30</v>
      </c>
      <c r="AL12" s="2">
        <v>2</v>
      </c>
      <c r="AM12" s="2">
        <v>0.40550940148415093</v>
      </c>
      <c r="AN12" s="2">
        <v>0.20275470074207547</v>
      </c>
      <c r="AO12" s="2">
        <v>9.4665017046144548</v>
      </c>
      <c r="AP12" s="2">
        <v>5.0586510551357169E-2</v>
      </c>
    </row>
    <row r="13" spans="1:45" x14ac:dyDescent="0.35">
      <c r="A13" t="s">
        <v>97</v>
      </c>
      <c r="B13" t="s">
        <v>66</v>
      </c>
      <c r="C13" s="8" t="s">
        <v>99</v>
      </c>
      <c r="O13" s="2" t="s">
        <v>31</v>
      </c>
      <c r="P13" s="2">
        <v>4</v>
      </c>
      <c r="Q13" s="2">
        <v>0.39997175989665767</v>
      </c>
      <c r="R13" s="2">
        <v>9.9992939974164419E-2</v>
      </c>
      <c r="S13" s="2"/>
      <c r="T13" s="2"/>
      <c r="AK13" s="2" t="s">
        <v>31</v>
      </c>
      <c r="AL13" s="2">
        <v>3</v>
      </c>
      <c r="AM13" s="2">
        <v>6.4254369904114372E-2</v>
      </c>
      <c r="AN13" s="2">
        <v>2.1418123301371456E-2</v>
      </c>
      <c r="AO13" s="2"/>
      <c r="AP13" s="2"/>
    </row>
    <row r="14" spans="1:45" ht="15" thickBot="1" x14ac:dyDescent="0.4">
      <c r="O14" s="3" t="s">
        <v>32</v>
      </c>
      <c r="P14" s="3">
        <v>5</v>
      </c>
      <c r="Q14" s="3">
        <v>0.46976377138826508</v>
      </c>
      <c r="R14" s="3"/>
      <c r="S14" s="3"/>
      <c r="T14" s="3"/>
      <c r="AK14" s="3" t="s">
        <v>32</v>
      </c>
      <c r="AL14" s="3">
        <v>5</v>
      </c>
      <c r="AM14" s="3">
        <v>0.46976377138826531</v>
      </c>
      <c r="AN14" s="3"/>
      <c r="AO14" s="3"/>
      <c r="AP14" s="3"/>
    </row>
    <row r="15" spans="1:45" ht="15" thickBot="1" x14ac:dyDescent="0.4"/>
    <row r="16" spans="1:45" x14ac:dyDescent="0.35">
      <c r="O16" s="4"/>
      <c r="P16" s="4" t="s">
        <v>39</v>
      </c>
      <c r="Q16" s="4" t="s">
        <v>27</v>
      </c>
      <c r="R16" s="4" t="s">
        <v>40</v>
      </c>
      <c r="S16" s="4" t="s">
        <v>41</v>
      </c>
      <c r="T16" s="4" t="s">
        <v>42</v>
      </c>
      <c r="U16" s="4" t="s">
        <v>43</v>
      </c>
      <c r="V16" s="4" t="s">
        <v>44</v>
      </c>
      <c r="W16" s="4" t="s">
        <v>45</v>
      </c>
      <c r="AK16" s="4"/>
      <c r="AL16" s="4" t="s">
        <v>39</v>
      </c>
      <c r="AM16" s="4" t="s">
        <v>27</v>
      </c>
      <c r="AN16" s="4" t="s">
        <v>40</v>
      </c>
      <c r="AO16" s="4" t="s">
        <v>41</v>
      </c>
      <c r="AP16" s="4" t="s">
        <v>42</v>
      </c>
      <c r="AQ16" s="4" t="s">
        <v>43</v>
      </c>
      <c r="AR16" s="4" t="s">
        <v>44</v>
      </c>
      <c r="AS16" s="4" t="s">
        <v>45</v>
      </c>
    </row>
    <row r="17" spans="15:45" x14ac:dyDescent="0.35">
      <c r="O17" s="2" t="s">
        <v>33</v>
      </c>
      <c r="P17" s="2">
        <v>-3.0045183561712827</v>
      </c>
      <c r="Q17" s="2">
        <v>1.6371583661825297</v>
      </c>
      <c r="R17" s="2">
        <v>-1.8352032510923892</v>
      </c>
      <c r="S17" s="2">
        <v>0.1403773562102095</v>
      </c>
      <c r="T17" s="2">
        <v>-7.5499986883923844</v>
      </c>
      <c r="U17" s="2">
        <v>1.540961976049819</v>
      </c>
      <c r="V17" s="2">
        <v>-7.5499986883923844</v>
      </c>
      <c r="W17" s="2">
        <v>1.540961976049819</v>
      </c>
      <c r="AK17" s="2" t="s">
        <v>33</v>
      </c>
      <c r="AL17" s="2">
        <v>0.65230835381383057</v>
      </c>
      <c r="AM17" s="2">
        <v>0.48664735269498782</v>
      </c>
      <c r="AN17" s="2">
        <v>1.3404128270737206</v>
      </c>
      <c r="AO17" s="2">
        <v>0.27258125248721998</v>
      </c>
      <c r="AP17" s="2">
        <v>-0.89642071574643145</v>
      </c>
      <c r="AQ17" s="2">
        <v>2.2010374233740926</v>
      </c>
      <c r="AR17" s="2">
        <v>-0.89642071574643145</v>
      </c>
      <c r="AS17" s="2">
        <v>2.2010374233740926</v>
      </c>
    </row>
    <row r="18" spans="15:45" ht="15" thickBot="1" x14ac:dyDescent="0.4">
      <c r="O18" s="3" t="s">
        <v>46</v>
      </c>
      <c r="P18" s="3">
        <v>-0.13102528062423816</v>
      </c>
      <c r="Q18" s="3">
        <v>0.15683280486410747</v>
      </c>
      <c r="R18" s="3">
        <v>-0.83544562464319228</v>
      </c>
      <c r="S18" s="3">
        <v>0.45046409510855678</v>
      </c>
      <c r="T18" s="3">
        <v>-0.56646295402363001</v>
      </c>
      <c r="U18" s="3">
        <v>0.30441239277515375</v>
      </c>
      <c r="V18" s="3">
        <v>-0.56646295402363001</v>
      </c>
      <c r="W18" s="3">
        <v>0.30441239277515375</v>
      </c>
      <c r="AK18" s="2" t="s">
        <v>46</v>
      </c>
      <c r="AL18" s="2">
        <v>-8.4897313624246407E-2</v>
      </c>
      <c r="AM18" s="2">
        <v>4.9846412790707686E-2</v>
      </c>
      <c r="AN18" s="2">
        <v>-1.7031779996026688</v>
      </c>
      <c r="AO18" s="2">
        <v>0.18708569254176544</v>
      </c>
      <c r="AP18" s="2">
        <v>-0.24353084584168069</v>
      </c>
      <c r="AQ18" s="2">
        <v>7.373621859318788E-2</v>
      </c>
      <c r="AR18" s="2">
        <v>-0.24353084584168069</v>
      </c>
      <c r="AS18" s="2">
        <v>7.373621859318788E-2</v>
      </c>
    </row>
    <row r="19" spans="15:45" ht="15" thickBot="1" x14ac:dyDescent="0.4">
      <c r="AK19" s="3" t="s">
        <v>47</v>
      </c>
      <c r="AL19" s="3">
        <v>3.7436748080216901E-2</v>
      </c>
      <c r="AM19" s="3">
        <v>9.6745334473242704E-3</v>
      </c>
      <c r="AN19" s="3">
        <v>3.869617928766472</v>
      </c>
      <c r="AO19" s="3">
        <v>3.0535111741645991E-2</v>
      </c>
      <c r="AP19" s="3">
        <v>6.648064855436113E-3</v>
      </c>
      <c r="AQ19" s="3">
        <v>6.8225431304997697E-2</v>
      </c>
      <c r="AR19" s="3">
        <v>6.648064855436113E-3</v>
      </c>
      <c r="AS19" s="3">
        <v>6.8225431304997697E-2</v>
      </c>
    </row>
    <row r="21" spans="15:45" x14ac:dyDescent="0.35">
      <c r="AK21" t="s">
        <v>22</v>
      </c>
    </row>
    <row r="22" spans="15:45" ht="15" thickBot="1" x14ac:dyDescent="0.4"/>
    <row r="23" spans="15:45" x14ac:dyDescent="0.35">
      <c r="AK23" s="5" t="s">
        <v>23</v>
      </c>
      <c r="AL23" s="5"/>
    </row>
    <row r="24" spans="15:45" x14ac:dyDescent="0.35">
      <c r="AK24" s="2" t="s">
        <v>24</v>
      </c>
      <c r="AL24" s="2">
        <v>0.42486114564561228</v>
      </c>
    </row>
    <row r="25" spans="15:45" x14ac:dyDescent="0.35">
      <c r="AK25" s="2" t="s">
        <v>25</v>
      </c>
      <c r="AL25" s="2">
        <v>0.18050699307930218</v>
      </c>
    </row>
    <row r="26" spans="15:45" x14ac:dyDescent="0.35">
      <c r="AK26" s="2" t="s">
        <v>26</v>
      </c>
      <c r="AL26" s="2">
        <v>-2.4366258650872274E-2</v>
      </c>
    </row>
    <row r="27" spans="15:45" x14ac:dyDescent="0.35">
      <c r="AK27" s="2" t="s">
        <v>27</v>
      </c>
      <c r="AL27" s="2">
        <v>0.31022899830503303</v>
      </c>
    </row>
    <row r="28" spans="15:45" ht="15" thickBot="1" x14ac:dyDescent="0.4">
      <c r="AK28" s="3" t="s">
        <v>28</v>
      </c>
      <c r="AL28" s="3">
        <v>6</v>
      </c>
    </row>
    <row r="30" spans="15:45" ht="15" thickBot="1" x14ac:dyDescent="0.4">
      <c r="AK30" t="s">
        <v>29</v>
      </c>
    </row>
    <row r="31" spans="15:45" x14ac:dyDescent="0.35">
      <c r="AK31" s="4"/>
      <c r="AL31" s="4" t="s">
        <v>34</v>
      </c>
      <c r="AM31" s="4" t="s">
        <v>35</v>
      </c>
      <c r="AN31" s="4" t="s">
        <v>36</v>
      </c>
      <c r="AO31" s="4" t="s">
        <v>37</v>
      </c>
      <c r="AP31" s="4" t="s">
        <v>38</v>
      </c>
    </row>
    <row r="32" spans="15:45" x14ac:dyDescent="0.35">
      <c r="AK32" s="2" t="s">
        <v>30</v>
      </c>
      <c r="AL32" s="2">
        <v>1</v>
      </c>
      <c r="AM32" s="2">
        <v>8.47956458308885E-2</v>
      </c>
      <c r="AN32" s="2">
        <v>8.47956458308885E-2</v>
      </c>
      <c r="AO32" s="2">
        <v>0.88106666709735482</v>
      </c>
      <c r="AP32" s="2">
        <v>0.40105348546994013</v>
      </c>
    </row>
    <row r="33" spans="37:45" x14ac:dyDescent="0.35">
      <c r="AK33" s="2" t="s">
        <v>31</v>
      </c>
      <c r="AL33" s="2">
        <v>4</v>
      </c>
      <c r="AM33" s="2">
        <v>0.38496812555737681</v>
      </c>
      <c r="AN33" s="2">
        <v>9.6242031389344201E-2</v>
      </c>
      <c r="AO33" s="2"/>
      <c r="AP33" s="2"/>
    </row>
    <row r="34" spans="37:45" ht="15" thickBot="1" x14ac:dyDescent="0.4">
      <c r="AK34" s="3" t="s">
        <v>32</v>
      </c>
      <c r="AL34" s="3">
        <v>5</v>
      </c>
      <c r="AM34" s="3">
        <v>0.46976377138826531</v>
      </c>
      <c r="AN34" s="3"/>
      <c r="AO34" s="3"/>
      <c r="AP34" s="3"/>
    </row>
    <row r="35" spans="37:45" ht="15" thickBot="1" x14ac:dyDescent="0.4"/>
    <row r="36" spans="37:45" x14ac:dyDescent="0.35">
      <c r="AK36" s="4"/>
      <c r="AL36" s="4" t="s">
        <v>39</v>
      </c>
      <c r="AM36" s="4" t="s">
        <v>27</v>
      </c>
      <c r="AN36" s="4" t="s">
        <v>40</v>
      </c>
      <c r="AO36" s="4" t="s">
        <v>41</v>
      </c>
      <c r="AP36" s="4" t="s">
        <v>42</v>
      </c>
      <c r="AQ36" s="4" t="s">
        <v>43</v>
      </c>
      <c r="AR36" s="4" t="s">
        <v>44</v>
      </c>
      <c r="AS36" s="4" t="s">
        <v>45</v>
      </c>
    </row>
    <row r="37" spans="37:45" x14ac:dyDescent="0.35">
      <c r="AK37" s="2" t="s">
        <v>33</v>
      </c>
      <c r="AL37" s="2">
        <v>1.1617393329343959</v>
      </c>
      <c r="AM37" s="2">
        <v>0.99312340768095042</v>
      </c>
      <c r="AN37" s="2">
        <v>1.1697834568688514</v>
      </c>
      <c r="AO37" s="2">
        <v>0.30703422852614182</v>
      </c>
      <c r="AP37" s="2">
        <v>-1.5956132911787315</v>
      </c>
      <c r="AQ37" s="2">
        <v>3.9190919570475233</v>
      </c>
      <c r="AR37" s="2">
        <v>-1.5956132911787315</v>
      </c>
      <c r="AS37" s="2">
        <v>3.9190919570475233</v>
      </c>
    </row>
    <row r="38" spans="37:45" ht="15" thickBot="1" x14ac:dyDescent="0.4">
      <c r="AK38" s="3" t="s">
        <v>46</v>
      </c>
      <c r="AL38" s="3">
        <v>-9.8918939315476614E-2</v>
      </c>
      <c r="AM38" s="3">
        <v>0.10538409378502876</v>
      </c>
      <c r="AN38" s="3">
        <v>-0.93865151525864698</v>
      </c>
      <c r="AO38" s="3">
        <v>0.4010534854699403</v>
      </c>
      <c r="AP38" s="3">
        <v>-0.39151209067062492</v>
      </c>
      <c r="AQ38" s="3">
        <v>0.19367421203967167</v>
      </c>
      <c r="AR38" s="3">
        <v>-0.39151209067062492</v>
      </c>
      <c r="AS38" s="3">
        <v>0.19367421203967167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F38"/>
  <sheetViews>
    <sheetView topLeftCell="AA1" workbookViewId="0">
      <selection activeCell="AL2" sqref="AL2"/>
    </sheetView>
  </sheetViews>
  <sheetFormatPr defaultRowHeight="14.5" x14ac:dyDescent="0.35"/>
  <cols>
    <col min="1" max="2" width="12.81640625" customWidth="1"/>
    <col min="38" max="38" width="10.453125" customWidth="1"/>
    <col min="40" max="40" width="12" bestFit="1" customWidth="1"/>
    <col min="41" max="41" width="10" bestFit="1" customWidth="1"/>
    <col min="44" max="44" width="11" bestFit="1" customWidth="1"/>
  </cols>
  <sheetData>
    <row r="1" spans="1:58" x14ac:dyDescent="0.35">
      <c r="B1" t="s">
        <v>313</v>
      </c>
      <c r="C1" t="s">
        <v>98</v>
      </c>
      <c r="D1" t="s">
        <v>133</v>
      </c>
      <c r="G1" t="s">
        <v>134</v>
      </c>
      <c r="J1" t="s">
        <v>116</v>
      </c>
      <c r="M1" t="s">
        <v>135</v>
      </c>
      <c r="P1" t="s">
        <v>116</v>
      </c>
      <c r="S1" t="s">
        <v>116</v>
      </c>
      <c r="AB1" t="s">
        <v>22</v>
      </c>
      <c r="AN1" t="s">
        <v>98</v>
      </c>
      <c r="AO1" t="s">
        <v>323</v>
      </c>
      <c r="AQ1" t="s">
        <v>618</v>
      </c>
      <c r="AX1" t="s">
        <v>22</v>
      </c>
    </row>
    <row r="2" spans="1:58" ht="15" thickBot="1" x14ac:dyDescent="0.4">
      <c r="C2" t="s">
        <v>132</v>
      </c>
      <c r="D2" t="s">
        <v>113</v>
      </c>
      <c r="G2" t="s">
        <v>113</v>
      </c>
      <c r="J2" t="s">
        <v>113</v>
      </c>
      <c r="P2" t="s">
        <v>113</v>
      </c>
      <c r="S2" t="s">
        <v>132</v>
      </c>
      <c r="AJ2" t="s">
        <v>92</v>
      </c>
      <c r="AK2" s="7">
        <f t="shared" ref="AK2:AM9" si="0">P4</f>
        <v>0.6</v>
      </c>
      <c r="AL2" s="7">
        <f t="shared" si="0"/>
        <v>1.2999999999999998</v>
      </c>
      <c r="AM2" s="7">
        <f t="shared" si="0"/>
        <v>5</v>
      </c>
      <c r="AN2">
        <f>SUMPRODUCT(regions!$C3:$C190,regions!CY3:CY190)</f>
        <v>13422321693333.385</v>
      </c>
      <c r="AO2">
        <f>SUMPRODUCT(regions!$B3:$B190,regions!CY3:CY190)</f>
        <v>399165762</v>
      </c>
      <c r="AP2" s="10">
        <f>AN2/AO2</f>
        <v>33625.93431380867</v>
      </c>
      <c r="AQ2" s="1">
        <f>AR2/AO2</f>
        <v>10.267820367569501</v>
      </c>
      <c r="AR2">
        <f>SUMPRODUCT(regions!$X3:$X190,regions!CY3:CY190,regions!$B3:$B190)</f>
        <v>4098562341.0999999</v>
      </c>
      <c r="AT2">
        <f>LN(AL2)</f>
        <v>0.26236426446749089</v>
      </c>
      <c r="AU2">
        <f>LN(AP2)</f>
        <v>10.423052902802381</v>
      </c>
      <c r="AV2" s="1">
        <f>AQ2</f>
        <v>10.267820367569501</v>
      </c>
    </row>
    <row r="3" spans="1:58" x14ac:dyDescent="0.35">
      <c r="D3" t="s">
        <v>136</v>
      </c>
      <c r="E3" t="s">
        <v>137</v>
      </c>
      <c r="F3" t="s">
        <v>138</v>
      </c>
      <c r="AB3" s="5" t="s">
        <v>23</v>
      </c>
      <c r="AC3" s="5"/>
      <c r="AJ3" t="s">
        <v>89</v>
      </c>
      <c r="AK3" s="7">
        <f t="shared" si="0"/>
        <v>0.44999999999999996</v>
      </c>
      <c r="AL3" s="7">
        <f t="shared" si="0"/>
        <v>1.5599999999999998</v>
      </c>
      <c r="AM3" s="7">
        <f t="shared" si="0"/>
        <v>7</v>
      </c>
      <c r="AN3">
        <f>SUMPRODUCT(regions!$C3:$C190,regions!CZ3:CZ190)</f>
        <v>13595644353592.4</v>
      </c>
      <c r="AO3">
        <f>SUMPRODUCT(regions!$B3:$B190,regions!CZ3:CZ190)</f>
        <v>309326225</v>
      </c>
      <c r="AP3" s="10">
        <f t="shared" ref="AP3:AP9" si="1">AN3/AO3</f>
        <v>43952.446494287382</v>
      </c>
      <c r="AQ3" s="1">
        <f t="shared" ref="AQ3:AQ9" si="2">AR3/AO3</f>
        <v>8.5</v>
      </c>
      <c r="AR3">
        <f>SUMPRODUCT(regions!$X3:$X190,regions!CZ3:CZ190,regions!$B3:$B190)</f>
        <v>2629272912.5</v>
      </c>
      <c r="AT3">
        <f>LN(AL3)</f>
        <v>0.44468582126144557</v>
      </c>
      <c r="AU3">
        <f t="shared" ref="AU3:AU4" si="3">LN(AP3)</f>
        <v>10.690863566963092</v>
      </c>
      <c r="AV3" s="1">
        <f t="shared" ref="AV3:AV4" si="4">AQ3</f>
        <v>8.5</v>
      </c>
      <c r="AX3" s="5" t="s">
        <v>23</v>
      </c>
      <c r="AY3" s="5"/>
    </row>
    <row r="4" spans="1:58" x14ac:dyDescent="0.35">
      <c r="A4" t="s">
        <v>92</v>
      </c>
      <c r="B4" s="10">
        <f>B18</f>
        <v>403.034582</v>
      </c>
      <c r="C4" s="10">
        <f>C18</f>
        <v>13704.506339972859</v>
      </c>
      <c r="D4">
        <v>0.3</v>
      </c>
      <c r="E4">
        <v>0.7</v>
      </c>
      <c r="F4">
        <v>3.5</v>
      </c>
      <c r="G4">
        <v>0.3</v>
      </c>
      <c r="H4">
        <v>0.6</v>
      </c>
      <c r="I4">
        <v>1.5</v>
      </c>
      <c r="J4">
        <f>D4+G4</f>
        <v>0.6</v>
      </c>
      <c r="K4">
        <f>E4+H4</f>
        <v>1.2999999999999998</v>
      </c>
      <c r="L4">
        <f>F4+I4</f>
        <v>5</v>
      </c>
      <c r="M4" s="7">
        <v>1</v>
      </c>
      <c r="N4" s="7">
        <v>1</v>
      </c>
      <c r="O4" s="7">
        <v>1</v>
      </c>
      <c r="P4" s="7">
        <f>J$4*M4</f>
        <v>0.6</v>
      </c>
      <c r="Q4" s="7">
        <f t="shared" ref="Q4:Q11" si="5">K$4*N4</f>
        <v>1.2999999999999998</v>
      </c>
      <c r="R4" s="7">
        <f t="shared" ref="R4:R11" si="6">L$4*O4</f>
        <v>5</v>
      </c>
      <c r="S4" s="10">
        <f>$C4*P4/100</f>
        <v>82.227038039837154</v>
      </c>
      <c r="T4" s="10">
        <f t="shared" ref="T4:T11" si="7">$C4*Q4/100</f>
        <v>178.15858241964713</v>
      </c>
      <c r="U4" s="10">
        <f t="shared" ref="U4:U11" si="8">$C4*R4/100</f>
        <v>685.22531699864294</v>
      </c>
      <c r="W4">
        <f>C4/B4*1000</f>
        <v>34003.301334506476</v>
      </c>
      <c r="X4">
        <f>Q4/100</f>
        <v>1.2999999999999998E-2</v>
      </c>
      <c r="Y4">
        <f>LN(W4)</f>
        <v>10.434212896958305</v>
      </c>
      <c r="Z4">
        <f t="shared" ref="Z4:Z6" si="9">LN(X4)</f>
        <v>-4.3428059215206005</v>
      </c>
      <c r="AB4" s="2" t="s">
        <v>24</v>
      </c>
      <c r="AC4" s="2">
        <v>0.94252509921628636</v>
      </c>
      <c r="AJ4" t="s">
        <v>108</v>
      </c>
      <c r="AK4" s="7">
        <f t="shared" si="0"/>
        <v>0.44999999999999996</v>
      </c>
      <c r="AL4" s="7">
        <f t="shared" si="0"/>
        <v>2.86</v>
      </c>
      <c r="AM4" s="7">
        <f t="shared" si="0"/>
        <v>13</v>
      </c>
      <c r="AN4">
        <f>SUMPRODUCT(regions!$C3:$C190,regions!DA3:DA190)</f>
        <v>7584984327892.3086</v>
      </c>
      <c r="AO4">
        <f>SUMPRODUCT(regions!$B3:$B190,regions!DA3:DA190)</f>
        <v>202145993</v>
      </c>
      <c r="AP4" s="10">
        <f t="shared" si="1"/>
        <v>37522.30858166112</v>
      </c>
      <c r="AQ4" s="1">
        <f t="shared" si="2"/>
        <v>9.0237181812453731</v>
      </c>
      <c r="AR4">
        <f>SUMPRODUCT(regions!$X3:$X190,regions!DA3:DA190,regions!$B3:$B190)</f>
        <v>1824108472.3</v>
      </c>
      <c r="AT4">
        <f>LN(AL4)</f>
        <v>1.0508216248317612</v>
      </c>
      <c r="AU4">
        <f t="shared" si="3"/>
        <v>10.532690930589277</v>
      </c>
      <c r="AV4" s="1">
        <f t="shared" si="4"/>
        <v>9.0237181812453731</v>
      </c>
      <c r="AX4" s="2" t="s">
        <v>24</v>
      </c>
      <c r="AY4" s="2">
        <v>0.93012456682024935</v>
      </c>
    </row>
    <row r="5" spans="1:58" x14ac:dyDescent="0.35">
      <c r="A5" t="s">
        <v>89</v>
      </c>
      <c r="B5" s="10">
        <f>B16</f>
        <v>295.51659899999999</v>
      </c>
      <c r="C5" s="10">
        <f>C16</f>
        <v>13095.4</v>
      </c>
      <c r="M5" s="7">
        <v>0.75</v>
      </c>
      <c r="N5" s="7">
        <v>1.2</v>
      </c>
      <c r="O5" s="7">
        <v>1.4</v>
      </c>
      <c r="P5" s="7">
        <f t="shared" ref="P5:P11" si="10">J$4*M5</f>
        <v>0.44999999999999996</v>
      </c>
      <c r="Q5" s="7">
        <f t="shared" si="5"/>
        <v>1.5599999999999998</v>
      </c>
      <c r="R5" s="7">
        <f t="shared" si="6"/>
        <v>7</v>
      </c>
      <c r="S5" s="10">
        <f t="shared" ref="S5:S11" si="11">$C5*P5/100</f>
        <v>58.929299999999991</v>
      </c>
      <c r="T5" s="10">
        <f t="shared" si="7"/>
        <v>204.28823999999997</v>
      </c>
      <c r="U5" s="10">
        <f t="shared" si="8"/>
        <v>916.678</v>
      </c>
      <c r="W5">
        <f t="shared" ref="W5:W11" si="12">C5/B5*1000</f>
        <v>44313.585241281151</v>
      </c>
      <c r="X5">
        <f t="shared" ref="X5:X11" si="13">Q5/100</f>
        <v>1.5599999999999998E-2</v>
      </c>
      <c r="Y5">
        <f t="shared" ref="Y5:Y6" si="14">LN(W5)</f>
        <v>10.699046573609992</v>
      </c>
      <c r="Z5">
        <f t="shared" si="9"/>
        <v>-4.1604843647266456</v>
      </c>
      <c r="AB5" s="2" t="s">
        <v>25</v>
      </c>
      <c r="AC5" s="2">
        <v>0.88835356265267051</v>
      </c>
      <c r="AJ5" t="s">
        <v>109</v>
      </c>
      <c r="AK5" s="7">
        <f t="shared" si="0"/>
        <v>-0.18</v>
      </c>
      <c r="AL5" s="7">
        <f t="shared" si="0"/>
        <v>0</v>
      </c>
      <c r="AM5" s="7">
        <f t="shared" si="0"/>
        <v>1.5</v>
      </c>
      <c r="AN5">
        <f>SUMPRODUCT(regions!$C3:$C190,regions!DB3:DB190)</f>
        <v>2291249317566.1226</v>
      </c>
      <c r="AO5">
        <f>SUMPRODUCT(regions!$B3:$B190,regions!DB3:DB190)</f>
        <v>413630243</v>
      </c>
      <c r="AP5" s="10">
        <f t="shared" si="1"/>
        <v>5539.3660312360735</v>
      </c>
      <c r="AQ5" s="1">
        <f t="shared" si="2"/>
        <v>4.1254740461518917</v>
      </c>
      <c r="AR5">
        <f>SUMPRODUCT(regions!$X3:$X190,regions!DB3:DB190,regions!$B3:$B190)</f>
        <v>1706420832.2</v>
      </c>
      <c r="AT5">
        <f>LN(AL6)</f>
        <v>1.6486586255873816</v>
      </c>
      <c r="AU5">
        <f>LN(AP6)</f>
        <v>7.9609590742794234</v>
      </c>
      <c r="AV5" s="1">
        <f>AQ6</f>
        <v>6.8846191167010646</v>
      </c>
      <c r="AX5" s="2" t="s">
        <v>25</v>
      </c>
      <c r="AY5" s="2">
        <v>0.8651317098025566</v>
      </c>
    </row>
    <row r="6" spans="1:58" x14ac:dyDescent="0.35">
      <c r="A6" t="s">
        <v>108</v>
      </c>
      <c r="B6" s="10">
        <f>B17+B19+B20</f>
        <v>232.75170000000003</v>
      </c>
      <c r="C6" s="10">
        <f>C17+C19+C20</f>
        <v>7357.9957547470685</v>
      </c>
      <c r="M6" s="7">
        <v>0.75</v>
      </c>
      <c r="N6" s="7">
        <v>2.2000000000000002</v>
      </c>
      <c r="O6" s="7">
        <v>2.6</v>
      </c>
      <c r="P6" s="7">
        <f t="shared" si="10"/>
        <v>0.44999999999999996</v>
      </c>
      <c r="Q6" s="7">
        <f t="shared" si="5"/>
        <v>2.86</v>
      </c>
      <c r="R6" s="7">
        <f t="shared" si="6"/>
        <v>13</v>
      </c>
      <c r="S6" s="10">
        <f t="shared" si="11"/>
        <v>33.110980896361809</v>
      </c>
      <c r="T6" s="10">
        <f t="shared" si="7"/>
        <v>210.43867858576613</v>
      </c>
      <c r="U6" s="10">
        <f t="shared" si="8"/>
        <v>956.53944811711892</v>
      </c>
      <c r="W6">
        <f t="shared" si="12"/>
        <v>31613.069871227868</v>
      </c>
      <c r="X6">
        <f t="shared" si="13"/>
        <v>2.86E-2</v>
      </c>
      <c r="Y6">
        <f t="shared" si="14"/>
        <v>10.361325917584514</v>
      </c>
      <c r="Z6">
        <f t="shared" si="9"/>
        <v>-3.5543485611563299</v>
      </c>
      <c r="AB6" s="2" t="s">
        <v>26</v>
      </c>
      <c r="AC6" s="2">
        <v>0.86602427518320457</v>
      </c>
      <c r="AJ6" t="s">
        <v>91</v>
      </c>
      <c r="AK6" s="7">
        <f t="shared" si="0"/>
        <v>0.6</v>
      </c>
      <c r="AL6" s="7">
        <f t="shared" si="0"/>
        <v>5.1999999999999993</v>
      </c>
      <c r="AM6" s="7">
        <f t="shared" si="0"/>
        <v>24</v>
      </c>
      <c r="AN6">
        <f>SUMPRODUCT(regions!$C3:$C190,regions!DC3:DC190)</f>
        <v>3842737892785.8301</v>
      </c>
      <c r="AO6">
        <f>SUMPRODUCT(regions!$B3:$B190,regions!DC3:DC190)</f>
        <v>1340417738</v>
      </c>
      <c r="AP6" s="10">
        <f t="shared" si="1"/>
        <v>2866.8211288515718</v>
      </c>
      <c r="AQ6" s="1">
        <f t="shared" si="2"/>
        <v>6.8846191167010646</v>
      </c>
      <c r="AR6">
        <f>SUMPRODUCT(regions!$X3:$X190,regions!DC3:DC190,regions!$B3:$B190)</f>
        <v>9228265583.3999996</v>
      </c>
      <c r="AT6">
        <f>LN(AL7)</f>
        <v>2.1494339134998706</v>
      </c>
      <c r="AU6">
        <f>LN(AP7)</f>
        <v>7.5081388764274744</v>
      </c>
      <c r="AV6" s="1">
        <f>AQ7</f>
        <v>23.408799207089249</v>
      </c>
      <c r="AX6" s="2" t="s">
        <v>26</v>
      </c>
      <c r="AY6" s="2">
        <v>0.7976975647038349</v>
      </c>
    </row>
    <row r="7" spans="1:58" x14ac:dyDescent="0.35">
      <c r="A7" t="s">
        <v>109</v>
      </c>
      <c r="B7" s="10">
        <f>B21+B22</f>
        <v>402.99299000000002</v>
      </c>
      <c r="C7" s="10">
        <f>C21+C22</f>
        <v>1918.6231002581308</v>
      </c>
      <c r="M7" s="7">
        <v>-0.3</v>
      </c>
      <c r="N7" s="7">
        <v>0</v>
      </c>
      <c r="O7" s="7">
        <v>0.3</v>
      </c>
      <c r="P7" s="7">
        <f t="shared" si="10"/>
        <v>-0.18</v>
      </c>
      <c r="Q7" s="7">
        <f t="shared" si="5"/>
        <v>0</v>
      </c>
      <c r="R7" s="7">
        <f t="shared" si="6"/>
        <v>1.5</v>
      </c>
      <c r="S7" s="10">
        <f t="shared" si="11"/>
        <v>-3.4535215804646349</v>
      </c>
      <c r="T7" s="10">
        <f t="shared" si="7"/>
        <v>0</v>
      </c>
      <c r="U7" s="10">
        <f t="shared" si="8"/>
        <v>28.779346503871963</v>
      </c>
      <c r="W7">
        <f t="shared" si="12"/>
        <v>4760.9341796693061</v>
      </c>
      <c r="X7">
        <f t="shared" si="13"/>
        <v>0</v>
      </c>
      <c r="Y7">
        <f t="shared" ref="Y7:Z10" si="15">LN(W8)</f>
        <v>7.5142974097543327</v>
      </c>
      <c r="Z7">
        <f t="shared" si="15"/>
        <v>-2.9565115604007097</v>
      </c>
      <c r="AB7" s="2" t="s">
        <v>27</v>
      </c>
      <c r="AC7" s="2">
        <v>0.25624875047079387</v>
      </c>
      <c r="AJ7" t="s">
        <v>110</v>
      </c>
      <c r="AK7" s="7">
        <f t="shared" si="0"/>
        <v>0.6</v>
      </c>
      <c r="AL7" s="7">
        <f t="shared" si="0"/>
        <v>8.5799999999999983</v>
      </c>
      <c r="AM7" s="7">
        <f t="shared" si="0"/>
        <v>39.5</v>
      </c>
      <c r="AN7">
        <f>SUMPRODUCT(regions!$C3:$C190,regions!DD3:DD190)</f>
        <v>4039484437740.9517</v>
      </c>
      <c r="AO7">
        <f>SUMPRODUCT(regions!$B3:$B190,regions!DD3:DD190)</f>
        <v>2216065823</v>
      </c>
      <c r="AP7" s="10">
        <f t="shared" si="1"/>
        <v>1822.8178945842403</v>
      </c>
      <c r="AQ7" s="1">
        <f t="shared" si="2"/>
        <v>23.408799207089249</v>
      </c>
      <c r="AR7">
        <f>SUMPRODUCT(regions!$X3:$X190,regions!DD3:DD190,regions!$B3:$B190)</f>
        <v>51875439880.299988</v>
      </c>
      <c r="AT7">
        <f>LN(AL8)</f>
        <v>1.766441661243765</v>
      </c>
      <c r="AU7">
        <f>LN(AP8)</f>
        <v>7.8450040571846733</v>
      </c>
      <c r="AV7" s="1">
        <f>AQ8</f>
        <v>22.509952998265163</v>
      </c>
      <c r="AX7" s="2" t="s">
        <v>27</v>
      </c>
      <c r="AY7" s="2">
        <v>0.31488302875381258</v>
      </c>
    </row>
    <row r="8" spans="1:58" ht="15" thickBot="1" x14ac:dyDescent="0.4">
      <c r="A8" t="s">
        <v>91</v>
      </c>
      <c r="B8" s="10">
        <f>B28</f>
        <v>1337.3411840000001</v>
      </c>
      <c r="C8" s="10">
        <f>C28</f>
        <v>2452.7886029440251</v>
      </c>
      <c r="M8" s="7">
        <v>1</v>
      </c>
      <c r="N8" s="7">
        <v>4</v>
      </c>
      <c r="O8" s="7">
        <v>4.8</v>
      </c>
      <c r="P8" s="7">
        <f t="shared" si="10"/>
        <v>0.6</v>
      </c>
      <c r="Q8" s="7">
        <f t="shared" si="5"/>
        <v>5.1999999999999993</v>
      </c>
      <c r="R8" s="7">
        <f t="shared" si="6"/>
        <v>24</v>
      </c>
      <c r="S8" s="10">
        <f t="shared" si="11"/>
        <v>14.71673161766415</v>
      </c>
      <c r="T8" s="10">
        <f t="shared" si="7"/>
        <v>127.54500735308929</v>
      </c>
      <c r="U8" s="10">
        <f t="shared" si="8"/>
        <v>588.66926470656608</v>
      </c>
      <c r="W8">
        <f t="shared" si="12"/>
        <v>1834.0784179005923</v>
      </c>
      <c r="X8">
        <f t="shared" si="13"/>
        <v>5.1999999999999991E-2</v>
      </c>
      <c r="Y8">
        <f t="shared" si="15"/>
        <v>6.8548695053717958</v>
      </c>
      <c r="Z8">
        <f t="shared" si="15"/>
        <v>-2.4557362724882208</v>
      </c>
      <c r="AB8" s="3" t="s">
        <v>28</v>
      </c>
      <c r="AC8" s="3">
        <v>7</v>
      </c>
      <c r="AJ8" t="s">
        <v>111</v>
      </c>
      <c r="AK8" s="7">
        <f t="shared" si="0"/>
        <v>0.6</v>
      </c>
      <c r="AL8" s="7">
        <f t="shared" si="0"/>
        <v>5.85</v>
      </c>
      <c r="AM8" s="7">
        <f t="shared" si="0"/>
        <v>27</v>
      </c>
      <c r="AN8">
        <f>SUMPRODUCT(regions!$C3:$C190,regions!DE3:DE190)</f>
        <v>3254999932256.8066</v>
      </c>
      <c r="AO8">
        <f>SUMPRODUCT(regions!$B3:$B190,regions!DE3:DE190)</f>
        <v>1274996555</v>
      </c>
      <c r="AP8" s="10">
        <f t="shared" si="1"/>
        <v>2552.9480213041097</v>
      </c>
      <c r="AQ8" s="1">
        <f t="shared" si="2"/>
        <v>22.509952998265163</v>
      </c>
      <c r="AR8">
        <f>SUMPRODUCT(regions!$X3:$X190,regions!DE3:DE190,regions!$B3:$B190)</f>
        <v>28700112526.000004</v>
      </c>
      <c r="AT8">
        <f>LN(AL9)</f>
        <v>1.4562867329399254</v>
      </c>
      <c r="AU8">
        <f>LN(AP9)</f>
        <v>8.663572299162988</v>
      </c>
      <c r="AV8" s="1">
        <f>AQ9</f>
        <v>22.4226496622978</v>
      </c>
      <c r="AX8" s="3" t="s">
        <v>28</v>
      </c>
      <c r="AY8" s="3">
        <v>7</v>
      </c>
    </row>
    <row r="9" spans="1:58" x14ac:dyDescent="0.35">
      <c r="A9" t="s">
        <v>110</v>
      </c>
      <c r="B9" s="10">
        <f>B26+B27</f>
        <v>2063.8368300000002</v>
      </c>
      <c r="C9" s="10">
        <f>C26+C27</f>
        <v>1957.525186861506</v>
      </c>
      <c r="M9" s="7">
        <v>1</v>
      </c>
      <c r="N9" s="7">
        <v>6.6</v>
      </c>
      <c r="O9" s="7">
        <v>7.9</v>
      </c>
      <c r="P9" s="7">
        <f t="shared" si="10"/>
        <v>0.6</v>
      </c>
      <c r="Q9" s="7">
        <f t="shared" si="5"/>
        <v>8.5799999999999983</v>
      </c>
      <c r="R9" s="7">
        <f t="shared" si="6"/>
        <v>39.5</v>
      </c>
      <c r="S9" s="10">
        <f t="shared" si="11"/>
        <v>11.745151121169036</v>
      </c>
      <c r="T9" s="10">
        <f t="shared" si="7"/>
        <v>167.95566103271719</v>
      </c>
      <c r="U9" s="10">
        <f t="shared" si="8"/>
        <v>773.22244881029485</v>
      </c>
      <c r="W9">
        <f t="shared" si="12"/>
        <v>948.48834869445841</v>
      </c>
      <c r="X9">
        <f t="shared" si="13"/>
        <v>8.5799999999999987E-2</v>
      </c>
      <c r="Y9">
        <f t="shared" si="15"/>
        <v>7.7086890169611557</v>
      </c>
      <c r="Z9">
        <f t="shared" si="15"/>
        <v>-2.8387285247443264</v>
      </c>
      <c r="AJ9" t="s">
        <v>112</v>
      </c>
      <c r="AK9" s="7">
        <f t="shared" si="0"/>
        <v>0.6</v>
      </c>
      <c r="AL9" s="7">
        <f t="shared" si="0"/>
        <v>4.2899999999999991</v>
      </c>
      <c r="AM9" s="7">
        <f t="shared" si="0"/>
        <v>20</v>
      </c>
      <c r="AN9">
        <f>SUMPRODUCT(regions!$C3:$C190,regions!DF3:DF190)</f>
        <v>3381820643060.1235</v>
      </c>
      <c r="AO9">
        <f>SUMPRODUCT(regions!$B3:$B190,regions!DF3:DF190)</f>
        <v>584263731</v>
      </c>
      <c r="AP9" s="10">
        <f t="shared" si="1"/>
        <v>5788.1748662918862</v>
      </c>
      <c r="AQ9" s="1">
        <f t="shared" si="2"/>
        <v>22.4226496622978</v>
      </c>
      <c r="AR9">
        <f>SUMPRODUCT(regions!$X3:$X190,regions!DF3:DF190,regions!$B3:$B190)</f>
        <v>13100740950.600002</v>
      </c>
    </row>
    <row r="10" spans="1:58" ht="15" thickBot="1" x14ac:dyDescent="0.4">
      <c r="A10" t="s">
        <v>111</v>
      </c>
      <c r="B10" s="10">
        <f>B29+B30+B23</f>
        <v>1157.561661</v>
      </c>
      <c r="C10" s="10">
        <f>C29+C30+C23</f>
        <v>2578.6074737893882</v>
      </c>
      <c r="M10" s="7">
        <v>1</v>
      </c>
      <c r="N10" s="7">
        <v>4.5</v>
      </c>
      <c r="O10" s="7">
        <v>5.4</v>
      </c>
      <c r="P10" s="7">
        <f t="shared" si="10"/>
        <v>0.6</v>
      </c>
      <c r="Q10" s="7">
        <f t="shared" si="5"/>
        <v>5.85</v>
      </c>
      <c r="R10" s="7">
        <f t="shared" si="6"/>
        <v>27</v>
      </c>
      <c r="S10" s="10">
        <f t="shared" si="11"/>
        <v>15.47164484273633</v>
      </c>
      <c r="T10" s="10">
        <f t="shared" si="7"/>
        <v>150.8485372166792</v>
      </c>
      <c r="U10" s="10">
        <f t="shared" si="8"/>
        <v>696.22401792313485</v>
      </c>
      <c r="W10">
        <f t="shared" si="12"/>
        <v>2227.6199710707147</v>
      </c>
      <c r="X10">
        <f t="shared" si="13"/>
        <v>5.8499999999999996E-2</v>
      </c>
      <c r="Y10">
        <f t="shared" si="15"/>
        <v>8.5181204815838214</v>
      </c>
      <c r="Z10">
        <f t="shared" si="15"/>
        <v>-3.1488834530481657</v>
      </c>
      <c r="AB10" t="s">
        <v>29</v>
      </c>
      <c r="AX10" t="s">
        <v>29</v>
      </c>
    </row>
    <row r="11" spans="1:58" x14ac:dyDescent="0.35">
      <c r="A11" t="s">
        <v>112</v>
      </c>
      <c r="B11" s="10">
        <f>B24+B25+B31</f>
        <v>566.5828039999999</v>
      </c>
      <c r="C11" s="10">
        <f>C24+C25+C31</f>
        <v>2835.5421716576316</v>
      </c>
      <c r="M11" s="7">
        <v>1</v>
      </c>
      <c r="N11" s="7">
        <v>3.3</v>
      </c>
      <c r="O11" s="7">
        <v>4</v>
      </c>
      <c r="P11" s="7">
        <f t="shared" si="10"/>
        <v>0.6</v>
      </c>
      <c r="Q11" s="7">
        <f t="shared" si="5"/>
        <v>4.2899999999999991</v>
      </c>
      <c r="R11" s="7">
        <f t="shared" si="6"/>
        <v>20</v>
      </c>
      <c r="S11" s="10">
        <f t="shared" si="11"/>
        <v>17.013253029945787</v>
      </c>
      <c r="T11" s="10">
        <f t="shared" si="7"/>
        <v>121.64475916411237</v>
      </c>
      <c r="U11" s="10">
        <f t="shared" si="8"/>
        <v>567.10843433152627</v>
      </c>
      <c r="W11">
        <f t="shared" si="12"/>
        <v>5004.6386011701688</v>
      </c>
      <c r="X11">
        <f t="shared" si="13"/>
        <v>4.2899999999999994E-2</v>
      </c>
      <c r="AB11" s="4"/>
      <c r="AC11" s="4" t="s">
        <v>34</v>
      </c>
      <c r="AD11" s="4" t="s">
        <v>35</v>
      </c>
      <c r="AE11" s="4" t="s">
        <v>36</v>
      </c>
      <c r="AF11" s="4" t="s">
        <v>37</v>
      </c>
      <c r="AG11" s="4" t="s">
        <v>38</v>
      </c>
      <c r="AK11" s="7">
        <f>SUMPRODUCT(AK2:AK9,$AN2:$AN9)/$AN11</f>
        <v>0.50344377208965629</v>
      </c>
      <c r="AL11" s="7">
        <f>SUMPRODUCT(AL2:AL9,$AN2:$AN9)/$AN11</f>
        <v>2.8891788330145758</v>
      </c>
      <c r="AM11" s="7">
        <f>SUMPRODUCT(AM2:AM9,$AN2:$AN9)/$AN11</f>
        <v>13.063357045557673</v>
      </c>
      <c r="AN11">
        <f>SUM(AN2:AN9)</f>
        <v>51413242598227.93</v>
      </c>
      <c r="AX11" s="4"/>
      <c r="AY11" s="4" t="s">
        <v>34</v>
      </c>
      <c r="AZ11" s="4" t="s">
        <v>35</v>
      </c>
      <c r="BA11" s="4" t="s">
        <v>36</v>
      </c>
      <c r="BB11" s="4" t="s">
        <v>37</v>
      </c>
      <c r="BC11" s="4" t="s">
        <v>38</v>
      </c>
    </row>
    <row r="12" spans="1:58" x14ac:dyDescent="0.35">
      <c r="B12" s="10"/>
      <c r="C12" s="10"/>
      <c r="AB12" s="2" t="s">
        <v>30</v>
      </c>
      <c r="AC12" s="2">
        <v>1</v>
      </c>
      <c r="AD12" s="2">
        <v>2.6123688476006466</v>
      </c>
      <c r="AE12" s="2">
        <v>2.6123688476006466</v>
      </c>
      <c r="AF12" s="2">
        <v>39.784232428708108</v>
      </c>
      <c r="AG12" s="2">
        <v>1.4744995286999297E-3</v>
      </c>
      <c r="AX12" s="2" t="s">
        <v>30</v>
      </c>
      <c r="AY12" s="2">
        <v>2</v>
      </c>
      <c r="AZ12" s="2">
        <v>2.5440806710011659</v>
      </c>
      <c r="BA12" s="2">
        <v>1.2720403355005829</v>
      </c>
      <c r="BB12" s="2">
        <v>12.829282680695778</v>
      </c>
      <c r="BC12" s="2">
        <v>1.8189455700781818E-2</v>
      </c>
    </row>
    <row r="13" spans="1:58" x14ac:dyDescent="0.35">
      <c r="A13" t="s">
        <v>32</v>
      </c>
      <c r="B13" s="10">
        <f>SUM(B4:B11)</f>
        <v>6459.6183499999997</v>
      </c>
      <c r="C13" s="10">
        <f>SUM(C4:C11)</f>
        <v>45900.988630230611</v>
      </c>
      <c r="P13" s="7">
        <f>S13/$C13*100</f>
        <v>0.50055692660163809</v>
      </c>
      <c r="Q13" s="7">
        <f>T13/$C13*100</f>
        <v>2.5290946892752775</v>
      </c>
      <c r="R13" s="7">
        <f>U13/$C13*100</f>
        <v>11.355847516448074</v>
      </c>
      <c r="S13" s="10">
        <f>SUM(S4:S11)</f>
        <v>229.76057796724965</v>
      </c>
      <c r="T13" s="10">
        <f>SUM(T4:T11)</f>
        <v>1160.8794657720114</v>
      </c>
      <c r="U13" s="10">
        <f>SUM(U4:U11)</f>
        <v>5212.4462773911555</v>
      </c>
      <c r="AB13" s="2" t="s">
        <v>31</v>
      </c>
      <c r="AC13" s="2">
        <v>5</v>
      </c>
      <c r="AD13" s="2">
        <v>0.32831711058921598</v>
      </c>
      <c r="AE13" s="2">
        <v>6.5663422117843193E-2</v>
      </c>
      <c r="AF13" s="2"/>
      <c r="AG13" s="2"/>
      <c r="AX13" s="2" t="s">
        <v>31</v>
      </c>
      <c r="AY13" s="2">
        <v>4</v>
      </c>
      <c r="AZ13" s="2">
        <v>0.39660528718869748</v>
      </c>
      <c r="BA13" s="2">
        <v>9.9151321797174369E-2</v>
      </c>
      <c r="BB13" s="2"/>
      <c r="BC13" s="2"/>
    </row>
    <row r="14" spans="1:58" ht="15" thickBot="1" x14ac:dyDescent="0.4">
      <c r="AB14" s="3" t="s">
        <v>32</v>
      </c>
      <c r="AC14" s="3">
        <v>6</v>
      </c>
      <c r="AD14" s="3">
        <v>2.9406859581898628</v>
      </c>
      <c r="AE14" s="3"/>
      <c r="AF14" s="3"/>
      <c r="AG14" s="3"/>
      <c r="AX14" s="3" t="s">
        <v>32</v>
      </c>
      <c r="AY14" s="3">
        <v>6</v>
      </c>
      <c r="AZ14" s="3">
        <v>2.9406859581898632</v>
      </c>
      <c r="BA14" s="3"/>
      <c r="BB14" s="3"/>
      <c r="BC14" s="3"/>
    </row>
    <row r="15" spans="1:58" ht="15" thickBot="1" x14ac:dyDescent="0.4">
      <c r="B15">
        <v>2005</v>
      </c>
      <c r="C15">
        <v>2005</v>
      </c>
      <c r="D15" s="10">
        <v>1990</v>
      </c>
      <c r="E15">
        <v>1995</v>
      </c>
      <c r="F15">
        <v>2000</v>
      </c>
      <c r="G15">
        <v>2005</v>
      </c>
    </row>
    <row r="16" spans="1:58" x14ac:dyDescent="0.35">
      <c r="A16" t="s">
        <v>89</v>
      </c>
      <c r="B16">
        <v>295.51659899999999</v>
      </c>
      <c r="C16" s="10">
        <v>13095.4</v>
      </c>
      <c r="D16" s="10">
        <v>8228.9184270420574</v>
      </c>
      <c r="E16" s="10">
        <v>9349.6387212340887</v>
      </c>
      <c r="F16" s="10">
        <v>11558.790643176299</v>
      </c>
      <c r="G16" s="10">
        <v>13095.4</v>
      </c>
      <c r="AB16" s="4"/>
      <c r="AC16" s="4" t="s">
        <v>39</v>
      </c>
      <c r="AD16" s="4" t="s">
        <v>27</v>
      </c>
      <c r="AE16" s="4" t="s">
        <v>40</v>
      </c>
      <c r="AF16" s="4" t="s">
        <v>41</v>
      </c>
      <c r="AG16" s="4" t="s">
        <v>42</v>
      </c>
      <c r="AH16" s="4" t="s">
        <v>43</v>
      </c>
      <c r="AI16" s="4" t="s">
        <v>44</v>
      </c>
      <c r="AJ16" s="4" t="s">
        <v>45</v>
      </c>
      <c r="AX16" s="4"/>
      <c r="AY16" s="4" t="s">
        <v>39</v>
      </c>
      <c r="AZ16" s="4" t="s">
        <v>27</v>
      </c>
      <c r="BA16" s="4" t="s">
        <v>40</v>
      </c>
      <c r="BB16" s="4" t="s">
        <v>41</v>
      </c>
      <c r="BC16" s="4" t="s">
        <v>42</v>
      </c>
      <c r="BD16" s="4" t="s">
        <v>43</v>
      </c>
      <c r="BE16" s="4" t="s">
        <v>44</v>
      </c>
      <c r="BF16" s="4" t="s">
        <v>45</v>
      </c>
    </row>
    <row r="17" spans="1:58" x14ac:dyDescent="0.35">
      <c r="A17" t="s">
        <v>117</v>
      </c>
      <c r="B17">
        <v>32.311999999999998</v>
      </c>
      <c r="C17" s="10">
        <v>1133.7599854756718</v>
      </c>
      <c r="D17" s="10">
        <v>749.88561828296326</v>
      </c>
      <c r="E17" s="10">
        <v>816.66423380004289</v>
      </c>
      <c r="F17" s="10">
        <v>999.93017382957044</v>
      </c>
      <c r="G17" s="10">
        <v>1133.7599854756718</v>
      </c>
      <c r="AB17" s="2" t="s">
        <v>33</v>
      </c>
      <c r="AC17" s="2">
        <v>0.3037203074958752</v>
      </c>
      <c r="AD17" s="2">
        <v>0.58747690279173115</v>
      </c>
      <c r="AE17" s="2">
        <v>0.51699106135505102</v>
      </c>
      <c r="AF17" s="2">
        <v>0.62720997466476802</v>
      </c>
      <c r="AG17" s="2">
        <v>-1.2064371476764302</v>
      </c>
      <c r="AH17" s="2">
        <v>1.8138777626681806</v>
      </c>
      <c r="AI17" s="2">
        <v>-1.2064371476764302</v>
      </c>
      <c r="AJ17" s="2">
        <v>1.8138777626681806</v>
      </c>
      <c r="AX17" s="2" t="s">
        <v>33</v>
      </c>
      <c r="AY17" s="2">
        <v>5.0562468487214183</v>
      </c>
      <c r="AZ17" s="2">
        <v>1.3232600917963984</v>
      </c>
      <c r="BA17" s="2">
        <v>3.8210529283455417</v>
      </c>
      <c r="BB17" s="2">
        <v>1.8761348555368079E-2</v>
      </c>
      <c r="BC17" s="2">
        <v>1.382287843949725</v>
      </c>
      <c r="BD17" s="2">
        <v>8.7302058534931106</v>
      </c>
      <c r="BE17" s="2">
        <v>1.382287843949725</v>
      </c>
      <c r="BF17" s="2">
        <v>8.7302058534931106</v>
      </c>
    </row>
    <row r="18" spans="1:58" ht="15" thickBot="1" x14ac:dyDescent="0.4">
      <c r="A18" t="s">
        <v>118</v>
      </c>
      <c r="B18">
        <v>403.034582</v>
      </c>
      <c r="C18" s="10">
        <v>13704.506339972859</v>
      </c>
      <c r="D18" s="10">
        <v>9889.9597636472754</v>
      </c>
      <c r="E18" s="10">
        <v>10762.164920650266</v>
      </c>
      <c r="F18" s="10">
        <v>12546.160997079836</v>
      </c>
      <c r="G18" s="10">
        <v>13704.506339972859</v>
      </c>
      <c r="AB18" s="3" t="s">
        <v>46</v>
      </c>
      <c r="AC18" s="3">
        <v>-0.41203590478391522</v>
      </c>
      <c r="AD18" s="3">
        <v>6.5325022853879727E-2</v>
      </c>
      <c r="AE18" s="3">
        <v>-6.3074743304042169</v>
      </c>
      <c r="AF18" s="3">
        <v>1.4744995286999271E-3</v>
      </c>
      <c r="AG18" s="3">
        <v>-0.57995922194462557</v>
      </c>
      <c r="AH18" s="3">
        <v>-0.24411258762320484</v>
      </c>
      <c r="AI18" s="3">
        <v>-0.57995922194462557</v>
      </c>
      <c r="AJ18" s="3">
        <v>-0.24411258762320484</v>
      </c>
      <c r="AX18" s="2" t="s">
        <v>46</v>
      </c>
      <c r="AY18" s="2">
        <v>-0.43102616153298257</v>
      </c>
      <c r="AZ18" s="2">
        <v>0.11913123779710467</v>
      </c>
      <c r="BA18" s="2">
        <v>-3.6180784276503006</v>
      </c>
      <c r="BB18" s="2">
        <v>2.2395352862387009E-2</v>
      </c>
      <c r="BC18" s="2">
        <v>-0.76178750359090819</v>
      </c>
      <c r="BD18" s="2">
        <v>-0.10026481947505694</v>
      </c>
      <c r="BE18" s="2">
        <v>-0.76178750359090819</v>
      </c>
      <c r="BF18" s="2">
        <v>-0.10026481947505694</v>
      </c>
    </row>
    <row r="19" spans="1:58" ht="15" thickBot="1" x14ac:dyDescent="0.4">
      <c r="A19" t="s">
        <v>119</v>
      </c>
      <c r="B19">
        <v>175.911</v>
      </c>
      <c r="C19" s="10">
        <v>5416.738741510846</v>
      </c>
      <c r="D19" s="10">
        <v>4227.165129541745</v>
      </c>
      <c r="E19" s="10">
        <v>4679.688820583141</v>
      </c>
      <c r="F19" s="10">
        <v>4986.3690858426662</v>
      </c>
      <c r="G19" s="10">
        <v>5416.738741510846</v>
      </c>
      <c r="AX19" s="3" t="s">
        <v>47</v>
      </c>
      <c r="AY19" s="3">
        <v>7.5555672399231907E-3</v>
      </c>
      <c r="AZ19" s="3">
        <v>2.2236948871955799E-2</v>
      </c>
      <c r="BA19" s="3">
        <v>0.33977535692641353</v>
      </c>
      <c r="BB19" s="3">
        <v>0.75111739784336562</v>
      </c>
      <c r="BC19" s="3">
        <v>-5.4184100610152081E-2</v>
      </c>
      <c r="BD19" s="3">
        <v>6.9295235089998464E-2</v>
      </c>
      <c r="BE19" s="3">
        <v>-5.4184100610152081E-2</v>
      </c>
      <c r="BF19" s="3">
        <v>6.9295235089998464E-2</v>
      </c>
    </row>
    <row r="20" spans="1:58" x14ac:dyDescent="0.35">
      <c r="A20" t="s">
        <v>120</v>
      </c>
      <c r="B20">
        <v>24.528700000000001</v>
      </c>
      <c r="C20" s="10">
        <v>807.49702776055062</v>
      </c>
      <c r="D20" s="10">
        <v>496.11520531775324</v>
      </c>
      <c r="E20" s="10">
        <v>561.83366073001093</v>
      </c>
      <c r="F20" s="10">
        <v>685.36031189850462</v>
      </c>
      <c r="G20" s="10">
        <v>807.49702776055062</v>
      </c>
    </row>
    <row r="21" spans="1:58" x14ac:dyDescent="0.35">
      <c r="A21" t="s">
        <v>121</v>
      </c>
      <c r="B21">
        <v>118.62045500000001</v>
      </c>
      <c r="C21" s="10">
        <v>870.50752202667718</v>
      </c>
      <c r="D21" s="10">
        <v>613.36191860851113</v>
      </c>
      <c r="E21" s="10">
        <v>606.50734919830882</v>
      </c>
      <c r="F21" s="10">
        <v>713.32898950664833</v>
      </c>
      <c r="G21" s="10">
        <v>870.50752202667718</v>
      </c>
    </row>
    <row r="22" spans="1:58" ht="15" thickBot="1" x14ac:dyDescent="0.4">
      <c r="A22" t="s">
        <v>122</v>
      </c>
      <c r="B22">
        <v>284.37253500000003</v>
      </c>
      <c r="C22" s="10">
        <v>1048.1155782314536</v>
      </c>
      <c r="D22" s="10">
        <v>1153.3017619693453</v>
      </c>
      <c r="E22" s="10">
        <v>695.60395028047776</v>
      </c>
      <c r="F22" s="10">
        <v>758.55463541260485</v>
      </c>
      <c r="G22" s="10">
        <v>1048.1155782314536</v>
      </c>
    </row>
    <row r="23" spans="1:58" x14ac:dyDescent="0.35">
      <c r="A23" t="s">
        <v>123</v>
      </c>
      <c r="B23">
        <v>258.58615200000003</v>
      </c>
      <c r="C23" s="10">
        <v>1607.0495694691306</v>
      </c>
      <c r="D23" s="10">
        <v>786.3614076767243</v>
      </c>
      <c r="E23" s="10">
        <v>1003.9702308234445</v>
      </c>
      <c r="F23" s="10">
        <v>1288.9107881075161</v>
      </c>
      <c r="G23" s="10">
        <v>1607.0495694691306</v>
      </c>
      <c r="AX23" s="5" t="s">
        <v>23</v>
      </c>
      <c r="AY23" s="5"/>
    </row>
    <row r="24" spans="1:58" x14ac:dyDescent="0.35">
      <c r="A24" t="s">
        <v>124</v>
      </c>
      <c r="B24">
        <v>153.616668</v>
      </c>
      <c r="C24" s="10">
        <v>1049.8675874434059</v>
      </c>
      <c r="D24" s="10">
        <v>668.55336952256607</v>
      </c>
      <c r="E24" s="10">
        <v>755.49428764970526</v>
      </c>
      <c r="F24" s="10">
        <v>961.81764825476091</v>
      </c>
      <c r="G24" s="10">
        <v>1049.8675874434059</v>
      </c>
      <c r="AX24" s="2" t="s">
        <v>24</v>
      </c>
      <c r="AY24" s="2">
        <v>0.92802972206873069</v>
      </c>
    </row>
    <row r="25" spans="1:58" x14ac:dyDescent="0.35">
      <c r="A25" t="s">
        <v>125</v>
      </c>
      <c r="B25">
        <v>372.38273199999998</v>
      </c>
      <c r="C25" s="10">
        <v>1640.9742140292117</v>
      </c>
      <c r="D25" s="10">
        <v>1054.6511436298779</v>
      </c>
      <c r="E25" s="10">
        <v>1283.8154713896593</v>
      </c>
      <c r="F25" s="10">
        <v>1420.1028099551299</v>
      </c>
      <c r="G25" s="10">
        <v>1640.9742140292117</v>
      </c>
      <c r="AX25" s="2" t="s">
        <v>25</v>
      </c>
      <c r="AY25" s="2">
        <v>0.8612391650429656</v>
      </c>
    </row>
    <row r="26" spans="1:58" x14ac:dyDescent="0.35">
      <c r="A26" t="s">
        <v>126</v>
      </c>
      <c r="B26">
        <v>1498.6974729999999</v>
      </c>
      <c r="C26" s="10">
        <v>1043.6246722115218</v>
      </c>
      <c r="D26" s="10">
        <v>454.16563330480011</v>
      </c>
      <c r="E26" s="10">
        <v>579.29883857574919</v>
      </c>
      <c r="F26" s="10">
        <v>762.27629457646481</v>
      </c>
      <c r="G26" s="10">
        <v>1043.6246722115218</v>
      </c>
      <c r="AX26" s="2" t="s">
        <v>26</v>
      </c>
      <c r="AY26" s="2">
        <v>0.83348699805155879</v>
      </c>
    </row>
    <row r="27" spans="1:58" x14ac:dyDescent="0.35">
      <c r="A27" t="s">
        <v>127</v>
      </c>
      <c r="B27">
        <v>565.13935700000002</v>
      </c>
      <c r="C27" s="10">
        <v>913.90051464998407</v>
      </c>
      <c r="D27" s="10">
        <v>438.40959091568544</v>
      </c>
      <c r="E27" s="10">
        <v>633.26765077961136</v>
      </c>
      <c r="F27" s="10">
        <v>719.36533947397288</v>
      </c>
      <c r="G27" s="10">
        <v>913.90051464998407</v>
      </c>
      <c r="AX27" s="2" t="s">
        <v>27</v>
      </c>
      <c r="AY27" s="2">
        <v>0.28567535382137965</v>
      </c>
    </row>
    <row r="28" spans="1:58" ht="15" thickBot="1" x14ac:dyDescent="0.4">
      <c r="A28" t="s">
        <v>128</v>
      </c>
      <c r="B28">
        <v>1337.3411840000001</v>
      </c>
      <c r="C28" s="10">
        <v>2452.7886029440251</v>
      </c>
      <c r="D28" s="10">
        <v>632.9501938226208</v>
      </c>
      <c r="E28" s="10">
        <v>1075.6471202939645</v>
      </c>
      <c r="F28" s="10">
        <v>1573.3214314666402</v>
      </c>
      <c r="G28" s="10">
        <v>2452.7886029440251</v>
      </c>
      <c r="AX28" s="3" t="s">
        <v>28</v>
      </c>
      <c r="AY28" s="3">
        <v>7</v>
      </c>
    </row>
    <row r="29" spans="1:58" x14ac:dyDescent="0.35">
      <c r="A29" t="s">
        <v>129</v>
      </c>
      <c r="B29">
        <v>151.48747599999999</v>
      </c>
      <c r="C29" s="10">
        <v>328.69119373345109</v>
      </c>
      <c r="D29" s="10">
        <v>169.58741093153526</v>
      </c>
      <c r="E29" s="10">
        <v>184.59696161721965</v>
      </c>
      <c r="F29" s="10">
        <v>262.86017834927293</v>
      </c>
      <c r="G29" s="10">
        <v>328.69119373345109</v>
      </c>
    </row>
    <row r="30" spans="1:58" ht="15" thickBot="1" x14ac:dyDescent="0.4">
      <c r="A30" t="s">
        <v>130</v>
      </c>
      <c r="B30">
        <v>747.48803299999997</v>
      </c>
      <c r="C30" s="10">
        <v>642.86671058680668</v>
      </c>
      <c r="D30" s="10">
        <v>399.50179324370919</v>
      </c>
      <c r="E30" s="10">
        <v>417.23380945664729</v>
      </c>
      <c r="F30" s="10">
        <v>492.80828133714073</v>
      </c>
      <c r="G30" s="10">
        <v>642.86671058680668</v>
      </c>
      <c r="AX30" t="s">
        <v>29</v>
      </c>
    </row>
    <row r="31" spans="1:58" x14ac:dyDescent="0.35">
      <c r="A31" t="s">
        <v>131</v>
      </c>
      <c r="B31">
        <v>40.583404000000002</v>
      </c>
      <c r="C31" s="10">
        <v>144.70037018501392</v>
      </c>
      <c r="D31" s="10">
        <v>84.774357999431743</v>
      </c>
      <c r="E31" s="10">
        <v>82.056783623449064</v>
      </c>
      <c r="F31" s="10">
        <v>109.23177708668412</v>
      </c>
      <c r="G31" s="10">
        <v>144.70037018501392</v>
      </c>
      <c r="AX31" s="4"/>
      <c r="AY31" s="4" t="s">
        <v>34</v>
      </c>
      <c r="AZ31" s="4" t="s">
        <v>35</v>
      </c>
      <c r="BA31" s="4" t="s">
        <v>36</v>
      </c>
      <c r="BB31" s="4" t="s">
        <v>37</v>
      </c>
      <c r="BC31" s="4" t="s">
        <v>38</v>
      </c>
    </row>
    <row r="32" spans="1:58" x14ac:dyDescent="0.35">
      <c r="AX32" s="2" t="s">
        <v>30</v>
      </c>
      <c r="AY32" s="2">
        <v>1</v>
      </c>
      <c r="AZ32" s="2">
        <v>2.5326339192850109</v>
      </c>
      <c r="BA32" s="2">
        <v>2.5326339192850109</v>
      </c>
      <c r="BB32" s="2">
        <v>31.033222209625556</v>
      </c>
      <c r="BC32" s="2">
        <v>2.5667493166447678E-3</v>
      </c>
    </row>
    <row r="33" spans="1:58" x14ac:dyDescent="0.35">
      <c r="A33" t="s">
        <v>32</v>
      </c>
      <c r="C33" s="10">
        <f>SUM(C16:C31)</f>
        <v>45900.988630230611</v>
      </c>
      <c r="AX33" s="2" t="s">
        <v>31</v>
      </c>
      <c r="AY33" s="2">
        <v>5</v>
      </c>
      <c r="AZ33" s="2">
        <v>0.40805203890485231</v>
      </c>
      <c r="BA33" s="2">
        <v>8.1610407780970465E-2</v>
      </c>
      <c r="BB33" s="2"/>
      <c r="BC33" s="2"/>
    </row>
    <row r="34" spans="1:58" ht="15" thickBot="1" x14ac:dyDescent="0.4">
      <c r="AX34" s="3" t="s">
        <v>32</v>
      </c>
      <c r="AY34" s="3">
        <v>6</v>
      </c>
      <c r="AZ34" s="3">
        <v>2.9406859581898632</v>
      </c>
      <c r="BA34" s="3"/>
      <c r="BB34" s="3"/>
      <c r="BC34" s="3"/>
    </row>
    <row r="35" spans="1:58" ht="15" thickBot="1" x14ac:dyDescent="0.4"/>
    <row r="36" spans="1:58" x14ac:dyDescent="0.35">
      <c r="AX36" s="4"/>
      <c r="AY36" s="4" t="s">
        <v>39</v>
      </c>
      <c r="AZ36" s="4" t="s">
        <v>27</v>
      </c>
      <c r="BA36" s="4" t="s">
        <v>40</v>
      </c>
      <c r="BB36" s="4" t="s">
        <v>41</v>
      </c>
      <c r="BC36" s="4" t="s">
        <v>42</v>
      </c>
      <c r="BD36" s="4" t="s">
        <v>43</v>
      </c>
      <c r="BE36" s="4" t="s">
        <v>44</v>
      </c>
      <c r="BF36" s="4" t="s">
        <v>45</v>
      </c>
    </row>
    <row r="37" spans="1:58" x14ac:dyDescent="0.35">
      <c r="AX37" s="2" t="s">
        <v>33</v>
      </c>
      <c r="AY37" s="2">
        <v>5.4063739836582858</v>
      </c>
      <c r="AZ37" s="2">
        <v>0.753151399348156</v>
      </c>
      <c r="BA37" s="2">
        <v>7.1783362393503367</v>
      </c>
      <c r="BB37" s="2">
        <v>8.1634140095397266E-4</v>
      </c>
      <c r="BC37" s="2">
        <v>3.4703366770098434</v>
      </c>
      <c r="BD37" s="2">
        <v>7.3424112903067282</v>
      </c>
      <c r="BE37" s="2">
        <v>3.4703366770098434</v>
      </c>
      <c r="BF37" s="2">
        <v>7.3424112903067282</v>
      </c>
    </row>
    <row r="38" spans="1:58" ht="15" thickBot="1" x14ac:dyDescent="0.4">
      <c r="AX38" s="3" t="s">
        <v>46</v>
      </c>
      <c r="AY38" s="3">
        <v>-0.45735230420945439</v>
      </c>
      <c r="AZ38" s="3">
        <v>8.2098918454155193E-2</v>
      </c>
      <c r="BA38" s="3">
        <v>-5.5707470064279132</v>
      </c>
      <c r="BB38" s="3">
        <v>2.5667493166447678E-3</v>
      </c>
      <c r="BC38" s="3">
        <v>-0.66839429271309281</v>
      </c>
      <c r="BD38" s="3">
        <v>-0.24631031570581599</v>
      </c>
      <c r="BE38" s="3">
        <v>-0.66839429271309281</v>
      </c>
      <c r="BF38" s="3">
        <v>-0.24631031570581599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H38"/>
  <sheetViews>
    <sheetView topLeftCell="AB1" workbookViewId="0">
      <selection activeCell="AU11" sqref="AU11"/>
    </sheetView>
  </sheetViews>
  <sheetFormatPr defaultRowHeight="14.5" x14ac:dyDescent="0.35"/>
  <cols>
    <col min="1" max="2" width="12.81640625" customWidth="1"/>
    <col min="39" max="39" width="17.54296875" bestFit="1" customWidth="1"/>
    <col min="42" max="42" width="12" bestFit="1" customWidth="1"/>
  </cols>
  <sheetData>
    <row r="1" spans="1:60" x14ac:dyDescent="0.35">
      <c r="B1" t="s">
        <v>323</v>
      </c>
      <c r="C1" t="s">
        <v>98</v>
      </c>
      <c r="D1" t="s">
        <v>133</v>
      </c>
      <c r="G1" t="s">
        <v>134</v>
      </c>
      <c r="J1" t="s">
        <v>116</v>
      </c>
      <c r="M1" t="s">
        <v>135</v>
      </c>
      <c r="P1" t="s">
        <v>116</v>
      </c>
      <c r="S1" t="s">
        <v>116</v>
      </c>
      <c r="AB1" t="s">
        <v>22</v>
      </c>
      <c r="AP1" t="s">
        <v>98</v>
      </c>
      <c r="AQ1" t="s">
        <v>323</v>
      </c>
      <c r="AS1" t="s">
        <v>618</v>
      </c>
      <c r="AZ1" t="s">
        <v>22</v>
      </c>
    </row>
    <row r="2" spans="1:60" ht="15" thickBot="1" x14ac:dyDescent="0.4">
      <c r="C2" t="s">
        <v>132</v>
      </c>
      <c r="D2" t="s">
        <v>113</v>
      </c>
      <c r="G2" t="s">
        <v>113</v>
      </c>
      <c r="J2" t="s">
        <v>113</v>
      </c>
      <c r="P2" t="s">
        <v>113</v>
      </c>
      <c r="S2" t="s">
        <v>132</v>
      </c>
      <c r="AL2" t="s">
        <v>92</v>
      </c>
      <c r="AM2" s="7">
        <f>P4</f>
        <v>-0.1</v>
      </c>
      <c r="AN2" s="7">
        <f>Q4</f>
        <v>1.23</v>
      </c>
      <c r="AO2" s="7">
        <f>R4</f>
        <v>2.5</v>
      </c>
      <c r="AP2">
        <f>PlambeckHope!AN2</f>
        <v>13422321693333.385</v>
      </c>
      <c r="AQ2">
        <f>PlambeckHope!AO2</f>
        <v>399165762</v>
      </c>
      <c r="AR2">
        <f>PlambeckHope!AP2</f>
        <v>33625.93431380867</v>
      </c>
      <c r="AS2">
        <f>PlambeckHope!AQ2</f>
        <v>10.267820367569501</v>
      </c>
      <c r="AT2">
        <f>PlambeckHope!AR2</f>
        <v>4098562341.0999999</v>
      </c>
      <c r="AV2">
        <f>LN(AN2)</f>
        <v>0.20701416938432612</v>
      </c>
      <c r="AW2">
        <f>LN(AR2)</f>
        <v>10.423052902802381</v>
      </c>
      <c r="AX2" s="1">
        <f>AS2</f>
        <v>10.267820367569501</v>
      </c>
    </row>
    <row r="3" spans="1:60" x14ac:dyDescent="0.35">
      <c r="D3" t="s">
        <v>136</v>
      </c>
      <c r="E3" t="s">
        <v>137</v>
      </c>
      <c r="F3" t="s">
        <v>138</v>
      </c>
      <c r="AB3" s="5" t="s">
        <v>23</v>
      </c>
      <c r="AC3" s="5"/>
      <c r="AL3" t="s">
        <v>89</v>
      </c>
      <c r="AM3" s="7">
        <f t="shared" ref="AM3:AO9" si="0">P5</f>
        <v>0</v>
      </c>
      <c r="AN3" s="7">
        <f t="shared" si="0"/>
        <v>0.3075</v>
      </c>
      <c r="AO3" s="7">
        <f t="shared" si="0"/>
        <v>1.25</v>
      </c>
      <c r="AP3">
        <f>PlambeckHope!AN3</f>
        <v>13595644353592.4</v>
      </c>
      <c r="AQ3">
        <f>PlambeckHope!AO3</f>
        <v>309326225</v>
      </c>
      <c r="AR3">
        <f>PlambeckHope!AP3</f>
        <v>43952.446494287382</v>
      </c>
      <c r="AS3">
        <f>PlambeckHope!AQ3</f>
        <v>8.5</v>
      </c>
      <c r="AT3">
        <f>PlambeckHope!AR3</f>
        <v>2629272912.5</v>
      </c>
      <c r="AV3">
        <f t="shared" ref="AV3:AV4" si="1">LN(AN3)</f>
        <v>-1.1792801917355644</v>
      </c>
      <c r="AW3">
        <f t="shared" ref="AW3:AW4" si="2">LN(AR3)</f>
        <v>10.690863566963092</v>
      </c>
      <c r="AX3" s="1">
        <f t="shared" ref="AX3:AX4" si="3">AS3</f>
        <v>8.5</v>
      </c>
      <c r="AZ3" s="5" t="s">
        <v>23</v>
      </c>
      <c r="BA3" s="5"/>
    </row>
    <row r="4" spans="1:60" x14ac:dyDescent="0.35">
      <c r="A4" t="s">
        <v>92</v>
      </c>
      <c r="B4" s="10">
        <f>B18</f>
        <v>403.034582</v>
      </c>
      <c r="C4" s="10">
        <f>C18</f>
        <v>13704.506339972859</v>
      </c>
      <c r="D4">
        <v>0</v>
      </c>
      <c r="E4">
        <v>0.73</v>
      </c>
      <c r="F4">
        <v>1.5</v>
      </c>
      <c r="G4">
        <v>-0.1</v>
      </c>
      <c r="H4">
        <v>0.5</v>
      </c>
      <c r="I4">
        <v>1</v>
      </c>
      <c r="J4">
        <f>D4+G4</f>
        <v>-0.1</v>
      </c>
      <c r="K4">
        <f>E4+H4</f>
        <v>1.23</v>
      </c>
      <c r="L4">
        <f>F4+I4</f>
        <v>2.5</v>
      </c>
      <c r="M4" s="7">
        <v>1</v>
      </c>
      <c r="N4" s="7">
        <v>1</v>
      </c>
      <c r="O4" s="7">
        <v>1</v>
      </c>
      <c r="P4" s="7">
        <f>J$4*M4</f>
        <v>-0.1</v>
      </c>
      <c r="Q4" s="7">
        <f t="shared" ref="Q4:R11" si="4">K$4*N4</f>
        <v>1.23</v>
      </c>
      <c r="R4" s="7">
        <f t="shared" si="4"/>
        <v>2.5</v>
      </c>
      <c r="S4" s="10">
        <f>$C4*P4/100</f>
        <v>-13.704506339972859</v>
      </c>
      <c r="T4" s="10">
        <f t="shared" ref="T4:U11" si="5">$C4*Q4/100</f>
        <v>168.56542798166615</v>
      </c>
      <c r="U4" s="10">
        <f t="shared" si="5"/>
        <v>342.61265849932147</v>
      </c>
      <c r="W4">
        <f>C4/B4*1000</f>
        <v>34003.301334506476</v>
      </c>
      <c r="X4">
        <f>Q4/100</f>
        <v>1.23E-2</v>
      </c>
      <c r="Y4">
        <f>LN(W4)</f>
        <v>10.434212896958305</v>
      </c>
      <c r="Z4">
        <f t="shared" ref="Z4:Z6" si="6">LN(X4)</f>
        <v>-4.3981560166037657</v>
      </c>
      <c r="AB4" s="2" t="s">
        <v>24</v>
      </c>
      <c r="AC4" s="2">
        <v>0.48972147565020008</v>
      </c>
      <c r="AL4" t="s">
        <v>108</v>
      </c>
      <c r="AM4" s="7">
        <f t="shared" si="0"/>
        <v>0</v>
      </c>
      <c r="AN4" s="7">
        <f t="shared" si="0"/>
        <v>0.3075</v>
      </c>
      <c r="AO4" s="7">
        <f t="shared" si="0"/>
        <v>1.25</v>
      </c>
      <c r="AP4">
        <f>PlambeckHope!AN4</f>
        <v>7584984327892.3086</v>
      </c>
      <c r="AQ4">
        <f>PlambeckHope!AO4</f>
        <v>202145993</v>
      </c>
      <c r="AR4">
        <f>PlambeckHope!AP4</f>
        <v>37522.30858166112</v>
      </c>
      <c r="AS4">
        <f>PlambeckHope!AQ4</f>
        <v>9.0237181812453731</v>
      </c>
      <c r="AT4">
        <f>PlambeckHope!AR4</f>
        <v>1824108472.3</v>
      </c>
      <c r="AV4">
        <f t="shared" si="1"/>
        <v>-1.1792801917355644</v>
      </c>
      <c r="AW4">
        <f t="shared" si="2"/>
        <v>10.532690930589277</v>
      </c>
      <c r="AX4" s="1">
        <f t="shared" si="3"/>
        <v>9.0237181812453731</v>
      </c>
      <c r="AZ4" s="2" t="s">
        <v>24</v>
      </c>
      <c r="BA4" s="2">
        <v>0.92904819914966297</v>
      </c>
    </row>
    <row r="5" spans="1:60" x14ac:dyDescent="0.35">
      <c r="A5" t="s">
        <v>89</v>
      </c>
      <c r="B5" s="10">
        <f>B16</f>
        <v>295.51659899999999</v>
      </c>
      <c r="C5" s="10">
        <f>C16</f>
        <v>13095.4</v>
      </c>
      <c r="M5" s="7">
        <v>0</v>
      </c>
      <c r="N5" s="7">
        <v>0.25</v>
      </c>
      <c r="O5" s="7">
        <v>0.5</v>
      </c>
      <c r="P5" s="7">
        <f t="shared" ref="P5:P11" si="7">J$4*M5</f>
        <v>0</v>
      </c>
      <c r="Q5" s="7">
        <f t="shared" si="4"/>
        <v>0.3075</v>
      </c>
      <c r="R5" s="7">
        <f t="shared" si="4"/>
        <v>1.25</v>
      </c>
      <c r="S5" s="10">
        <f t="shared" ref="S5:S11" si="8">$C5*P5/100</f>
        <v>0</v>
      </c>
      <c r="T5" s="10">
        <f t="shared" si="5"/>
        <v>40.268355</v>
      </c>
      <c r="U5" s="10">
        <f t="shared" si="5"/>
        <v>163.6925</v>
      </c>
      <c r="W5">
        <f t="shared" ref="W5:W11" si="9">C5/B5*1000</f>
        <v>44313.585241281151</v>
      </c>
      <c r="X5">
        <f t="shared" ref="X5:X11" si="10">Q5/100</f>
        <v>3.075E-3</v>
      </c>
      <c r="Y5">
        <f t="shared" ref="Y5:Y6" si="11">LN(W5)</f>
        <v>10.699046573609992</v>
      </c>
      <c r="Z5">
        <f t="shared" si="6"/>
        <v>-5.7844503777236556</v>
      </c>
      <c r="AB5" s="2" t="s">
        <v>25</v>
      </c>
      <c r="AC5" s="2">
        <v>0.23982712371300949</v>
      </c>
      <c r="AL5" t="s">
        <v>109</v>
      </c>
      <c r="AM5" s="7">
        <f t="shared" si="0"/>
        <v>0.1</v>
      </c>
      <c r="AN5" s="7">
        <f t="shared" si="0"/>
        <v>-0.43049999999999999</v>
      </c>
      <c r="AO5" s="7">
        <f t="shared" si="0"/>
        <v>0.5</v>
      </c>
      <c r="AP5">
        <f>PlambeckHope!AN5</f>
        <v>2291249317566.1226</v>
      </c>
      <c r="AQ5">
        <f>PlambeckHope!AO5</f>
        <v>413630243</v>
      </c>
      <c r="AR5">
        <f>PlambeckHope!AP5</f>
        <v>5539.3660312360735</v>
      </c>
      <c r="AS5">
        <f>PlambeckHope!AQ5</f>
        <v>4.1254740461518917</v>
      </c>
      <c r="AT5">
        <f>PlambeckHope!AR5</f>
        <v>1706420832.2</v>
      </c>
      <c r="AV5">
        <f>LN(AN6)</f>
        <v>-1.4024237430497744</v>
      </c>
      <c r="AW5">
        <f>LN(AR6)</f>
        <v>7.9609590742794234</v>
      </c>
      <c r="AX5" s="1">
        <f>AS6</f>
        <v>6.8846191167010646</v>
      </c>
      <c r="AZ5" s="2" t="s">
        <v>25</v>
      </c>
      <c r="BA5" s="2">
        <v>0.86313055634323177</v>
      </c>
    </row>
    <row r="6" spans="1:60" x14ac:dyDescent="0.35">
      <c r="A6" t="s">
        <v>108</v>
      </c>
      <c r="B6" s="10">
        <f>B17+B19+B20</f>
        <v>232.75170000000003</v>
      </c>
      <c r="C6" s="10">
        <f>C17+C19+C20</f>
        <v>7357.9957547470685</v>
      </c>
      <c r="M6" s="7">
        <v>0</v>
      </c>
      <c r="N6" s="7">
        <v>0.25</v>
      </c>
      <c r="O6" s="7">
        <v>0.5</v>
      </c>
      <c r="P6" s="7">
        <f t="shared" si="7"/>
        <v>0</v>
      </c>
      <c r="Q6" s="7">
        <f t="shared" si="4"/>
        <v>0.3075</v>
      </c>
      <c r="R6" s="7">
        <f t="shared" si="4"/>
        <v>1.25</v>
      </c>
      <c r="S6" s="10">
        <f t="shared" si="8"/>
        <v>0</v>
      </c>
      <c r="T6" s="10">
        <f t="shared" si="5"/>
        <v>22.625836945847237</v>
      </c>
      <c r="U6" s="10">
        <f t="shared" si="5"/>
        <v>91.974946934338348</v>
      </c>
      <c r="W6">
        <f t="shared" si="9"/>
        <v>31613.069871227868</v>
      </c>
      <c r="X6">
        <f t="shared" si="10"/>
        <v>3.075E-3</v>
      </c>
      <c r="Y6">
        <f t="shared" si="11"/>
        <v>10.361325917584514</v>
      </c>
      <c r="Z6">
        <f t="shared" si="6"/>
        <v>-5.7844503777236556</v>
      </c>
      <c r="AB6" s="2" t="s">
        <v>26</v>
      </c>
      <c r="AC6" s="2">
        <v>8.779254845561138E-2</v>
      </c>
      <c r="AL6" t="s">
        <v>91</v>
      </c>
      <c r="AM6" s="7">
        <f t="shared" si="0"/>
        <v>0</v>
      </c>
      <c r="AN6" s="7">
        <f t="shared" si="0"/>
        <v>0.246</v>
      </c>
      <c r="AO6" s="7">
        <f t="shared" si="0"/>
        <v>1.25</v>
      </c>
      <c r="AP6">
        <f>PlambeckHope!AN6</f>
        <v>3842737892785.8301</v>
      </c>
      <c r="AQ6">
        <f>PlambeckHope!AO6</f>
        <v>1340417738</v>
      </c>
      <c r="AR6">
        <f>PlambeckHope!AP6</f>
        <v>2866.8211288515718</v>
      </c>
      <c r="AS6">
        <f>PlambeckHope!AQ6</f>
        <v>6.8846191167010646</v>
      </c>
      <c r="AT6">
        <f>PlambeckHope!AR6</f>
        <v>9228265583.3999996</v>
      </c>
      <c r="AV6">
        <f>LN(AN7)</f>
        <v>1.1233049012584813</v>
      </c>
      <c r="AW6">
        <f>LN(AR7)</f>
        <v>7.5081388764274744</v>
      </c>
      <c r="AX6" s="1">
        <f>AS7</f>
        <v>23.408799207089249</v>
      </c>
      <c r="AZ6" s="2" t="s">
        <v>26</v>
      </c>
      <c r="BA6" s="2">
        <v>0.7946958345148476</v>
      </c>
    </row>
    <row r="7" spans="1:60" x14ac:dyDescent="0.35">
      <c r="A7" t="s">
        <v>109</v>
      </c>
      <c r="B7" s="10">
        <f>B21+B22</f>
        <v>402.99299000000002</v>
      </c>
      <c r="C7" s="10">
        <f>C21+C22</f>
        <v>1918.6231002581308</v>
      </c>
      <c r="M7" s="7">
        <v>-1</v>
      </c>
      <c r="N7" s="7">
        <v>-0.35</v>
      </c>
      <c r="O7" s="7">
        <v>0.2</v>
      </c>
      <c r="P7" s="7">
        <f t="shared" si="7"/>
        <v>0.1</v>
      </c>
      <c r="Q7" s="7">
        <f t="shared" si="4"/>
        <v>-0.43049999999999999</v>
      </c>
      <c r="R7" s="7">
        <f t="shared" si="4"/>
        <v>0.5</v>
      </c>
      <c r="S7" s="10">
        <f t="shared" si="8"/>
        <v>1.9186231002581309</v>
      </c>
      <c r="T7" s="10">
        <f t="shared" si="5"/>
        <v>-8.259672446611253</v>
      </c>
      <c r="U7" s="10">
        <f t="shared" si="5"/>
        <v>9.5931155012906544</v>
      </c>
      <c r="W7">
        <f t="shared" si="9"/>
        <v>4760.9341796693061</v>
      </c>
      <c r="X7">
        <f t="shared" si="10"/>
        <v>-4.3049999999999998E-3</v>
      </c>
      <c r="Y7">
        <f t="shared" ref="Y7:Z10" si="12">LN(W8)</f>
        <v>7.5142974097543327</v>
      </c>
      <c r="Z7">
        <f t="shared" si="12"/>
        <v>-6.0075939290378653</v>
      </c>
      <c r="AB7" s="2" t="s">
        <v>27</v>
      </c>
      <c r="AC7" s="2">
        <v>1.0517701090844458</v>
      </c>
      <c r="AL7" t="s">
        <v>110</v>
      </c>
      <c r="AM7" s="7">
        <f t="shared" si="0"/>
        <v>-0.15000000000000002</v>
      </c>
      <c r="AN7" s="7">
        <f t="shared" si="0"/>
        <v>3.0750000000000002</v>
      </c>
      <c r="AO7" s="7">
        <f t="shared" si="0"/>
        <v>10</v>
      </c>
      <c r="AP7">
        <f>PlambeckHope!AN7</f>
        <v>4039484437740.9517</v>
      </c>
      <c r="AQ7">
        <f>PlambeckHope!AO7</f>
        <v>2216065823</v>
      </c>
      <c r="AR7">
        <f>PlambeckHope!AP7</f>
        <v>1822.8178945842403</v>
      </c>
      <c r="AS7">
        <f>PlambeckHope!AQ7</f>
        <v>23.408799207089249</v>
      </c>
      <c r="AT7">
        <f>PlambeckHope!AR7</f>
        <v>51875439880.299988</v>
      </c>
      <c r="AV7">
        <f>LN(AN8)</f>
        <v>0.81133013623765571</v>
      </c>
      <c r="AW7">
        <f>LN(AR8)</f>
        <v>7.8450040571846733</v>
      </c>
      <c r="AX7" s="1">
        <f>AS8</f>
        <v>22.509952998265163</v>
      </c>
      <c r="AZ7" s="2" t="s">
        <v>27</v>
      </c>
      <c r="BA7" s="2">
        <v>0.49896823290453551</v>
      </c>
    </row>
    <row r="8" spans="1:60" ht="15" thickBot="1" x14ac:dyDescent="0.4">
      <c r="A8" t="s">
        <v>91</v>
      </c>
      <c r="B8" s="10">
        <f>B28</f>
        <v>1337.3411840000001</v>
      </c>
      <c r="C8" s="10">
        <f>C28</f>
        <v>2452.7886029440251</v>
      </c>
      <c r="M8" s="7">
        <v>0</v>
      </c>
      <c r="N8" s="7">
        <v>0.2</v>
      </c>
      <c r="O8" s="7">
        <v>0.5</v>
      </c>
      <c r="P8" s="7">
        <f t="shared" si="7"/>
        <v>0</v>
      </c>
      <c r="Q8" s="7">
        <f t="shared" si="4"/>
        <v>0.246</v>
      </c>
      <c r="R8" s="7">
        <f t="shared" si="4"/>
        <v>1.25</v>
      </c>
      <c r="S8" s="10">
        <f t="shared" si="8"/>
        <v>0</v>
      </c>
      <c r="T8" s="10">
        <f t="shared" si="5"/>
        <v>6.0338599632423016</v>
      </c>
      <c r="U8" s="10">
        <f t="shared" si="5"/>
        <v>30.659857536800313</v>
      </c>
      <c r="W8">
        <f t="shared" si="9"/>
        <v>1834.0784179005923</v>
      </c>
      <c r="X8">
        <f t="shared" si="10"/>
        <v>2.4599999999999999E-3</v>
      </c>
      <c r="Y8">
        <f t="shared" si="12"/>
        <v>6.8548695053717958</v>
      </c>
      <c r="Z8">
        <f t="shared" si="12"/>
        <v>-3.4818652847296101</v>
      </c>
      <c r="AB8" s="3" t="s">
        <v>28</v>
      </c>
      <c r="AC8" s="3">
        <v>7</v>
      </c>
      <c r="AL8" t="s">
        <v>111</v>
      </c>
      <c r="AM8" s="7">
        <f t="shared" si="0"/>
        <v>-0.1</v>
      </c>
      <c r="AN8" s="7">
        <f t="shared" si="0"/>
        <v>2.2509000000000001</v>
      </c>
      <c r="AO8" s="7">
        <f t="shared" si="0"/>
        <v>7.5</v>
      </c>
      <c r="AP8">
        <f>PlambeckHope!AN8</f>
        <v>3254999932256.8066</v>
      </c>
      <c r="AQ8">
        <f>PlambeckHope!AO8</f>
        <v>1274996555</v>
      </c>
      <c r="AR8">
        <f>PlambeckHope!AP8</f>
        <v>2552.9480213041097</v>
      </c>
      <c r="AS8">
        <f>PlambeckHope!AQ8</f>
        <v>22.509952998265163</v>
      </c>
      <c r="AT8">
        <f>PlambeckHope!AR8</f>
        <v>28700112526.000004</v>
      </c>
      <c r="AV8">
        <f>LN(AN9)</f>
        <v>0.81133013623765571</v>
      </c>
      <c r="AW8">
        <f>LN(AR9)</f>
        <v>8.663572299162988</v>
      </c>
      <c r="AX8" s="1">
        <f>AS9</f>
        <v>22.4226496622978</v>
      </c>
      <c r="AZ8" s="3" t="s">
        <v>28</v>
      </c>
      <c r="BA8" s="3">
        <v>7</v>
      </c>
    </row>
    <row r="9" spans="1:60" x14ac:dyDescent="0.35">
      <c r="A9" t="s">
        <v>110</v>
      </c>
      <c r="B9" s="10">
        <f>B26+B27</f>
        <v>2063.8368300000002</v>
      </c>
      <c r="C9" s="10">
        <f>C26+C27</f>
        <v>1957.525186861506</v>
      </c>
      <c r="M9" s="7">
        <v>1.5</v>
      </c>
      <c r="N9" s="7">
        <v>2.5</v>
      </c>
      <c r="O9" s="7">
        <v>4</v>
      </c>
      <c r="P9" s="7">
        <f t="shared" si="7"/>
        <v>-0.15000000000000002</v>
      </c>
      <c r="Q9" s="7">
        <f t="shared" si="4"/>
        <v>3.0750000000000002</v>
      </c>
      <c r="R9" s="7">
        <f t="shared" si="4"/>
        <v>10</v>
      </c>
      <c r="S9" s="10">
        <f t="shared" si="8"/>
        <v>-2.9362877802922593</v>
      </c>
      <c r="T9" s="10">
        <f t="shared" si="5"/>
        <v>60.19389949599131</v>
      </c>
      <c r="U9" s="10">
        <f t="shared" si="5"/>
        <v>195.75251868615058</v>
      </c>
      <c r="W9">
        <f t="shared" si="9"/>
        <v>948.48834869445841</v>
      </c>
      <c r="X9">
        <f t="shared" si="10"/>
        <v>3.0750000000000003E-2</v>
      </c>
      <c r="Y9">
        <f t="shared" si="12"/>
        <v>7.7086890169611557</v>
      </c>
      <c r="Z9">
        <f t="shared" si="12"/>
        <v>-3.7938400497504357</v>
      </c>
      <c r="AL9" t="s">
        <v>112</v>
      </c>
      <c r="AM9" s="7">
        <f t="shared" si="0"/>
        <v>-0.1</v>
      </c>
      <c r="AN9" s="7">
        <f t="shared" si="0"/>
        <v>2.2509000000000001</v>
      </c>
      <c r="AO9" s="7">
        <f t="shared" si="0"/>
        <v>7.5</v>
      </c>
      <c r="AP9">
        <f>PlambeckHope!AN9</f>
        <v>3381820643060.1235</v>
      </c>
      <c r="AQ9">
        <f>PlambeckHope!AO9</f>
        <v>584263731</v>
      </c>
      <c r="AR9">
        <f>PlambeckHope!AP9</f>
        <v>5788.1748662918862</v>
      </c>
      <c r="AS9">
        <f>PlambeckHope!AQ9</f>
        <v>22.4226496622978</v>
      </c>
      <c r="AT9">
        <f>PlambeckHope!AR9</f>
        <v>13100740950.600002</v>
      </c>
    </row>
    <row r="10" spans="1:60" ht="15" thickBot="1" x14ac:dyDescent="0.4">
      <c r="A10" t="s">
        <v>111</v>
      </c>
      <c r="B10" s="10">
        <f>B29+B30+B23</f>
        <v>1157.561661</v>
      </c>
      <c r="C10" s="10">
        <f>C29+C30+C23</f>
        <v>2578.6074737893882</v>
      </c>
      <c r="M10" s="7">
        <v>1</v>
      </c>
      <c r="N10" s="7">
        <v>1.83</v>
      </c>
      <c r="O10" s="7">
        <v>3</v>
      </c>
      <c r="P10" s="7">
        <f t="shared" si="7"/>
        <v>-0.1</v>
      </c>
      <c r="Q10" s="7">
        <f t="shared" si="4"/>
        <v>2.2509000000000001</v>
      </c>
      <c r="R10" s="7">
        <f t="shared" si="4"/>
        <v>7.5</v>
      </c>
      <c r="S10" s="10">
        <f t="shared" si="8"/>
        <v>-2.578607473789388</v>
      </c>
      <c r="T10" s="10">
        <f t="shared" si="5"/>
        <v>58.041875627525343</v>
      </c>
      <c r="U10" s="10">
        <f t="shared" si="5"/>
        <v>193.39556053420412</v>
      </c>
      <c r="W10">
        <f t="shared" si="9"/>
        <v>2227.6199710707147</v>
      </c>
      <c r="X10">
        <f t="shared" si="10"/>
        <v>2.2509000000000001E-2</v>
      </c>
      <c r="Y10">
        <f t="shared" si="12"/>
        <v>8.5181204815838214</v>
      </c>
      <c r="Z10">
        <f t="shared" si="12"/>
        <v>-3.7938400497504357</v>
      </c>
      <c r="AB10" t="s">
        <v>29</v>
      </c>
      <c r="AZ10" t="s">
        <v>29</v>
      </c>
    </row>
    <row r="11" spans="1:60" x14ac:dyDescent="0.35">
      <c r="A11" t="s">
        <v>112</v>
      </c>
      <c r="B11" s="10">
        <f>B24+B25+B31</f>
        <v>566.5828039999999</v>
      </c>
      <c r="C11" s="10">
        <f>C24+C25+C31</f>
        <v>2835.5421716576316</v>
      </c>
      <c r="M11" s="7">
        <v>1</v>
      </c>
      <c r="N11" s="7">
        <v>1.83</v>
      </c>
      <c r="O11" s="7">
        <v>3</v>
      </c>
      <c r="P11" s="7">
        <f t="shared" si="7"/>
        <v>-0.1</v>
      </c>
      <c r="Q11" s="7">
        <f t="shared" si="4"/>
        <v>2.2509000000000001</v>
      </c>
      <c r="R11" s="7">
        <f t="shared" si="4"/>
        <v>7.5</v>
      </c>
      <c r="S11" s="10">
        <f t="shared" si="8"/>
        <v>-2.8355421716576319</v>
      </c>
      <c r="T11" s="10">
        <f t="shared" si="5"/>
        <v>63.825218741841638</v>
      </c>
      <c r="U11" s="10">
        <f t="shared" si="5"/>
        <v>212.66566287432238</v>
      </c>
      <c r="W11">
        <f t="shared" si="9"/>
        <v>5004.6386011701688</v>
      </c>
      <c r="X11">
        <f t="shared" si="10"/>
        <v>2.2509000000000001E-2</v>
      </c>
      <c r="AB11" s="4"/>
      <c r="AC11" s="4" t="s">
        <v>34</v>
      </c>
      <c r="AD11" s="4" t="s">
        <v>35</v>
      </c>
      <c r="AE11" s="4" t="s">
        <v>36</v>
      </c>
      <c r="AF11" s="4" t="s">
        <v>37</v>
      </c>
      <c r="AG11" s="4" t="s">
        <v>38</v>
      </c>
      <c r="AM11" s="7">
        <f>SUMPRODUCT(AM2:AM9,$AP2:$AP9)/$AP11</f>
        <v>-4.6344323764782099E-2</v>
      </c>
      <c r="AN11" s="7">
        <f>SUMPRODUCT(AN2:AN9,$AP2:$AP9)/$AP11</f>
        <v>0.97915753272366335</v>
      </c>
      <c r="AO11" s="7">
        <f>SUMPRODUCT(AO2:AO9,$AP2:$AP9)/$AP11</f>
        <v>3.0371870730367685</v>
      </c>
      <c r="AP11">
        <f>SUM(AP2:AP9)</f>
        <v>51413242598227.93</v>
      </c>
      <c r="AZ11" s="4"/>
      <c r="BA11" s="4" t="s">
        <v>34</v>
      </c>
      <c r="BB11" s="4" t="s">
        <v>35</v>
      </c>
      <c r="BC11" s="4" t="s">
        <v>36</v>
      </c>
      <c r="BD11" s="4" t="s">
        <v>37</v>
      </c>
      <c r="BE11" s="4" t="s">
        <v>38</v>
      </c>
    </row>
    <row r="12" spans="1:60" x14ac:dyDescent="0.35">
      <c r="B12" s="10"/>
      <c r="C12" s="10"/>
      <c r="N12" s="7"/>
      <c r="Q12" s="7"/>
      <c r="AB12" s="2" t="s">
        <v>30</v>
      </c>
      <c r="AC12" s="2">
        <v>1</v>
      </c>
      <c r="AD12" s="2">
        <v>1.7450086419437225</v>
      </c>
      <c r="AE12" s="2">
        <v>1.7450086419437225</v>
      </c>
      <c r="AF12" s="2">
        <v>1.577451203497471</v>
      </c>
      <c r="AG12" s="2">
        <v>0.26461964701391</v>
      </c>
      <c r="AZ12" s="2" t="s">
        <v>30</v>
      </c>
      <c r="BA12" s="2">
        <v>2</v>
      </c>
      <c r="BB12" s="2">
        <v>6.2802332639697589</v>
      </c>
      <c r="BC12" s="2">
        <v>3.1401166319848794</v>
      </c>
      <c r="BD12" s="2">
        <v>12.612465328751258</v>
      </c>
      <c r="BE12" s="2">
        <v>1.8733244606913259E-2</v>
      </c>
    </row>
    <row r="13" spans="1:60" x14ac:dyDescent="0.35">
      <c r="A13" t="s">
        <v>32</v>
      </c>
      <c r="B13" s="10">
        <f>SUM(B4:B11)</f>
        <v>6459.6183499999997</v>
      </c>
      <c r="C13" s="10">
        <f>SUM(C4:C11)</f>
        <v>45900.988630230611</v>
      </c>
      <c r="P13" s="7">
        <f>S13/$C13*100</f>
        <v>-4.3869034777591111E-2</v>
      </c>
      <c r="Q13" s="7">
        <f>T13/$C13*100</f>
        <v>0.89604780546844676</v>
      </c>
      <c r="R13" s="7">
        <f>U13/$C13*100</f>
        <v>2.7022224522404503</v>
      </c>
      <c r="S13" s="10">
        <f>SUM(S4:S11)</f>
        <v>-20.136320665454008</v>
      </c>
      <c r="T13" s="10">
        <f>SUM(T4:T11)</f>
        <v>411.2948013095027</v>
      </c>
      <c r="U13" s="10">
        <f>SUM(U4:U11)</f>
        <v>1240.3468205664278</v>
      </c>
      <c r="AB13" s="2" t="s">
        <v>31</v>
      </c>
      <c r="AC13" s="2">
        <v>5</v>
      </c>
      <c r="AD13" s="2">
        <v>5.5311018118175346</v>
      </c>
      <c r="AE13" s="2">
        <v>1.106220362363507</v>
      </c>
      <c r="AF13" s="2"/>
      <c r="AG13" s="2"/>
      <c r="AZ13" s="2" t="s">
        <v>31</v>
      </c>
      <c r="BA13" s="2">
        <v>4</v>
      </c>
      <c r="BB13" s="2">
        <v>0.99587718979149908</v>
      </c>
      <c r="BC13" s="2">
        <v>0.24896929744787477</v>
      </c>
      <c r="BD13" s="2"/>
      <c r="BE13" s="2"/>
    </row>
    <row r="14" spans="1:60" ht="15" thickBot="1" x14ac:dyDescent="0.4">
      <c r="AB14" s="3" t="s">
        <v>32</v>
      </c>
      <c r="AC14" s="3">
        <v>6</v>
      </c>
      <c r="AD14" s="3">
        <v>7.2761104537612571</v>
      </c>
      <c r="AE14" s="3"/>
      <c r="AF14" s="3"/>
      <c r="AG14" s="3"/>
      <c r="AZ14" s="3" t="s">
        <v>32</v>
      </c>
      <c r="BA14" s="3">
        <v>6</v>
      </c>
      <c r="BB14" s="3">
        <v>7.276110453761258</v>
      </c>
      <c r="BC14" s="3"/>
      <c r="BD14" s="3"/>
      <c r="BE14" s="3"/>
    </row>
    <row r="15" spans="1:60" ht="15" thickBot="1" x14ac:dyDescent="0.4">
      <c r="B15">
        <v>2005</v>
      </c>
      <c r="C15">
        <v>2005</v>
      </c>
      <c r="D15" s="10"/>
    </row>
    <row r="16" spans="1:60" x14ac:dyDescent="0.35">
      <c r="A16" t="s">
        <v>89</v>
      </c>
      <c r="B16">
        <v>295.51659899999999</v>
      </c>
      <c r="C16" s="10">
        <v>13095.4</v>
      </c>
      <c r="D16" s="10"/>
      <c r="E16" s="10"/>
      <c r="G16" s="10"/>
      <c r="AB16" s="4"/>
      <c r="AC16" s="4" t="s">
        <v>39</v>
      </c>
      <c r="AD16" s="4" t="s">
        <v>27</v>
      </c>
      <c r="AE16" s="4" t="s">
        <v>40</v>
      </c>
      <c r="AF16" s="4" t="s">
        <v>41</v>
      </c>
      <c r="AG16" s="4" t="s">
        <v>42</v>
      </c>
      <c r="AH16" s="4" t="s">
        <v>43</v>
      </c>
      <c r="AI16" s="4" t="s">
        <v>44</v>
      </c>
      <c r="AJ16" s="4" t="s">
        <v>45</v>
      </c>
      <c r="AZ16" s="4"/>
      <c r="BA16" s="4" t="s">
        <v>39</v>
      </c>
      <c r="BB16" s="4" t="s">
        <v>27</v>
      </c>
      <c r="BC16" s="4" t="s">
        <v>40</v>
      </c>
      <c r="BD16" s="4" t="s">
        <v>41</v>
      </c>
      <c r="BE16" s="4" t="s">
        <v>42</v>
      </c>
      <c r="BF16" s="4" t="s">
        <v>43</v>
      </c>
      <c r="BG16" s="4" t="s">
        <v>44</v>
      </c>
      <c r="BH16" s="4" t="s">
        <v>45</v>
      </c>
    </row>
    <row r="17" spans="1:60" x14ac:dyDescent="0.35">
      <c r="A17" t="s">
        <v>117</v>
      </c>
      <c r="B17">
        <v>32.311999999999998</v>
      </c>
      <c r="C17" s="10">
        <v>1133.7599854756718</v>
      </c>
      <c r="D17" s="10"/>
      <c r="E17" s="10"/>
      <c r="F17" s="10"/>
      <c r="G17" s="10"/>
      <c r="AB17" s="2" t="s">
        <v>33</v>
      </c>
      <c r="AC17" s="2">
        <v>-1.7335380086471894</v>
      </c>
      <c r="AD17" s="2">
        <v>2.4112923282499121</v>
      </c>
      <c r="AE17" s="2">
        <v>-0.7189248637909329</v>
      </c>
      <c r="AF17" s="2">
        <v>0.50437372145464909</v>
      </c>
      <c r="AG17" s="2">
        <v>-7.9319622680556119</v>
      </c>
      <c r="AH17" s="2">
        <v>4.4648862507612339</v>
      </c>
      <c r="AI17" s="2">
        <v>-7.9319622680556119</v>
      </c>
      <c r="AJ17" s="2">
        <v>4.4648862507612339</v>
      </c>
      <c r="AZ17" s="2" t="s">
        <v>33</v>
      </c>
      <c r="BA17" s="2">
        <v>-3.2298353742372798</v>
      </c>
      <c r="BB17" s="2">
        <v>2.0968572116757751</v>
      </c>
      <c r="BC17" s="2">
        <v>-1.5403220382641345</v>
      </c>
      <c r="BD17" s="2">
        <v>0.19832694382292168</v>
      </c>
      <c r="BE17" s="2">
        <v>-9.0516443158931779</v>
      </c>
      <c r="BF17" s="2">
        <v>2.5919735674186191</v>
      </c>
      <c r="BG17" s="2">
        <v>-9.0516443158931779</v>
      </c>
      <c r="BH17" s="2">
        <v>2.5919735674186191</v>
      </c>
    </row>
    <row r="18" spans="1:60" ht="15" thickBot="1" x14ac:dyDescent="0.4">
      <c r="A18" t="s">
        <v>118</v>
      </c>
      <c r="B18">
        <v>403.034582</v>
      </c>
      <c r="C18" s="10">
        <v>13704.506339972859</v>
      </c>
      <c r="D18" s="10"/>
      <c r="E18" s="10"/>
      <c r="F18" s="10"/>
      <c r="G18" s="10"/>
      <c r="AB18" s="3" t="s">
        <v>46</v>
      </c>
      <c r="AC18" s="3">
        <v>-0.33675697912874863</v>
      </c>
      <c r="AD18" s="3">
        <v>0.26812582026931642</v>
      </c>
      <c r="AE18" s="3">
        <v>-1.2559662429768841</v>
      </c>
      <c r="AF18" s="3">
        <v>0.26461964701391039</v>
      </c>
      <c r="AG18" s="3">
        <v>-1.0259963423781406</v>
      </c>
      <c r="AH18" s="3">
        <v>0.35248238412064342</v>
      </c>
      <c r="AI18" s="3">
        <v>-1.0259963423781406</v>
      </c>
      <c r="AJ18" s="3">
        <v>0.35248238412064342</v>
      </c>
      <c r="AZ18" s="2" t="s">
        <v>46</v>
      </c>
      <c r="BA18" s="2">
        <v>0.10583132845891392</v>
      </c>
      <c r="BB18" s="2">
        <v>0.18877709428355971</v>
      </c>
      <c r="BC18" s="2">
        <v>0.56061530590118103</v>
      </c>
      <c r="BD18" s="2">
        <v>0.60497415330989246</v>
      </c>
      <c r="BE18" s="2">
        <v>-0.41829791093813778</v>
      </c>
      <c r="BF18" s="2">
        <v>0.62996056785596566</v>
      </c>
      <c r="BG18" s="2">
        <v>-0.41829791093813778</v>
      </c>
      <c r="BH18" s="2">
        <v>0.62996056785596566</v>
      </c>
    </row>
    <row r="19" spans="1:60" ht="15" thickBot="1" x14ac:dyDescent="0.4">
      <c r="A19" t="s">
        <v>119</v>
      </c>
      <c r="B19">
        <v>175.911</v>
      </c>
      <c r="C19" s="10">
        <v>5416.738741510846</v>
      </c>
      <c r="D19" s="10"/>
      <c r="E19" s="10"/>
      <c r="F19" s="10"/>
      <c r="G19" s="10"/>
      <c r="AZ19" s="3" t="s">
        <v>47</v>
      </c>
      <c r="BA19" s="3">
        <v>0.14643966382483553</v>
      </c>
      <c r="BB19" s="3">
        <v>3.5236993012104166E-2</v>
      </c>
      <c r="BC19" s="3">
        <v>4.1558501820666827</v>
      </c>
      <c r="BD19" s="3">
        <v>1.4192808161217277E-2</v>
      </c>
      <c r="BE19" s="3">
        <v>4.8606087054490071E-2</v>
      </c>
      <c r="BF19" s="3">
        <v>0.24427324059518099</v>
      </c>
      <c r="BG19" s="3">
        <v>4.8606087054490071E-2</v>
      </c>
      <c r="BH19" s="3">
        <v>0.24427324059518099</v>
      </c>
    </row>
    <row r="20" spans="1:60" x14ac:dyDescent="0.35">
      <c r="A20" t="s">
        <v>120</v>
      </c>
      <c r="B20">
        <v>24.528700000000001</v>
      </c>
      <c r="C20" s="10">
        <v>807.49702776055062</v>
      </c>
      <c r="D20" s="10"/>
      <c r="E20" s="10"/>
      <c r="F20" s="10"/>
      <c r="G20" s="10"/>
    </row>
    <row r="21" spans="1:60" x14ac:dyDescent="0.35">
      <c r="A21" t="s">
        <v>121</v>
      </c>
      <c r="B21">
        <v>118.62045500000001</v>
      </c>
      <c r="C21" s="10">
        <v>870.50752202667718</v>
      </c>
      <c r="D21" s="10"/>
      <c r="E21" s="10"/>
      <c r="F21" s="10"/>
      <c r="G21" s="10"/>
      <c r="AZ21" t="s">
        <v>22</v>
      </c>
    </row>
    <row r="22" spans="1:60" ht="15" thickBot="1" x14ac:dyDescent="0.4">
      <c r="A22" t="s">
        <v>122</v>
      </c>
      <c r="B22">
        <v>284.37253500000003</v>
      </c>
      <c r="C22" s="10">
        <v>1048.1155782314536</v>
      </c>
      <c r="D22" s="10"/>
      <c r="E22" s="10"/>
      <c r="F22" s="10"/>
      <c r="G22" s="10"/>
    </row>
    <row r="23" spans="1:60" x14ac:dyDescent="0.35">
      <c r="A23" t="s">
        <v>123</v>
      </c>
      <c r="B23">
        <v>258.58615200000003</v>
      </c>
      <c r="C23" s="10">
        <v>1607.0495694691306</v>
      </c>
      <c r="D23" s="10"/>
      <c r="E23" s="10"/>
      <c r="F23" s="10"/>
      <c r="G23" s="10"/>
      <c r="AZ23" s="5" t="s">
        <v>23</v>
      </c>
      <c r="BA23" s="5"/>
    </row>
    <row r="24" spans="1:60" x14ac:dyDescent="0.35">
      <c r="A24" t="s">
        <v>124</v>
      </c>
      <c r="B24">
        <v>153.616668</v>
      </c>
      <c r="C24" s="10">
        <v>1049.8675874434059</v>
      </c>
      <c r="D24" s="10"/>
      <c r="E24" s="10"/>
      <c r="F24" s="10"/>
      <c r="G24" s="10"/>
      <c r="AZ24" s="2" t="s">
        <v>24</v>
      </c>
      <c r="BA24" s="2">
        <v>0.52168899859510431</v>
      </c>
    </row>
    <row r="25" spans="1:60" x14ac:dyDescent="0.35">
      <c r="A25" t="s">
        <v>125</v>
      </c>
      <c r="B25">
        <v>372.38273199999998</v>
      </c>
      <c r="C25" s="10">
        <v>1640.9742140292117</v>
      </c>
      <c r="D25" s="10"/>
      <c r="E25" s="10"/>
      <c r="F25" s="10"/>
      <c r="G25" s="10"/>
      <c r="AZ25" s="2" t="s">
        <v>25</v>
      </c>
      <c r="BA25" s="2">
        <v>0.27215941125516274</v>
      </c>
    </row>
    <row r="26" spans="1:60" x14ac:dyDescent="0.35">
      <c r="A26" t="s">
        <v>126</v>
      </c>
      <c r="B26">
        <v>1498.6974729999999</v>
      </c>
      <c r="C26" s="10">
        <v>1043.6246722115218</v>
      </c>
      <c r="D26" s="10"/>
      <c r="E26" s="10"/>
      <c r="F26" s="10"/>
      <c r="G26" s="10"/>
      <c r="AZ26" s="2" t="s">
        <v>26</v>
      </c>
      <c r="BA26" s="2">
        <v>0.1265912935061953</v>
      </c>
    </row>
    <row r="27" spans="1:60" x14ac:dyDescent="0.35">
      <c r="A27" t="s">
        <v>127</v>
      </c>
      <c r="B27">
        <v>565.13935700000002</v>
      </c>
      <c r="C27" s="10">
        <v>913.90051464998407</v>
      </c>
      <c r="D27" s="10"/>
      <c r="E27" s="10"/>
      <c r="F27" s="10"/>
      <c r="G27" s="10"/>
      <c r="AZ27" s="2" t="s">
        <v>27</v>
      </c>
      <c r="BA27" s="2">
        <v>1.0291597073766596</v>
      </c>
    </row>
    <row r="28" spans="1:60" ht="15" thickBot="1" x14ac:dyDescent="0.4">
      <c r="A28" t="s">
        <v>128</v>
      </c>
      <c r="B28">
        <v>1337.3411840000001</v>
      </c>
      <c r="C28" s="10">
        <v>2452.7886029440251</v>
      </c>
      <c r="D28" s="10"/>
      <c r="E28" s="10"/>
      <c r="F28" s="10"/>
      <c r="G28" s="10"/>
      <c r="AZ28" s="3" t="s">
        <v>28</v>
      </c>
      <c r="BA28" s="3">
        <v>7</v>
      </c>
    </row>
    <row r="29" spans="1:60" x14ac:dyDescent="0.35">
      <c r="A29" t="s">
        <v>129</v>
      </c>
      <c r="B29">
        <v>151.48747599999999</v>
      </c>
      <c r="C29" s="10">
        <v>328.69119373345109</v>
      </c>
      <c r="D29" s="10"/>
      <c r="E29" s="10"/>
      <c r="F29" s="10"/>
      <c r="G29" s="10"/>
    </row>
    <row r="30" spans="1:60" ht="15" thickBot="1" x14ac:dyDescent="0.4">
      <c r="A30" t="s">
        <v>130</v>
      </c>
      <c r="B30">
        <v>747.48803299999997</v>
      </c>
      <c r="C30" s="10">
        <v>642.86671058680668</v>
      </c>
      <c r="D30" s="10"/>
      <c r="E30" s="10"/>
      <c r="F30" s="10"/>
      <c r="G30" s="10"/>
      <c r="AZ30" t="s">
        <v>29</v>
      </c>
    </row>
    <row r="31" spans="1:60" x14ac:dyDescent="0.35">
      <c r="A31" t="s">
        <v>131</v>
      </c>
      <c r="B31">
        <v>40.583404000000002</v>
      </c>
      <c r="C31" s="10">
        <v>144.70037018501392</v>
      </c>
      <c r="D31" s="10"/>
      <c r="E31" s="10"/>
      <c r="F31" s="10"/>
      <c r="G31" s="10"/>
      <c r="AZ31" s="4"/>
      <c r="BA31" s="4" t="s">
        <v>34</v>
      </c>
      <c r="BB31" s="4" t="s">
        <v>35</v>
      </c>
      <c r="BC31" s="4" t="s">
        <v>36</v>
      </c>
      <c r="BD31" s="4" t="s">
        <v>37</v>
      </c>
      <c r="BE31" s="4" t="s">
        <v>38</v>
      </c>
    </row>
    <row r="32" spans="1:60" x14ac:dyDescent="0.35">
      <c r="AZ32" s="2" t="s">
        <v>30</v>
      </c>
      <c r="BA32" s="2">
        <v>1</v>
      </c>
      <c r="BB32" s="2">
        <v>1.9802619373231991</v>
      </c>
      <c r="BC32" s="2">
        <v>1.9802619373231991</v>
      </c>
      <c r="BD32" s="2">
        <v>1.8696361226879521</v>
      </c>
      <c r="BE32" s="2">
        <v>0.22977806444372392</v>
      </c>
    </row>
    <row r="33" spans="1:60" x14ac:dyDescent="0.35">
      <c r="A33" t="s">
        <v>32</v>
      </c>
      <c r="C33" s="10">
        <f>SUM(C16:C31)</f>
        <v>45900.988630230611</v>
      </c>
      <c r="AZ33" s="2" t="s">
        <v>31</v>
      </c>
      <c r="BA33" s="2">
        <v>5</v>
      </c>
      <c r="BB33" s="2">
        <v>5.2958485164380589</v>
      </c>
      <c r="BC33" s="2">
        <v>1.0591697032876117</v>
      </c>
      <c r="BD33" s="2"/>
      <c r="BE33" s="2"/>
    </row>
    <row r="34" spans="1:60" ht="15" thickBot="1" x14ac:dyDescent="0.4">
      <c r="AZ34" s="3" t="s">
        <v>32</v>
      </c>
      <c r="BA34" s="3">
        <v>6</v>
      </c>
      <c r="BB34" s="3">
        <v>7.276110453761258</v>
      </c>
      <c r="BC34" s="3"/>
      <c r="BD34" s="3"/>
      <c r="BE34" s="3"/>
    </row>
    <row r="35" spans="1:60" ht="15" thickBot="1" x14ac:dyDescent="0.4"/>
    <row r="36" spans="1:60" x14ac:dyDescent="0.35">
      <c r="AZ36" s="4"/>
      <c r="BA36" s="4" t="s">
        <v>39</v>
      </c>
      <c r="BB36" s="4" t="s">
        <v>27</v>
      </c>
      <c r="BC36" s="4" t="s">
        <v>40</v>
      </c>
      <c r="BD36" s="4" t="s">
        <v>41</v>
      </c>
      <c r="BE36" s="4" t="s">
        <v>42</v>
      </c>
      <c r="BF36" s="4" t="s">
        <v>43</v>
      </c>
      <c r="BG36" s="4" t="s">
        <v>44</v>
      </c>
      <c r="BH36" s="4" t="s">
        <v>45</v>
      </c>
    </row>
    <row r="37" spans="1:60" x14ac:dyDescent="0.35">
      <c r="AZ37" s="2" t="s">
        <v>33</v>
      </c>
      <c r="BA37" s="2">
        <v>3.5562202994104601</v>
      </c>
      <c r="BB37" s="2">
        <v>2.7132654721348985</v>
      </c>
      <c r="BC37" s="2">
        <v>1.3106790824313601</v>
      </c>
      <c r="BD37" s="2">
        <v>0.24693687471535816</v>
      </c>
      <c r="BE37" s="2">
        <v>-3.4184506385187006</v>
      </c>
      <c r="BF37" s="2">
        <v>10.53089123733962</v>
      </c>
      <c r="BG37" s="2">
        <v>-3.4184506385187006</v>
      </c>
      <c r="BH37" s="2">
        <v>10.53089123733962</v>
      </c>
    </row>
    <row r="38" spans="1:60" ht="15" thickBot="1" x14ac:dyDescent="0.4">
      <c r="AZ38" s="3" t="s">
        <v>46</v>
      </c>
      <c r="BA38" s="3">
        <v>-0.40441381408664934</v>
      </c>
      <c r="BB38" s="3">
        <v>0.29576544760332502</v>
      </c>
      <c r="BC38" s="3">
        <v>-1.3673463799227874</v>
      </c>
      <c r="BD38" s="3">
        <v>0.22977806444372384</v>
      </c>
      <c r="BE38" s="3">
        <v>-1.164703101304601</v>
      </c>
      <c r="BF38" s="3">
        <v>0.35587547313130219</v>
      </c>
      <c r="BG38" s="3">
        <v>-1.164703101304601</v>
      </c>
      <c r="BH38" s="3">
        <v>0.35587547313130219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E97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C3" sqref="AC3"/>
    </sheetView>
  </sheetViews>
  <sheetFormatPr defaultRowHeight="14.5" x14ac:dyDescent="0.35"/>
  <cols>
    <col min="1" max="1" width="14.26953125" customWidth="1"/>
    <col min="4" max="4" width="20.1796875" customWidth="1"/>
    <col min="25" max="25" width="13.7265625" customWidth="1"/>
    <col min="27" max="27" width="16.7265625" bestFit="1" customWidth="1"/>
    <col min="30" max="30" width="16.453125" bestFit="1" customWidth="1"/>
  </cols>
  <sheetData>
    <row r="1" spans="1:55" x14ac:dyDescent="0.35">
      <c r="B1" t="s">
        <v>320</v>
      </c>
      <c r="G1" t="s">
        <v>313</v>
      </c>
      <c r="H1" t="s">
        <v>319</v>
      </c>
      <c r="P1">
        <f>SUM(R2:R3)*Q1*Q1</f>
        <v>-0.11591218608342017</v>
      </c>
      <c r="Q1">
        <f>SQRT(1/SUM(S2:S3))</f>
        <v>9.8682447612726543E-2</v>
      </c>
    </row>
    <row r="2" spans="1:55" x14ac:dyDescent="0.35">
      <c r="B2" t="s">
        <v>232</v>
      </c>
      <c r="E2">
        <v>2005</v>
      </c>
      <c r="P2">
        <f>-P20</f>
        <v>-1.0096232765512211E-2</v>
      </c>
      <c r="Q2">
        <f>Q20</f>
        <v>0.14616615485764961</v>
      </c>
      <c r="R2">
        <f>P2/Q2/Q2</f>
        <v>-0.47256952337625491</v>
      </c>
      <c r="S2">
        <f>1/Q2/Q2</f>
        <v>46.806520248870285</v>
      </c>
    </row>
    <row r="3" spans="1:55" x14ac:dyDescent="0.35">
      <c r="A3" t="s">
        <v>144</v>
      </c>
      <c r="B3" s="1">
        <v>-1.2</v>
      </c>
      <c r="D3" t="s">
        <v>144</v>
      </c>
      <c r="E3" s="10">
        <v>176283.40853441539</v>
      </c>
      <c r="F3">
        <f t="shared" ref="F3:F10" si="0">$B3*E3</f>
        <v>-211540.09024129846</v>
      </c>
      <c r="G3">
        <v>24860855</v>
      </c>
      <c r="H3" s="10">
        <f t="shared" ref="H3:H34" si="1">E3/G3*1000000</f>
        <v>7090.8023289792482</v>
      </c>
      <c r="J3" s="1">
        <v>-14.8</v>
      </c>
      <c r="K3">
        <v>5517.0984981907641</v>
      </c>
      <c r="L3">
        <f>LN(-J3)</f>
        <v>2.6946271807700692</v>
      </c>
      <c r="M3">
        <f>LN(K3)</f>
        <v>8.6156073666912274</v>
      </c>
      <c r="O3" t="s">
        <v>22</v>
      </c>
      <c r="P3">
        <f>P39</f>
        <v>-0.20454381399391075</v>
      </c>
      <c r="Q3">
        <f>-Q39</f>
        <v>-0.13377212034368488</v>
      </c>
      <c r="R3">
        <f>P3/Q3/Q3</f>
        <v>-11.430234173060512</v>
      </c>
      <c r="S3">
        <f>1/Q3/Q3</f>
        <v>55.88159304294966</v>
      </c>
      <c r="Y3" t="str">
        <f>regions!A8</f>
        <v>Argentina</v>
      </c>
      <c r="Z3">
        <f>regions!B8</f>
        <v>40374224</v>
      </c>
      <c r="AA3">
        <f>regions!C8</f>
        <v>293697869622.22595</v>
      </c>
      <c r="AB3">
        <f>regions!D8</f>
        <v>7274.3904532313973</v>
      </c>
      <c r="AC3">
        <f>regions!X8</f>
        <v>14.8</v>
      </c>
      <c r="AD3" s="1">
        <f>B3</f>
        <v>-1.2</v>
      </c>
      <c r="AF3">
        <v>-14.8</v>
      </c>
      <c r="AG3">
        <v>8610.0220425441075</v>
      </c>
      <c r="AH3">
        <v>8.5</v>
      </c>
      <c r="AI3">
        <f>LN(-AF3)</f>
        <v>2.6946271807700692</v>
      </c>
      <c r="AJ3">
        <f>LN(AG3)</f>
        <v>9.0606821575281522</v>
      </c>
      <c r="AK3">
        <f>AH3</f>
        <v>8.5</v>
      </c>
      <c r="AM3" t="s">
        <v>22</v>
      </c>
      <c r="AP3">
        <f>-AN20</f>
        <v>-8.4332100364324258E-2</v>
      </c>
      <c r="AQ3">
        <f>AO20</f>
        <v>0.20330373321666659</v>
      </c>
      <c r="AR3">
        <f>1/AQ3/AQ3</f>
        <v>24.194090057750152</v>
      </c>
      <c r="AS3">
        <f>AP3*AR3</f>
        <v>-2.0403384309736854</v>
      </c>
      <c r="AW3" t="s">
        <v>22</v>
      </c>
      <c r="AZ3">
        <f>-AX20</f>
        <v>-0.18178873418238586</v>
      </c>
      <c r="BA3">
        <f>AY20</f>
        <v>0.18134001864590707</v>
      </c>
      <c r="BB3">
        <f>1/BA3/BA3</f>
        <v>30.409738663463166</v>
      </c>
      <c r="BC3">
        <f>AZ3*BB3</f>
        <v>-5.5281478984481272</v>
      </c>
    </row>
    <row r="4" spans="1:55" ht="15" thickBot="1" x14ac:dyDescent="0.4">
      <c r="A4" t="s">
        <v>145</v>
      </c>
      <c r="B4" s="1">
        <v>-1.6</v>
      </c>
      <c r="D4" t="s">
        <v>145</v>
      </c>
      <c r="E4" s="10">
        <v>538437.61964936857</v>
      </c>
      <c r="F4">
        <f t="shared" si="0"/>
        <v>-861500.19143898971</v>
      </c>
      <c r="G4">
        <v>20394800</v>
      </c>
      <c r="H4" s="10">
        <f t="shared" si="1"/>
        <v>26400.730561190529</v>
      </c>
      <c r="J4" s="1">
        <v>-5.2</v>
      </c>
      <c r="K4">
        <v>31256.333135397828</v>
      </c>
      <c r="L4">
        <f t="shared" ref="L4:L34" si="2">LN(-J4)</f>
        <v>1.6486586255873816</v>
      </c>
      <c r="M4">
        <f t="shared" ref="L4:M67" si="3">LN(K4)</f>
        <v>10.349977294964447</v>
      </c>
      <c r="Y4" t="str">
        <f>regions!A10</f>
        <v>Australia</v>
      </c>
      <c r="Z4">
        <f>regions!B10</f>
        <v>22065300</v>
      </c>
      <c r="AA4">
        <f>regions!C10</f>
        <v>797442264201.02002</v>
      </c>
      <c r="AB4">
        <f>regions!D10</f>
        <v>36140.105242213795</v>
      </c>
      <c r="AC4">
        <f>regions!X10</f>
        <v>21.6</v>
      </c>
      <c r="AD4" s="1">
        <f t="shared" ref="AD4:AD67" si="4">B4</f>
        <v>-1.6</v>
      </c>
      <c r="AF4">
        <v>-5.2</v>
      </c>
      <c r="AG4">
        <v>45438.261855700264</v>
      </c>
      <c r="AH4">
        <v>9.3000000000000007</v>
      </c>
      <c r="AI4">
        <f t="shared" ref="AI4:AI34" si="5">LN(-AF4)</f>
        <v>1.6486586255873816</v>
      </c>
      <c r="AJ4">
        <f t="shared" ref="AJ4:AJ34" si="6">LN(AG4)</f>
        <v>10.724109801248382</v>
      </c>
      <c r="AK4">
        <f t="shared" ref="AK4:AK34" si="7">AH4</f>
        <v>9.3000000000000007</v>
      </c>
      <c r="AP4">
        <f>AN40</f>
        <v>-0.32710646593909409</v>
      </c>
      <c r="AQ4">
        <f>AO40</f>
        <v>0.13937758290253607</v>
      </c>
      <c r="AR4">
        <f>1/AQ4/AQ4</f>
        <v>51.477108299232313</v>
      </c>
      <c r="AS4">
        <f>AP4*AR4</f>
        <v>-16.838494972525893</v>
      </c>
      <c r="AZ4">
        <f>AX40</f>
        <v>-0.32656759610590103</v>
      </c>
      <c r="BA4">
        <f>AY40</f>
        <v>0.13830645144187739</v>
      </c>
      <c r="BB4">
        <f>1/BA4/BA4</f>
        <v>52.2775375499224</v>
      </c>
      <c r="BC4">
        <f>AZ4*BB4</f>
        <v>-17.072149768014132</v>
      </c>
    </row>
    <row r="5" spans="1:55" x14ac:dyDescent="0.35">
      <c r="A5" t="s">
        <v>146</v>
      </c>
      <c r="B5" s="1">
        <v>-1.8</v>
      </c>
      <c r="D5" t="s">
        <v>146</v>
      </c>
      <c r="E5" s="10">
        <v>281149.6666175797</v>
      </c>
      <c r="F5">
        <f t="shared" si="0"/>
        <v>-506069.39991164347</v>
      </c>
      <c r="G5">
        <v>8227829</v>
      </c>
      <c r="H5" s="10">
        <f t="shared" si="1"/>
        <v>34170.577271061382</v>
      </c>
      <c r="J5" s="1">
        <v>-4.7</v>
      </c>
      <c r="K5">
        <v>23520.317071332633</v>
      </c>
      <c r="L5">
        <f t="shared" si="2"/>
        <v>1.547562508716013</v>
      </c>
      <c r="M5">
        <f t="shared" si="3"/>
        <v>10.065619882845702</v>
      </c>
      <c r="O5" s="5" t="s">
        <v>23</v>
      </c>
      <c r="P5" s="5"/>
      <c r="Y5" t="str">
        <f>regions!A11</f>
        <v>Austria</v>
      </c>
      <c r="Z5">
        <f>regions!B11</f>
        <v>8389771</v>
      </c>
      <c r="AA5">
        <f>regions!C11</f>
        <v>325550262356.948</v>
      </c>
      <c r="AB5">
        <f>regions!D11</f>
        <v>38803.235792365253</v>
      </c>
      <c r="AC5">
        <f>regions!X11</f>
        <v>6.3</v>
      </c>
      <c r="AD5" s="1">
        <f t="shared" si="4"/>
        <v>-1.8</v>
      </c>
      <c r="AF5">
        <v>-4.7</v>
      </c>
      <c r="AG5">
        <v>37899.295520911917</v>
      </c>
      <c r="AH5">
        <v>8.4</v>
      </c>
      <c r="AI5">
        <f t="shared" si="5"/>
        <v>1.547562508716013</v>
      </c>
      <c r="AJ5">
        <f t="shared" si="6"/>
        <v>10.542687803059026</v>
      </c>
      <c r="AK5">
        <f t="shared" si="7"/>
        <v>8.4</v>
      </c>
      <c r="AM5" s="5" t="s">
        <v>23</v>
      </c>
      <c r="AN5" s="5"/>
      <c r="AP5">
        <f>AS5/AR5</f>
        <v>-0.24948505922210698</v>
      </c>
      <c r="AQ5">
        <f>SQRT(1/AR5)</f>
        <v>0.11495680744547472</v>
      </c>
      <c r="AR5">
        <f>AR3+AR4</f>
        <v>75.671198356982472</v>
      </c>
      <c r="AS5">
        <f>AS3+AS4</f>
        <v>-18.878833403499577</v>
      </c>
      <c r="AW5" s="5" t="s">
        <v>23</v>
      </c>
      <c r="AX5" s="5"/>
      <c r="AZ5">
        <f>BC5/BB5</f>
        <v>-0.27332255579612003</v>
      </c>
      <c r="BA5">
        <f>SQRT(1/BB5)</f>
        <v>0.10997162866012593</v>
      </c>
      <c r="BB5">
        <f>BB3+BB4</f>
        <v>82.687276213385559</v>
      </c>
      <c r="BC5">
        <f>BC3+BC4</f>
        <v>-22.600297666462261</v>
      </c>
    </row>
    <row r="6" spans="1:55" x14ac:dyDescent="0.35">
      <c r="A6" t="s">
        <v>147</v>
      </c>
      <c r="B6" s="1">
        <v>3.2</v>
      </c>
      <c r="D6" t="s">
        <v>147</v>
      </c>
      <c r="E6" s="10">
        <v>4674.0885028248731</v>
      </c>
      <c r="F6">
        <f t="shared" si="0"/>
        <v>14957.083209039594</v>
      </c>
      <c r="G6">
        <v>329088</v>
      </c>
      <c r="H6" s="10">
        <f t="shared" si="1"/>
        <v>14203.156914943338</v>
      </c>
      <c r="J6" s="1">
        <v>-3.4</v>
      </c>
      <c r="K6">
        <v>31511.223497100462</v>
      </c>
      <c r="L6">
        <f t="shared" si="2"/>
        <v>1.2237754316221157</v>
      </c>
      <c r="M6">
        <f t="shared" si="3"/>
        <v>10.358099062848673</v>
      </c>
      <c r="O6" s="2" t="s">
        <v>24</v>
      </c>
      <c r="P6" s="2">
        <v>1.2610066380785455E-2</v>
      </c>
      <c r="Y6" t="str">
        <f>regions!A13</f>
        <v>Bahamas</v>
      </c>
      <c r="Z6">
        <f>regions!B13</f>
        <v>360498</v>
      </c>
      <c r="AA6">
        <f>regions!C13</f>
        <v>7575468595.4633093</v>
      </c>
      <c r="AB6">
        <f>regions!D13</f>
        <v>21013.899093651864</v>
      </c>
      <c r="AC6">
        <f>regions!X13</f>
        <v>24.8</v>
      </c>
      <c r="AD6" s="1">
        <f t="shared" si="4"/>
        <v>3.2</v>
      </c>
      <c r="AF6">
        <v>-3.4</v>
      </c>
      <c r="AG6">
        <v>36747.279047091397</v>
      </c>
      <c r="AH6">
        <v>9.6</v>
      </c>
      <c r="AI6">
        <f t="shared" si="5"/>
        <v>1.2237754316221157</v>
      </c>
      <c r="AJ6">
        <f t="shared" si="6"/>
        <v>10.511819462364993</v>
      </c>
      <c r="AK6">
        <f t="shared" si="7"/>
        <v>9.6</v>
      </c>
      <c r="AM6" s="2" t="s">
        <v>24</v>
      </c>
      <c r="AN6" s="2">
        <v>0.26084727318007267</v>
      </c>
      <c r="AW6" s="2" t="s">
        <v>24</v>
      </c>
      <c r="AX6" s="2">
        <v>0.18003533734714219</v>
      </c>
    </row>
    <row r="7" spans="1:55" x14ac:dyDescent="0.35">
      <c r="A7" t="s">
        <v>148</v>
      </c>
      <c r="B7" s="1">
        <v>2.6</v>
      </c>
      <c r="D7" t="s">
        <v>148</v>
      </c>
      <c r="E7" s="10">
        <v>61162.714925709952</v>
      </c>
      <c r="F7">
        <f t="shared" si="0"/>
        <v>159023.05880684589</v>
      </c>
      <c r="G7">
        <v>143135180</v>
      </c>
      <c r="H7" s="10">
        <f t="shared" si="1"/>
        <v>427.30735327059324</v>
      </c>
      <c r="J7" s="1">
        <v>-3.4</v>
      </c>
      <c r="K7">
        <v>30916.703293750725</v>
      </c>
      <c r="L7">
        <f t="shared" si="2"/>
        <v>1.2237754316221157</v>
      </c>
      <c r="M7">
        <f t="shared" si="3"/>
        <v>10.339051876504397</v>
      </c>
      <c r="O7" s="2" t="s">
        <v>25</v>
      </c>
      <c r="P7" s="2">
        <v>1.5901377412781557E-4</v>
      </c>
      <c r="Y7" t="str">
        <f>regions!A15</f>
        <v>Bangladesh</v>
      </c>
      <c r="Z7">
        <f>regions!B15</f>
        <v>151125475</v>
      </c>
      <c r="AA7">
        <f>regions!C15</f>
        <v>81471733197.377762</v>
      </c>
      <c r="AB7">
        <f>regions!D15</f>
        <v>539.09993134762863</v>
      </c>
      <c r="AC7">
        <f>regions!X15</f>
        <v>25</v>
      </c>
      <c r="AD7" s="1">
        <f t="shared" si="4"/>
        <v>2.6</v>
      </c>
      <c r="AF7">
        <v>-3.4</v>
      </c>
      <c r="AG7">
        <v>41110.27840287541</v>
      </c>
      <c r="AH7">
        <v>9.1999999999999993</v>
      </c>
      <c r="AI7">
        <f t="shared" si="5"/>
        <v>1.2237754316221157</v>
      </c>
      <c r="AJ7">
        <f t="shared" si="6"/>
        <v>10.624013452013859</v>
      </c>
      <c r="AK7">
        <f t="shared" si="7"/>
        <v>9.1999999999999993</v>
      </c>
      <c r="AM7" s="2" t="s">
        <v>25</v>
      </c>
      <c r="AN7" s="2">
        <v>6.804129992547947E-2</v>
      </c>
      <c r="AP7">
        <f>AN21</f>
        <v>-3.4179142004548503E-2</v>
      </c>
      <c r="AQ7">
        <f>AO21</f>
        <v>3.2460951894709267E-2</v>
      </c>
      <c r="AR7">
        <f>1/AQ7/AQ7</f>
        <v>949.024660769109</v>
      </c>
      <c r="AS7">
        <f>AP7*AR7</f>
        <v>-32.436848646245849</v>
      </c>
      <c r="AW7" s="2" t="s">
        <v>25</v>
      </c>
      <c r="AX7" s="2">
        <v>3.241272269369929E-2</v>
      </c>
    </row>
    <row r="8" spans="1:55" x14ac:dyDescent="0.35">
      <c r="A8" t="s">
        <v>149</v>
      </c>
      <c r="B8" s="1">
        <v>3.2</v>
      </c>
      <c r="D8" t="s">
        <v>149</v>
      </c>
      <c r="E8" s="10">
        <v>2399.2768247598933</v>
      </c>
      <c r="F8">
        <f t="shared" si="0"/>
        <v>7677.685839231659</v>
      </c>
      <c r="G8">
        <v>273568</v>
      </c>
      <c r="H8" s="10">
        <f t="shared" si="1"/>
        <v>8770.3124077373559</v>
      </c>
      <c r="J8" s="1">
        <v>-3.1</v>
      </c>
      <c r="K8">
        <v>55184.89941930052</v>
      </c>
      <c r="L8">
        <f t="shared" si="2"/>
        <v>1.1314021114911006</v>
      </c>
      <c r="M8">
        <f t="shared" si="3"/>
        <v>10.918444633595929</v>
      </c>
      <c r="O8" s="2" t="s">
        <v>26</v>
      </c>
      <c r="P8" s="2">
        <v>-3.3169019100067927E-2</v>
      </c>
      <c r="Y8" t="str">
        <f>regions!A16</f>
        <v>Barbados</v>
      </c>
      <c r="Z8">
        <f>regions!B16</f>
        <v>280396</v>
      </c>
      <c r="AA8">
        <f>regions!C16</f>
        <v>4033125824.922358</v>
      </c>
      <c r="AB8">
        <f>regions!D16</f>
        <v>14383.678172735552</v>
      </c>
      <c r="AC8">
        <f>regions!X16</f>
        <v>26</v>
      </c>
      <c r="AD8" s="1">
        <f t="shared" si="4"/>
        <v>3.2</v>
      </c>
      <c r="AF8">
        <v>-3.1</v>
      </c>
      <c r="AG8">
        <v>80276.011290059658</v>
      </c>
      <c r="AH8">
        <v>8.6999999999999993</v>
      </c>
      <c r="AI8">
        <f t="shared" si="5"/>
        <v>1.1314021114911006</v>
      </c>
      <c r="AJ8">
        <f t="shared" si="6"/>
        <v>11.293226116699099</v>
      </c>
      <c r="AK8">
        <f t="shared" si="7"/>
        <v>8.6999999999999993</v>
      </c>
      <c r="AM8" s="2" t="s">
        <v>26</v>
      </c>
      <c r="AN8" s="2">
        <v>3.7682861272366713E-3</v>
      </c>
      <c r="AP8">
        <f>AN41</f>
        <v>2.7586484097470079E-2</v>
      </c>
      <c r="AQ8">
        <f>AO41</f>
        <v>5.0537957373660833E-2</v>
      </c>
      <c r="AR8">
        <f>1/AQ8/AQ8</f>
        <v>391.52962683190589</v>
      </c>
      <c r="AS8">
        <f>AP8*AR8</f>
        <v>10.800925824286766</v>
      </c>
      <c r="AW8" s="2" t="s">
        <v>26</v>
      </c>
      <c r="AX8" s="2">
        <v>1.5981345015593599E-4</v>
      </c>
    </row>
    <row r="9" spans="1:55" x14ac:dyDescent="0.35">
      <c r="A9" t="s">
        <v>150</v>
      </c>
      <c r="B9" s="1">
        <v>-3.4</v>
      </c>
      <c r="D9" t="s">
        <v>150</v>
      </c>
      <c r="E9" s="10">
        <v>330194.04222751636</v>
      </c>
      <c r="F9">
        <f t="shared" si="0"/>
        <v>-1122659.7435735555</v>
      </c>
      <c r="G9">
        <v>10478617</v>
      </c>
      <c r="H9" s="10">
        <f t="shared" si="1"/>
        <v>31511.223497100462</v>
      </c>
      <c r="J9" s="1">
        <v>-3</v>
      </c>
      <c r="K9">
        <v>40727.828899571243</v>
      </c>
      <c r="L9">
        <f t="shared" si="2"/>
        <v>1.0986122886681098</v>
      </c>
      <c r="M9">
        <f t="shared" si="3"/>
        <v>10.614666894521767</v>
      </c>
      <c r="O9" s="2" t="s">
        <v>27</v>
      </c>
      <c r="P9" s="2">
        <v>0.88956621381517975</v>
      </c>
      <c r="Y9" t="str">
        <f>regions!A18</f>
        <v>Belgium</v>
      </c>
      <c r="Z9">
        <f>regions!B18</f>
        <v>10895586</v>
      </c>
      <c r="AA9">
        <f>regions!C18</f>
        <v>400383139123.5824</v>
      </c>
      <c r="AB9">
        <f>regions!D18</f>
        <v>36747.279047091397</v>
      </c>
      <c r="AC9">
        <f>regions!X18</f>
        <v>9.6</v>
      </c>
      <c r="AD9" s="1">
        <f t="shared" si="4"/>
        <v>-3.4</v>
      </c>
      <c r="AF9">
        <v>-3</v>
      </c>
      <c r="AG9">
        <v>46292.736560813282</v>
      </c>
      <c r="AH9">
        <v>7.5</v>
      </c>
      <c r="AI9">
        <f t="shared" si="5"/>
        <v>1.0986122886681098</v>
      </c>
      <c r="AJ9">
        <f t="shared" si="6"/>
        <v>10.742740350031513</v>
      </c>
      <c r="AK9">
        <f t="shared" si="7"/>
        <v>7.5</v>
      </c>
      <c r="AM9" s="2" t="s">
        <v>27</v>
      </c>
      <c r="AN9" s="2">
        <v>0.87351984083589684</v>
      </c>
      <c r="AP9">
        <f>AS9/AR9</f>
        <v>-1.6139534983456424E-2</v>
      </c>
      <c r="AQ9">
        <f>SQRT(1/AR9)</f>
        <v>2.7312269993840534E-2</v>
      </c>
      <c r="AR9">
        <f>AR7+AR8</f>
        <v>1340.5542876010149</v>
      </c>
      <c r="AS9">
        <f>AS7+AS8</f>
        <v>-21.635922821959085</v>
      </c>
      <c r="AW9" s="2" t="s">
        <v>27</v>
      </c>
      <c r="AX9" s="2">
        <v>0.8751004085364934</v>
      </c>
    </row>
    <row r="10" spans="1:55" ht="15" thickBot="1" x14ac:dyDescent="0.4">
      <c r="A10" t="s">
        <v>151</v>
      </c>
      <c r="B10" s="1">
        <v>7.2</v>
      </c>
      <c r="D10" t="s">
        <v>151</v>
      </c>
      <c r="E10" s="10">
        <v>3353.5435466618228</v>
      </c>
      <c r="F10">
        <f t="shared" si="0"/>
        <v>24145.513535965125</v>
      </c>
      <c r="G10">
        <v>8182362</v>
      </c>
      <c r="H10" s="10">
        <f t="shared" si="1"/>
        <v>409.85030320851399</v>
      </c>
      <c r="J10" s="1">
        <v>-2.8</v>
      </c>
      <c r="K10">
        <v>3945.9582462693566</v>
      </c>
      <c r="L10">
        <f t="shared" si="2"/>
        <v>1.0296194171811581</v>
      </c>
      <c r="M10">
        <f t="shared" si="3"/>
        <v>8.2804471052466386</v>
      </c>
      <c r="O10" s="3" t="s">
        <v>28</v>
      </c>
      <c r="P10" s="3">
        <v>32</v>
      </c>
      <c r="Y10" t="str">
        <f>regions!A20</f>
        <v>Benin</v>
      </c>
      <c r="Z10">
        <f>regions!B20</f>
        <v>9509798</v>
      </c>
      <c r="AA10">
        <f>regions!C20</f>
        <v>5230812507.6709518</v>
      </c>
      <c r="AB10">
        <f>regions!D20</f>
        <v>550.04454433952765</v>
      </c>
      <c r="AC10">
        <f>regions!X20</f>
        <v>27.5</v>
      </c>
      <c r="AD10" s="1">
        <f t="shared" si="4"/>
        <v>7.2</v>
      </c>
      <c r="AF10">
        <v>-2.8</v>
      </c>
      <c r="AG10">
        <v>10035.850591834826</v>
      </c>
      <c r="AH10">
        <v>7.8</v>
      </c>
      <c r="AI10">
        <f t="shared" si="5"/>
        <v>1.0296194171811581</v>
      </c>
      <c r="AJ10">
        <f t="shared" si="6"/>
        <v>9.2139190201529804</v>
      </c>
      <c r="AK10">
        <f t="shared" si="7"/>
        <v>7.8</v>
      </c>
      <c r="AM10" s="3" t="s">
        <v>28</v>
      </c>
      <c r="AN10" s="3">
        <v>32</v>
      </c>
      <c r="AW10" s="3" t="s">
        <v>28</v>
      </c>
      <c r="AX10" s="3">
        <v>32</v>
      </c>
    </row>
    <row r="11" spans="1:55" x14ac:dyDescent="0.35">
      <c r="A11" t="s">
        <v>152</v>
      </c>
      <c r="B11" s="1" t="s">
        <v>153</v>
      </c>
      <c r="D11" t="s">
        <v>152</v>
      </c>
      <c r="E11" s="10">
        <v>8873.6595172869675</v>
      </c>
      <c r="G11">
        <v>9354709</v>
      </c>
      <c r="H11" s="10">
        <f t="shared" si="1"/>
        <v>948.57675607942133</v>
      </c>
      <c r="J11" s="1">
        <v>-2.6</v>
      </c>
      <c r="K11">
        <v>30467.691602580086</v>
      </c>
      <c r="L11">
        <f t="shared" si="2"/>
        <v>0.95551144502743635</v>
      </c>
      <c r="M11">
        <f t="shared" si="3"/>
        <v>10.32442210943082</v>
      </c>
      <c r="Y11" t="str">
        <f>regions!A23</f>
        <v>Bolivia</v>
      </c>
      <c r="Z11">
        <f>regions!B23</f>
        <v>10156601</v>
      </c>
      <c r="AA11">
        <f>regions!C23</f>
        <v>11954060130.08857</v>
      </c>
      <c r="AB11">
        <f>regions!D23</f>
        <v>1176.9744750324021</v>
      </c>
      <c r="AC11">
        <f>regions!X23</f>
        <v>21.5</v>
      </c>
      <c r="AD11" s="1" t="str">
        <f t="shared" si="4"/>
        <v>n.a.</v>
      </c>
      <c r="AF11">
        <v>-2.6</v>
      </c>
      <c r="AG11">
        <v>51528.384416011126</v>
      </c>
      <c r="AH11">
        <v>1.7</v>
      </c>
      <c r="AI11">
        <f t="shared" si="5"/>
        <v>0.95551144502743635</v>
      </c>
      <c r="AJ11">
        <f t="shared" si="6"/>
        <v>10.849888088531362</v>
      </c>
      <c r="AK11">
        <f t="shared" si="7"/>
        <v>1.7</v>
      </c>
    </row>
    <row r="12" spans="1:55" ht="15" thickBot="1" x14ac:dyDescent="0.4">
      <c r="A12" t="s">
        <v>154</v>
      </c>
      <c r="B12" s="1">
        <v>2.6</v>
      </c>
      <c r="D12" t="s">
        <v>154</v>
      </c>
      <c r="E12" s="10">
        <v>8033.057925554207</v>
      </c>
      <c r="F12">
        <f>$B12*E12</f>
        <v>20885.95060644094</v>
      </c>
      <c r="G12">
        <v>1875805</v>
      </c>
      <c r="H12" s="10">
        <f t="shared" si="1"/>
        <v>4282.4589579163121</v>
      </c>
      <c r="J12" s="1">
        <v>-2.5</v>
      </c>
      <c r="K12">
        <v>25280.761311736307</v>
      </c>
      <c r="L12">
        <f t="shared" si="2"/>
        <v>0.91629073187415511</v>
      </c>
      <c r="M12">
        <f t="shared" si="3"/>
        <v>10.137798962986784</v>
      </c>
      <c r="O12" t="s">
        <v>29</v>
      </c>
      <c r="Y12" t="str">
        <f>regions!A25</f>
        <v>Botswana</v>
      </c>
      <c r="Z12">
        <f>regions!B25</f>
        <v>1969341</v>
      </c>
      <c r="AA12">
        <f>regions!C25</f>
        <v>12116816308.861942</v>
      </c>
      <c r="AB12">
        <f>regions!D25</f>
        <v>6152.7263733715708</v>
      </c>
      <c r="AC12">
        <f>regions!X25</f>
        <v>21.5</v>
      </c>
      <c r="AD12" s="1">
        <f t="shared" si="4"/>
        <v>2.6</v>
      </c>
      <c r="AF12">
        <v>-2.5</v>
      </c>
      <c r="AG12">
        <v>36337.22567382102</v>
      </c>
      <c r="AH12">
        <v>-5.4</v>
      </c>
      <c r="AI12">
        <f t="shared" si="5"/>
        <v>0.91629073187415511</v>
      </c>
      <c r="AJ12">
        <f t="shared" si="6"/>
        <v>10.500597995442584</v>
      </c>
      <c r="AK12">
        <f t="shared" si="7"/>
        <v>-5.4</v>
      </c>
      <c r="AM12" t="s">
        <v>29</v>
      </c>
      <c r="AW12" t="s">
        <v>29</v>
      </c>
    </row>
    <row r="13" spans="1:55" x14ac:dyDescent="0.35">
      <c r="A13" t="s">
        <v>155</v>
      </c>
      <c r="B13" s="1">
        <v>3.5</v>
      </c>
      <c r="D13" t="s">
        <v>155</v>
      </c>
      <c r="E13" s="10">
        <v>847755.52721151849</v>
      </c>
      <c r="F13">
        <f>$B13*E13</f>
        <v>2967144.3452403145</v>
      </c>
      <c r="G13">
        <v>186142403</v>
      </c>
      <c r="H13" s="10">
        <f t="shared" si="1"/>
        <v>4554.3385792194722</v>
      </c>
      <c r="J13" s="1">
        <v>-2.5</v>
      </c>
      <c r="K13">
        <v>12656.543870707794</v>
      </c>
      <c r="L13">
        <f t="shared" si="2"/>
        <v>0.91629073187415511</v>
      </c>
      <c r="M13">
        <f t="shared" si="3"/>
        <v>9.4459296624333327</v>
      </c>
      <c r="O13" s="4"/>
      <c r="P13" s="4" t="s">
        <v>34</v>
      </c>
      <c r="Q13" s="4" t="s">
        <v>35</v>
      </c>
      <c r="R13" s="4" t="s">
        <v>36</v>
      </c>
      <c r="S13" s="4" t="s">
        <v>37</v>
      </c>
      <c r="T13" s="4" t="s">
        <v>38</v>
      </c>
      <c r="Y13" t="str">
        <f>regions!A26</f>
        <v>Brazil</v>
      </c>
      <c r="Z13">
        <f>regions!B26</f>
        <v>195210154</v>
      </c>
      <c r="AA13">
        <f>regions!C26</f>
        <v>1096754010432.5254</v>
      </c>
      <c r="AB13">
        <f>regions!D26</f>
        <v>5618.3246002281494</v>
      </c>
      <c r="AC13">
        <f>regions!X26</f>
        <v>24.9</v>
      </c>
      <c r="AD13" s="1">
        <f t="shared" si="4"/>
        <v>3.5</v>
      </c>
      <c r="AF13">
        <v>-2.5</v>
      </c>
      <c r="AG13">
        <v>18535.131234142536</v>
      </c>
      <c r="AH13">
        <v>15.1</v>
      </c>
      <c r="AI13">
        <f t="shared" si="5"/>
        <v>0.91629073187415511</v>
      </c>
      <c r="AJ13">
        <f t="shared" si="6"/>
        <v>9.8274231959019591</v>
      </c>
      <c r="AK13">
        <f t="shared" si="7"/>
        <v>15.1</v>
      </c>
      <c r="AM13" s="4"/>
      <c r="AN13" s="4" t="s">
        <v>34</v>
      </c>
      <c r="AO13" s="4" t="s">
        <v>35</v>
      </c>
      <c r="AP13" s="4" t="s">
        <v>36</v>
      </c>
      <c r="AQ13" s="4" t="s">
        <v>37</v>
      </c>
      <c r="AR13" s="4" t="s">
        <v>38</v>
      </c>
      <c r="AW13" s="4"/>
      <c r="AX13" s="4" t="s">
        <v>34</v>
      </c>
      <c r="AY13" s="4" t="s">
        <v>35</v>
      </c>
      <c r="AZ13" s="4" t="s">
        <v>36</v>
      </c>
      <c r="BA13" s="4" t="s">
        <v>37</v>
      </c>
      <c r="BB13" s="4" t="s">
        <v>38</v>
      </c>
    </row>
    <row r="14" spans="1:55" x14ac:dyDescent="0.35">
      <c r="A14" t="s">
        <v>156</v>
      </c>
      <c r="B14" s="1">
        <v>0.4</v>
      </c>
      <c r="D14" t="s">
        <v>156</v>
      </c>
      <c r="E14" s="10">
        <v>12560.449117998513</v>
      </c>
      <c r="F14">
        <f>$B14*E14</f>
        <v>5024.1796471994057</v>
      </c>
      <c r="G14">
        <v>18137734</v>
      </c>
      <c r="H14" s="10">
        <f t="shared" si="1"/>
        <v>692.50376689825271</v>
      </c>
      <c r="J14" s="1">
        <v>-2.1</v>
      </c>
      <c r="K14">
        <v>33884.57169517492</v>
      </c>
      <c r="L14">
        <f t="shared" si="2"/>
        <v>0.74193734472937733</v>
      </c>
      <c r="M14">
        <f t="shared" si="3"/>
        <v>10.430715077536806</v>
      </c>
      <c r="O14" s="2" t="s">
        <v>30</v>
      </c>
      <c r="P14" s="2">
        <v>1</v>
      </c>
      <c r="Q14" s="2">
        <v>3.7755621545905171E-3</v>
      </c>
      <c r="R14" s="2">
        <v>3.7755621545905171E-3</v>
      </c>
      <c r="S14" s="2">
        <v>4.7711719058862343E-3</v>
      </c>
      <c r="T14" s="2">
        <v>0.94538934115200612</v>
      </c>
      <c r="Y14" t="str">
        <f>regions!A33</f>
        <v>Cameroon</v>
      </c>
      <c r="Z14">
        <f>regions!B33</f>
        <v>20624343</v>
      </c>
      <c r="AA14">
        <f>regions!C33</f>
        <v>19209829592.645119</v>
      </c>
      <c r="AB14">
        <f>regions!D33</f>
        <v>931.41534703166633</v>
      </c>
      <c r="AC14">
        <f>regions!X33</f>
        <v>24.6</v>
      </c>
      <c r="AD14" s="1">
        <f t="shared" si="4"/>
        <v>0.4</v>
      </c>
      <c r="AF14">
        <v>-2.1</v>
      </c>
      <c r="AG14">
        <v>38064.653322818347</v>
      </c>
      <c r="AH14">
        <v>1.7</v>
      </c>
      <c r="AI14">
        <f t="shared" si="5"/>
        <v>0.74193734472937733</v>
      </c>
      <c r="AJ14">
        <f t="shared" si="6"/>
        <v>10.547041396193739</v>
      </c>
      <c r="AK14">
        <f t="shared" si="7"/>
        <v>1.7</v>
      </c>
      <c r="AM14" s="2" t="s">
        <v>30</v>
      </c>
      <c r="AN14" s="2">
        <v>2</v>
      </c>
      <c r="AO14" s="2">
        <v>1.6155465673136646</v>
      </c>
      <c r="AP14" s="2">
        <v>0.80777328365683232</v>
      </c>
      <c r="AQ14" s="2">
        <v>1.058629367203249</v>
      </c>
      <c r="AR14" s="2">
        <v>0.35995786779061123</v>
      </c>
      <c r="AW14" s="2" t="s">
        <v>30</v>
      </c>
      <c r="AX14" s="2">
        <v>1</v>
      </c>
      <c r="AY14" s="2">
        <v>0.76959527437668385</v>
      </c>
      <c r="AZ14" s="2">
        <v>0.76959527437668385</v>
      </c>
      <c r="BA14" s="2">
        <v>1.004955008831891</v>
      </c>
      <c r="BB14" s="2">
        <v>0.32413227063753913</v>
      </c>
    </row>
    <row r="15" spans="1:55" x14ac:dyDescent="0.35">
      <c r="A15" t="s">
        <v>157</v>
      </c>
      <c r="B15" s="1">
        <v>-2.5</v>
      </c>
      <c r="D15" t="s">
        <v>157</v>
      </c>
      <c r="E15" s="10">
        <v>816871.95950482355</v>
      </c>
      <c r="F15">
        <f>$B15*E15</f>
        <v>-2042179.8987620589</v>
      </c>
      <c r="G15">
        <v>32312000</v>
      </c>
      <c r="H15" s="10">
        <f t="shared" si="1"/>
        <v>25280.761311736307</v>
      </c>
      <c r="J15" s="1">
        <v>-2.1</v>
      </c>
      <c r="K15">
        <v>33577.30520661769</v>
      </c>
      <c r="L15">
        <f t="shared" si="2"/>
        <v>0.74193734472937733</v>
      </c>
      <c r="M15">
        <f t="shared" si="3"/>
        <v>10.421605677459507</v>
      </c>
      <c r="O15" s="2" t="s">
        <v>31</v>
      </c>
      <c r="P15" s="2">
        <v>30</v>
      </c>
      <c r="Q15" s="2">
        <v>23.739841462844222</v>
      </c>
      <c r="R15" s="2">
        <v>0.79132804876147411</v>
      </c>
      <c r="S15" s="2"/>
      <c r="T15" s="2"/>
      <c r="Y15" t="str">
        <f>regions!A34</f>
        <v>Canada</v>
      </c>
      <c r="Z15">
        <f>regions!B34</f>
        <v>34126547</v>
      </c>
      <c r="AA15">
        <f>regions!C34</f>
        <v>1240064039807.2598</v>
      </c>
      <c r="AB15">
        <f>regions!D34</f>
        <v>36337.22567382102</v>
      </c>
      <c r="AC15">
        <f>regions!X34</f>
        <v>-5.4</v>
      </c>
      <c r="AD15" s="1">
        <f t="shared" si="4"/>
        <v>-2.5</v>
      </c>
      <c r="AF15">
        <v>-2.1</v>
      </c>
      <c r="AG15">
        <v>42825.675932195161</v>
      </c>
      <c r="AH15">
        <v>2.1</v>
      </c>
      <c r="AI15">
        <f t="shared" si="5"/>
        <v>0.74193734472937733</v>
      </c>
      <c r="AJ15">
        <f t="shared" si="6"/>
        <v>10.664893106656674</v>
      </c>
      <c r="AK15">
        <f t="shared" si="7"/>
        <v>2.1</v>
      </c>
      <c r="AM15" s="2" t="s">
        <v>31</v>
      </c>
      <c r="AN15" s="2">
        <v>29</v>
      </c>
      <c r="AO15" s="2">
        <v>22.128070457685148</v>
      </c>
      <c r="AP15" s="2">
        <v>0.76303691233397064</v>
      </c>
      <c r="AQ15" s="2"/>
      <c r="AR15" s="2"/>
      <c r="AW15" s="2" t="s">
        <v>31</v>
      </c>
      <c r="AX15" s="2">
        <v>30</v>
      </c>
      <c r="AY15" s="2">
        <v>22.974021750622128</v>
      </c>
      <c r="AZ15" s="2">
        <v>0.76580072502073759</v>
      </c>
      <c r="BA15" s="2"/>
      <c r="BB15" s="2"/>
    </row>
    <row r="16" spans="1:55" ht="15" thickBot="1" x14ac:dyDescent="0.4">
      <c r="A16" t="s">
        <v>158</v>
      </c>
      <c r="B16" s="1">
        <v>-14.8</v>
      </c>
      <c r="D16" t="s">
        <v>158</v>
      </c>
      <c r="E16" s="10">
        <v>90136.970471717665</v>
      </c>
      <c r="F16">
        <f>$B16*E16</f>
        <v>-1334027.1629814215</v>
      </c>
      <c r="G16">
        <v>16337749</v>
      </c>
      <c r="H16" s="10">
        <f t="shared" si="1"/>
        <v>5517.0984981907641</v>
      </c>
      <c r="J16" s="1">
        <v>-2</v>
      </c>
      <c r="K16">
        <v>29728.50088343905</v>
      </c>
      <c r="L16">
        <f t="shared" si="2"/>
        <v>0.69314718055994529</v>
      </c>
      <c r="M16">
        <f t="shared" si="3"/>
        <v>10.299861490349418</v>
      </c>
      <c r="O16" s="3" t="s">
        <v>32</v>
      </c>
      <c r="P16" s="3">
        <v>31</v>
      </c>
      <c r="Q16" s="3">
        <v>23.743617024998812</v>
      </c>
      <c r="R16" s="3"/>
      <c r="S16" s="3"/>
      <c r="T16" s="3"/>
      <c r="Y16" t="str">
        <f>regions!A38</f>
        <v>Chile</v>
      </c>
      <c r="Z16">
        <f>regions!B38</f>
        <v>17150760</v>
      </c>
      <c r="AA16">
        <f>regions!C38</f>
        <v>147668421646.38379</v>
      </c>
      <c r="AB16">
        <f>regions!D38</f>
        <v>8610.0220425441075</v>
      </c>
      <c r="AC16">
        <f>regions!X38</f>
        <v>8.5</v>
      </c>
      <c r="AD16" s="1">
        <f t="shared" si="4"/>
        <v>-14.8</v>
      </c>
      <c r="AF16">
        <v>-2</v>
      </c>
      <c r="AG16">
        <v>33898.26965325878</v>
      </c>
      <c r="AH16">
        <v>10.7</v>
      </c>
      <c r="AI16">
        <f t="shared" si="5"/>
        <v>0.69314718055994529</v>
      </c>
      <c r="AJ16">
        <f t="shared" si="6"/>
        <v>10.431119249389088</v>
      </c>
      <c r="AK16">
        <f t="shared" si="7"/>
        <v>10.7</v>
      </c>
      <c r="AM16" s="3" t="s">
        <v>32</v>
      </c>
      <c r="AN16" s="3">
        <v>31</v>
      </c>
      <c r="AO16" s="3">
        <v>23.743617024998812</v>
      </c>
      <c r="AP16" s="3"/>
      <c r="AQ16" s="3"/>
      <c r="AR16" s="3"/>
      <c r="AW16" s="3" t="s">
        <v>32</v>
      </c>
      <c r="AX16" s="3">
        <v>31</v>
      </c>
      <c r="AY16" s="3">
        <v>23.743617024998812</v>
      </c>
      <c r="AZ16" s="3"/>
      <c r="BA16" s="3"/>
      <c r="BB16" s="3"/>
    </row>
    <row r="17" spans="1:57" ht="15" thickBot="1" x14ac:dyDescent="0.4">
      <c r="A17" t="s">
        <v>159</v>
      </c>
      <c r="B17" s="1" t="s">
        <v>153</v>
      </c>
      <c r="D17" t="s">
        <v>159</v>
      </c>
      <c r="E17" s="10">
        <v>104015.62520700305</v>
      </c>
      <c r="G17">
        <v>43184026</v>
      </c>
      <c r="H17" s="10">
        <f t="shared" si="1"/>
        <v>2408.6597485607999</v>
      </c>
      <c r="J17" s="1">
        <v>-2</v>
      </c>
      <c r="K17">
        <v>32991.048201891084</v>
      </c>
      <c r="L17">
        <f t="shared" si="2"/>
        <v>0.69314718055994529</v>
      </c>
      <c r="M17">
        <f t="shared" si="3"/>
        <v>10.403991537039815</v>
      </c>
      <c r="Y17" t="str">
        <f>regions!A40</f>
        <v>Colombia</v>
      </c>
      <c r="Z17">
        <f>regions!B40</f>
        <v>46444798</v>
      </c>
      <c r="AA17">
        <f>regions!C40</f>
        <v>182893446717.7428</v>
      </c>
      <c r="AB17">
        <f>regions!D40</f>
        <v>3937.8672013546661</v>
      </c>
      <c r="AC17">
        <f>regions!X40</f>
        <v>24.5</v>
      </c>
      <c r="AD17" s="1" t="str">
        <f t="shared" si="4"/>
        <v>n.a.</v>
      </c>
      <c r="AF17">
        <v>-2</v>
      </c>
      <c r="AG17">
        <v>36127.047700224583</v>
      </c>
      <c r="AH17">
        <v>8.4</v>
      </c>
      <c r="AI17">
        <f t="shared" si="5"/>
        <v>0.69314718055994529</v>
      </c>
      <c r="AJ17">
        <f t="shared" si="6"/>
        <v>10.494797107551511</v>
      </c>
      <c r="AK17">
        <f t="shared" si="7"/>
        <v>8.4</v>
      </c>
    </row>
    <row r="18" spans="1:57" x14ac:dyDescent="0.35">
      <c r="A18" t="s">
        <v>160</v>
      </c>
      <c r="B18" s="1">
        <v>3.3</v>
      </c>
      <c r="D18" t="s">
        <v>160</v>
      </c>
      <c r="E18" s="10">
        <v>2838.1758591199409</v>
      </c>
      <c r="F18">
        <f t="shared" ref="F18:F24" si="8">$B18*E18</f>
        <v>9365.9803350958045</v>
      </c>
      <c r="G18">
        <v>3542867</v>
      </c>
      <c r="H18" s="10">
        <f t="shared" si="1"/>
        <v>801.09579589635769</v>
      </c>
      <c r="J18" s="1">
        <v>-1.9</v>
      </c>
      <c r="K18">
        <v>6370.9440065479257</v>
      </c>
      <c r="L18">
        <f t="shared" si="2"/>
        <v>0.64185388617239469</v>
      </c>
      <c r="M18">
        <f t="shared" si="3"/>
        <v>8.7595029332767247</v>
      </c>
      <c r="O18" s="4"/>
      <c r="P18" s="4" t="s">
        <v>39</v>
      </c>
      <c r="Q18" s="4" t="s">
        <v>27</v>
      </c>
      <c r="R18" s="4" t="s">
        <v>40</v>
      </c>
      <c r="S18" s="4" t="s">
        <v>41</v>
      </c>
      <c r="T18" s="4" t="s">
        <v>42</v>
      </c>
      <c r="U18" s="4" t="s">
        <v>43</v>
      </c>
      <c r="V18" s="4" t="s">
        <v>44</v>
      </c>
      <c r="W18" s="4" t="s">
        <v>45</v>
      </c>
      <c r="Y18" t="str">
        <f>regions!A43</f>
        <v>Congo [Republic]</v>
      </c>
      <c r="Z18">
        <f>regions!B43</f>
        <v>4111715</v>
      </c>
      <c r="AA18">
        <f>regions!C43</f>
        <v>7852666838.4847937</v>
      </c>
      <c r="AB18">
        <f>regions!D43</f>
        <v>1909.827611710635</v>
      </c>
      <c r="AC18">
        <f>regions!X43</f>
        <v>24.5</v>
      </c>
      <c r="AD18" s="1">
        <f t="shared" si="4"/>
        <v>3.3</v>
      </c>
      <c r="AF18">
        <v>-1.9</v>
      </c>
      <c r="AG18">
        <v>10926.468951505391</v>
      </c>
      <c r="AH18">
        <v>9.8000000000000007</v>
      </c>
      <c r="AI18">
        <f t="shared" si="5"/>
        <v>0.64185388617239469</v>
      </c>
      <c r="AJ18">
        <f t="shared" si="6"/>
        <v>9.2989434687288473</v>
      </c>
      <c r="AK18">
        <f t="shared" si="7"/>
        <v>9.8000000000000007</v>
      </c>
      <c r="AM18" s="4"/>
      <c r="AN18" s="4" t="s">
        <v>39</v>
      </c>
      <c r="AO18" s="4" t="s">
        <v>27</v>
      </c>
      <c r="AP18" s="4" t="s">
        <v>40</v>
      </c>
      <c r="AQ18" s="4" t="s">
        <v>41</v>
      </c>
      <c r="AR18" s="4" t="s">
        <v>42</v>
      </c>
      <c r="AS18" s="4" t="s">
        <v>43</v>
      </c>
      <c r="AT18" s="4" t="s">
        <v>44</v>
      </c>
      <c r="AU18" s="4" t="s">
        <v>45</v>
      </c>
      <c r="AW18" s="4"/>
      <c r="AX18" s="4" t="s">
        <v>39</v>
      </c>
      <c r="AY18" s="4" t="s">
        <v>27</v>
      </c>
      <c r="AZ18" s="4" t="s">
        <v>40</v>
      </c>
      <c r="BA18" s="4" t="s">
        <v>41</v>
      </c>
      <c r="BB18" s="4" t="s">
        <v>42</v>
      </c>
      <c r="BC18" s="4" t="s">
        <v>43</v>
      </c>
      <c r="BD18" s="4" t="s">
        <v>44</v>
      </c>
      <c r="BE18" s="4" t="s">
        <v>45</v>
      </c>
    </row>
    <row r="19" spans="1:57" x14ac:dyDescent="0.35">
      <c r="A19" t="s">
        <v>161</v>
      </c>
      <c r="B19" s="1">
        <v>3.8</v>
      </c>
      <c r="D19" t="s">
        <v>161</v>
      </c>
      <c r="E19" s="10">
        <v>16794.869250102085</v>
      </c>
      <c r="F19">
        <f t="shared" si="8"/>
        <v>63820.503150387922</v>
      </c>
      <c r="G19">
        <v>4320130</v>
      </c>
      <c r="H19" s="10">
        <f t="shared" si="1"/>
        <v>3887.5842278130717</v>
      </c>
      <c r="J19" s="1">
        <v>-1.9</v>
      </c>
      <c r="K19">
        <v>40465.910369250872</v>
      </c>
      <c r="L19">
        <f t="shared" si="2"/>
        <v>0.64185388617239469</v>
      </c>
      <c r="M19">
        <f t="shared" si="3"/>
        <v>10.608215179372294</v>
      </c>
      <c r="O19" s="2" t="s">
        <v>33</v>
      </c>
      <c r="P19" s="2">
        <v>0.38910016017469939</v>
      </c>
      <c r="Q19" s="2">
        <v>1.4391050447144271</v>
      </c>
      <c r="R19" s="2">
        <v>0.27037648266455183</v>
      </c>
      <c r="S19" s="2">
        <v>0.78872206409801882</v>
      </c>
      <c r="T19" s="2">
        <v>-2.5499444343697366</v>
      </c>
      <c r="U19" s="2">
        <v>3.3281447547191352</v>
      </c>
      <c r="V19" s="2">
        <v>-2.5499444343697366</v>
      </c>
      <c r="W19" s="2">
        <v>3.3281447547191352</v>
      </c>
      <c r="Y19" t="str">
        <f>regions!A44</f>
        <v>Costa Rica</v>
      </c>
      <c r="Z19">
        <f>regions!B44</f>
        <v>4669685</v>
      </c>
      <c r="AA19">
        <f>regions!C44</f>
        <v>25017792422.605213</v>
      </c>
      <c r="AB19">
        <f>regions!D44</f>
        <v>5357.4903708933716</v>
      </c>
      <c r="AC19">
        <f>regions!X44</f>
        <v>24.8</v>
      </c>
      <c r="AD19" s="1">
        <f t="shared" si="4"/>
        <v>3.8</v>
      </c>
      <c r="AF19">
        <v>-1.9</v>
      </c>
      <c r="AG19">
        <v>64589.974659965468</v>
      </c>
      <c r="AH19">
        <v>1.5</v>
      </c>
      <c r="AI19">
        <f t="shared" si="5"/>
        <v>0.64185388617239469</v>
      </c>
      <c r="AJ19">
        <f t="shared" si="6"/>
        <v>11.075814486705115</v>
      </c>
      <c r="AK19">
        <f t="shared" si="7"/>
        <v>1.5</v>
      </c>
      <c r="AM19" s="2" t="s">
        <v>33</v>
      </c>
      <c r="AN19" s="2">
        <v>-4.2156122631292314E-2</v>
      </c>
      <c r="AO19" s="2">
        <v>2.2047505852437697</v>
      </c>
      <c r="AP19" s="2">
        <v>-1.9120585753980554E-2</v>
      </c>
      <c r="AQ19" s="2">
        <v>0.98487585952185741</v>
      </c>
      <c r="AR19" s="2">
        <v>-4.5513773730812783</v>
      </c>
      <c r="AS19" s="2">
        <v>4.4670651278186941</v>
      </c>
      <c r="AT19" s="2">
        <v>-4.5513773730812783</v>
      </c>
      <c r="AU19" s="2">
        <v>4.4670651278186941</v>
      </c>
      <c r="AW19" s="2" t="s">
        <v>33</v>
      </c>
      <c r="AX19" s="2">
        <v>-1.3408372683920129</v>
      </c>
      <c r="AY19" s="2">
        <v>1.8307800085825194</v>
      </c>
      <c r="AZ19" s="2">
        <v>-0.73238579299877515</v>
      </c>
      <c r="BA19" s="2">
        <v>0.46961683084020089</v>
      </c>
      <c r="BB19" s="2">
        <v>-5.0797888534670363</v>
      </c>
      <c r="BC19" s="2">
        <v>2.3981143166830101</v>
      </c>
      <c r="BD19" s="2">
        <v>-5.0797888534670363</v>
      </c>
      <c r="BE19" s="2">
        <v>2.3981143166830101</v>
      </c>
    </row>
    <row r="20" spans="1:57" ht="15" thickBot="1" x14ac:dyDescent="0.4">
      <c r="A20" t="s">
        <v>162</v>
      </c>
      <c r="B20" s="1">
        <v>-3</v>
      </c>
      <c r="D20" t="s">
        <v>162</v>
      </c>
      <c r="E20" s="10">
        <v>220721.69922886119</v>
      </c>
      <c r="F20">
        <f t="shared" si="8"/>
        <v>-662165.09768658364</v>
      </c>
      <c r="G20">
        <v>5419432</v>
      </c>
      <c r="H20" s="10">
        <f t="shared" si="1"/>
        <v>40727.828899571243</v>
      </c>
      <c r="J20" s="1">
        <v>-1.8</v>
      </c>
      <c r="K20">
        <v>34170.577271061382</v>
      </c>
      <c r="L20">
        <f t="shared" si="2"/>
        <v>0.58778666490211906</v>
      </c>
      <c r="M20">
        <f t="shared" si="3"/>
        <v>10.439120239056813</v>
      </c>
      <c r="O20" s="3" t="s">
        <v>46</v>
      </c>
      <c r="P20" s="3">
        <v>1.0096232765512211E-2</v>
      </c>
      <c r="Q20" s="3">
        <v>0.14616615485764961</v>
      </c>
      <c r="R20" s="3">
        <v>6.907367013481934E-2</v>
      </c>
      <c r="S20" s="3">
        <v>0.94538934115196271</v>
      </c>
      <c r="T20" s="3">
        <v>-0.28841487934372695</v>
      </c>
      <c r="U20" s="3">
        <v>0.30860734487475133</v>
      </c>
      <c r="V20" s="3">
        <v>-0.28841487934372695</v>
      </c>
      <c r="W20" s="3">
        <v>0.30860734487475133</v>
      </c>
      <c r="Y20" t="str">
        <f>regions!A49</f>
        <v>Denmark</v>
      </c>
      <c r="Z20">
        <f>regions!B49</f>
        <v>5547683</v>
      </c>
      <c r="AA20">
        <f>regions!C49</f>
        <v>256817427641.90231</v>
      </c>
      <c r="AB20">
        <f>regions!D49</f>
        <v>46292.736560813282</v>
      </c>
      <c r="AC20">
        <f>regions!X49</f>
        <v>7.5</v>
      </c>
      <c r="AD20" s="1">
        <f t="shared" si="4"/>
        <v>-3</v>
      </c>
      <c r="AF20">
        <v>-1.8</v>
      </c>
      <c r="AG20">
        <v>38803.235792365253</v>
      </c>
      <c r="AH20">
        <v>6.3</v>
      </c>
      <c r="AI20">
        <f t="shared" si="5"/>
        <v>0.58778666490211906</v>
      </c>
      <c r="AJ20">
        <f t="shared" si="6"/>
        <v>10.566258918844497</v>
      </c>
      <c r="AK20">
        <f t="shared" si="7"/>
        <v>6.3</v>
      </c>
      <c r="AM20" s="2" t="s">
        <v>46</v>
      </c>
      <c r="AN20" s="2">
        <v>8.4332100364324258E-2</v>
      </c>
      <c r="AO20" s="2">
        <v>0.20330373321666659</v>
      </c>
      <c r="AP20" s="2">
        <v>0.41480842004238622</v>
      </c>
      <c r="AQ20" s="2">
        <v>0.68133486600529436</v>
      </c>
      <c r="AR20" s="2">
        <v>-0.33147072116664161</v>
      </c>
      <c r="AS20" s="2">
        <v>0.50013492189529019</v>
      </c>
      <c r="AT20" s="2">
        <v>-0.33147072116664161</v>
      </c>
      <c r="AU20" s="2">
        <v>0.50013492189529019</v>
      </c>
      <c r="AW20" s="3" t="s">
        <v>46</v>
      </c>
      <c r="AX20" s="3">
        <v>0.18178873418238586</v>
      </c>
      <c r="AY20" s="3">
        <v>0.18134001864590707</v>
      </c>
      <c r="AZ20" s="3">
        <v>1.0024744429819155</v>
      </c>
      <c r="BA20" s="3">
        <v>0.32413227063753658</v>
      </c>
      <c r="BB20" s="3">
        <v>-0.18855699112330301</v>
      </c>
      <c r="BC20" s="3">
        <v>0.55213445948807471</v>
      </c>
      <c r="BD20" s="3">
        <v>-0.18855699112330301</v>
      </c>
      <c r="BE20" s="3">
        <v>0.55213445948807471</v>
      </c>
    </row>
    <row r="21" spans="1:57" ht="15" thickBot="1" x14ac:dyDescent="0.4">
      <c r="A21" t="s">
        <v>163</v>
      </c>
      <c r="B21" s="1">
        <v>0.9</v>
      </c>
      <c r="D21" t="s">
        <v>163</v>
      </c>
      <c r="E21" s="10">
        <v>208.53514578069263</v>
      </c>
      <c r="F21">
        <f t="shared" si="8"/>
        <v>187.68163120262338</v>
      </c>
      <c r="G21">
        <v>70542</v>
      </c>
      <c r="H21" s="10">
        <f t="shared" si="1"/>
        <v>2956.184199210295</v>
      </c>
      <c r="J21" s="1">
        <v>-1.6</v>
      </c>
      <c r="K21">
        <v>26400.730561190529</v>
      </c>
      <c r="L21">
        <f t="shared" si="2"/>
        <v>0.47000362924573563</v>
      </c>
      <c r="M21">
        <f t="shared" si="3"/>
        <v>10.181146961523892</v>
      </c>
      <c r="Y21" t="str">
        <f>regions!A51</f>
        <v>Dominica</v>
      </c>
      <c r="Z21">
        <f>regions!B51</f>
        <v>71167</v>
      </c>
      <c r="AA21">
        <f>regions!C51</f>
        <v>452332573.93279916</v>
      </c>
      <c r="AB21">
        <f>regions!D51</f>
        <v>6355.9314560512476</v>
      </c>
      <c r="AC21">
        <f>regions!X51</f>
        <v>22.3</v>
      </c>
      <c r="AD21" s="1">
        <f t="shared" si="4"/>
        <v>0.9</v>
      </c>
      <c r="AF21">
        <v>-1.6</v>
      </c>
      <c r="AG21">
        <v>36140.105242213795</v>
      </c>
      <c r="AH21">
        <v>21.6</v>
      </c>
      <c r="AI21">
        <f t="shared" si="5"/>
        <v>0.47000362924573563</v>
      </c>
      <c r="AJ21">
        <f t="shared" si="6"/>
        <v>10.49515847621209</v>
      </c>
      <c r="AK21">
        <f t="shared" si="7"/>
        <v>21.6</v>
      </c>
      <c r="AM21" s="3" t="s">
        <v>47</v>
      </c>
      <c r="AN21" s="3">
        <v>-3.4179142004548503E-2</v>
      </c>
      <c r="AO21" s="3">
        <v>3.2460951894709267E-2</v>
      </c>
      <c r="AP21" s="3">
        <v>-1.052930983521752</v>
      </c>
      <c r="AQ21" s="3">
        <v>0.30106717167705688</v>
      </c>
      <c r="AR21" s="3">
        <v>-0.10056924303145168</v>
      </c>
      <c r="AS21" s="3">
        <v>3.2210959022354678E-2</v>
      </c>
      <c r="AT21" s="3">
        <v>-0.10056924303145168</v>
      </c>
      <c r="AU21" s="3">
        <v>3.2210959022354678E-2</v>
      </c>
    </row>
    <row r="22" spans="1:57" x14ac:dyDescent="0.35">
      <c r="A22" t="s">
        <v>164</v>
      </c>
      <c r="B22" s="1">
        <v>70.7</v>
      </c>
      <c r="D22" t="s">
        <v>164</v>
      </c>
      <c r="E22" s="10">
        <v>244550.73225816811</v>
      </c>
      <c r="F22">
        <f t="shared" si="8"/>
        <v>17289736.770652484</v>
      </c>
      <c r="G22">
        <v>13777131</v>
      </c>
      <c r="H22" s="10">
        <f t="shared" si="1"/>
        <v>17750.483192630461</v>
      </c>
      <c r="J22" s="1">
        <v>-1.4</v>
      </c>
      <c r="K22">
        <v>1888.5746536965603</v>
      </c>
      <c r="L22">
        <f t="shared" si="2"/>
        <v>0.33647223662121289</v>
      </c>
      <c r="M22">
        <f t="shared" si="3"/>
        <v>7.5435776720551031</v>
      </c>
      <c r="O22" t="s">
        <v>22</v>
      </c>
      <c r="Y22" t="str">
        <f>regions!A53</f>
        <v>Ecuador</v>
      </c>
      <c r="Z22">
        <f>regions!B53</f>
        <v>15001072</v>
      </c>
      <c r="AA22">
        <f>regions!C53</f>
        <v>48764673104.869774</v>
      </c>
      <c r="AB22">
        <f>regions!D53</f>
        <v>3250.7458870185928</v>
      </c>
      <c r="AC22">
        <f>regions!X53</f>
        <v>21.8</v>
      </c>
      <c r="AD22" s="1">
        <f t="shared" si="4"/>
        <v>70.7</v>
      </c>
      <c r="AF22">
        <v>-1.4</v>
      </c>
      <c r="AG22">
        <v>5321.8101990424975</v>
      </c>
      <c r="AH22">
        <v>8.8000000000000007</v>
      </c>
      <c r="AI22">
        <f t="shared" si="5"/>
        <v>0.33647223662121289</v>
      </c>
      <c r="AJ22">
        <f t="shared" si="6"/>
        <v>8.5795687874372852</v>
      </c>
      <c r="AK22">
        <f t="shared" si="7"/>
        <v>8.8000000000000007</v>
      </c>
    </row>
    <row r="23" spans="1:57" ht="15" thickBot="1" x14ac:dyDescent="0.4">
      <c r="A23" t="s">
        <v>165</v>
      </c>
      <c r="B23" s="1">
        <v>3.1</v>
      </c>
      <c r="D23" t="s">
        <v>165</v>
      </c>
      <c r="E23" s="10">
        <v>90515.043642891615</v>
      </c>
      <c r="F23">
        <f t="shared" si="8"/>
        <v>280596.635292964</v>
      </c>
      <c r="G23">
        <v>71777678</v>
      </c>
      <c r="H23" s="10">
        <f t="shared" si="1"/>
        <v>1261.0472526415749</v>
      </c>
      <c r="J23" s="1">
        <v>-1.4</v>
      </c>
      <c r="K23">
        <v>3946.232829147616</v>
      </c>
      <c r="L23">
        <f t="shared" si="2"/>
        <v>0.33647223662121289</v>
      </c>
      <c r="M23">
        <f t="shared" si="3"/>
        <v>8.2805166886806294</v>
      </c>
      <c r="Y23" t="str">
        <f>regions!A54</f>
        <v>Egypt</v>
      </c>
      <c r="Z23">
        <f>regions!B54</f>
        <v>78075705</v>
      </c>
      <c r="AA23">
        <f>regions!C54</f>
        <v>121036124473.08067</v>
      </c>
      <c r="AB23">
        <f>regions!D54</f>
        <v>1550.2405578416574</v>
      </c>
      <c r="AC23">
        <f>regions!X54</f>
        <v>22.1</v>
      </c>
      <c r="AD23" s="1">
        <f t="shared" si="4"/>
        <v>3.1</v>
      </c>
      <c r="AF23">
        <v>-1.4</v>
      </c>
      <c r="AG23">
        <v>6791.0504176996537</v>
      </c>
      <c r="AH23">
        <v>17.5</v>
      </c>
      <c r="AI23">
        <f t="shared" si="5"/>
        <v>0.33647223662121289</v>
      </c>
      <c r="AJ23">
        <f t="shared" si="6"/>
        <v>8.8233609092799679</v>
      </c>
      <c r="AK23">
        <f t="shared" si="7"/>
        <v>17.5</v>
      </c>
      <c r="AM23" t="s">
        <v>22</v>
      </c>
      <c r="AW23" t="s">
        <v>22</v>
      </c>
    </row>
    <row r="24" spans="1:57" ht="15" thickBot="1" x14ac:dyDescent="0.4">
      <c r="A24" t="s">
        <v>166</v>
      </c>
      <c r="B24" s="1">
        <v>1.8</v>
      </c>
      <c r="D24" t="s">
        <v>166</v>
      </c>
      <c r="E24" s="10">
        <v>12313.240018037815</v>
      </c>
      <c r="F24">
        <f t="shared" si="8"/>
        <v>22163.832032468068</v>
      </c>
      <c r="G24">
        <v>6072538</v>
      </c>
      <c r="H24" s="10">
        <f t="shared" si="1"/>
        <v>2027.6925427288911</v>
      </c>
      <c r="J24" s="1">
        <v>-1.3</v>
      </c>
      <c r="K24">
        <v>19915.394687293785</v>
      </c>
      <c r="L24">
        <f t="shared" si="2"/>
        <v>0.26236426446749106</v>
      </c>
      <c r="M24">
        <f t="shared" si="3"/>
        <v>9.8992483140130716</v>
      </c>
      <c r="O24" s="5" t="s">
        <v>23</v>
      </c>
      <c r="P24" s="5"/>
      <c r="Y24" t="str">
        <f>regions!A55</f>
        <v>El Salvador</v>
      </c>
      <c r="Z24">
        <f>regions!B55</f>
        <v>6218195</v>
      </c>
      <c r="AA24">
        <f>regions!C55</f>
        <v>18341273339.874924</v>
      </c>
      <c r="AB24">
        <f>regions!D55</f>
        <v>2949.613728722712</v>
      </c>
      <c r="AC24">
        <f>regions!X55</f>
        <v>24.4</v>
      </c>
      <c r="AD24" s="1">
        <f t="shared" si="4"/>
        <v>1.8</v>
      </c>
      <c r="AF24">
        <v>-1.3</v>
      </c>
      <c r="AG24">
        <v>27483.511003152802</v>
      </c>
      <c r="AH24">
        <v>10.5</v>
      </c>
      <c r="AI24">
        <f t="shared" si="5"/>
        <v>0.26236426446749106</v>
      </c>
      <c r="AJ24">
        <f t="shared" si="6"/>
        <v>10.22134150393741</v>
      </c>
      <c r="AK24">
        <f t="shared" si="7"/>
        <v>10.5</v>
      </c>
    </row>
    <row r="25" spans="1:57" x14ac:dyDescent="0.35">
      <c r="A25" t="s">
        <v>167</v>
      </c>
      <c r="B25" s="1" t="s">
        <v>153</v>
      </c>
      <c r="D25" t="s">
        <v>167</v>
      </c>
      <c r="E25" s="10">
        <v>9660.9145706418258</v>
      </c>
      <c r="G25">
        <v>76167240</v>
      </c>
      <c r="H25" s="10">
        <f t="shared" si="1"/>
        <v>126.83818621551504</v>
      </c>
      <c r="J25" s="1">
        <v>-1.2</v>
      </c>
      <c r="K25">
        <v>7090.8023289792482</v>
      </c>
      <c r="L25">
        <f t="shared" si="2"/>
        <v>0.18232155679395459</v>
      </c>
      <c r="M25">
        <f t="shared" si="3"/>
        <v>8.8665537765904201</v>
      </c>
      <c r="O25" s="2" t="s">
        <v>24</v>
      </c>
      <c r="P25" s="2">
        <v>0.21340340026400548</v>
      </c>
      <c r="Y25" t="str">
        <f>regions!A59</f>
        <v>Ethiopia</v>
      </c>
      <c r="Z25">
        <f>regions!B59</f>
        <v>87095281</v>
      </c>
      <c r="AA25">
        <f>regions!C59</f>
        <v>20402844449.621059</v>
      </c>
      <c r="AB25">
        <f>regions!D59</f>
        <v>234.25889686975188</v>
      </c>
      <c r="AC25">
        <f>regions!X59</f>
        <v>22.2</v>
      </c>
      <c r="AD25" s="1" t="str">
        <f t="shared" si="4"/>
        <v>n.a.</v>
      </c>
      <c r="AF25">
        <v>-1.2</v>
      </c>
      <c r="AG25">
        <v>7274.3904532313973</v>
      </c>
      <c r="AH25">
        <v>14.8</v>
      </c>
      <c r="AI25">
        <f t="shared" si="5"/>
        <v>0.18232155679395459</v>
      </c>
      <c r="AJ25">
        <f t="shared" si="6"/>
        <v>8.892115302032007</v>
      </c>
      <c r="AK25">
        <f t="shared" si="7"/>
        <v>14.8</v>
      </c>
      <c r="AM25" s="5" t="s">
        <v>23</v>
      </c>
      <c r="AN25" s="5"/>
      <c r="AW25" s="5" t="s">
        <v>23</v>
      </c>
      <c r="AX25" s="5"/>
    </row>
    <row r="26" spans="1:57" x14ac:dyDescent="0.35">
      <c r="A26" t="s">
        <v>168</v>
      </c>
      <c r="B26" s="1">
        <v>-2.1</v>
      </c>
      <c r="D26" t="s">
        <v>168</v>
      </c>
      <c r="E26" s="10">
        <v>177761.71603177037</v>
      </c>
      <c r="F26">
        <f t="shared" ref="F26:F57" si="9">$B26*E26</f>
        <v>-373299.60366671777</v>
      </c>
      <c r="G26">
        <v>5246096</v>
      </c>
      <c r="H26" s="10">
        <f t="shared" si="1"/>
        <v>33884.57169517492</v>
      </c>
      <c r="J26" s="1">
        <v>-1.2</v>
      </c>
      <c r="K26">
        <v>2703.63743031696</v>
      </c>
      <c r="L26">
        <f t="shared" si="2"/>
        <v>0.18232155679395459</v>
      </c>
      <c r="M26">
        <f t="shared" si="3"/>
        <v>7.9023533417512244</v>
      </c>
      <c r="O26" s="2" t="s">
        <v>25</v>
      </c>
      <c r="P26" s="2">
        <v>4.5541011244239329E-2</v>
      </c>
      <c r="Y26" t="str">
        <f>regions!A61</f>
        <v>Finland</v>
      </c>
      <c r="Z26">
        <f>regions!B61</f>
        <v>5363352</v>
      </c>
      <c r="AA26">
        <f>regions!C61</f>
        <v>204154134528.24445</v>
      </c>
      <c r="AB26">
        <f>regions!D61</f>
        <v>38064.653322818347</v>
      </c>
      <c r="AC26">
        <f>regions!X61</f>
        <v>1.7</v>
      </c>
      <c r="AD26" s="1">
        <f t="shared" si="4"/>
        <v>-2.1</v>
      </c>
      <c r="AF26">
        <v>-1.2</v>
      </c>
      <c r="AG26">
        <v>3536.4885396339923</v>
      </c>
      <c r="AH26">
        <v>19.600000000000001</v>
      </c>
      <c r="AI26">
        <f t="shared" si="5"/>
        <v>0.18232155679395459</v>
      </c>
      <c r="AJ26">
        <f t="shared" si="6"/>
        <v>8.1708895758752877</v>
      </c>
      <c r="AK26">
        <f t="shared" si="7"/>
        <v>19.600000000000001</v>
      </c>
      <c r="AM26" s="2" t="s">
        <v>24</v>
      </c>
      <c r="AN26" s="2">
        <v>0.33758758373148207</v>
      </c>
      <c r="AW26" s="2" t="s">
        <v>24</v>
      </c>
      <c r="AX26" s="2">
        <v>0.32878359843541433</v>
      </c>
    </row>
    <row r="27" spans="1:57" x14ac:dyDescent="0.35">
      <c r="A27" t="s">
        <v>169</v>
      </c>
      <c r="B27" s="1">
        <v>-2</v>
      </c>
      <c r="D27" t="s">
        <v>169</v>
      </c>
      <c r="E27" s="10">
        <v>1878135.0850233627</v>
      </c>
      <c r="F27">
        <f t="shared" si="9"/>
        <v>-3756270.1700467253</v>
      </c>
      <c r="G27">
        <v>63176246</v>
      </c>
      <c r="H27" s="10">
        <f t="shared" si="1"/>
        <v>29728.50088343905</v>
      </c>
      <c r="J27" s="1">
        <v>-1.1000000000000001</v>
      </c>
      <c r="K27">
        <v>45395.083412389402</v>
      </c>
      <c r="L27">
        <f t="shared" si="2"/>
        <v>9.5310179804324935E-2</v>
      </c>
      <c r="M27">
        <f t="shared" si="3"/>
        <v>10.723159083283834</v>
      </c>
      <c r="O27" s="2" t="s">
        <v>26</v>
      </c>
      <c r="P27" s="2">
        <v>2.6062256371672782E-2</v>
      </c>
      <c r="Y27" t="str">
        <f>regions!A62</f>
        <v>France</v>
      </c>
      <c r="Z27">
        <f>regions!B62</f>
        <v>65031235</v>
      </c>
      <c r="AA27">
        <f>regions!C62</f>
        <v>2204446339914.4404</v>
      </c>
      <c r="AB27">
        <f>regions!D62</f>
        <v>33898.26965325878</v>
      </c>
      <c r="AC27">
        <f>regions!X62</f>
        <v>10.7</v>
      </c>
      <c r="AD27" s="1">
        <f t="shared" si="4"/>
        <v>-2</v>
      </c>
      <c r="AF27">
        <v>-1.1000000000000001</v>
      </c>
      <c r="AG27">
        <v>54642.81108074497</v>
      </c>
      <c r="AH27">
        <v>5.5</v>
      </c>
      <c r="AI27">
        <f t="shared" si="5"/>
        <v>9.5310179804324935E-2</v>
      </c>
      <c r="AJ27">
        <f t="shared" si="6"/>
        <v>10.9085729402263</v>
      </c>
      <c r="AK27">
        <f t="shared" si="7"/>
        <v>5.5</v>
      </c>
      <c r="AM27" s="2" t="s">
        <v>25</v>
      </c>
      <c r="AN27" s="2">
        <v>0.11396537668966043</v>
      </c>
      <c r="AW27" s="2" t="s">
        <v>25</v>
      </c>
      <c r="AX27" s="2">
        <v>0.10809865460013977</v>
      </c>
    </row>
    <row r="28" spans="1:57" x14ac:dyDescent="0.35">
      <c r="A28" t="s">
        <v>170</v>
      </c>
      <c r="B28" s="1">
        <v>-2</v>
      </c>
      <c r="D28" t="s">
        <v>170</v>
      </c>
      <c r="E28" s="10">
        <v>2720752.676384097</v>
      </c>
      <c r="F28">
        <f t="shared" si="9"/>
        <v>-5441505.3527681939</v>
      </c>
      <c r="G28">
        <v>82469422</v>
      </c>
      <c r="H28" s="10">
        <f t="shared" si="1"/>
        <v>32991.048201891084</v>
      </c>
      <c r="J28" s="1">
        <v>-1</v>
      </c>
      <c r="K28">
        <v>17903.655083805272</v>
      </c>
      <c r="L28">
        <f t="shared" si="2"/>
        <v>0</v>
      </c>
      <c r="M28">
        <f t="shared" si="3"/>
        <v>9.7927601656099537</v>
      </c>
      <c r="O28" s="2" t="s">
        <v>27</v>
      </c>
      <c r="P28" s="2">
        <v>1.2760048414032628</v>
      </c>
      <c r="Y28" t="str">
        <f>regions!A66</f>
        <v>Germany</v>
      </c>
      <c r="Z28">
        <f>regions!B66</f>
        <v>81776930</v>
      </c>
      <c r="AA28">
        <f>regions!C66</f>
        <v>2954359050887.9268</v>
      </c>
      <c r="AB28">
        <f>regions!D66</f>
        <v>36127.047700224583</v>
      </c>
      <c r="AC28">
        <f>regions!X66</f>
        <v>8.4</v>
      </c>
      <c r="AD28" s="1">
        <f t="shared" si="4"/>
        <v>-2</v>
      </c>
      <c r="AF28">
        <v>-1</v>
      </c>
      <c r="AG28">
        <v>25595.990106992766</v>
      </c>
      <c r="AH28">
        <v>13.3</v>
      </c>
      <c r="AI28">
        <f t="shared" si="5"/>
        <v>0</v>
      </c>
      <c r="AJ28">
        <f t="shared" si="6"/>
        <v>10.150190981753289</v>
      </c>
      <c r="AK28">
        <f t="shared" si="7"/>
        <v>13.3</v>
      </c>
      <c r="AM28" s="2" t="s">
        <v>26</v>
      </c>
      <c r="AN28" s="2">
        <v>7.4586060098089782E-2</v>
      </c>
      <c r="AW28" s="2" t="s">
        <v>26</v>
      </c>
      <c r="AX28" s="2">
        <v>8.8709494917534118E-2</v>
      </c>
    </row>
    <row r="29" spans="1:57" ht="15" thickBot="1" x14ac:dyDescent="0.4">
      <c r="A29" t="s">
        <v>171</v>
      </c>
      <c r="B29" s="1">
        <v>0.1</v>
      </c>
      <c r="D29" t="s">
        <v>171</v>
      </c>
      <c r="E29" s="10">
        <v>169053.7084325933</v>
      </c>
      <c r="F29">
        <f t="shared" si="9"/>
        <v>16905.37084325933</v>
      </c>
      <c r="G29">
        <v>11103965</v>
      </c>
      <c r="H29" s="10">
        <f t="shared" si="1"/>
        <v>15224.625476808806</v>
      </c>
      <c r="J29" s="1">
        <v>-0.8</v>
      </c>
      <c r="K29">
        <v>2256.6251124975697</v>
      </c>
      <c r="L29">
        <f t="shared" si="2"/>
        <v>-0.22314355131420971</v>
      </c>
      <c r="M29">
        <f t="shared" si="3"/>
        <v>7.7216256631089539</v>
      </c>
      <c r="O29" s="3" t="s">
        <v>28</v>
      </c>
      <c r="P29" s="3">
        <v>51</v>
      </c>
      <c r="Y29" t="str">
        <f>regions!A68</f>
        <v>Greece</v>
      </c>
      <c r="Z29">
        <f>regions!B68</f>
        <v>11307502</v>
      </c>
      <c r="AA29">
        <f>regions!C68</f>
        <v>240951131470.42734</v>
      </c>
      <c r="AB29">
        <f>regions!D68</f>
        <v>21308.962091753539</v>
      </c>
      <c r="AC29">
        <f>regions!X68</f>
        <v>15.4</v>
      </c>
      <c r="AD29" s="1">
        <f t="shared" si="4"/>
        <v>0.1</v>
      </c>
      <c r="AF29">
        <v>-0.8</v>
      </c>
      <c r="AG29">
        <v>3823.2204030260514</v>
      </c>
      <c r="AH29">
        <v>9.9</v>
      </c>
      <c r="AI29">
        <f t="shared" si="5"/>
        <v>-0.22314355131420971</v>
      </c>
      <c r="AJ29">
        <f t="shared" si="6"/>
        <v>8.2488483838855249</v>
      </c>
      <c r="AK29">
        <f t="shared" si="7"/>
        <v>9.9</v>
      </c>
      <c r="AM29" s="2" t="s">
        <v>27</v>
      </c>
      <c r="AN29" s="2">
        <v>1.2458496284941427</v>
      </c>
      <c r="AW29" s="2" t="s">
        <v>27</v>
      </c>
      <c r="AX29" s="2">
        <v>1.2363061541112126</v>
      </c>
    </row>
    <row r="30" spans="1:57" ht="15" thickBot="1" x14ac:dyDescent="0.4">
      <c r="A30" t="s">
        <v>172</v>
      </c>
      <c r="B30" s="1">
        <v>2.2000000000000002</v>
      </c>
      <c r="D30" t="s">
        <v>172</v>
      </c>
      <c r="E30" s="10">
        <v>352.25390977487621</v>
      </c>
      <c r="F30">
        <f t="shared" si="9"/>
        <v>774.95860150472777</v>
      </c>
      <c r="G30">
        <v>102951</v>
      </c>
      <c r="H30" s="10">
        <f t="shared" si="1"/>
        <v>3421.568608123051</v>
      </c>
      <c r="J30" s="1">
        <v>-0.6</v>
      </c>
      <c r="K30">
        <v>21218.982304762794</v>
      </c>
      <c r="L30">
        <f t="shared" si="2"/>
        <v>-0.51082562376599072</v>
      </c>
      <c r="M30">
        <f t="shared" si="3"/>
        <v>9.9626514517701441</v>
      </c>
      <c r="AD30" s="1">
        <f t="shared" si="4"/>
        <v>2.2000000000000002</v>
      </c>
      <c r="AF30">
        <v>-0.6</v>
      </c>
      <c r="AG30">
        <v>29163.146051932734</v>
      </c>
      <c r="AH30">
        <v>13.4</v>
      </c>
      <c r="AI30">
        <f t="shared" si="5"/>
        <v>-0.51082562376599072</v>
      </c>
      <c r="AJ30">
        <f t="shared" si="6"/>
        <v>10.280661069601068</v>
      </c>
      <c r="AK30">
        <f t="shared" si="7"/>
        <v>13.4</v>
      </c>
      <c r="AM30" s="3" t="s">
        <v>28</v>
      </c>
      <c r="AN30" s="3">
        <v>48</v>
      </c>
      <c r="AW30" s="3" t="s">
        <v>28</v>
      </c>
      <c r="AX30" s="3">
        <v>48</v>
      </c>
    </row>
    <row r="31" spans="1:57" ht="15" thickBot="1" x14ac:dyDescent="0.4">
      <c r="A31" t="s">
        <v>173</v>
      </c>
      <c r="B31" s="1">
        <v>10.5</v>
      </c>
      <c r="D31" t="s">
        <v>173</v>
      </c>
      <c r="E31" s="10">
        <v>19666.39579774137</v>
      </c>
      <c r="F31">
        <f t="shared" si="9"/>
        <v>206497.15587628438</v>
      </c>
      <c r="G31">
        <v>12678919</v>
      </c>
      <c r="H31" s="10">
        <f t="shared" si="1"/>
        <v>1551.1098223548372</v>
      </c>
      <c r="J31" s="1">
        <v>-0.4</v>
      </c>
      <c r="K31">
        <v>42976.204832414231</v>
      </c>
      <c r="L31">
        <f t="shared" si="2"/>
        <v>-0.916290731874155</v>
      </c>
      <c r="M31">
        <f t="shared" si="3"/>
        <v>10.66840186551633</v>
      </c>
      <c r="O31" t="s">
        <v>29</v>
      </c>
      <c r="Y31" t="str">
        <f>regions!A70</f>
        <v>Guatemala</v>
      </c>
      <c r="Z31">
        <f>regions!B70</f>
        <v>14341576</v>
      </c>
      <c r="AA31">
        <f>regions!C70</f>
        <v>32556756308.965832</v>
      </c>
      <c r="AB31">
        <f>regions!D70</f>
        <v>2270.0961392922113</v>
      </c>
      <c r="AC31">
        <f>regions!X70</f>
        <v>23.4</v>
      </c>
      <c r="AD31" s="1">
        <f t="shared" si="4"/>
        <v>10.5</v>
      </c>
      <c r="AF31">
        <v>-0.4</v>
      </c>
      <c r="AG31">
        <v>36472.749157637452</v>
      </c>
      <c r="AH31">
        <v>11.1</v>
      </c>
      <c r="AI31">
        <f t="shared" si="5"/>
        <v>-0.916290731874155</v>
      </c>
      <c r="AJ31">
        <f t="shared" si="6"/>
        <v>10.504320662306291</v>
      </c>
      <c r="AK31">
        <f t="shared" si="7"/>
        <v>11.1</v>
      </c>
    </row>
    <row r="32" spans="1:57" ht="15" thickBot="1" x14ac:dyDescent="0.4">
      <c r="A32" t="s">
        <v>174</v>
      </c>
      <c r="B32" s="1">
        <v>16.3</v>
      </c>
      <c r="D32" t="s">
        <v>174</v>
      </c>
      <c r="E32" s="10">
        <v>5099.3273160708886</v>
      </c>
      <c r="F32">
        <f t="shared" si="9"/>
        <v>83119.035251955487</v>
      </c>
      <c r="G32">
        <v>6898825</v>
      </c>
      <c r="H32" s="10">
        <f t="shared" si="1"/>
        <v>739.15881560568482</v>
      </c>
      <c r="J32" s="1">
        <v>-0.4</v>
      </c>
      <c r="K32">
        <v>191803.71348131684</v>
      </c>
      <c r="L32">
        <f t="shared" si="2"/>
        <v>-0.916290731874155</v>
      </c>
      <c r="M32">
        <f t="shared" si="3"/>
        <v>12.164227802460507</v>
      </c>
      <c r="O32" s="4"/>
      <c r="P32" s="4" t="s">
        <v>34</v>
      </c>
      <c r="Q32" s="4" t="s">
        <v>35</v>
      </c>
      <c r="R32" s="4" t="s">
        <v>36</v>
      </c>
      <c r="S32" s="4" t="s">
        <v>37</v>
      </c>
      <c r="T32" s="4" t="s">
        <v>38</v>
      </c>
      <c r="Y32" t="str">
        <f>regions!A75</f>
        <v>Honduras</v>
      </c>
      <c r="Z32">
        <f>regions!B75</f>
        <v>7621204</v>
      </c>
      <c r="AA32">
        <f>regions!C75</f>
        <v>11546063422.563662</v>
      </c>
      <c r="AB32">
        <f>regions!D75</f>
        <v>1514.9920435883439</v>
      </c>
      <c r="AC32">
        <f>regions!X75</f>
        <v>23.5</v>
      </c>
      <c r="AD32" s="1">
        <f t="shared" si="4"/>
        <v>16.3</v>
      </c>
      <c r="AF32">
        <v>-0.4</v>
      </c>
      <c r="AG32">
        <v>22236.187948867053</v>
      </c>
      <c r="AH32">
        <v>11.5</v>
      </c>
      <c r="AI32">
        <f t="shared" si="5"/>
        <v>-0.916290731874155</v>
      </c>
      <c r="AJ32">
        <f t="shared" si="6"/>
        <v>10.009476328496131</v>
      </c>
      <c r="AK32">
        <f t="shared" si="7"/>
        <v>11.5</v>
      </c>
      <c r="AM32" t="s">
        <v>29</v>
      </c>
      <c r="AW32" t="s">
        <v>29</v>
      </c>
    </row>
    <row r="33" spans="1:57" x14ac:dyDescent="0.35">
      <c r="A33" t="s">
        <v>175</v>
      </c>
      <c r="B33" s="1">
        <v>0.8</v>
      </c>
      <c r="D33" t="s">
        <v>235</v>
      </c>
      <c r="E33" s="10">
        <v>184750.92778731228</v>
      </c>
      <c r="F33">
        <f t="shared" si="9"/>
        <v>147800.74222984983</v>
      </c>
      <c r="G33">
        <v>6813200</v>
      </c>
      <c r="H33" s="10">
        <f t="shared" si="1"/>
        <v>27116.615949526255</v>
      </c>
      <c r="J33" s="1">
        <v>-0.3</v>
      </c>
      <c r="K33">
        <v>33406.529482578888</v>
      </c>
      <c r="L33">
        <f t="shared" si="2"/>
        <v>-1.2039728043259361</v>
      </c>
      <c r="M33">
        <f t="shared" si="3"/>
        <v>10.416506653348815</v>
      </c>
      <c r="O33" s="2" t="s">
        <v>30</v>
      </c>
      <c r="P33" s="2">
        <v>1</v>
      </c>
      <c r="Q33" s="2">
        <v>3.8066778231386991</v>
      </c>
      <c r="R33" s="2">
        <v>3.8066778231386991</v>
      </c>
      <c r="S33" s="2">
        <v>2.3379836926013322</v>
      </c>
      <c r="T33" s="2">
        <v>0.1326833730136161</v>
      </c>
      <c r="Y33" t="str">
        <f>regions!A76</f>
        <v>Hong Kong</v>
      </c>
      <c r="Z33">
        <f>regions!B76</f>
        <v>7024200</v>
      </c>
      <c r="AA33">
        <f>regions!C76</f>
        <v>220058248223.22446</v>
      </c>
      <c r="AB33">
        <f>regions!D76</f>
        <v>31328.585208738998</v>
      </c>
      <c r="AC33">
        <f>regions!X76</f>
        <v>22.7</v>
      </c>
      <c r="AD33" s="1">
        <f t="shared" si="4"/>
        <v>0.8</v>
      </c>
      <c r="AF33">
        <v>-0.3</v>
      </c>
      <c r="AG33">
        <v>43952.446494287382</v>
      </c>
      <c r="AH33">
        <v>8.5</v>
      </c>
      <c r="AI33">
        <f t="shared" si="5"/>
        <v>-1.2039728043259361</v>
      </c>
      <c r="AJ33">
        <f t="shared" si="6"/>
        <v>10.690863566963092</v>
      </c>
      <c r="AK33">
        <f t="shared" si="7"/>
        <v>8.5</v>
      </c>
      <c r="AM33" s="4"/>
      <c r="AN33" s="4" t="s">
        <v>34</v>
      </c>
      <c r="AO33" s="4" t="s">
        <v>35</v>
      </c>
      <c r="AP33" s="4" t="s">
        <v>36</v>
      </c>
      <c r="AQ33" s="4" t="s">
        <v>37</v>
      </c>
      <c r="AR33" s="4" t="s">
        <v>38</v>
      </c>
      <c r="AW33" s="4"/>
      <c r="AX33" s="4" t="s">
        <v>34</v>
      </c>
      <c r="AY33" s="4" t="s">
        <v>35</v>
      </c>
      <c r="AZ33" s="4" t="s">
        <v>36</v>
      </c>
      <c r="BA33" s="4" t="s">
        <v>37</v>
      </c>
      <c r="BB33" s="4" t="s">
        <v>38</v>
      </c>
    </row>
    <row r="34" spans="1:57" x14ac:dyDescent="0.35">
      <c r="A34" t="s">
        <v>176</v>
      </c>
      <c r="B34" s="1">
        <v>-1.9</v>
      </c>
      <c r="D34" t="s">
        <v>176</v>
      </c>
      <c r="E34" s="10">
        <v>64264.126305409351</v>
      </c>
      <c r="F34">
        <f t="shared" si="9"/>
        <v>-122101.83998027776</v>
      </c>
      <c r="G34">
        <v>10087065</v>
      </c>
      <c r="H34" s="10">
        <f t="shared" si="1"/>
        <v>6370.9440065479257</v>
      </c>
      <c r="J34" s="1">
        <v>-0.2</v>
      </c>
      <c r="K34">
        <v>3786.8137638267854</v>
      </c>
      <c r="L34">
        <f t="shared" si="2"/>
        <v>-1.6094379124341003</v>
      </c>
      <c r="M34">
        <f t="shared" si="3"/>
        <v>8.2392802489335608</v>
      </c>
      <c r="O34" s="2" t="s">
        <v>31</v>
      </c>
      <c r="P34" s="2">
        <v>49</v>
      </c>
      <c r="Q34" s="2">
        <v>79.781229408943716</v>
      </c>
      <c r="R34" s="2">
        <v>1.6281883552845657</v>
      </c>
      <c r="S34" s="2"/>
      <c r="T34" s="2"/>
      <c r="Y34" t="str">
        <f>regions!A77</f>
        <v>Hungary</v>
      </c>
      <c r="Z34">
        <f>regions!B77</f>
        <v>10000023</v>
      </c>
      <c r="AA34">
        <f>regions!C77</f>
        <v>109264940823.83978</v>
      </c>
      <c r="AB34">
        <f>regions!D77</f>
        <v>10926.468951505391</v>
      </c>
      <c r="AC34">
        <f>regions!X77</f>
        <v>9.8000000000000007</v>
      </c>
      <c r="AD34" s="1">
        <f t="shared" si="4"/>
        <v>-1.9</v>
      </c>
      <c r="AF34">
        <v>-0.2</v>
      </c>
      <c r="AG34">
        <v>7833.5285846205052</v>
      </c>
      <c r="AH34">
        <v>11.1</v>
      </c>
      <c r="AI34">
        <f t="shared" si="5"/>
        <v>-1.6094379124341003</v>
      </c>
      <c r="AJ34">
        <f t="shared" si="6"/>
        <v>8.9661683368497354</v>
      </c>
      <c r="AK34">
        <f t="shared" si="7"/>
        <v>11.1</v>
      </c>
      <c r="AM34" s="2" t="s">
        <v>30</v>
      </c>
      <c r="AN34" s="2">
        <v>2</v>
      </c>
      <c r="AO34" s="2">
        <v>8.9839226720058889</v>
      </c>
      <c r="AP34" s="2">
        <v>4.4919613360029444</v>
      </c>
      <c r="AQ34" s="2">
        <v>2.8940415058918347</v>
      </c>
      <c r="AR34" s="2">
        <v>6.571138074900279E-2</v>
      </c>
      <c r="AW34" s="2" t="s">
        <v>30</v>
      </c>
      <c r="AX34" s="2">
        <v>1</v>
      </c>
      <c r="AY34" s="2">
        <v>8.5214473209707506</v>
      </c>
      <c r="AZ34" s="2">
        <v>8.5214473209707506</v>
      </c>
      <c r="BA34" s="2">
        <v>5.5752109101002914</v>
      </c>
      <c r="BB34" s="2">
        <v>2.2508442505502664E-2</v>
      </c>
    </row>
    <row r="35" spans="1:57" ht="15" thickBot="1" x14ac:dyDescent="0.4">
      <c r="A35" t="s">
        <v>177</v>
      </c>
      <c r="B35" s="1">
        <v>-2.6</v>
      </c>
      <c r="D35" t="s">
        <v>177</v>
      </c>
      <c r="E35" s="10">
        <v>9040.7999999999993</v>
      </c>
      <c r="F35">
        <f t="shared" si="9"/>
        <v>-23506.079999999998</v>
      </c>
      <c r="G35">
        <v>296734</v>
      </c>
      <c r="H35" s="10">
        <f t="shared" ref="H35:H66" si="10">E35/G35*1000000</f>
        <v>30467.691602580086</v>
      </c>
      <c r="J35" s="1">
        <v>0</v>
      </c>
      <c r="K35">
        <v>1980.6647136397198</v>
      </c>
      <c r="O35" s="3" t="s">
        <v>32</v>
      </c>
      <c r="P35" s="3">
        <v>50</v>
      </c>
      <c r="Q35" s="3">
        <v>83.587907232082415</v>
      </c>
      <c r="R35" s="3"/>
      <c r="S35" s="3"/>
      <c r="T35" s="3"/>
      <c r="Y35" t="str">
        <f>regions!A78</f>
        <v>Iceland</v>
      </c>
      <c r="Z35">
        <f>regions!B78</f>
        <v>318041</v>
      </c>
      <c r="AA35">
        <f>regions!C78</f>
        <v>16388138908.052595</v>
      </c>
      <c r="AB35">
        <f>regions!D78</f>
        <v>51528.384416011126</v>
      </c>
      <c r="AC35">
        <f>regions!X78</f>
        <v>1.7</v>
      </c>
      <c r="AD35" s="1">
        <f t="shared" si="4"/>
        <v>-2.6</v>
      </c>
      <c r="AF35">
        <v>0.1</v>
      </c>
      <c r="AG35">
        <v>21308.962091753539</v>
      </c>
      <c r="AH35">
        <v>15.4</v>
      </c>
      <c r="AI35">
        <f>LN(AF35)</f>
        <v>-2.3025850929940455</v>
      </c>
      <c r="AJ35">
        <f>LN(AG35)</f>
        <v>9.9668830186861381</v>
      </c>
      <c r="AK35">
        <f t="shared" ref="AK35:AK63" si="11">AH35</f>
        <v>15.4</v>
      </c>
      <c r="AM35" s="2" t="s">
        <v>31</v>
      </c>
      <c r="AN35" s="2">
        <v>45</v>
      </c>
      <c r="AO35" s="2">
        <v>69.846358356854694</v>
      </c>
      <c r="AP35" s="2">
        <v>1.5521412968189932</v>
      </c>
      <c r="AQ35" s="2"/>
      <c r="AR35" s="2"/>
      <c r="AW35" s="2" t="s">
        <v>31</v>
      </c>
      <c r="AX35" s="2">
        <v>46</v>
      </c>
      <c r="AY35" s="2">
        <v>70.308833707889832</v>
      </c>
      <c r="AZ35" s="2">
        <v>1.5284529066932573</v>
      </c>
      <c r="BA35" s="2"/>
      <c r="BB35" s="2"/>
    </row>
    <row r="36" spans="1:57" ht="15" thickBot="1" x14ac:dyDescent="0.4">
      <c r="A36" t="s">
        <v>178</v>
      </c>
      <c r="B36" s="1">
        <v>11</v>
      </c>
      <c r="D36" t="s">
        <v>178</v>
      </c>
      <c r="E36" s="10">
        <v>589249.81981291273</v>
      </c>
      <c r="F36">
        <f t="shared" si="9"/>
        <v>6481748.0179420402</v>
      </c>
      <c r="G36">
        <v>1127143548</v>
      </c>
      <c r="H36" s="10">
        <f t="shared" si="10"/>
        <v>522.78152224574751</v>
      </c>
      <c r="J36" s="1">
        <v>0</v>
      </c>
      <c r="K36">
        <v>5120.7759828827475</v>
      </c>
      <c r="Y36" t="str">
        <f>regions!A79</f>
        <v>India</v>
      </c>
      <c r="Z36">
        <f>regions!B79</f>
        <v>1205624648</v>
      </c>
      <c r="AA36">
        <f>regions!C79</f>
        <v>1243675499465.8105</v>
      </c>
      <c r="AB36">
        <f>regions!D79</f>
        <v>1031.5611094455749</v>
      </c>
      <c r="AC36">
        <f>regions!X79</f>
        <v>23.7</v>
      </c>
      <c r="AD36" s="1">
        <f t="shared" si="4"/>
        <v>11</v>
      </c>
      <c r="AF36">
        <v>0.4</v>
      </c>
      <c r="AG36">
        <v>931.41534703166633</v>
      </c>
      <c r="AH36">
        <v>24.6</v>
      </c>
      <c r="AI36">
        <f t="shared" ref="AI36:AI37" si="12">LN(AF36)</f>
        <v>-0.916290731874155</v>
      </c>
      <c r="AJ36">
        <f t="shared" ref="AJ36:AJ63" si="13">LN(AG36)</f>
        <v>6.8367053077924558</v>
      </c>
      <c r="AK36">
        <f t="shared" si="11"/>
        <v>24.6</v>
      </c>
      <c r="AM36" s="3" t="s">
        <v>32</v>
      </c>
      <c r="AN36" s="3">
        <v>47</v>
      </c>
      <c r="AO36" s="3">
        <v>78.830281028860583</v>
      </c>
      <c r="AP36" s="3"/>
      <c r="AQ36" s="3"/>
      <c r="AR36" s="3"/>
      <c r="AW36" s="3" t="s">
        <v>32</v>
      </c>
      <c r="AX36" s="3">
        <v>47</v>
      </c>
      <c r="AY36" s="3">
        <v>78.830281028860583</v>
      </c>
      <c r="AZ36" s="3"/>
      <c r="BA36" s="3"/>
      <c r="BB36" s="3"/>
    </row>
    <row r="37" spans="1:57" ht="15" thickBot="1" x14ac:dyDescent="0.4">
      <c r="A37" t="s">
        <v>179</v>
      </c>
      <c r="B37" s="1">
        <v>1.2</v>
      </c>
      <c r="D37" t="s">
        <v>179</v>
      </c>
      <c r="E37" s="10">
        <v>249903.79462945557</v>
      </c>
      <c r="F37">
        <f t="shared" si="9"/>
        <v>299884.55355534668</v>
      </c>
      <c r="G37">
        <v>224480901</v>
      </c>
      <c r="H37" s="10">
        <f t="shared" si="10"/>
        <v>1113.2519226188224</v>
      </c>
      <c r="J37" s="1">
        <v>0.1</v>
      </c>
      <c r="K37">
        <v>15224.625476808806</v>
      </c>
      <c r="L37">
        <f t="shared" si="3"/>
        <v>-2.3025850929940455</v>
      </c>
      <c r="M37">
        <f t="shared" si="3"/>
        <v>9.6306694930511512</v>
      </c>
      <c r="O37" s="4"/>
      <c r="P37" s="4" t="s">
        <v>39</v>
      </c>
      <c r="Q37" s="4" t="s">
        <v>27</v>
      </c>
      <c r="R37" s="4" t="s">
        <v>40</v>
      </c>
      <c r="S37" s="4" t="s">
        <v>41</v>
      </c>
      <c r="T37" s="4" t="s">
        <v>42</v>
      </c>
      <c r="U37" s="4" t="s">
        <v>43</v>
      </c>
      <c r="V37" s="4" t="s">
        <v>44</v>
      </c>
      <c r="W37" s="4" t="s">
        <v>45</v>
      </c>
      <c r="Y37" t="str">
        <f>regions!A80</f>
        <v>Indonesia</v>
      </c>
      <c r="Z37">
        <f>regions!B80</f>
        <v>240676485</v>
      </c>
      <c r="AA37">
        <f>regions!C80</f>
        <v>377898889669.60541</v>
      </c>
      <c r="AB37">
        <f>regions!D80</f>
        <v>1570.1529365014842</v>
      </c>
      <c r="AC37">
        <f>regions!X80</f>
        <v>25.8</v>
      </c>
      <c r="AD37" s="1">
        <f t="shared" si="4"/>
        <v>1.2</v>
      </c>
      <c r="AF37">
        <v>0.4</v>
      </c>
      <c r="AG37">
        <v>2445.0802818366064</v>
      </c>
      <c r="AH37">
        <v>21.4</v>
      </c>
      <c r="AI37">
        <f t="shared" si="12"/>
        <v>-0.916290731874155</v>
      </c>
      <c r="AJ37">
        <f t="shared" si="13"/>
        <v>7.8018332364769085</v>
      </c>
      <c r="AK37">
        <f t="shared" si="11"/>
        <v>21.4</v>
      </c>
    </row>
    <row r="38" spans="1:57" x14ac:dyDescent="0.35">
      <c r="A38" t="s">
        <v>180</v>
      </c>
      <c r="B38" s="1">
        <v>0</v>
      </c>
      <c r="D38" t="s">
        <v>236</v>
      </c>
      <c r="E38" s="10">
        <v>138948.35156650367</v>
      </c>
      <c r="F38">
        <f t="shared" si="9"/>
        <v>0</v>
      </c>
      <c r="G38">
        <v>70152384</v>
      </c>
      <c r="H38" s="10">
        <f t="shared" si="10"/>
        <v>1980.6647136397198</v>
      </c>
      <c r="J38" s="1">
        <v>0.4</v>
      </c>
      <c r="K38">
        <v>692.50376689825271</v>
      </c>
      <c r="L38">
        <f t="shared" si="3"/>
        <v>-0.916290731874155</v>
      </c>
      <c r="M38">
        <f t="shared" si="3"/>
        <v>6.5403136776109632</v>
      </c>
      <c r="O38" s="2" t="s">
        <v>33</v>
      </c>
      <c r="P38" s="2">
        <v>2.6353022153712997</v>
      </c>
      <c r="Q38" s="2">
        <v>0.98558132359364603</v>
      </c>
      <c r="R38" s="2">
        <v>2.6738556751079749</v>
      </c>
      <c r="S38" s="2">
        <v>1.0159549179348068E-2</v>
      </c>
      <c r="T38" s="2">
        <v>0.65470239330044944</v>
      </c>
      <c r="U38" s="2">
        <v>4.61590203744215</v>
      </c>
      <c r="V38" s="2">
        <v>0.65470239330044944</v>
      </c>
      <c r="W38" s="2">
        <v>4.61590203744215</v>
      </c>
      <c r="Y38" t="str">
        <f>regions!A81</f>
        <v>Iran</v>
      </c>
      <c r="Z38">
        <f>regions!B81</f>
        <v>74462314</v>
      </c>
      <c r="AA38">
        <f>regions!C81</f>
        <v>242702371179.19858</v>
      </c>
      <c r="AB38">
        <f>regions!D81</f>
        <v>3259.3987232145187</v>
      </c>
      <c r="AC38">
        <f>regions!X81</f>
        <v>17.2</v>
      </c>
      <c r="AD38" s="1">
        <f t="shared" si="4"/>
        <v>0</v>
      </c>
      <c r="AF38">
        <v>0.5</v>
      </c>
      <c r="AG38">
        <v>4169.5907084279788</v>
      </c>
      <c r="AH38">
        <v>25.7</v>
      </c>
      <c r="AI38">
        <f t="shared" ref="AI38:AI82" si="14">LN(AF38)</f>
        <v>-0.69314718055994529</v>
      </c>
      <c r="AJ38">
        <f t="shared" si="13"/>
        <v>8.3355731585195567</v>
      </c>
      <c r="AK38">
        <f t="shared" si="11"/>
        <v>25.7</v>
      </c>
      <c r="AM38" s="4"/>
      <c r="AN38" s="4" t="s">
        <v>39</v>
      </c>
      <c r="AO38" s="4" t="s">
        <v>27</v>
      </c>
      <c r="AP38" s="4" t="s">
        <v>40</v>
      </c>
      <c r="AQ38" s="4" t="s">
        <v>41</v>
      </c>
      <c r="AR38" s="4" t="s">
        <v>42</v>
      </c>
      <c r="AS38" s="4" t="s">
        <v>43</v>
      </c>
      <c r="AT38" s="4" t="s">
        <v>44</v>
      </c>
      <c r="AU38" s="4" t="s">
        <v>45</v>
      </c>
      <c r="AW38" s="4"/>
      <c r="AX38" s="4" t="s">
        <v>39</v>
      </c>
      <c r="AY38" s="4" t="s">
        <v>27</v>
      </c>
      <c r="AZ38" s="4" t="s">
        <v>40</v>
      </c>
      <c r="BA38" s="4" t="s">
        <v>41</v>
      </c>
      <c r="BB38" s="4" t="s">
        <v>42</v>
      </c>
      <c r="BC38" s="4" t="s">
        <v>43</v>
      </c>
      <c r="BD38" s="4" t="s">
        <v>44</v>
      </c>
      <c r="BE38" s="4" t="s">
        <v>45</v>
      </c>
    </row>
    <row r="39" spans="1:57" ht="15" thickBot="1" x14ac:dyDescent="0.4">
      <c r="A39" t="s">
        <v>181</v>
      </c>
      <c r="B39" s="1">
        <v>-5.2</v>
      </c>
      <c r="D39" t="s">
        <v>181</v>
      </c>
      <c r="E39" s="10">
        <v>130023.65779860533</v>
      </c>
      <c r="F39">
        <f t="shared" si="9"/>
        <v>-676123.02055274777</v>
      </c>
      <c r="G39">
        <v>4159914</v>
      </c>
      <c r="H39" s="10">
        <f t="shared" si="10"/>
        <v>31256.333135397828</v>
      </c>
      <c r="J39" s="1">
        <v>0.4</v>
      </c>
      <c r="K39">
        <v>1587.9475343395129</v>
      </c>
      <c r="L39">
        <f t="shared" si="3"/>
        <v>-0.916290731874155</v>
      </c>
      <c r="M39">
        <f t="shared" si="3"/>
        <v>7.3701976024322651</v>
      </c>
      <c r="O39" s="3" t="s">
        <v>46</v>
      </c>
      <c r="P39" s="3">
        <v>-0.20454381399391075</v>
      </c>
      <c r="Q39" s="3">
        <v>0.13377212034368488</v>
      </c>
      <c r="R39" s="3">
        <v>-1.5290466613551503</v>
      </c>
      <c r="S39" s="3">
        <v>0.1326833730136161</v>
      </c>
      <c r="T39" s="3">
        <v>-0.47336895445485239</v>
      </c>
      <c r="U39" s="3">
        <v>6.4281326467030886E-2</v>
      </c>
      <c r="V39" s="3">
        <v>-0.47336895445485239</v>
      </c>
      <c r="W39" s="3">
        <v>6.4281326467030886E-2</v>
      </c>
      <c r="Y39" t="str">
        <f>regions!A83</f>
        <v>Ireland</v>
      </c>
      <c r="Z39">
        <f>regions!B83</f>
        <v>4474356</v>
      </c>
      <c r="AA39">
        <f>regions!C83</f>
        <v>203306959563.6236</v>
      </c>
      <c r="AB39">
        <f>regions!D83</f>
        <v>45438.261855700264</v>
      </c>
      <c r="AC39">
        <f>regions!X83</f>
        <v>9.3000000000000007</v>
      </c>
      <c r="AD39" s="1">
        <f t="shared" si="4"/>
        <v>-5.2</v>
      </c>
      <c r="AF39">
        <v>0.6</v>
      </c>
      <c r="AG39">
        <v>3861.5088997834828</v>
      </c>
      <c r="AH39">
        <v>19.2</v>
      </c>
      <c r="AI39">
        <f t="shared" si="14"/>
        <v>-0.51082562376599072</v>
      </c>
      <c r="AJ39">
        <f t="shared" si="13"/>
        <v>8.2588132927544251</v>
      </c>
      <c r="AK39">
        <f t="shared" si="11"/>
        <v>19.2</v>
      </c>
      <c r="AM39" s="2" t="s">
        <v>33</v>
      </c>
      <c r="AN39" s="2">
        <v>3.0543778170365683</v>
      </c>
      <c r="AO39" s="2">
        <v>1.5897021894735572</v>
      </c>
      <c r="AP39" s="2">
        <v>1.9213522112893675</v>
      </c>
      <c r="AQ39" s="2">
        <v>6.1034998481879273E-2</v>
      </c>
      <c r="AR39" s="2">
        <v>-0.14744675009342378</v>
      </c>
      <c r="AS39" s="2">
        <v>6.2562023841665599</v>
      </c>
      <c r="AT39" s="2">
        <v>-0.14744675009342378</v>
      </c>
      <c r="AU39" s="2">
        <v>6.2562023841665599</v>
      </c>
      <c r="AW39" s="2" t="s">
        <v>33</v>
      </c>
      <c r="AX39" s="2">
        <v>3.69066559835756</v>
      </c>
      <c r="AY39" s="2">
        <v>1.0726320554487294</v>
      </c>
      <c r="AZ39" s="2">
        <v>3.4407563894905149</v>
      </c>
      <c r="BA39" s="2">
        <v>1.2444513907264028E-3</v>
      </c>
      <c r="BB39" s="2">
        <v>1.5315692546849107</v>
      </c>
      <c r="BC39" s="2">
        <v>5.8497619420302094</v>
      </c>
      <c r="BD39" s="2">
        <v>1.5315692546849107</v>
      </c>
      <c r="BE39" s="2">
        <v>5.8497619420302094</v>
      </c>
    </row>
    <row r="40" spans="1:57" ht="15" thickBot="1" x14ac:dyDescent="0.4">
      <c r="A40" t="s">
        <v>182</v>
      </c>
      <c r="B40" s="1">
        <v>2.6</v>
      </c>
      <c r="D40" t="s">
        <v>182</v>
      </c>
      <c r="E40" s="10">
        <v>137595.65002497257</v>
      </c>
      <c r="F40">
        <f t="shared" si="9"/>
        <v>357748.69006492867</v>
      </c>
      <c r="G40">
        <v>6930100</v>
      </c>
      <c r="H40" s="10">
        <f t="shared" si="10"/>
        <v>19854.785648832276</v>
      </c>
      <c r="J40" s="1">
        <v>0.4</v>
      </c>
      <c r="K40">
        <v>821.49272319524414</v>
      </c>
      <c r="L40">
        <f t="shared" si="3"/>
        <v>-0.916290731874155</v>
      </c>
      <c r="M40">
        <f t="shared" si="3"/>
        <v>6.7111230794895143</v>
      </c>
      <c r="Y40" t="str">
        <f>regions!A84</f>
        <v>Israel</v>
      </c>
      <c r="Z40">
        <f>regions!B84</f>
        <v>7623600</v>
      </c>
      <c r="AA40">
        <f>regions!C84</f>
        <v>169010664818.13025</v>
      </c>
      <c r="AB40">
        <f>regions!D84</f>
        <v>22169.403538765182</v>
      </c>
      <c r="AC40">
        <f>regions!X84</f>
        <v>19.2</v>
      </c>
      <c r="AD40" s="1">
        <f t="shared" si="4"/>
        <v>2.6</v>
      </c>
      <c r="AF40">
        <v>0.8</v>
      </c>
      <c r="AG40">
        <v>31328.585208738998</v>
      </c>
      <c r="AH40">
        <v>22.7</v>
      </c>
      <c r="AI40">
        <f t="shared" si="14"/>
        <v>-0.22314355131420971</v>
      </c>
      <c r="AJ40">
        <f t="shared" si="13"/>
        <v>10.352286225209999</v>
      </c>
      <c r="AK40">
        <f t="shared" si="11"/>
        <v>22.7</v>
      </c>
      <c r="AM40" s="2" t="s">
        <v>46</v>
      </c>
      <c r="AN40" s="2">
        <v>-0.32710646593909409</v>
      </c>
      <c r="AO40" s="2">
        <v>0.13937758290253607</v>
      </c>
      <c r="AP40" s="2">
        <v>-2.3469087289871644</v>
      </c>
      <c r="AQ40" s="2">
        <v>2.3390831448397799E-2</v>
      </c>
      <c r="AR40" s="2">
        <v>-0.60782732799711303</v>
      </c>
      <c r="AS40" s="2">
        <v>-4.6385603881075155E-2</v>
      </c>
      <c r="AT40" s="2">
        <v>-0.60782732799711303</v>
      </c>
      <c r="AU40" s="2">
        <v>-4.6385603881075155E-2</v>
      </c>
      <c r="AW40" s="3" t="s">
        <v>46</v>
      </c>
      <c r="AX40" s="3">
        <v>-0.32656759610590103</v>
      </c>
      <c r="AY40" s="3">
        <v>0.13830645144187739</v>
      </c>
      <c r="AZ40" s="3">
        <v>-2.3611884528983049</v>
      </c>
      <c r="BA40" s="3">
        <v>2.2508442505502768E-2</v>
      </c>
      <c r="BB40" s="3">
        <v>-0.60496404351541988</v>
      </c>
      <c r="BC40" s="3">
        <v>-4.8171148696382171E-2</v>
      </c>
      <c r="BD40" s="3">
        <v>-0.60496404351541988</v>
      </c>
      <c r="BE40" s="3">
        <v>-4.8171148696382171E-2</v>
      </c>
    </row>
    <row r="41" spans="1:57" ht="15" thickBot="1" x14ac:dyDescent="0.4">
      <c r="A41" t="s">
        <v>183</v>
      </c>
      <c r="B41" s="1">
        <v>-0.6</v>
      </c>
      <c r="D41" t="s">
        <v>183</v>
      </c>
      <c r="E41" s="10">
        <v>1243581.8083514723</v>
      </c>
      <c r="F41">
        <f t="shared" si="9"/>
        <v>-746149.08501088328</v>
      </c>
      <c r="G41">
        <v>58607043</v>
      </c>
      <c r="H41" s="10">
        <f t="shared" si="10"/>
        <v>21218.982304762794</v>
      </c>
      <c r="J41" s="1">
        <v>0.5</v>
      </c>
      <c r="K41">
        <v>968.63786643345134</v>
      </c>
      <c r="L41">
        <f t="shared" si="3"/>
        <v>-0.69314718055994529</v>
      </c>
      <c r="M41">
        <f t="shared" si="3"/>
        <v>6.8758908231895459</v>
      </c>
      <c r="Y41" t="str">
        <f>regions!A85</f>
        <v>Italy</v>
      </c>
      <c r="Z41">
        <f>regions!B85</f>
        <v>60483385</v>
      </c>
      <c r="AA41">
        <f>regions!C85</f>
        <v>1763885790470.2776</v>
      </c>
      <c r="AB41">
        <f>regions!D85</f>
        <v>29163.146051932734</v>
      </c>
      <c r="AC41">
        <f>regions!X85</f>
        <v>13.4</v>
      </c>
      <c r="AD41" s="1">
        <f t="shared" si="4"/>
        <v>-0.6</v>
      </c>
      <c r="AF41">
        <v>0.9</v>
      </c>
      <c r="AG41">
        <v>6355.9314560512476</v>
      </c>
      <c r="AH41">
        <v>22.3</v>
      </c>
      <c r="AI41">
        <f t="shared" si="14"/>
        <v>-0.10536051565782628</v>
      </c>
      <c r="AJ41">
        <f t="shared" si="13"/>
        <v>8.7571437434655515</v>
      </c>
      <c r="AK41">
        <f t="shared" si="11"/>
        <v>22.3</v>
      </c>
      <c r="AM41" s="3" t="s">
        <v>47</v>
      </c>
      <c r="AN41" s="3">
        <v>2.7586484097470079E-2</v>
      </c>
      <c r="AO41" s="3">
        <v>5.0537957373660833E-2</v>
      </c>
      <c r="AP41" s="3">
        <v>0.54585672890387715</v>
      </c>
      <c r="AQ41" s="3">
        <v>0.58786041721706939</v>
      </c>
      <c r="AR41" s="3">
        <v>-7.420218711593593E-2</v>
      </c>
      <c r="AS41" s="3">
        <v>0.12937515531087609</v>
      </c>
      <c r="AT41" s="3">
        <v>-7.420218711593593E-2</v>
      </c>
      <c r="AU41" s="3">
        <v>0.12937515531087609</v>
      </c>
    </row>
    <row r="42" spans="1:57" x14ac:dyDescent="0.35">
      <c r="A42" t="s">
        <v>184</v>
      </c>
      <c r="B42" s="1">
        <v>3.2</v>
      </c>
      <c r="D42" t="s">
        <v>234</v>
      </c>
      <c r="E42" s="10">
        <v>11632.798015620121</v>
      </c>
      <c r="F42">
        <f t="shared" si="9"/>
        <v>37224.953649984389</v>
      </c>
      <c r="G42">
        <v>17393994</v>
      </c>
      <c r="H42" s="10">
        <f t="shared" si="10"/>
        <v>668.78245534752523</v>
      </c>
      <c r="J42" s="1">
        <v>0.6</v>
      </c>
      <c r="K42">
        <v>2664.3204316778733</v>
      </c>
      <c r="L42">
        <f t="shared" si="3"/>
        <v>-0.51082562376599072</v>
      </c>
      <c r="M42">
        <f t="shared" si="3"/>
        <v>7.8877043065883248</v>
      </c>
      <c r="Y42" t="str">
        <f>regions!A31</f>
        <v>CÃ´te d'Ivoire</v>
      </c>
      <c r="Z42">
        <f>regions!B31</f>
        <v>18976588</v>
      </c>
      <c r="AA42">
        <f>regions!C31</f>
        <v>18173099407.3027</v>
      </c>
      <c r="AB42">
        <f>regions!D31</f>
        <v>957.65895361709386</v>
      </c>
      <c r="AC42">
        <f>regions!X31</f>
        <v>26.3</v>
      </c>
      <c r="AD42" s="1">
        <f t="shared" si="4"/>
        <v>3.2</v>
      </c>
      <c r="AF42">
        <v>0.9</v>
      </c>
      <c r="AG42">
        <v>1610.0848370777339</v>
      </c>
      <c r="AH42">
        <v>26.9</v>
      </c>
      <c r="AI42">
        <f t="shared" si="14"/>
        <v>-0.10536051565782628</v>
      </c>
      <c r="AJ42">
        <f t="shared" si="13"/>
        <v>7.384042150427339</v>
      </c>
      <c r="AK42">
        <f t="shared" si="11"/>
        <v>26.9</v>
      </c>
    </row>
    <row r="43" spans="1:57" x14ac:dyDescent="0.35">
      <c r="A43" t="s">
        <v>185</v>
      </c>
      <c r="B43" s="1">
        <v>5.3</v>
      </c>
      <c r="D43" t="s">
        <v>185</v>
      </c>
      <c r="E43" s="10">
        <v>5858.7886794521783</v>
      </c>
      <c r="F43">
        <f t="shared" si="9"/>
        <v>31051.580001096543</v>
      </c>
      <c r="G43">
        <v>2650400</v>
      </c>
      <c r="H43" s="10">
        <f t="shared" si="10"/>
        <v>2210.5299877196567</v>
      </c>
      <c r="J43" s="1">
        <v>0.8</v>
      </c>
      <c r="K43">
        <v>27116.615949526255</v>
      </c>
      <c r="L43">
        <f t="shared" si="3"/>
        <v>-0.22314355131420971</v>
      </c>
      <c r="M43">
        <f t="shared" si="3"/>
        <v>10.207901953646394</v>
      </c>
      <c r="AD43" s="1">
        <f t="shared" si="4"/>
        <v>5.3</v>
      </c>
      <c r="AF43">
        <v>1.1000000000000001</v>
      </c>
      <c r="AG43">
        <v>1403.3063361554944</v>
      </c>
      <c r="AH43">
        <v>25.8</v>
      </c>
      <c r="AI43">
        <f t="shared" si="14"/>
        <v>9.5310179804324935E-2</v>
      </c>
      <c r="AJ43">
        <f t="shared" si="13"/>
        <v>7.2465863999293196</v>
      </c>
      <c r="AK43">
        <f t="shared" si="11"/>
        <v>25.8</v>
      </c>
    </row>
    <row r="44" spans="1:57" x14ac:dyDescent="0.35">
      <c r="A44" t="s">
        <v>90</v>
      </c>
      <c r="B44" s="1">
        <v>-0.4</v>
      </c>
      <c r="D44" t="s">
        <v>90</v>
      </c>
      <c r="E44" s="10">
        <v>5491198.6200520638</v>
      </c>
      <c r="F44">
        <f t="shared" si="9"/>
        <v>-2196479.4480208256</v>
      </c>
      <c r="G44">
        <v>127773000</v>
      </c>
      <c r="H44" s="10">
        <f t="shared" si="10"/>
        <v>42976.204832414231</v>
      </c>
      <c r="J44" s="1">
        <v>0.9</v>
      </c>
      <c r="K44">
        <v>2956.184199210295</v>
      </c>
      <c r="L44">
        <f t="shared" si="3"/>
        <v>-0.10536051565782628</v>
      </c>
      <c r="M44">
        <f t="shared" si="3"/>
        <v>7.9916545937972767</v>
      </c>
      <c r="Y44" t="str">
        <f>regions!A86</f>
        <v>Japan</v>
      </c>
      <c r="Z44">
        <f>regions!B86</f>
        <v>127450459</v>
      </c>
      <c r="AA44">
        <f>regions!C86</f>
        <v>4648468621132.7568</v>
      </c>
      <c r="AB44">
        <f>regions!D86</f>
        <v>36472.749157637452</v>
      </c>
      <c r="AC44">
        <f>regions!X86</f>
        <v>11.1</v>
      </c>
      <c r="AD44" s="1">
        <f t="shared" si="4"/>
        <v>-0.4</v>
      </c>
      <c r="AF44">
        <v>1.2</v>
      </c>
      <c r="AG44">
        <v>1570.1529365014842</v>
      </c>
      <c r="AH44">
        <v>25.8</v>
      </c>
      <c r="AI44">
        <f t="shared" si="14"/>
        <v>0.18232155679395459</v>
      </c>
      <c r="AJ44">
        <f t="shared" si="13"/>
        <v>7.358928305382519</v>
      </c>
      <c r="AK44">
        <f t="shared" si="11"/>
        <v>25.8</v>
      </c>
    </row>
    <row r="45" spans="1:57" x14ac:dyDescent="0.35">
      <c r="A45" t="s">
        <v>186</v>
      </c>
      <c r="B45" s="1">
        <v>9.6999999999999993</v>
      </c>
      <c r="D45" t="s">
        <v>186</v>
      </c>
      <c r="E45" s="10">
        <v>10731.767271671422</v>
      </c>
      <c r="F45">
        <f t="shared" si="9"/>
        <v>104098.14253521278</v>
      </c>
      <c r="G45">
        <v>35785718</v>
      </c>
      <c r="H45" s="10">
        <f t="shared" si="10"/>
        <v>299.88967307212954</v>
      </c>
      <c r="J45" s="1">
        <v>0.9</v>
      </c>
      <c r="K45">
        <v>940.55191567408815</v>
      </c>
      <c r="L45">
        <f t="shared" si="3"/>
        <v>-0.10536051565782628</v>
      </c>
      <c r="M45">
        <f t="shared" si="3"/>
        <v>6.8464668472963917</v>
      </c>
      <c r="Y45" t="str">
        <f>regions!A89</f>
        <v>Kenya</v>
      </c>
      <c r="Z45">
        <f>regions!B89</f>
        <v>40909194</v>
      </c>
      <c r="AA45">
        <f>regions!C89</f>
        <v>23525253225.790203</v>
      </c>
      <c r="AB45">
        <f>regions!D89</f>
        <v>575.06029636736923</v>
      </c>
      <c r="AC45">
        <f>regions!X89</f>
        <v>24.7</v>
      </c>
      <c r="AD45" s="1">
        <f t="shared" si="4"/>
        <v>9.6999999999999993</v>
      </c>
      <c r="AF45">
        <v>1.3</v>
      </c>
      <c r="AG45">
        <v>6145.3352543359524</v>
      </c>
      <c r="AH45">
        <v>25.4</v>
      </c>
      <c r="AI45">
        <f t="shared" si="14"/>
        <v>0.26236426446749106</v>
      </c>
      <c r="AJ45">
        <f t="shared" si="13"/>
        <v>8.7234485777675896</v>
      </c>
      <c r="AK45">
        <f t="shared" si="11"/>
        <v>25.4</v>
      </c>
    </row>
    <row r="46" spans="1:57" x14ac:dyDescent="0.35">
      <c r="A46" t="s">
        <v>187</v>
      </c>
      <c r="B46" s="1">
        <v>-3.1</v>
      </c>
      <c r="D46" t="s">
        <v>187</v>
      </c>
      <c r="E46" s="10">
        <v>25669.697444082991</v>
      </c>
      <c r="F46">
        <f t="shared" si="9"/>
        <v>-79576.062076657268</v>
      </c>
      <c r="G46">
        <v>465158</v>
      </c>
      <c r="H46" s="10">
        <f t="shared" si="10"/>
        <v>55184.89941930052</v>
      </c>
      <c r="J46" s="1">
        <v>1.1000000000000001</v>
      </c>
      <c r="K46">
        <v>1273.0332242973889</v>
      </c>
      <c r="L46">
        <f t="shared" si="3"/>
        <v>9.5310179804324935E-2</v>
      </c>
      <c r="M46">
        <f t="shared" si="3"/>
        <v>7.1491576974292306</v>
      </c>
      <c r="Y46" t="str">
        <f>regions!A101</f>
        <v>Luxembourg</v>
      </c>
      <c r="Z46">
        <f>regions!B101</f>
        <v>506953</v>
      </c>
      <c r="AA46">
        <f>regions!C101</f>
        <v>40696164751.529617</v>
      </c>
      <c r="AB46">
        <f>regions!D101</f>
        <v>80276.011290059658</v>
      </c>
      <c r="AC46">
        <f>regions!X101</f>
        <v>8.6999999999999993</v>
      </c>
      <c r="AD46" s="1">
        <f t="shared" si="4"/>
        <v>-3.1</v>
      </c>
      <c r="AF46">
        <v>1.5</v>
      </c>
      <c r="AG46">
        <v>1725.7948003065951</v>
      </c>
      <c r="AH46">
        <v>23.5</v>
      </c>
      <c r="AI46">
        <f t="shared" si="14"/>
        <v>0.40546510810816438</v>
      </c>
      <c r="AJ46">
        <f t="shared" si="13"/>
        <v>7.4534429771519459</v>
      </c>
      <c r="AK46">
        <f t="shared" si="11"/>
        <v>23.5</v>
      </c>
    </row>
    <row r="47" spans="1:57" x14ac:dyDescent="0.35">
      <c r="A47" t="s">
        <v>188</v>
      </c>
      <c r="B47" s="1">
        <v>1.9</v>
      </c>
      <c r="D47" t="s">
        <v>188</v>
      </c>
      <c r="E47" s="10">
        <v>2435.4688208670077</v>
      </c>
      <c r="F47">
        <f t="shared" si="9"/>
        <v>4627.3907596473146</v>
      </c>
      <c r="G47">
        <v>18290394</v>
      </c>
      <c r="H47" s="10">
        <f t="shared" si="10"/>
        <v>133.15562370427929</v>
      </c>
      <c r="J47" s="1">
        <v>1.2</v>
      </c>
      <c r="K47">
        <v>1113.2519226188224</v>
      </c>
      <c r="L47">
        <f t="shared" si="3"/>
        <v>0.18232155679395459</v>
      </c>
      <c r="M47">
        <f t="shared" si="3"/>
        <v>7.0150406712327236</v>
      </c>
      <c r="Y47" t="str">
        <f>regions!A104</f>
        <v>Madagascar</v>
      </c>
      <c r="Z47">
        <f>regions!B104</f>
        <v>21079532</v>
      </c>
      <c r="AA47">
        <f>regions!C104</f>
        <v>5759450979.3430977</v>
      </c>
      <c r="AB47">
        <f>regions!D104</f>
        <v>273.22480306218836</v>
      </c>
      <c r="AC47">
        <f>regions!X104</f>
        <v>22.6</v>
      </c>
      <c r="AD47" s="1">
        <f t="shared" si="4"/>
        <v>1.9</v>
      </c>
      <c r="AF47">
        <v>1.5</v>
      </c>
      <c r="AG47">
        <v>14297.889414135465</v>
      </c>
      <c r="AH47">
        <v>25.7</v>
      </c>
      <c r="AI47">
        <f t="shared" si="14"/>
        <v>0.40546510810816438</v>
      </c>
      <c r="AJ47">
        <f t="shared" si="13"/>
        <v>9.5678672119379176</v>
      </c>
      <c r="AK47">
        <f t="shared" si="11"/>
        <v>25.7</v>
      </c>
    </row>
    <row r="48" spans="1:57" x14ac:dyDescent="0.35">
      <c r="A48" t="s">
        <v>189</v>
      </c>
      <c r="B48" s="1">
        <v>12.4</v>
      </c>
      <c r="D48" t="s">
        <v>189</v>
      </c>
      <c r="E48" s="10">
        <v>1838.4742943718422</v>
      </c>
      <c r="F48">
        <f t="shared" si="9"/>
        <v>22797.081250210846</v>
      </c>
      <c r="G48">
        <v>12924746</v>
      </c>
      <c r="H48" s="10">
        <f t="shared" si="10"/>
        <v>142.24452026924493</v>
      </c>
      <c r="J48" s="1">
        <v>1.3</v>
      </c>
      <c r="K48">
        <v>3429.6373935850429</v>
      </c>
      <c r="L48">
        <f t="shared" si="3"/>
        <v>0.26236426446749106</v>
      </c>
      <c r="M48">
        <f t="shared" si="3"/>
        <v>8.1402098184156753</v>
      </c>
      <c r="Y48" t="str">
        <f>regions!A105</f>
        <v>Malawi</v>
      </c>
      <c r="Z48">
        <f>regions!B105</f>
        <v>15013694</v>
      </c>
      <c r="AA48">
        <f>regions!C105</f>
        <v>3290262502.0248256</v>
      </c>
      <c r="AB48">
        <f>regions!D105</f>
        <v>219.15076343135976</v>
      </c>
      <c r="AC48">
        <f>regions!X105</f>
        <v>21.9</v>
      </c>
      <c r="AD48" s="1">
        <f t="shared" si="4"/>
        <v>12.4</v>
      </c>
      <c r="AF48">
        <v>1.7</v>
      </c>
      <c r="AG48">
        <v>6109.4882023480113</v>
      </c>
      <c r="AH48">
        <v>25.5</v>
      </c>
      <c r="AI48">
        <f t="shared" si="14"/>
        <v>0.53062825106217038</v>
      </c>
      <c r="AJ48">
        <f t="shared" si="13"/>
        <v>8.7175982847207507</v>
      </c>
      <c r="AK48">
        <f t="shared" si="11"/>
        <v>25.5</v>
      </c>
    </row>
    <row r="49" spans="1:37" x14ac:dyDescent="0.35">
      <c r="A49" t="s">
        <v>190</v>
      </c>
      <c r="B49" s="1">
        <v>0</v>
      </c>
      <c r="D49" t="s">
        <v>190</v>
      </c>
      <c r="E49" s="10">
        <v>132338.60000724686</v>
      </c>
      <c r="F49">
        <f t="shared" si="9"/>
        <v>0</v>
      </c>
      <c r="G49">
        <v>25843466</v>
      </c>
      <c r="H49" s="10">
        <f t="shared" si="10"/>
        <v>5120.7759828827475</v>
      </c>
      <c r="J49" s="1">
        <v>1.5</v>
      </c>
      <c r="K49">
        <v>1486.515343051846</v>
      </c>
      <c r="L49">
        <f t="shared" si="3"/>
        <v>0.40546510810816438</v>
      </c>
      <c r="M49">
        <f t="shared" si="3"/>
        <v>7.3041899639804759</v>
      </c>
      <c r="Y49" t="str">
        <f>regions!A106</f>
        <v>Malaysia</v>
      </c>
      <c r="Z49">
        <f>regions!B106</f>
        <v>28275835</v>
      </c>
      <c r="AA49">
        <f>regions!C106</f>
        <v>178672208075.05682</v>
      </c>
      <c r="AB49">
        <f>regions!D106</f>
        <v>6318.9012128220729</v>
      </c>
      <c r="AC49">
        <f>regions!X106</f>
        <v>25.4</v>
      </c>
      <c r="AD49" s="1">
        <f t="shared" si="4"/>
        <v>0</v>
      </c>
      <c r="AF49">
        <v>1.8</v>
      </c>
      <c r="AG49">
        <v>2949.613728722712</v>
      </c>
      <c r="AH49">
        <v>24.4</v>
      </c>
      <c r="AI49">
        <f t="shared" si="14"/>
        <v>0.58778666490211906</v>
      </c>
      <c r="AJ49">
        <f t="shared" si="13"/>
        <v>7.9894295013445218</v>
      </c>
      <c r="AK49">
        <f t="shared" si="11"/>
        <v>24.4</v>
      </c>
    </row>
    <row r="50" spans="1:37" x14ac:dyDescent="0.35">
      <c r="A50" t="s">
        <v>191</v>
      </c>
      <c r="B50" s="1">
        <v>4.8</v>
      </c>
      <c r="D50" t="s">
        <v>191</v>
      </c>
      <c r="E50" s="10">
        <v>4667.7104884088931</v>
      </c>
      <c r="F50">
        <f t="shared" si="9"/>
        <v>22405.010344362687</v>
      </c>
      <c r="G50">
        <v>11941258</v>
      </c>
      <c r="H50" s="10">
        <f t="shared" si="10"/>
        <v>390.88934251390373</v>
      </c>
      <c r="J50" s="1">
        <v>1.5</v>
      </c>
      <c r="K50">
        <v>6018.583871835518</v>
      </c>
      <c r="L50">
        <f t="shared" si="3"/>
        <v>0.40546510810816438</v>
      </c>
      <c r="M50">
        <f t="shared" si="3"/>
        <v>8.7026072733936228</v>
      </c>
      <c r="Y50" t="str">
        <f>regions!A108</f>
        <v>Mali</v>
      </c>
      <c r="Z50">
        <f>regions!B108</f>
        <v>13985961</v>
      </c>
      <c r="AA50">
        <f>regions!C108</f>
        <v>6971653980.9015436</v>
      </c>
      <c r="AB50">
        <f>regions!D108</f>
        <v>498.47514810755899</v>
      </c>
      <c r="AC50">
        <f>regions!X108</f>
        <v>28.2</v>
      </c>
      <c r="AD50" s="1">
        <f t="shared" si="4"/>
        <v>4.8</v>
      </c>
      <c r="AF50">
        <v>1.8</v>
      </c>
      <c r="AG50">
        <v>376.34220962776232</v>
      </c>
      <c r="AH50">
        <v>8.1</v>
      </c>
      <c r="AI50">
        <f t="shared" si="14"/>
        <v>0.58778666490211906</v>
      </c>
      <c r="AJ50">
        <f t="shared" si="13"/>
        <v>5.9304988614596335</v>
      </c>
      <c r="AK50">
        <f t="shared" si="11"/>
        <v>8.1</v>
      </c>
    </row>
    <row r="51" spans="1:37" x14ac:dyDescent="0.35">
      <c r="A51" t="s">
        <v>192</v>
      </c>
      <c r="B51" s="1">
        <v>4.7</v>
      </c>
      <c r="D51" t="s">
        <v>192</v>
      </c>
      <c r="E51" s="10">
        <v>6258.607319427495</v>
      </c>
      <c r="F51">
        <f t="shared" si="9"/>
        <v>29415.454401309227</v>
      </c>
      <c r="G51">
        <v>1243253</v>
      </c>
      <c r="H51" s="10">
        <f t="shared" si="10"/>
        <v>5034.0576853041939</v>
      </c>
      <c r="J51" s="1">
        <v>1.7</v>
      </c>
      <c r="K51">
        <v>3500.4025047466221</v>
      </c>
      <c r="L51">
        <f t="shared" si="3"/>
        <v>0.53062825106217038</v>
      </c>
      <c r="M51">
        <f t="shared" si="3"/>
        <v>8.1606332422215342</v>
      </c>
      <c r="Y51" t="str">
        <f>regions!A112</f>
        <v>Mauritius</v>
      </c>
      <c r="Z51">
        <f>regions!B112</f>
        <v>1280924</v>
      </c>
      <c r="AA51">
        <f>regions!C112</f>
        <v>7826157631.8455935</v>
      </c>
      <c r="AB51">
        <f>regions!D112</f>
        <v>6109.775155938677</v>
      </c>
      <c r="AC51">
        <f>regions!X112</f>
        <v>22.4</v>
      </c>
      <c r="AD51" s="1">
        <f t="shared" si="4"/>
        <v>4.7</v>
      </c>
      <c r="AF51">
        <v>1.9</v>
      </c>
      <c r="AG51">
        <v>273.22480306218836</v>
      </c>
      <c r="AH51">
        <v>22.6</v>
      </c>
      <c r="AI51">
        <f t="shared" si="14"/>
        <v>0.64185388617239469</v>
      </c>
      <c r="AJ51">
        <f t="shared" si="13"/>
        <v>5.6102949107726099</v>
      </c>
      <c r="AK51">
        <f t="shared" si="11"/>
        <v>22.6</v>
      </c>
    </row>
    <row r="52" spans="1:37" x14ac:dyDescent="0.35">
      <c r="A52" t="s">
        <v>193</v>
      </c>
      <c r="B52" s="1">
        <v>11.8</v>
      </c>
      <c r="D52" t="s">
        <v>193</v>
      </c>
      <c r="E52" s="10">
        <v>383138.87288288889</v>
      </c>
      <c r="F52">
        <f t="shared" si="9"/>
        <v>4521038.7000180893</v>
      </c>
      <c r="G52">
        <v>110731826</v>
      </c>
      <c r="H52" s="10">
        <f t="shared" si="10"/>
        <v>3460.0610025422038</v>
      </c>
      <c r="J52" s="1">
        <v>1.8</v>
      </c>
      <c r="K52">
        <v>2027.6925427288911</v>
      </c>
      <c r="L52">
        <f t="shared" si="3"/>
        <v>0.58778666490211906</v>
      </c>
      <c r="M52">
        <f t="shared" si="3"/>
        <v>7.6146537470682381</v>
      </c>
      <c r="Y52" t="str">
        <f>regions!A113</f>
        <v>Mexico</v>
      </c>
      <c r="Z52">
        <f>regions!B113</f>
        <v>117886404</v>
      </c>
      <c r="AA52">
        <f>regions!C113</f>
        <v>953067840505.29358</v>
      </c>
      <c r="AB52">
        <f>regions!D113</f>
        <v>8084.6290001796442</v>
      </c>
      <c r="AC52">
        <f>regions!X113</f>
        <v>21</v>
      </c>
      <c r="AD52" s="1">
        <f t="shared" si="4"/>
        <v>11.8</v>
      </c>
      <c r="AF52">
        <v>2.4</v>
      </c>
      <c r="AG52">
        <v>370.43813687539563</v>
      </c>
      <c r="AH52">
        <v>26</v>
      </c>
      <c r="AI52">
        <f t="shared" si="14"/>
        <v>0.87546873735389985</v>
      </c>
      <c r="AJ52">
        <f t="shared" si="13"/>
        <v>5.9146864587985331</v>
      </c>
      <c r="AK52">
        <f t="shared" si="11"/>
        <v>26</v>
      </c>
    </row>
    <row r="53" spans="1:37" x14ac:dyDescent="0.35">
      <c r="A53" t="s">
        <v>194</v>
      </c>
      <c r="B53" s="1">
        <v>6</v>
      </c>
      <c r="D53" t="s">
        <v>194</v>
      </c>
      <c r="E53" s="10">
        <v>49997.906441749146</v>
      </c>
      <c r="F53">
        <f t="shared" si="9"/>
        <v>299987.43865049491</v>
      </c>
      <c r="G53">
        <v>30125445</v>
      </c>
      <c r="H53" s="10">
        <f t="shared" si="10"/>
        <v>1659.6570255393456</v>
      </c>
      <c r="J53" s="1">
        <v>1.8</v>
      </c>
      <c r="K53">
        <v>225.1217766068894</v>
      </c>
      <c r="L53">
        <f t="shared" si="3"/>
        <v>0.58778666490211906</v>
      </c>
      <c r="M53">
        <f t="shared" si="3"/>
        <v>5.4166414851565863</v>
      </c>
      <c r="Y53" t="str">
        <f>regions!A118</f>
        <v>Morocco</v>
      </c>
      <c r="Z53">
        <f>regions!B118</f>
        <v>31642360</v>
      </c>
      <c r="AA53">
        <f>regions!C118</f>
        <v>75523499823.662308</v>
      </c>
      <c r="AB53">
        <f>regions!D118</f>
        <v>2386.7846716762692</v>
      </c>
      <c r="AC53">
        <f>regions!X118</f>
        <v>17.100000000000001</v>
      </c>
      <c r="AD53" s="1">
        <f t="shared" si="4"/>
        <v>6</v>
      </c>
      <c r="AF53">
        <v>2.6</v>
      </c>
      <c r="AG53">
        <v>539.09993134762863</v>
      </c>
      <c r="AH53">
        <v>25</v>
      </c>
      <c r="AI53">
        <f t="shared" si="14"/>
        <v>0.95551144502743635</v>
      </c>
      <c r="AJ53">
        <f t="shared" si="13"/>
        <v>6.2899009551113503</v>
      </c>
      <c r="AK53">
        <f t="shared" si="11"/>
        <v>25</v>
      </c>
    </row>
    <row r="54" spans="1:37" x14ac:dyDescent="0.35">
      <c r="A54" t="s">
        <v>195</v>
      </c>
      <c r="B54" s="1">
        <v>1.8</v>
      </c>
      <c r="D54" t="s">
        <v>195</v>
      </c>
      <c r="E54" s="10">
        <v>5693.7930310044894</v>
      </c>
      <c r="F54">
        <f t="shared" si="9"/>
        <v>10248.827455808081</v>
      </c>
      <c r="G54">
        <v>25292058</v>
      </c>
      <c r="H54" s="10">
        <f t="shared" si="10"/>
        <v>225.1217766068894</v>
      </c>
      <c r="J54" s="1">
        <v>1.9</v>
      </c>
      <c r="K54">
        <v>133.15562370427929</v>
      </c>
      <c r="L54">
        <f t="shared" si="3"/>
        <v>0.64185388617239469</v>
      </c>
      <c r="M54">
        <f t="shared" si="3"/>
        <v>4.8915185472244298</v>
      </c>
      <c r="Y54" t="str">
        <f>regions!A121</f>
        <v>Nepal</v>
      </c>
      <c r="Z54">
        <f>regions!B121</f>
        <v>26846016</v>
      </c>
      <c r="AA54">
        <f>regions!C121</f>
        <v>10103288981.142262</v>
      </c>
      <c r="AB54">
        <f>regions!D121</f>
        <v>376.34220962776232</v>
      </c>
      <c r="AC54">
        <f>regions!X121</f>
        <v>8.1</v>
      </c>
      <c r="AD54" s="1">
        <f t="shared" si="4"/>
        <v>1.8</v>
      </c>
      <c r="AF54">
        <v>2.6</v>
      </c>
      <c r="AG54">
        <v>6152.7263733715708</v>
      </c>
      <c r="AH54">
        <v>21.5</v>
      </c>
      <c r="AI54">
        <f t="shared" si="14"/>
        <v>0.95551144502743635</v>
      </c>
      <c r="AJ54">
        <f t="shared" si="13"/>
        <v>8.7246505753098447</v>
      </c>
      <c r="AK54">
        <f t="shared" si="11"/>
        <v>21.5</v>
      </c>
    </row>
    <row r="55" spans="1:37" x14ac:dyDescent="0.35">
      <c r="A55" t="s">
        <v>196</v>
      </c>
      <c r="B55" s="1">
        <v>-3.4</v>
      </c>
      <c r="D55" t="s">
        <v>196</v>
      </c>
      <c r="E55" s="10">
        <v>504556.51674917707</v>
      </c>
      <c r="F55">
        <f t="shared" si="9"/>
        <v>-1715492.156947202</v>
      </c>
      <c r="G55">
        <v>16319868</v>
      </c>
      <c r="H55" s="10">
        <f t="shared" si="10"/>
        <v>30916.703293750725</v>
      </c>
      <c r="J55" s="1">
        <v>2.2000000000000002</v>
      </c>
      <c r="K55">
        <v>3421.568608123051</v>
      </c>
      <c r="L55">
        <f t="shared" si="3"/>
        <v>0.78845736036427028</v>
      </c>
      <c r="M55">
        <f t="shared" si="3"/>
        <v>8.137854382251442</v>
      </c>
      <c r="Y55" t="str">
        <f>regions!A122</f>
        <v>Netherlands</v>
      </c>
      <c r="Z55">
        <f>regions!B122</f>
        <v>16615394</v>
      </c>
      <c r="AA55">
        <f>regions!C122</f>
        <v>683063473113.4657</v>
      </c>
      <c r="AB55">
        <f>regions!D122</f>
        <v>41110.27840287541</v>
      </c>
      <c r="AC55">
        <f>regions!X122</f>
        <v>9.1999999999999993</v>
      </c>
      <c r="AD55" s="1">
        <f t="shared" si="4"/>
        <v>-3.4</v>
      </c>
      <c r="AF55">
        <v>2.6</v>
      </c>
      <c r="AG55">
        <v>22169.403538765182</v>
      </c>
      <c r="AH55">
        <v>19.2</v>
      </c>
      <c r="AI55">
        <f t="shared" si="14"/>
        <v>0.95551144502743635</v>
      </c>
      <c r="AJ55">
        <f t="shared" si="13"/>
        <v>10.006468398268519</v>
      </c>
      <c r="AK55">
        <f t="shared" si="11"/>
        <v>19.2</v>
      </c>
    </row>
    <row r="56" spans="1:37" x14ac:dyDescent="0.35">
      <c r="A56" t="s">
        <v>197</v>
      </c>
      <c r="B56" s="1">
        <v>-1.3</v>
      </c>
      <c r="D56" t="s">
        <v>197</v>
      </c>
      <c r="E56" s="10">
        <v>82328.250097803771</v>
      </c>
      <c r="F56">
        <f t="shared" si="9"/>
        <v>-107026.72512714491</v>
      </c>
      <c r="G56">
        <v>4133900</v>
      </c>
      <c r="H56" s="10">
        <f t="shared" si="10"/>
        <v>19915.394687293785</v>
      </c>
      <c r="J56" s="1">
        <v>2.4</v>
      </c>
      <c r="K56">
        <v>202.20150581548833</v>
      </c>
      <c r="L56">
        <f t="shared" si="3"/>
        <v>0.87546873735389985</v>
      </c>
      <c r="M56">
        <f t="shared" si="3"/>
        <v>5.3092647537173372</v>
      </c>
      <c r="Y56" t="str">
        <f>regions!A123</f>
        <v>New Zealand</v>
      </c>
      <c r="Z56">
        <f>regions!B123</f>
        <v>4367800</v>
      </c>
      <c r="AA56">
        <f>regions!C123</f>
        <v>120042479359.5708</v>
      </c>
      <c r="AB56">
        <f>regions!D123</f>
        <v>27483.511003152802</v>
      </c>
      <c r="AC56">
        <f>regions!X123</f>
        <v>10.5</v>
      </c>
      <c r="AD56" s="1">
        <f t="shared" si="4"/>
        <v>-1.3</v>
      </c>
      <c r="AF56">
        <v>2.7</v>
      </c>
      <c r="AG56">
        <v>3163.9038450709104</v>
      </c>
      <c r="AH56">
        <v>26.3</v>
      </c>
      <c r="AI56">
        <f t="shared" si="14"/>
        <v>0.99325177301028345</v>
      </c>
      <c r="AJ56">
        <f t="shared" si="13"/>
        <v>8.0595619381194634</v>
      </c>
      <c r="AK56">
        <f t="shared" si="11"/>
        <v>26.3</v>
      </c>
    </row>
    <row r="57" spans="1:37" x14ac:dyDescent="0.35">
      <c r="A57" t="s">
        <v>198</v>
      </c>
      <c r="B57" s="1">
        <v>3.5</v>
      </c>
      <c r="D57" t="s">
        <v>198</v>
      </c>
      <c r="E57" s="10">
        <v>32070.67776238174</v>
      </c>
      <c r="F57">
        <f t="shared" si="9"/>
        <v>112247.37216833609</v>
      </c>
      <c r="G57">
        <v>139585891</v>
      </c>
      <c r="H57" s="10">
        <f t="shared" si="10"/>
        <v>229.75586954115397</v>
      </c>
      <c r="J57" s="1">
        <v>2.6</v>
      </c>
      <c r="K57">
        <v>427.30735327059324</v>
      </c>
      <c r="L57">
        <f t="shared" si="3"/>
        <v>0.95551144502743635</v>
      </c>
      <c r="M57">
        <f t="shared" si="3"/>
        <v>6.0575035511857243</v>
      </c>
      <c r="Y57" t="str">
        <f>regions!A126</f>
        <v>Nigeria</v>
      </c>
      <c r="Z57">
        <f>regions!B126</f>
        <v>159707780</v>
      </c>
      <c r="AA57">
        <f>regions!C126</f>
        <v>159017874554.81158</v>
      </c>
      <c r="AB57">
        <f>regions!D126</f>
        <v>995.6802013953959</v>
      </c>
      <c r="AC57">
        <f>regions!X126</f>
        <v>26.8</v>
      </c>
      <c r="AD57" s="1">
        <f t="shared" si="4"/>
        <v>3.5</v>
      </c>
      <c r="AF57">
        <v>3.1</v>
      </c>
      <c r="AG57">
        <v>1550.2405578416574</v>
      </c>
      <c r="AH57">
        <v>22.1</v>
      </c>
      <c r="AI57">
        <f t="shared" si="14"/>
        <v>1.1314021114911006</v>
      </c>
      <c r="AJ57">
        <f t="shared" si="13"/>
        <v>7.3461653964787557</v>
      </c>
      <c r="AK57">
        <f t="shared" si="11"/>
        <v>22.1</v>
      </c>
    </row>
    <row r="58" spans="1:37" x14ac:dyDescent="0.35">
      <c r="A58" t="s">
        <v>199</v>
      </c>
      <c r="B58" s="1">
        <v>-1.9</v>
      </c>
      <c r="D58" t="s">
        <v>199</v>
      </c>
      <c r="E58" s="10">
        <v>187085.67921696423</v>
      </c>
      <c r="F58">
        <f t="shared" ref="F58:F89" si="15">$B58*E58</f>
        <v>-355462.79051223199</v>
      </c>
      <c r="G58">
        <v>4623291</v>
      </c>
      <c r="H58" s="10">
        <f t="shared" si="10"/>
        <v>40465.910369250872</v>
      </c>
      <c r="J58" s="1">
        <v>2.6</v>
      </c>
      <c r="K58">
        <v>4282.4589579163121</v>
      </c>
      <c r="L58">
        <f t="shared" si="3"/>
        <v>0.95551144502743635</v>
      </c>
      <c r="M58">
        <f t="shared" si="3"/>
        <v>8.3622826464784019</v>
      </c>
      <c r="Y58" t="str">
        <f>regions!A127</f>
        <v>Norway</v>
      </c>
      <c r="Z58">
        <f>regions!B127</f>
        <v>4889252</v>
      </c>
      <c r="AA58">
        <f>regions!C127</f>
        <v>315796662786.18549</v>
      </c>
      <c r="AB58">
        <f>regions!D127</f>
        <v>64589.974659965468</v>
      </c>
      <c r="AC58">
        <f>regions!X127</f>
        <v>1.5</v>
      </c>
      <c r="AD58" s="1">
        <f t="shared" si="4"/>
        <v>-1.9</v>
      </c>
      <c r="AF58">
        <v>3.2</v>
      </c>
      <c r="AG58">
        <v>21013.899093651864</v>
      </c>
      <c r="AH58">
        <v>24.8</v>
      </c>
      <c r="AI58">
        <f t="shared" si="14"/>
        <v>1.1631508098056809</v>
      </c>
      <c r="AJ58">
        <f t="shared" si="13"/>
        <v>9.9529393593742359</v>
      </c>
      <c r="AK58">
        <f t="shared" si="11"/>
        <v>24.8</v>
      </c>
    </row>
    <row r="59" spans="1:37" x14ac:dyDescent="0.35">
      <c r="A59" t="s">
        <v>200</v>
      </c>
      <c r="B59" s="1">
        <v>11.9</v>
      </c>
      <c r="D59" t="s">
        <v>200</v>
      </c>
      <c r="E59" s="10">
        <v>86944.023805183941</v>
      </c>
      <c r="F59">
        <f t="shared" si="15"/>
        <v>1034633.8832816889</v>
      </c>
      <c r="G59">
        <v>157971415</v>
      </c>
      <c r="H59" s="10">
        <f t="shared" si="10"/>
        <v>550.37820484917438</v>
      </c>
      <c r="J59" s="1">
        <v>2.6</v>
      </c>
      <c r="K59">
        <v>19854.785648832276</v>
      </c>
      <c r="L59">
        <f t="shared" si="3"/>
        <v>0.95551144502743635</v>
      </c>
      <c r="M59">
        <f t="shared" si="3"/>
        <v>9.8962003476789366</v>
      </c>
      <c r="Y59" t="str">
        <f>regions!A129</f>
        <v>Pakistan</v>
      </c>
      <c r="Z59">
        <f>regions!B129</f>
        <v>173149306</v>
      </c>
      <c r="AA59">
        <f>regions!C129</f>
        <v>129517496849.86209</v>
      </c>
      <c r="AB59">
        <f>regions!D129</f>
        <v>748.01048783794772</v>
      </c>
      <c r="AC59">
        <f>regions!X129</f>
        <v>20.2</v>
      </c>
      <c r="AD59" s="1">
        <f t="shared" si="4"/>
        <v>11.9</v>
      </c>
      <c r="AF59">
        <v>3.2</v>
      </c>
      <c r="AG59">
        <v>14383.678172735552</v>
      </c>
      <c r="AH59">
        <v>26</v>
      </c>
      <c r="AI59">
        <f t="shared" si="14"/>
        <v>1.1631508098056809</v>
      </c>
      <c r="AJ59">
        <f t="shared" si="13"/>
        <v>9.5738493824855411</v>
      </c>
      <c r="AK59">
        <f t="shared" si="11"/>
        <v>26</v>
      </c>
    </row>
    <row r="60" spans="1:37" x14ac:dyDescent="0.35">
      <c r="A60" t="s">
        <v>201</v>
      </c>
      <c r="B60" s="1">
        <v>1.3</v>
      </c>
      <c r="D60" t="s">
        <v>201</v>
      </c>
      <c r="E60" s="10">
        <v>11543.91596255231</v>
      </c>
      <c r="F60">
        <f t="shared" si="15"/>
        <v>15007.090751318003</v>
      </c>
      <c r="G60">
        <v>3365929</v>
      </c>
      <c r="H60" s="10">
        <f t="shared" si="10"/>
        <v>3429.6373935850429</v>
      </c>
      <c r="J60" s="1">
        <v>2.7</v>
      </c>
      <c r="K60">
        <v>3268.9212031734464</v>
      </c>
      <c r="L60">
        <f t="shared" si="3"/>
        <v>0.99325177301028345</v>
      </c>
      <c r="M60">
        <f t="shared" si="3"/>
        <v>8.0922153021735106</v>
      </c>
      <c r="Y60" t="str">
        <f>regions!A132</f>
        <v>Panama</v>
      </c>
      <c r="Z60">
        <f>regions!B132</f>
        <v>3678128</v>
      </c>
      <c r="AA60">
        <f>regions!C132</f>
        <v>22603329668.360188</v>
      </c>
      <c r="AB60">
        <f>regions!D132</f>
        <v>6145.3352543359524</v>
      </c>
      <c r="AC60">
        <f>regions!X132</f>
        <v>25.4</v>
      </c>
      <c r="AD60" s="1">
        <f t="shared" si="4"/>
        <v>1.3</v>
      </c>
      <c r="AF60">
        <v>3.2</v>
      </c>
      <c r="AG60">
        <v>957.65895361709386</v>
      </c>
      <c r="AH60">
        <v>26.3</v>
      </c>
      <c r="AI60">
        <f t="shared" si="14"/>
        <v>1.1631508098056809</v>
      </c>
      <c r="AJ60">
        <f t="shared" si="13"/>
        <v>6.8644917162764081</v>
      </c>
      <c r="AK60">
        <f t="shared" si="11"/>
        <v>26.3</v>
      </c>
    </row>
    <row r="61" spans="1:37" x14ac:dyDescent="0.35">
      <c r="A61" t="s">
        <v>202</v>
      </c>
      <c r="B61" s="1">
        <v>1.5</v>
      </c>
      <c r="D61" t="s">
        <v>202</v>
      </c>
      <c r="E61" s="10">
        <v>8776.6392929864178</v>
      </c>
      <c r="F61">
        <f t="shared" si="15"/>
        <v>13164.958939479628</v>
      </c>
      <c r="G61">
        <v>5904170</v>
      </c>
      <c r="H61" s="10">
        <f t="shared" si="10"/>
        <v>1486.515343051846</v>
      </c>
      <c r="J61" s="1">
        <v>3.1</v>
      </c>
      <c r="K61">
        <v>1261.0472526415749</v>
      </c>
      <c r="L61">
        <f t="shared" si="3"/>
        <v>1.1314021114911006</v>
      </c>
      <c r="M61">
        <f t="shared" si="3"/>
        <v>7.1396978076193705</v>
      </c>
      <c r="Y61" t="str">
        <f>regions!A134</f>
        <v>Paraguay</v>
      </c>
      <c r="Z61">
        <f>regions!B134</f>
        <v>6459721</v>
      </c>
      <c r="AA61">
        <f>regions!C134</f>
        <v>11148152913.231319</v>
      </c>
      <c r="AB61">
        <f>regions!D134</f>
        <v>1725.7948003065951</v>
      </c>
      <c r="AC61">
        <f>regions!X134</f>
        <v>23.5</v>
      </c>
      <c r="AD61" s="1">
        <f t="shared" si="4"/>
        <v>1.5</v>
      </c>
      <c r="AF61">
        <v>3.3</v>
      </c>
      <c r="AG61">
        <v>1909.827611710635</v>
      </c>
      <c r="AH61">
        <v>24.5</v>
      </c>
      <c r="AI61">
        <f t="shared" si="14"/>
        <v>1.1939224684724346</v>
      </c>
      <c r="AJ61">
        <f t="shared" si="13"/>
        <v>7.5547682613185074</v>
      </c>
      <c r="AK61">
        <f t="shared" si="11"/>
        <v>24.5</v>
      </c>
    </row>
    <row r="62" spans="1:37" x14ac:dyDescent="0.35">
      <c r="A62" t="s">
        <v>203</v>
      </c>
      <c r="B62" s="1">
        <v>-1.2</v>
      </c>
      <c r="D62" t="s">
        <v>203</v>
      </c>
      <c r="E62" s="10">
        <v>74953.700202795007</v>
      </c>
      <c r="F62">
        <f t="shared" si="15"/>
        <v>-89944.440243354009</v>
      </c>
      <c r="G62">
        <v>27723281</v>
      </c>
      <c r="H62" s="10">
        <f t="shared" si="10"/>
        <v>2703.63743031696</v>
      </c>
      <c r="J62" s="1">
        <v>3.2</v>
      </c>
      <c r="K62">
        <v>14203.156914943338</v>
      </c>
      <c r="L62">
        <f t="shared" si="3"/>
        <v>1.1631508098056809</v>
      </c>
      <c r="M62">
        <f t="shared" si="3"/>
        <v>9.5612195368341339</v>
      </c>
      <c r="Y62" t="str">
        <f>regions!A135</f>
        <v>Peru</v>
      </c>
      <c r="Z62">
        <f>regions!B135</f>
        <v>29262830</v>
      </c>
      <c r="AA62">
        <f>regions!C135</f>
        <v>103487662932.25778</v>
      </c>
      <c r="AB62">
        <f>regions!D135</f>
        <v>3536.4885396339923</v>
      </c>
      <c r="AC62">
        <f>regions!X135</f>
        <v>19.600000000000001</v>
      </c>
      <c r="AD62" s="1">
        <f t="shared" si="4"/>
        <v>-1.2</v>
      </c>
      <c r="AF62">
        <v>3.5</v>
      </c>
      <c r="AG62">
        <v>5618.3246002281494</v>
      </c>
      <c r="AH62">
        <v>24.9</v>
      </c>
      <c r="AI62">
        <f t="shared" si="14"/>
        <v>1.2527629684953681</v>
      </c>
      <c r="AJ62">
        <f t="shared" si="13"/>
        <v>8.6337887846045653</v>
      </c>
      <c r="AK62">
        <f t="shared" si="11"/>
        <v>24.9</v>
      </c>
    </row>
    <row r="63" spans="1:37" x14ac:dyDescent="0.35">
      <c r="A63" t="s">
        <v>204</v>
      </c>
      <c r="B63" s="1">
        <v>1.1000000000000001</v>
      </c>
      <c r="D63" t="s">
        <v>204</v>
      </c>
      <c r="E63" s="10">
        <v>109253.25677153621</v>
      </c>
      <c r="F63">
        <f t="shared" si="15"/>
        <v>120178.58244868983</v>
      </c>
      <c r="G63">
        <v>85821214</v>
      </c>
      <c r="H63" s="10">
        <f t="shared" si="10"/>
        <v>1273.0332242973889</v>
      </c>
      <c r="J63" s="1">
        <v>3.2</v>
      </c>
      <c r="K63">
        <v>8770.3124077373559</v>
      </c>
      <c r="L63">
        <f t="shared" si="3"/>
        <v>1.1631508098056809</v>
      </c>
      <c r="M63">
        <f t="shared" si="3"/>
        <v>9.0791277070507377</v>
      </c>
      <c r="Y63" t="str">
        <f>regions!A136</f>
        <v>Philippines</v>
      </c>
      <c r="Z63">
        <f>regions!B136</f>
        <v>93444322</v>
      </c>
      <c r="AA63">
        <f>regions!C136</f>
        <v>131131009140.35426</v>
      </c>
      <c r="AB63">
        <f>regions!D136</f>
        <v>1403.3063361554944</v>
      </c>
      <c r="AC63">
        <f>regions!X136</f>
        <v>25.8</v>
      </c>
      <c r="AD63" s="1">
        <f t="shared" si="4"/>
        <v>1.1000000000000001</v>
      </c>
      <c r="AF63">
        <v>3.5</v>
      </c>
      <c r="AG63">
        <v>995.6802013953959</v>
      </c>
      <c r="AH63">
        <v>26.8</v>
      </c>
      <c r="AI63">
        <f t="shared" si="14"/>
        <v>1.2527629684953681</v>
      </c>
      <c r="AJ63">
        <f t="shared" si="13"/>
        <v>6.9034261230900862</v>
      </c>
      <c r="AK63">
        <f t="shared" si="11"/>
        <v>26.8</v>
      </c>
    </row>
    <row r="64" spans="1:37" x14ac:dyDescent="0.35">
      <c r="A64" t="s">
        <v>205</v>
      </c>
      <c r="B64" s="1">
        <v>-2.8</v>
      </c>
      <c r="D64" t="s">
        <v>205</v>
      </c>
      <c r="E64" s="10">
        <v>150599.25242028959</v>
      </c>
      <c r="F64">
        <f t="shared" si="15"/>
        <v>-421677.90677681082</v>
      </c>
      <c r="G64">
        <v>38165445</v>
      </c>
      <c r="H64" s="10">
        <f t="shared" si="10"/>
        <v>3945.9582462693566</v>
      </c>
      <c r="J64" s="1">
        <v>3.2</v>
      </c>
      <c r="K64">
        <v>668.78245534752523</v>
      </c>
      <c r="L64">
        <f t="shared" si="3"/>
        <v>1.1631508098056809</v>
      </c>
      <c r="M64">
        <f t="shared" si="3"/>
        <v>6.505458828393393</v>
      </c>
      <c r="Y64" t="str">
        <f>regions!A137</f>
        <v>Poland</v>
      </c>
      <c r="Z64">
        <f>regions!B137</f>
        <v>38183683</v>
      </c>
      <c r="AA64">
        <f>regions!C137</f>
        <v>383205737633.98334</v>
      </c>
      <c r="AB64">
        <f>regions!D137</f>
        <v>10035.850591834826</v>
      </c>
      <c r="AC64">
        <f>regions!X137</f>
        <v>7.8</v>
      </c>
      <c r="AD64" s="1">
        <f t="shared" si="4"/>
        <v>-2.8</v>
      </c>
      <c r="AF64">
        <v>3.8</v>
      </c>
      <c r="AG64">
        <v>5357.4903708933716</v>
      </c>
      <c r="AH64">
        <v>24.8</v>
      </c>
      <c r="AI64">
        <f t="shared" si="14"/>
        <v>1.33500106673234</v>
      </c>
      <c r="AJ64">
        <f t="shared" ref="AJ64:AJ66" si="16">LN(AG64)</f>
        <v>8.5862509300327012</v>
      </c>
      <c r="AK64">
        <f t="shared" ref="AK64:AK66" si="17">AH64</f>
        <v>24.8</v>
      </c>
    </row>
    <row r="65" spans="1:37" x14ac:dyDescent="0.35">
      <c r="A65" t="s">
        <v>206</v>
      </c>
      <c r="B65" s="1">
        <v>-2.5</v>
      </c>
      <c r="D65" t="s">
        <v>206</v>
      </c>
      <c r="E65" s="10">
        <v>133519.24766669769</v>
      </c>
      <c r="F65">
        <f t="shared" si="15"/>
        <v>-333798.11916674423</v>
      </c>
      <c r="G65">
        <v>10549424</v>
      </c>
      <c r="H65" s="10">
        <f t="shared" si="10"/>
        <v>12656.543870707794</v>
      </c>
      <c r="J65" s="1">
        <v>3.3</v>
      </c>
      <c r="K65">
        <v>801.09579589635769</v>
      </c>
      <c r="L65">
        <f t="shared" si="3"/>
        <v>1.1939224684724346</v>
      </c>
      <c r="M65">
        <f t="shared" si="3"/>
        <v>6.6859805352936288</v>
      </c>
      <c r="Y65" t="str">
        <f>regions!A138</f>
        <v>Portugal</v>
      </c>
      <c r="Z65">
        <f>regions!B138</f>
        <v>10637346</v>
      </c>
      <c r="AA65">
        <f>regions!C138</f>
        <v>197164604092.98117</v>
      </c>
      <c r="AB65">
        <f>regions!D138</f>
        <v>18535.131234142536</v>
      </c>
      <c r="AC65">
        <f>regions!X138</f>
        <v>15.1</v>
      </c>
      <c r="AD65" s="1">
        <f t="shared" si="4"/>
        <v>-2.5</v>
      </c>
      <c r="AF65">
        <v>4.7</v>
      </c>
      <c r="AG65">
        <v>6109.775155938677</v>
      </c>
      <c r="AH65">
        <v>22.4</v>
      </c>
      <c r="AI65">
        <f t="shared" si="14"/>
        <v>1.547562508716013</v>
      </c>
      <c r="AJ65">
        <f t="shared" si="16"/>
        <v>8.7176452521331562</v>
      </c>
      <c r="AK65">
        <f t="shared" si="17"/>
        <v>22.4</v>
      </c>
    </row>
    <row r="66" spans="1:37" x14ac:dyDescent="0.35">
      <c r="A66" t="s">
        <v>207</v>
      </c>
      <c r="B66" s="1">
        <v>-1.4</v>
      </c>
      <c r="D66" t="s">
        <v>207</v>
      </c>
      <c r="E66" s="10">
        <v>40858.124719267907</v>
      </c>
      <c r="F66">
        <f t="shared" si="15"/>
        <v>-57201.37460697507</v>
      </c>
      <c r="G66">
        <v>21634371</v>
      </c>
      <c r="H66" s="10">
        <f t="shared" si="10"/>
        <v>1888.5746536965603</v>
      </c>
      <c r="J66" s="1">
        <v>3.5</v>
      </c>
      <c r="K66">
        <v>4554.3385792194722</v>
      </c>
      <c r="L66">
        <f t="shared" si="3"/>
        <v>1.2527629684953681</v>
      </c>
      <c r="M66">
        <f t="shared" si="3"/>
        <v>8.4238355915147274</v>
      </c>
      <c r="Y66" t="str">
        <f>regions!A141</f>
        <v>Romania</v>
      </c>
      <c r="Z66">
        <f>regions!B141</f>
        <v>21438001</v>
      </c>
      <c r="AA66">
        <f>regions!C141</f>
        <v>114088972368.88327</v>
      </c>
      <c r="AB66">
        <f>regions!D141</f>
        <v>5321.8101990424975</v>
      </c>
      <c r="AC66">
        <f>regions!X141</f>
        <v>8.8000000000000007</v>
      </c>
      <c r="AD66" s="1">
        <f t="shared" si="4"/>
        <v>-1.4</v>
      </c>
      <c r="AF66">
        <v>4.8</v>
      </c>
      <c r="AG66">
        <v>498.47514810755899</v>
      </c>
      <c r="AH66">
        <v>28.2</v>
      </c>
      <c r="AI66">
        <f t="shared" si="14"/>
        <v>1.5686159179138452</v>
      </c>
      <c r="AJ66">
        <f t="shared" si="16"/>
        <v>6.2115537348142569</v>
      </c>
      <c r="AK66">
        <f t="shared" si="17"/>
        <v>28.2</v>
      </c>
    </row>
    <row r="67" spans="1:37" x14ac:dyDescent="0.35">
      <c r="A67" t="s">
        <v>208</v>
      </c>
      <c r="B67" s="1">
        <v>23</v>
      </c>
      <c r="D67" t="s">
        <v>208</v>
      </c>
      <c r="E67" s="10">
        <v>3147.7578599248923</v>
      </c>
      <c r="F67">
        <f t="shared" si="15"/>
        <v>72398.430778272523</v>
      </c>
      <c r="G67">
        <v>9429457</v>
      </c>
      <c r="H67" s="10">
        <f t="shared" ref="H67:H90" si="18">E67/G67*1000000</f>
        <v>333.82175240047144</v>
      </c>
      <c r="J67" s="1">
        <v>3.5</v>
      </c>
      <c r="K67">
        <v>229.75586954115397</v>
      </c>
      <c r="L67">
        <f t="shared" si="3"/>
        <v>1.2527629684953681</v>
      </c>
      <c r="M67">
        <f t="shared" si="3"/>
        <v>5.4370173084226483</v>
      </c>
      <c r="Y67" t="str">
        <f>regions!A143</f>
        <v>Rwanda</v>
      </c>
      <c r="Z67">
        <f>regions!B143</f>
        <v>10836732</v>
      </c>
      <c r="AA67">
        <f>regions!C143</f>
        <v>3785756661.0048919</v>
      </c>
      <c r="AB67">
        <f>regions!D143</f>
        <v>349.34486347036096</v>
      </c>
      <c r="AC67">
        <f>regions!X143</f>
        <v>17.899999999999999</v>
      </c>
      <c r="AD67" s="1">
        <f t="shared" si="4"/>
        <v>23</v>
      </c>
      <c r="AF67">
        <v>6</v>
      </c>
      <c r="AG67">
        <v>2386.7846716762692</v>
      </c>
      <c r="AH67">
        <v>17.100000000000001</v>
      </c>
      <c r="AI67">
        <f t="shared" si="14"/>
        <v>1.791759469228055</v>
      </c>
      <c r="AJ67">
        <f t="shared" ref="AJ67:AJ82" si="19">LN(AG67)</f>
        <v>7.7777024135040724</v>
      </c>
      <c r="AK67">
        <f t="shared" ref="AK67:AK82" si="20">AH67</f>
        <v>17.100000000000001</v>
      </c>
    </row>
    <row r="68" spans="1:37" x14ac:dyDescent="0.35">
      <c r="A68" t="s">
        <v>209</v>
      </c>
      <c r="B68" s="1">
        <v>1.7</v>
      </c>
      <c r="D68" t="s">
        <v>237</v>
      </c>
      <c r="E68" s="10">
        <v>578.99107710262456</v>
      </c>
      <c r="F68">
        <f t="shared" si="15"/>
        <v>984.28483107446175</v>
      </c>
      <c r="G68">
        <v>165407</v>
      </c>
      <c r="H68" s="10">
        <f t="shared" si="18"/>
        <v>3500.4025047466221</v>
      </c>
      <c r="J68" s="1">
        <v>3.8</v>
      </c>
      <c r="K68">
        <v>3887.5842278130717</v>
      </c>
      <c r="L68">
        <f t="shared" ref="L68:L87" si="21">LN(J68)</f>
        <v>1.33500106673234</v>
      </c>
      <c r="M68">
        <f t="shared" ref="M68:M87" si="22">LN(K68)</f>
        <v>8.2655432225712531</v>
      </c>
      <c r="Y68" t="str">
        <f>regions!A146</f>
        <v>Saint Lucia</v>
      </c>
      <c r="Z68">
        <f>regions!B146</f>
        <v>177397</v>
      </c>
      <c r="AA68">
        <f>regions!C146</f>
        <v>1083804878.6319301</v>
      </c>
      <c r="AB68">
        <f>regions!D146</f>
        <v>6109.4882023480113</v>
      </c>
      <c r="AC68">
        <f>regions!X146</f>
        <v>25.5</v>
      </c>
      <c r="AD68" s="1">
        <f t="shared" ref="AD68:AD90" si="23">B68</f>
        <v>1.7</v>
      </c>
      <c r="AF68">
        <v>6</v>
      </c>
      <c r="AG68">
        <v>438.4920862852793</v>
      </c>
      <c r="AH68">
        <v>22.3</v>
      </c>
      <c r="AI68">
        <f t="shared" si="14"/>
        <v>1.791759469228055</v>
      </c>
      <c r="AJ68">
        <f t="shared" si="19"/>
        <v>6.0833417644094281</v>
      </c>
      <c r="AK68">
        <f t="shared" si="20"/>
        <v>22.3</v>
      </c>
    </row>
    <row r="69" spans="1:37" x14ac:dyDescent="0.35">
      <c r="A69" t="s">
        <v>210</v>
      </c>
      <c r="B69" s="1">
        <v>28.4</v>
      </c>
      <c r="D69" t="s">
        <v>210</v>
      </c>
      <c r="E69" s="10">
        <v>6750.9739088105707</v>
      </c>
      <c r="F69">
        <f t="shared" si="15"/>
        <v>191727.6590102202</v>
      </c>
      <c r="G69">
        <v>11270826</v>
      </c>
      <c r="H69" s="10">
        <f t="shared" si="18"/>
        <v>598.97774207591976</v>
      </c>
      <c r="J69" s="1">
        <v>4.7</v>
      </c>
      <c r="K69">
        <v>5034.0576853041939</v>
      </c>
      <c r="L69">
        <f t="shared" si="21"/>
        <v>1.547562508716013</v>
      </c>
      <c r="M69">
        <f t="shared" si="22"/>
        <v>8.5239816347683011</v>
      </c>
      <c r="Y69" t="str">
        <f>regions!A150</f>
        <v>Senegal</v>
      </c>
      <c r="Z69">
        <f>regions!B150</f>
        <v>12950564</v>
      </c>
      <c r="AA69">
        <f>regions!C150</f>
        <v>10366034228.236326</v>
      </c>
      <c r="AB69">
        <f>regions!D150</f>
        <v>800.43110309607573</v>
      </c>
      <c r="AC69">
        <f>regions!X150</f>
        <v>27.8</v>
      </c>
      <c r="AD69" s="1">
        <f t="shared" si="23"/>
        <v>28.4</v>
      </c>
      <c r="AF69">
        <v>7.2</v>
      </c>
      <c r="AG69">
        <v>550.04454433952765</v>
      </c>
      <c r="AH69">
        <v>27.5</v>
      </c>
      <c r="AI69">
        <f t="shared" si="14"/>
        <v>1.9740810260220096</v>
      </c>
      <c r="AJ69">
        <f t="shared" si="19"/>
        <v>6.309999264655259</v>
      </c>
      <c r="AK69">
        <f t="shared" si="20"/>
        <v>27.5</v>
      </c>
    </row>
    <row r="70" spans="1:37" x14ac:dyDescent="0.35">
      <c r="A70" t="s">
        <v>211</v>
      </c>
      <c r="B70" s="1">
        <v>2.4</v>
      </c>
      <c r="D70" t="s">
        <v>211</v>
      </c>
      <c r="E70" s="10">
        <v>1035.2504786171896</v>
      </c>
      <c r="F70">
        <f t="shared" si="15"/>
        <v>2484.6011486812549</v>
      </c>
      <c r="G70">
        <v>5119895</v>
      </c>
      <c r="H70" s="10">
        <f t="shared" si="18"/>
        <v>202.20150581548833</v>
      </c>
      <c r="J70" s="1">
        <v>4.8</v>
      </c>
      <c r="K70">
        <v>390.88934251390373</v>
      </c>
      <c r="L70">
        <f t="shared" si="21"/>
        <v>1.5686159179138452</v>
      </c>
      <c r="M70">
        <f t="shared" si="22"/>
        <v>5.9684245084566694</v>
      </c>
      <c r="Y70" t="str">
        <f>regions!A153</f>
        <v>Sierra Leone</v>
      </c>
      <c r="Z70">
        <f>regions!B153</f>
        <v>5751976</v>
      </c>
      <c r="AA70">
        <f>regions!C153</f>
        <v>2130751272.7919905</v>
      </c>
      <c r="AB70">
        <f>regions!D153</f>
        <v>370.43813687539563</v>
      </c>
      <c r="AC70">
        <f>regions!X153</f>
        <v>26</v>
      </c>
      <c r="AD70" s="1">
        <f t="shared" si="23"/>
        <v>2.4</v>
      </c>
      <c r="AF70">
        <v>9.6</v>
      </c>
      <c r="AG70">
        <v>741.44209139426641</v>
      </c>
      <c r="AH70">
        <v>21.4</v>
      </c>
      <c r="AI70">
        <f t="shared" si="14"/>
        <v>2.2617630984737906</v>
      </c>
      <c r="AJ70">
        <f t="shared" si="19"/>
        <v>6.608597061959534</v>
      </c>
      <c r="AK70">
        <f t="shared" si="20"/>
        <v>21.4</v>
      </c>
    </row>
    <row r="71" spans="1:37" x14ac:dyDescent="0.35">
      <c r="A71" t="s">
        <v>212</v>
      </c>
      <c r="B71" s="1">
        <v>-0.4</v>
      </c>
      <c r="D71" t="s">
        <v>233</v>
      </c>
      <c r="E71" s="10">
        <v>818196.28096860135</v>
      </c>
      <c r="F71">
        <f t="shared" si="15"/>
        <v>-327278.51238744054</v>
      </c>
      <c r="G71">
        <v>4265800</v>
      </c>
      <c r="H71" s="10">
        <f t="shared" si="18"/>
        <v>191803.71348131684</v>
      </c>
      <c r="J71" s="1">
        <v>5.3</v>
      </c>
      <c r="K71">
        <v>2210.5299877196567</v>
      </c>
      <c r="L71">
        <f t="shared" si="21"/>
        <v>1.6677068205580761</v>
      </c>
      <c r="M71">
        <f t="shared" si="22"/>
        <v>7.7009875792089586</v>
      </c>
      <c r="Y71" t="str">
        <f>regions!A159</f>
        <v>South Korea</v>
      </c>
      <c r="Z71">
        <f>regions!B159</f>
        <v>49410000</v>
      </c>
      <c r="AA71">
        <f>regions!C159</f>
        <v>1098690046553.521</v>
      </c>
      <c r="AB71">
        <f>regions!D159</f>
        <v>22236.187948867053</v>
      </c>
      <c r="AC71">
        <f>regions!X159</f>
        <v>11.5</v>
      </c>
      <c r="AD71" s="1">
        <f t="shared" si="23"/>
        <v>-0.4</v>
      </c>
      <c r="AF71">
        <v>9.6999999999999993</v>
      </c>
      <c r="AG71">
        <v>575.06029636736923</v>
      </c>
      <c r="AH71">
        <v>24.7</v>
      </c>
      <c r="AI71">
        <f t="shared" si="14"/>
        <v>2.2721258855093369</v>
      </c>
      <c r="AJ71">
        <f t="shared" si="19"/>
        <v>6.3544748985471831</v>
      </c>
      <c r="AK71">
        <f t="shared" si="20"/>
        <v>24.7</v>
      </c>
    </row>
    <row r="72" spans="1:37" x14ac:dyDescent="0.35">
      <c r="A72" t="s">
        <v>213</v>
      </c>
      <c r="B72" s="1">
        <v>-1</v>
      </c>
      <c r="D72" t="s">
        <v>213</v>
      </c>
      <c r="E72" s="10">
        <v>776985.38354965823</v>
      </c>
      <c r="F72">
        <f t="shared" si="15"/>
        <v>-776985.38354965823</v>
      </c>
      <c r="G72">
        <v>43398143</v>
      </c>
      <c r="H72" s="10">
        <f t="shared" si="18"/>
        <v>17903.655083805272</v>
      </c>
      <c r="J72" s="1">
        <v>6</v>
      </c>
      <c r="K72">
        <v>1659.6570255393456</v>
      </c>
      <c r="L72">
        <f t="shared" si="21"/>
        <v>1.791759469228055</v>
      </c>
      <c r="M72">
        <f t="shared" si="22"/>
        <v>7.4143662488826951</v>
      </c>
      <c r="Y72" t="str">
        <f>regions!A160</f>
        <v>Spain</v>
      </c>
      <c r="Z72">
        <f>regions!B160</f>
        <v>46070971</v>
      </c>
      <c r="AA72">
        <f>regions!C160</f>
        <v>1179232117935.5505</v>
      </c>
      <c r="AB72">
        <f>regions!D160</f>
        <v>25595.990106992766</v>
      </c>
      <c r="AC72">
        <f>regions!X160</f>
        <v>13.3</v>
      </c>
      <c r="AD72" s="1">
        <f t="shared" si="23"/>
        <v>-1</v>
      </c>
      <c r="AF72">
        <v>9.6999999999999993</v>
      </c>
      <c r="AG72">
        <v>397.82159673579832</v>
      </c>
      <c r="AH72">
        <v>21</v>
      </c>
      <c r="AI72">
        <f t="shared" si="14"/>
        <v>2.2721258855093369</v>
      </c>
      <c r="AJ72">
        <f t="shared" si="19"/>
        <v>5.9860036553830982</v>
      </c>
      <c r="AK72">
        <f t="shared" si="20"/>
        <v>21</v>
      </c>
    </row>
    <row r="73" spans="1:37" x14ac:dyDescent="0.35">
      <c r="A73" t="s">
        <v>214</v>
      </c>
      <c r="B73" s="1">
        <v>0.9</v>
      </c>
      <c r="D73" t="s">
        <v>214</v>
      </c>
      <c r="E73" s="10">
        <v>18476.201831501789</v>
      </c>
      <c r="F73">
        <f t="shared" si="15"/>
        <v>16628.58164835161</v>
      </c>
      <c r="G73">
        <v>19644000</v>
      </c>
      <c r="H73" s="10">
        <f t="shared" si="18"/>
        <v>940.55191567408815</v>
      </c>
      <c r="J73" s="1">
        <v>6</v>
      </c>
      <c r="K73">
        <v>219.11621467345185</v>
      </c>
      <c r="L73">
        <f t="shared" si="21"/>
        <v>1.791759469228055</v>
      </c>
      <c r="M73">
        <f t="shared" si="22"/>
        <v>5.3896022496753204</v>
      </c>
      <c r="Y73" t="str">
        <f>regions!A161</f>
        <v>Sri Lanka</v>
      </c>
      <c r="Z73">
        <f>regions!B161</f>
        <v>20653000</v>
      </c>
      <c r="AA73">
        <f>regions!C161</f>
        <v>33253082140.166439</v>
      </c>
      <c r="AB73">
        <f>regions!D161</f>
        <v>1610.0848370777339</v>
      </c>
      <c r="AC73">
        <f>regions!X161</f>
        <v>26.9</v>
      </c>
      <c r="AD73" s="1">
        <f t="shared" si="23"/>
        <v>0.9</v>
      </c>
      <c r="AF73">
        <v>10.5</v>
      </c>
      <c r="AG73">
        <v>2270.0961392922113</v>
      </c>
      <c r="AH73">
        <v>23.4</v>
      </c>
      <c r="AI73">
        <f t="shared" si="14"/>
        <v>2.3513752571634776</v>
      </c>
      <c r="AJ73">
        <f t="shared" si="19"/>
        <v>7.7275774616897293</v>
      </c>
      <c r="AK73">
        <f t="shared" si="20"/>
        <v>23.4</v>
      </c>
    </row>
    <row r="74" spans="1:37" x14ac:dyDescent="0.35">
      <c r="A74" t="s">
        <v>215</v>
      </c>
      <c r="B74" s="1">
        <v>0.5</v>
      </c>
      <c r="D74" t="s">
        <v>215</v>
      </c>
      <c r="E74" s="10">
        <v>483.85689295443689</v>
      </c>
      <c r="F74">
        <f t="shared" si="15"/>
        <v>241.92844647721844</v>
      </c>
      <c r="G74">
        <v>499523</v>
      </c>
      <c r="H74" s="10">
        <f t="shared" si="18"/>
        <v>968.63786643345134</v>
      </c>
      <c r="J74" s="1">
        <v>7.2</v>
      </c>
      <c r="K74">
        <v>409.85030320851399</v>
      </c>
      <c r="L74">
        <f t="shared" si="21"/>
        <v>1.9740810260220096</v>
      </c>
      <c r="M74">
        <f t="shared" si="22"/>
        <v>6.0157919789023868</v>
      </c>
      <c r="Y74" t="str">
        <f>regions!A163</f>
        <v>Suriname</v>
      </c>
      <c r="Z74">
        <f>regions!B163</f>
        <v>524960</v>
      </c>
      <c r="AA74">
        <f>regions!C163</f>
        <v>2188868338.2963519</v>
      </c>
      <c r="AB74">
        <f>regions!D163</f>
        <v>4169.5907084279788</v>
      </c>
      <c r="AC74">
        <f>regions!X163</f>
        <v>25.7</v>
      </c>
      <c r="AD74" s="1">
        <f t="shared" si="23"/>
        <v>0.5</v>
      </c>
      <c r="AF74">
        <v>11</v>
      </c>
      <c r="AG74">
        <v>1031.5611094455749</v>
      </c>
      <c r="AH74">
        <v>23.7</v>
      </c>
      <c r="AI74">
        <f t="shared" si="14"/>
        <v>2.3978952727983707</v>
      </c>
      <c r="AJ74">
        <f t="shared" si="19"/>
        <v>6.9388285740386788</v>
      </c>
      <c r="AK74">
        <f t="shared" si="20"/>
        <v>23.7</v>
      </c>
    </row>
    <row r="75" spans="1:37" x14ac:dyDescent="0.35">
      <c r="A75" t="s">
        <v>216</v>
      </c>
      <c r="B75" s="1">
        <v>0.4</v>
      </c>
      <c r="D75" t="s">
        <v>216</v>
      </c>
      <c r="E75" s="10">
        <v>1754.1135402278683</v>
      </c>
      <c r="F75">
        <f t="shared" si="15"/>
        <v>701.64541609114735</v>
      </c>
      <c r="G75">
        <v>1104642</v>
      </c>
      <c r="H75" s="10">
        <f t="shared" si="18"/>
        <v>1587.9475343395129</v>
      </c>
      <c r="J75" s="1">
        <v>9.6</v>
      </c>
      <c r="K75">
        <v>409.21173547666507</v>
      </c>
      <c r="L75">
        <f t="shared" si="21"/>
        <v>2.2617630984737906</v>
      </c>
      <c r="M75">
        <f t="shared" si="22"/>
        <v>6.0142327127392186</v>
      </c>
      <c r="Y75" t="str">
        <f>regions!A164</f>
        <v>Swaziland</v>
      </c>
      <c r="Z75">
        <f>regions!B164</f>
        <v>1193148</v>
      </c>
      <c r="AA75">
        <f>regions!C164</f>
        <v>2917342648.1127834</v>
      </c>
      <c r="AB75">
        <f>regions!D164</f>
        <v>2445.0802818366064</v>
      </c>
      <c r="AC75">
        <f>regions!X164</f>
        <v>21.4</v>
      </c>
      <c r="AD75" s="1">
        <f t="shared" si="23"/>
        <v>0.4</v>
      </c>
      <c r="AF75">
        <v>11.8</v>
      </c>
      <c r="AG75">
        <v>8084.6290001796442</v>
      </c>
      <c r="AH75">
        <v>21</v>
      </c>
      <c r="AI75">
        <f t="shared" si="14"/>
        <v>2.4680995314716192</v>
      </c>
      <c r="AJ75">
        <f t="shared" si="19"/>
        <v>8.9977198835346783</v>
      </c>
      <c r="AK75">
        <f t="shared" si="20"/>
        <v>21</v>
      </c>
    </row>
    <row r="76" spans="1:37" x14ac:dyDescent="0.35">
      <c r="A76" t="s">
        <v>217</v>
      </c>
      <c r="B76" s="1">
        <v>-2.1</v>
      </c>
      <c r="D76" t="s">
        <v>217</v>
      </c>
      <c r="E76" s="10">
        <v>303188.69492912933</v>
      </c>
      <c r="F76">
        <f t="shared" si="15"/>
        <v>-636696.25935117167</v>
      </c>
      <c r="G76">
        <v>9029572</v>
      </c>
      <c r="H76" s="10">
        <f t="shared" si="18"/>
        <v>33577.30520661769</v>
      </c>
      <c r="J76" s="1">
        <v>9.6999999999999993</v>
      </c>
      <c r="K76">
        <v>299.88967307212954</v>
      </c>
      <c r="L76">
        <f t="shared" si="21"/>
        <v>2.2721258855093369</v>
      </c>
      <c r="M76">
        <f t="shared" si="22"/>
        <v>5.7034146505909877</v>
      </c>
      <c r="Y76" t="str">
        <f>regions!A165</f>
        <v>Sweden</v>
      </c>
      <c r="Z76">
        <f>regions!B165</f>
        <v>9378126</v>
      </c>
      <c r="AA76">
        <f>regions!C165</f>
        <v>401624584927.2937</v>
      </c>
      <c r="AB76">
        <f>regions!D165</f>
        <v>42825.675932195161</v>
      </c>
      <c r="AC76">
        <f>regions!X165</f>
        <v>2.1</v>
      </c>
      <c r="AD76" s="1">
        <f t="shared" si="23"/>
        <v>-2.1</v>
      </c>
      <c r="AF76">
        <v>11.9</v>
      </c>
      <c r="AG76">
        <v>748.01048783794772</v>
      </c>
      <c r="AH76">
        <v>20.2</v>
      </c>
      <c r="AI76">
        <f t="shared" si="14"/>
        <v>2.4765384001174837</v>
      </c>
      <c r="AJ76">
        <f t="shared" si="19"/>
        <v>6.6174169990499081</v>
      </c>
      <c r="AK76">
        <f t="shared" si="20"/>
        <v>20.2</v>
      </c>
    </row>
    <row r="77" spans="1:37" x14ac:dyDescent="0.35">
      <c r="A77" t="s">
        <v>218</v>
      </c>
      <c r="B77" s="1">
        <v>-1.1000000000000001</v>
      </c>
      <c r="D77" t="s">
        <v>218</v>
      </c>
      <c r="E77" s="10">
        <v>337608.45577253244</v>
      </c>
      <c r="F77">
        <f t="shared" si="15"/>
        <v>-371369.3013497857</v>
      </c>
      <c r="G77">
        <v>7437115</v>
      </c>
      <c r="H77" s="10">
        <f t="shared" si="18"/>
        <v>45395.083412389402</v>
      </c>
      <c r="J77" s="1">
        <v>9.6999999999999993</v>
      </c>
      <c r="K77">
        <v>448.41678236028088</v>
      </c>
      <c r="L77">
        <f t="shared" si="21"/>
        <v>2.2721258855093369</v>
      </c>
      <c r="M77">
        <f t="shared" si="22"/>
        <v>6.1057231177061011</v>
      </c>
      <c r="Y77" t="str">
        <f>regions!A166</f>
        <v>Switzerland</v>
      </c>
      <c r="Z77">
        <f>regions!B166</f>
        <v>7824909</v>
      </c>
      <c r="AA77">
        <f>regions!C166</f>
        <v>427575024211.02106</v>
      </c>
      <c r="AB77">
        <f>regions!D166</f>
        <v>54642.81108074497</v>
      </c>
      <c r="AC77">
        <f>regions!X166</f>
        <v>5.5</v>
      </c>
      <c r="AD77" s="1">
        <f t="shared" si="23"/>
        <v>-1.1000000000000001</v>
      </c>
      <c r="AF77">
        <v>12.4</v>
      </c>
      <c r="AG77">
        <v>219.15076343135976</v>
      </c>
      <c r="AH77">
        <v>21.9</v>
      </c>
      <c r="AI77">
        <f t="shared" si="14"/>
        <v>2.5176964726109912</v>
      </c>
      <c r="AJ77">
        <f t="shared" si="19"/>
        <v>5.3897599104606657</v>
      </c>
      <c r="AK77">
        <f t="shared" si="20"/>
        <v>21.9</v>
      </c>
    </row>
    <row r="78" spans="1:37" x14ac:dyDescent="0.35">
      <c r="A78" t="s">
        <v>219</v>
      </c>
      <c r="B78" s="1">
        <v>0.4</v>
      </c>
      <c r="D78" t="s">
        <v>238</v>
      </c>
      <c r="E78" s="10">
        <v>14924.359790117413</v>
      </c>
      <c r="F78">
        <f t="shared" si="15"/>
        <v>5969.7439160469658</v>
      </c>
      <c r="G78">
        <v>18167367</v>
      </c>
      <c r="H78" s="10">
        <f t="shared" si="18"/>
        <v>821.49272319524414</v>
      </c>
      <c r="J78" s="1">
        <v>10.5</v>
      </c>
      <c r="K78">
        <v>1551.1098223548372</v>
      </c>
      <c r="L78">
        <f t="shared" si="21"/>
        <v>2.3513752571634776</v>
      </c>
      <c r="M78">
        <f t="shared" si="22"/>
        <v>7.3467259681197365</v>
      </c>
      <c r="AD78" s="1">
        <f t="shared" si="23"/>
        <v>0.4</v>
      </c>
      <c r="AF78">
        <v>16.3</v>
      </c>
      <c r="AG78">
        <v>1514.9920435883439</v>
      </c>
      <c r="AH78">
        <v>23.5</v>
      </c>
      <c r="AI78">
        <f t="shared" si="14"/>
        <v>2.7911651078127169</v>
      </c>
      <c r="AJ78">
        <f t="shared" si="19"/>
        <v>7.3231654661728101</v>
      </c>
      <c r="AK78">
        <f t="shared" si="20"/>
        <v>23.5</v>
      </c>
    </row>
    <row r="79" spans="1:37" x14ac:dyDescent="0.35">
      <c r="A79" t="s">
        <v>220</v>
      </c>
      <c r="B79" s="1">
        <v>6</v>
      </c>
      <c r="D79" t="s">
        <v>239</v>
      </c>
      <c r="E79" s="10">
        <v>8507.0520591085296</v>
      </c>
      <c r="F79">
        <f t="shared" si="15"/>
        <v>51042.312354651178</v>
      </c>
      <c r="G79">
        <v>38824384</v>
      </c>
      <c r="H79" s="10">
        <f t="shared" si="18"/>
        <v>219.11621467345185</v>
      </c>
      <c r="J79" s="1">
        <v>11</v>
      </c>
      <c r="K79">
        <v>522.78152224574751</v>
      </c>
      <c r="L79">
        <f t="shared" si="21"/>
        <v>2.3978952727983707</v>
      </c>
      <c r="M79">
        <f t="shared" si="22"/>
        <v>6.2591636372955959</v>
      </c>
      <c r="Y79" t="str">
        <f>regions!A168</f>
        <v>Tanzania</v>
      </c>
      <c r="Z79">
        <f>regions!B168</f>
        <v>44973330</v>
      </c>
      <c r="AA79">
        <f>regions!C168</f>
        <v>19720449298.896339</v>
      </c>
      <c r="AB79">
        <f>regions!D168</f>
        <v>438.4920862852793</v>
      </c>
      <c r="AC79">
        <f>regions!X168</f>
        <v>22.3</v>
      </c>
      <c r="AD79" s="1">
        <f t="shared" si="23"/>
        <v>6</v>
      </c>
      <c r="AF79">
        <v>23</v>
      </c>
      <c r="AG79">
        <v>349.34486347036096</v>
      </c>
      <c r="AH79">
        <v>17.899999999999999</v>
      </c>
      <c r="AI79">
        <f t="shared" si="14"/>
        <v>3.1354942159291497</v>
      </c>
      <c r="AJ79">
        <f t="shared" si="19"/>
        <v>5.8560595817856331</v>
      </c>
      <c r="AK79">
        <f t="shared" si="20"/>
        <v>17.899999999999999</v>
      </c>
    </row>
    <row r="80" spans="1:37" x14ac:dyDescent="0.35">
      <c r="A80" t="s">
        <v>221</v>
      </c>
      <c r="B80" s="1">
        <v>2.7</v>
      </c>
      <c r="D80" t="s">
        <v>221</v>
      </c>
      <c r="E80" s="10">
        <v>214308.79712347392</v>
      </c>
      <c r="F80">
        <f t="shared" si="15"/>
        <v>578633.75223337964</v>
      </c>
      <c r="G80">
        <v>65559487</v>
      </c>
      <c r="H80" s="10">
        <f t="shared" si="18"/>
        <v>3268.9212031734464</v>
      </c>
      <c r="J80" s="1">
        <v>11.8</v>
      </c>
      <c r="K80">
        <v>3460.0610025422038</v>
      </c>
      <c r="L80">
        <f t="shared" si="21"/>
        <v>2.4680995314716192</v>
      </c>
      <c r="M80">
        <f t="shared" si="22"/>
        <v>8.1490414986888933</v>
      </c>
      <c r="Y80" t="str">
        <f>regions!A169</f>
        <v>Thailand</v>
      </c>
      <c r="Z80">
        <f>regions!B169</f>
        <v>66402316</v>
      </c>
      <c r="AA80">
        <f>regions!C169</f>
        <v>210090542914.01364</v>
      </c>
      <c r="AB80">
        <f>regions!D169</f>
        <v>3163.9038450709104</v>
      </c>
      <c r="AC80">
        <f>regions!X169</f>
        <v>26.3</v>
      </c>
      <c r="AD80" s="1">
        <f t="shared" si="23"/>
        <v>2.7</v>
      </c>
      <c r="AF80">
        <v>28.4</v>
      </c>
      <c r="AG80">
        <v>800.43110309607573</v>
      </c>
      <c r="AH80">
        <v>27.8</v>
      </c>
      <c r="AI80">
        <f t="shared" si="14"/>
        <v>3.3463891451671604</v>
      </c>
      <c r="AJ80">
        <f t="shared" si="19"/>
        <v>6.6851504613949446</v>
      </c>
      <c r="AK80">
        <f t="shared" si="20"/>
        <v>27.8</v>
      </c>
    </row>
    <row r="81" spans="1:37" x14ac:dyDescent="0.35">
      <c r="A81" t="s">
        <v>222</v>
      </c>
      <c r="B81" s="1">
        <v>1.5</v>
      </c>
      <c r="D81" t="s">
        <v>222</v>
      </c>
      <c r="E81" s="10">
        <v>7805.7000366512539</v>
      </c>
      <c r="F81">
        <f t="shared" si="15"/>
        <v>11708.55005497688</v>
      </c>
      <c r="G81">
        <v>1296933</v>
      </c>
      <c r="H81" s="10">
        <f t="shared" si="18"/>
        <v>6018.583871835518</v>
      </c>
      <c r="J81" s="1">
        <v>11.9</v>
      </c>
      <c r="K81">
        <v>550.37820484917438</v>
      </c>
      <c r="L81">
        <f t="shared" si="21"/>
        <v>2.4765384001174837</v>
      </c>
      <c r="M81">
        <f t="shared" si="22"/>
        <v>6.3106056870872163</v>
      </c>
      <c r="Y81" t="str">
        <f>regions!A173</f>
        <v>Trinidad and Tobago</v>
      </c>
      <c r="Z81">
        <f>regions!B173</f>
        <v>1328095</v>
      </c>
      <c r="AA81">
        <f>regions!C173</f>
        <v>18988955441.46624</v>
      </c>
      <c r="AB81">
        <f>regions!D173</f>
        <v>14297.889414135465</v>
      </c>
      <c r="AC81">
        <f>regions!X173</f>
        <v>25.7</v>
      </c>
      <c r="AD81" s="1">
        <f t="shared" si="23"/>
        <v>1.5</v>
      </c>
      <c r="AF81">
        <v>42</v>
      </c>
      <c r="AG81">
        <v>6010.0797889966334</v>
      </c>
      <c r="AH81">
        <v>25.3</v>
      </c>
      <c r="AI81">
        <f t="shared" si="14"/>
        <v>3.7376696182833684</v>
      </c>
      <c r="AJ81">
        <f t="shared" si="19"/>
        <v>8.7011933034805011</v>
      </c>
      <c r="AK81">
        <f t="shared" si="20"/>
        <v>25.3</v>
      </c>
    </row>
    <row r="82" spans="1:37" x14ac:dyDescent="0.35">
      <c r="A82" t="s">
        <v>223</v>
      </c>
      <c r="B82" s="1">
        <v>0.6</v>
      </c>
      <c r="D82" t="s">
        <v>223</v>
      </c>
      <c r="E82" s="10">
        <v>26720.46960929739</v>
      </c>
      <c r="F82">
        <f t="shared" si="15"/>
        <v>16032.281765578433</v>
      </c>
      <c r="G82">
        <v>10029000</v>
      </c>
      <c r="H82" s="10">
        <f t="shared" si="18"/>
        <v>2664.3204316778733</v>
      </c>
      <c r="J82" s="1">
        <v>12.4</v>
      </c>
      <c r="K82">
        <v>142.24452026924493</v>
      </c>
      <c r="L82">
        <f t="shared" si="21"/>
        <v>2.5176964726109912</v>
      </c>
      <c r="M82">
        <f t="shared" si="22"/>
        <v>4.9575475504313795</v>
      </c>
      <c r="Y82" t="str">
        <f>regions!A174</f>
        <v>Tunisia</v>
      </c>
      <c r="Z82">
        <f>regions!B174</f>
        <v>10549100</v>
      </c>
      <c r="AA82">
        <f>regions!C174</f>
        <v>40735443534.70594</v>
      </c>
      <c r="AB82">
        <f>regions!D174</f>
        <v>3861.5088997834828</v>
      </c>
      <c r="AC82">
        <f>regions!X174</f>
        <v>19.2</v>
      </c>
      <c r="AD82" s="1">
        <f t="shared" si="23"/>
        <v>0.6</v>
      </c>
      <c r="AF82">
        <v>70.7</v>
      </c>
      <c r="AG82">
        <v>3250.7458870185928</v>
      </c>
      <c r="AH82">
        <v>21.8</v>
      </c>
      <c r="AI82">
        <f t="shared" si="14"/>
        <v>4.2584455729025272</v>
      </c>
      <c r="AJ82">
        <f t="shared" si="19"/>
        <v>8.0866397526898677</v>
      </c>
      <c r="AK82">
        <f t="shared" si="20"/>
        <v>21.8</v>
      </c>
    </row>
    <row r="83" spans="1:37" x14ac:dyDescent="0.35">
      <c r="A83" t="s">
        <v>224</v>
      </c>
      <c r="B83" s="1">
        <v>-0.2</v>
      </c>
      <c r="D83" t="s">
        <v>224</v>
      </c>
      <c r="E83" s="10">
        <v>256530.32171723363</v>
      </c>
      <c r="F83">
        <f t="shared" si="15"/>
        <v>-51306.064343446727</v>
      </c>
      <c r="G83">
        <v>67743052</v>
      </c>
      <c r="H83" s="10">
        <f t="shared" si="18"/>
        <v>3786.8137638267854</v>
      </c>
      <c r="J83" s="1">
        <v>16.3</v>
      </c>
      <c r="K83">
        <v>739.15881560568482</v>
      </c>
      <c r="L83">
        <f t="shared" si="21"/>
        <v>2.7911651078127169</v>
      </c>
      <c r="M83">
        <f t="shared" si="22"/>
        <v>6.6055128039561968</v>
      </c>
      <c r="Y83" t="str">
        <f>regions!A175</f>
        <v>Turkey</v>
      </c>
      <c r="Z83">
        <f>regions!B175</f>
        <v>72137546</v>
      </c>
      <c r="AA83">
        <f>regions!C175</f>
        <v>565091528615.37659</v>
      </c>
      <c r="AB83">
        <f>regions!D175</f>
        <v>7833.5285846205052</v>
      </c>
      <c r="AC83">
        <f>regions!X175</f>
        <v>11.1</v>
      </c>
      <c r="AD83" s="1">
        <f t="shared" si="23"/>
        <v>-0.2</v>
      </c>
      <c r="AF83" t="s">
        <v>153</v>
      </c>
      <c r="AG83">
        <v>1176.9744750324021</v>
      </c>
      <c r="AH83">
        <v>21.5</v>
      </c>
    </row>
    <row r="84" spans="1:37" x14ac:dyDescent="0.35">
      <c r="A84" t="s">
        <v>225</v>
      </c>
      <c r="B84" s="1">
        <v>-4.7</v>
      </c>
      <c r="D84" t="s">
        <v>225</v>
      </c>
      <c r="E84" s="10">
        <v>1416494.7960412775</v>
      </c>
      <c r="F84">
        <f t="shared" si="15"/>
        <v>-6657525.5413940046</v>
      </c>
      <c r="G84">
        <v>60224307</v>
      </c>
      <c r="H84" s="10">
        <f t="shared" si="18"/>
        <v>23520.317071332633</v>
      </c>
      <c r="J84" s="1">
        <v>23</v>
      </c>
      <c r="K84">
        <v>333.82175240047144</v>
      </c>
      <c r="L84">
        <f t="shared" si="21"/>
        <v>3.1354942159291497</v>
      </c>
      <c r="M84">
        <f t="shared" si="22"/>
        <v>5.8106071750735824</v>
      </c>
      <c r="Y84" t="str">
        <f>regions!A181</f>
        <v>United Kingdom</v>
      </c>
      <c r="Z84">
        <f>regions!B181</f>
        <v>62271177</v>
      </c>
      <c r="AA84">
        <f>regions!C181</f>
        <v>2360033739558.0132</v>
      </c>
      <c r="AB84">
        <f>regions!D181</f>
        <v>37899.295520911917</v>
      </c>
      <c r="AC84">
        <f>regions!X181</f>
        <v>8.4</v>
      </c>
      <c r="AD84" s="1">
        <f t="shared" si="23"/>
        <v>-4.7</v>
      </c>
      <c r="AF84" t="s">
        <v>153</v>
      </c>
      <c r="AG84">
        <v>3937.8672013546661</v>
      </c>
      <c r="AH84">
        <v>24.5</v>
      </c>
    </row>
    <row r="85" spans="1:37" x14ac:dyDescent="0.35">
      <c r="A85" t="s">
        <v>226</v>
      </c>
      <c r="B85" s="1">
        <v>-0.3</v>
      </c>
      <c r="D85" t="s">
        <v>226</v>
      </c>
      <c r="E85" s="10">
        <v>9872183.977084944</v>
      </c>
      <c r="F85">
        <f t="shared" si="15"/>
        <v>-2961655.1931254831</v>
      </c>
      <c r="G85">
        <v>295516599</v>
      </c>
      <c r="H85" s="10">
        <f t="shared" si="18"/>
        <v>33406.529482578888</v>
      </c>
      <c r="J85" s="1">
        <v>28.4</v>
      </c>
      <c r="K85">
        <v>598.97774207591976</v>
      </c>
      <c r="L85">
        <f t="shared" si="21"/>
        <v>3.3463891451671604</v>
      </c>
      <c r="M85">
        <f t="shared" si="22"/>
        <v>6.3952244389541377</v>
      </c>
      <c r="Y85" t="str">
        <f>regions!A182</f>
        <v>United States</v>
      </c>
      <c r="Z85">
        <f>regions!B182</f>
        <v>309326225</v>
      </c>
      <c r="AA85">
        <f>regions!C182</f>
        <v>13595644353592.4</v>
      </c>
      <c r="AB85">
        <f>regions!D182</f>
        <v>43952.446494287382</v>
      </c>
      <c r="AC85">
        <f>regions!X182</f>
        <v>8.5</v>
      </c>
      <c r="AD85" s="1">
        <f t="shared" si="23"/>
        <v>-0.3</v>
      </c>
      <c r="AF85" t="s">
        <v>153</v>
      </c>
      <c r="AG85">
        <v>234.25889686975188</v>
      </c>
      <c r="AH85">
        <v>22.2</v>
      </c>
    </row>
    <row r="86" spans="1:37" x14ac:dyDescent="0.35">
      <c r="A86" t="s">
        <v>227</v>
      </c>
      <c r="B86" s="1">
        <v>-1.4</v>
      </c>
      <c r="D86" t="s">
        <v>227</v>
      </c>
      <c r="E86" s="10">
        <v>13121.835823004341</v>
      </c>
      <c r="F86">
        <f t="shared" si="15"/>
        <v>-18370.570152206077</v>
      </c>
      <c r="G86">
        <v>3325155</v>
      </c>
      <c r="H86" s="10">
        <f t="shared" si="18"/>
        <v>3946.232829147616</v>
      </c>
      <c r="J86" s="1">
        <v>42</v>
      </c>
      <c r="K86">
        <v>2115.6369919005219</v>
      </c>
      <c r="L86">
        <f t="shared" si="21"/>
        <v>3.7376696182833684</v>
      </c>
      <c r="M86">
        <f t="shared" si="22"/>
        <v>7.6571112243388839</v>
      </c>
      <c r="Y86" t="str">
        <f>regions!A183</f>
        <v>Uruguay</v>
      </c>
      <c r="Z86">
        <f>regions!B183</f>
        <v>3371982</v>
      </c>
      <c r="AA86">
        <f>regions!C183</f>
        <v>22899299769.575714</v>
      </c>
      <c r="AB86">
        <f>regions!D183</f>
        <v>6791.0504176996537</v>
      </c>
      <c r="AC86">
        <f>regions!X183</f>
        <v>17.5</v>
      </c>
      <c r="AD86" s="1">
        <f t="shared" si="23"/>
        <v>-1.4</v>
      </c>
    </row>
    <row r="87" spans="1:37" x14ac:dyDescent="0.35">
      <c r="A87" t="s">
        <v>228</v>
      </c>
      <c r="B87" s="1">
        <v>42</v>
      </c>
      <c r="D87" t="s">
        <v>228</v>
      </c>
      <c r="E87" s="10">
        <v>56542.29633492318</v>
      </c>
      <c r="F87">
        <f t="shared" si="15"/>
        <v>2374776.4460667735</v>
      </c>
      <c r="G87">
        <v>26725897</v>
      </c>
      <c r="H87" s="10">
        <f t="shared" si="18"/>
        <v>2115.6369919005219</v>
      </c>
      <c r="J87" s="1">
        <v>70.7</v>
      </c>
      <c r="K87">
        <v>17750.483192630461</v>
      </c>
      <c r="L87">
        <f t="shared" si="21"/>
        <v>4.2584455729025272</v>
      </c>
      <c r="M87">
        <f t="shared" si="22"/>
        <v>9.7841680166530729</v>
      </c>
      <c r="Y87" t="str">
        <f>regions!A186</f>
        <v>Venezuela</v>
      </c>
      <c r="Z87">
        <f>regions!B186</f>
        <v>29043283</v>
      </c>
      <c r="AA87">
        <f>regions!C186</f>
        <v>174552448164.40952</v>
      </c>
      <c r="AB87">
        <f>regions!D186</f>
        <v>6010.0797889966334</v>
      </c>
      <c r="AC87">
        <f>regions!X186</f>
        <v>25.3</v>
      </c>
      <c r="AD87" s="1">
        <f t="shared" si="23"/>
        <v>42</v>
      </c>
    </row>
    <row r="88" spans="1:37" x14ac:dyDescent="0.35">
      <c r="A88" t="s">
        <v>229</v>
      </c>
      <c r="B88" s="1">
        <v>-0.8</v>
      </c>
      <c r="D88" t="s">
        <v>229</v>
      </c>
      <c r="E88" s="10">
        <v>16791.026181693429</v>
      </c>
      <c r="F88">
        <f t="shared" si="15"/>
        <v>-13432.820945354744</v>
      </c>
      <c r="G88">
        <v>7440769</v>
      </c>
      <c r="H88" s="10">
        <f t="shared" si="18"/>
        <v>2256.6251124975697</v>
      </c>
      <c r="J88" s="1" t="s">
        <v>153</v>
      </c>
      <c r="K88">
        <v>948.57675607942133</v>
      </c>
      <c r="Y88" t="str">
        <f>regions!A151</f>
        <v>Serbia</v>
      </c>
      <c r="Z88">
        <f>regions!B151</f>
        <v>7291436</v>
      </c>
      <c r="AA88">
        <f>regions!C151</f>
        <v>27876766882.558659</v>
      </c>
      <c r="AB88">
        <f>regions!D151</f>
        <v>3823.2204030260514</v>
      </c>
      <c r="AC88">
        <f>regions!X151</f>
        <v>9.9</v>
      </c>
      <c r="AD88" s="1">
        <f t="shared" si="23"/>
        <v>-0.8</v>
      </c>
    </row>
    <row r="89" spans="1:37" x14ac:dyDescent="0.35">
      <c r="A89" t="s">
        <v>230</v>
      </c>
      <c r="B89" s="1">
        <v>9.6</v>
      </c>
      <c r="D89" t="s">
        <v>230</v>
      </c>
      <c r="E89" s="10">
        <v>4693.6676085755289</v>
      </c>
      <c r="F89">
        <f t="shared" si="15"/>
        <v>45059.209042325077</v>
      </c>
      <c r="G89">
        <v>11470022</v>
      </c>
      <c r="H89" s="10">
        <f t="shared" si="18"/>
        <v>409.21173547666507</v>
      </c>
      <c r="J89" s="1" t="s">
        <v>153</v>
      </c>
      <c r="K89">
        <v>2408.6597485607999</v>
      </c>
      <c r="Y89" t="str">
        <f>regions!A189</f>
        <v>Zambia</v>
      </c>
      <c r="Z89">
        <f>regions!B189</f>
        <v>13216985</v>
      </c>
      <c r="AA89">
        <f>regions!C189</f>
        <v>9799629000.3266487</v>
      </c>
      <c r="AB89">
        <f>regions!D189</f>
        <v>741.44209139426641</v>
      </c>
      <c r="AC89">
        <f>regions!X189</f>
        <v>21.4</v>
      </c>
      <c r="AD89" s="1">
        <f t="shared" si="23"/>
        <v>9.6</v>
      </c>
    </row>
    <row r="90" spans="1:37" x14ac:dyDescent="0.35">
      <c r="A90" t="s">
        <v>231</v>
      </c>
      <c r="B90" s="1">
        <v>9.6999999999999993</v>
      </c>
      <c r="D90" t="s">
        <v>231</v>
      </c>
      <c r="E90" s="10">
        <v>5699.64142128398</v>
      </c>
      <c r="F90">
        <f t="shared" ref="F90" si="24">$B90*E90</f>
        <v>55286.521786454599</v>
      </c>
      <c r="G90">
        <v>12710589</v>
      </c>
      <c r="H90" s="10">
        <f t="shared" si="18"/>
        <v>448.41678236028088</v>
      </c>
      <c r="J90" s="1" t="s">
        <v>153</v>
      </c>
      <c r="K90">
        <v>126.83818621551504</v>
      </c>
      <c r="Y90" t="str">
        <f>regions!A190</f>
        <v>Zimbabwe</v>
      </c>
      <c r="Z90">
        <f>regions!B190</f>
        <v>13076978</v>
      </c>
      <c r="AA90">
        <f>regions!C190</f>
        <v>5202304268.4389067</v>
      </c>
      <c r="AB90">
        <f>regions!D190</f>
        <v>397.82159673579832</v>
      </c>
      <c r="AC90">
        <f>regions!X190</f>
        <v>21</v>
      </c>
      <c r="AD90" s="1">
        <f t="shared" si="23"/>
        <v>9.6999999999999993</v>
      </c>
    </row>
    <row r="92" spans="1:37" x14ac:dyDescent="0.35">
      <c r="E92" s="10">
        <f t="shared" ref="E92" si="25">SUM(E3:E90)</f>
        <v>33338165.209987525</v>
      </c>
      <c r="F92">
        <f t="shared" ref="F92" si="26">SUM(F3:F90)</f>
        <v>3210634.7528022989</v>
      </c>
      <c r="AA92" s="1">
        <f>SUM(AA3:AA90)-SUMIF(AD3:AD90,"=n.a.",AA3:AA90)</f>
        <v>43459512894511.367</v>
      </c>
      <c r="AD92" s="7">
        <f>SUMPRODUCT(AD3:AD90,AA3:AA90)/AA92</f>
        <v>-3.3000365094043249E-2</v>
      </c>
    </row>
    <row r="93" spans="1:37" x14ac:dyDescent="0.35">
      <c r="E93" s="10">
        <f t="shared" ref="E93" si="27">SUMIF($B3:$B90,"=n.a.",E3:E90)</f>
        <v>122550.19929493184</v>
      </c>
    </row>
    <row r="94" spans="1:37" x14ac:dyDescent="0.35">
      <c r="E94" s="10">
        <f t="shared" ref="E94" si="28">E92-E93</f>
        <v>33215615.010692593</v>
      </c>
    </row>
    <row r="96" spans="1:37" x14ac:dyDescent="0.35">
      <c r="E96">
        <f>F92/E92</f>
        <v>9.6305082555666541E-2</v>
      </c>
    </row>
    <row r="97" spans="5:5" x14ac:dyDescent="0.35">
      <c r="E97">
        <f>F92/E94</f>
        <v>9.666040360140099E-2</v>
      </c>
    </row>
  </sheetData>
  <sortState xmlns:xlrd2="http://schemas.microsoft.com/office/spreadsheetml/2017/richdata2" ref="AF3:AH90">
    <sortCondition ref="AF3:AF90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W85"/>
  <sheetViews>
    <sheetView workbookViewId="0">
      <pane xSplit="1" ySplit="4" topLeftCell="AB5" activePane="bottomRight" state="frozen"/>
      <selection pane="topRight" activeCell="B1" sqref="B1"/>
      <selection pane="bottomLeft" activeCell="A5" sqref="A5"/>
      <selection pane="bottomRight" activeCell="AI2" sqref="AI2"/>
    </sheetView>
  </sheetViews>
  <sheetFormatPr defaultRowHeight="14.5" x14ac:dyDescent="0.35"/>
  <cols>
    <col min="1" max="1" width="16.1796875" customWidth="1"/>
    <col min="2" max="2" width="10" bestFit="1" customWidth="1"/>
    <col min="4" max="4" width="12" bestFit="1" customWidth="1"/>
    <col min="10" max="10" width="9.26953125" bestFit="1" customWidth="1"/>
    <col min="36" max="36" width="12" bestFit="1" customWidth="1"/>
  </cols>
  <sheetData>
    <row r="1" spans="1:75" x14ac:dyDescent="0.35">
      <c r="B1" t="s">
        <v>271</v>
      </c>
      <c r="E1" t="s">
        <v>320</v>
      </c>
      <c r="H1" t="s">
        <v>107</v>
      </c>
      <c r="I1" t="s">
        <v>101</v>
      </c>
      <c r="J1" t="s">
        <v>98</v>
      </c>
      <c r="W1">
        <f>SUM(Y2:Y3)*X1*X1</f>
        <v>-0.54595644815391531</v>
      </c>
      <c r="X1">
        <f>SQRT(1/SUM(Z2:Z3))</f>
        <v>0.1118484407886248</v>
      </c>
      <c r="AO1">
        <v>0.6</v>
      </c>
      <c r="AR1">
        <v>1</v>
      </c>
    </row>
    <row r="2" spans="1:75" x14ac:dyDescent="0.35">
      <c r="B2" t="s">
        <v>269</v>
      </c>
      <c r="D2" t="s">
        <v>270</v>
      </c>
      <c r="H2" t="s">
        <v>290</v>
      </c>
      <c r="I2" t="s">
        <v>292</v>
      </c>
      <c r="J2" t="s">
        <v>291</v>
      </c>
      <c r="W2">
        <f>-W22</f>
        <v>0.70383959807998386</v>
      </c>
      <c r="X2">
        <f>X22</f>
        <v>0.20218798147258249</v>
      </c>
      <c r="Y2">
        <f>W2/X2/X2</f>
        <v>17.217219788974127</v>
      </c>
      <c r="Z2">
        <f>1/X2/X2</f>
        <v>24.461851586556477</v>
      </c>
    </row>
    <row r="3" spans="1:75" x14ac:dyDescent="0.35">
      <c r="B3">
        <v>0.62</v>
      </c>
      <c r="C3">
        <v>1.024</v>
      </c>
      <c r="D3">
        <v>0.62</v>
      </c>
      <c r="E3">
        <v>1.024</v>
      </c>
      <c r="W3">
        <f>W41</f>
        <v>-1.0970700322785458</v>
      </c>
      <c r="X3">
        <f>X41</f>
        <v>0.13426299206595693</v>
      </c>
      <c r="Y3">
        <f>W3/X3/X3</f>
        <v>-60.858565231657209</v>
      </c>
      <c r="Z3">
        <f>1/X3/X3</f>
        <v>55.473728605326841</v>
      </c>
    </row>
    <row r="4" spans="1:75" x14ac:dyDescent="0.35">
      <c r="B4">
        <v>2039</v>
      </c>
      <c r="C4">
        <v>2069</v>
      </c>
      <c r="D4">
        <v>2039</v>
      </c>
      <c r="E4">
        <v>2069</v>
      </c>
      <c r="H4">
        <v>2005</v>
      </c>
      <c r="I4">
        <v>2005</v>
      </c>
      <c r="J4">
        <v>2005</v>
      </c>
    </row>
    <row r="5" spans="1:75" x14ac:dyDescent="0.35">
      <c r="A5" t="s">
        <v>144</v>
      </c>
      <c r="B5">
        <v>155.93</v>
      </c>
      <c r="C5">
        <v>263.10000000000002</v>
      </c>
      <c r="D5">
        <v>138.58000000000001</v>
      </c>
      <c r="E5">
        <v>233.85</v>
      </c>
      <c r="G5" s="12" t="s">
        <v>144</v>
      </c>
      <c r="H5" s="10">
        <v>39369.926435590642</v>
      </c>
      <c r="I5" s="10">
        <v>4477.6158985924385</v>
      </c>
      <c r="J5" s="10">
        <f t="shared" ref="J5:J68" si="0">H5*I5/1000</f>
        <v>176283.40853441539</v>
      </c>
      <c r="L5" s="10">
        <f t="shared" ref="L5:L36" si="1">I5</f>
        <v>4477.6158985924385</v>
      </c>
      <c r="M5">
        <f t="shared" ref="M5:M36" si="2">E5</f>
        <v>233.85</v>
      </c>
      <c r="N5" s="13">
        <f>M5/L5</f>
        <v>5.2226453830823659E-2</v>
      </c>
      <c r="P5">
        <v>130.01421808138244</v>
      </c>
      <c r="Q5">
        <v>-612.47</v>
      </c>
      <c r="R5">
        <v>-4.7107924736094962</v>
      </c>
      <c r="V5" t="s">
        <v>22</v>
      </c>
      <c r="AG5" t="str">
        <f>regions!A8</f>
        <v>Argentina</v>
      </c>
      <c r="AH5">
        <f>regions!B8</f>
        <v>40374224</v>
      </c>
      <c r="AI5">
        <f>regions!C8</f>
        <v>293697869622.22595</v>
      </c>
      <c r="AJ5">
        <f>regions!D8</f>
        <v>7274.3904532313973</v>
      </c>
      <c r="AK5">
        <f>regions!X8</f>
        <v>14.8</v>
      </c>
      <c r="AL5" s="13">
        <f>D5/AJ5</f>
        <v>1.9050393416597623E-2</v>
      </c>
      <c r="AM5" s="13">
        <f>E5/AJ5</f>
        <v>3.2147023383398428E-2</v>
      </c>
      <c r="AO5" s="13">
        <v>-4.6471272452835291E-2</v>
      </c>
      <c r="AP5">
        <v>1850.8208503929698</v>
      </c>
      <c r="AQ5">
        <v>5.8</v>
      </c>
      <c r="AR5" s="13">
        <v>-0.14782046030091844</v>
      </c>
      <c r="AS5">
        <v>539.09993134762863</v>
      </c>
      <c r="AT5">
        <v>25</v>
      </c>
      <c r="AU5">
        <f>LN(-AO5)</f>
        <v>-3.0689209540170705</v>
      </c>
      <c r="AV5">
        <f>LN(AP5)</f>
        <v>7.523384522580459</v>
      </c>
      <c r="AW5">
        <f>AQ5</f>
        <v>5.8</v>
      </c>
      <c r="AX5">
        <f>LN(-AR5)</f>
        <v>-1.9117568477016933</v>
      </c>
      <c r="AY5">
        <f>LN(AS5)</f>
        <v>6.2899009551113503</v>
      </c>
      <c r="AZ5">
        <f>AT5</f>
        <v>25</v>
      </c>
      <c r="BB5" t="s">
        <v>22</v>
      </c>
      <c r="BE5">
        <f>SUM(BG6:BG9)*BF5*BF5</f>
        <v>0.17982772875490424</v>
      </c>
      <c r="BF5">
        <f>SQRT(1/SUM(BH6:BH9))</f>
        <v>7.6475916545029513E-2</v>
      </c>
      <c r="BL5" t="s">
        <v>22</v>
      </c>
      <c r="BO5">
        <f>SUM(BQ6:BQ9)*BP5*BP5</f>
        <v>0.38135776479892647</v>
      </c>
      <c r="BP5">
        <f>SQRT(1/SUM(BR6:BR9))</f>
        <v>8.0684788724407513E-2</v>
      </c>
      <c r="BT5">
        <f>SUM(BV6:BV9)*BU5*BU5</f>
        <v>4.5109984548480482E-2</v>
      </c>
      <c r="BU5">
        <f>SQRT(1/SUM(BW6:BW9))</f>
        <v>1.4038000025070845E-2</v>
      </c>
    </row>
    <row r="6" spans="1:75" ht="15" thickBot="1" x14ac:dyDescent="0.4">
      <c r="A6" t="s">
        <v>240</v>
      </c>
      <c r="B6">
        <v>-36.229999999999997</v>
      </c>
      <c r="C6">
        <v>-67.89</v>
      </c>
      <c r="D6">
        <v>-75.89</v>
      </c>
      <c r="E6">
        <v>-135.27000000000001</v>
      </c>
      <c r="G6" s="12" t="s">
        <v>240</v>
      </c>
      <c r="H6" s="10">
        <v>3024.495693385099</v>
      </c>
      <c r="I6" s="10">
        <v>2184.5274565026834</v>
      </c>
      <c r="J6" s="10">
        <f t="shared" si="0"/>
        <v>6607.0938842738697</v>
      </c>
      <c r="L6" s="10">
        <f t="shared" si="1"/>
        <v>2184.5274565026834</v>
      </c>
      <c r="M6">
        <f t="shared" si="2"/>
        <v>-135.27000000000001</v>
      </c>
      <c r="N6" s="13">
        <f t="shared" ref="N6:N69" si="3">M6/L6</f>
        <v>-6.1921858476688754E-2</v>
      </c>
      <c r="P6">
        <v>646.58519505316701</v>
      </c>
      <c r="Q6">
        <v>-152.52000000000001</v>
      </c>
      <c r="R6">
        <v>-0.23588538860290281</v>
      </c>
      <c r="S6">
        <f>LN(P6)</f>
        <v>6.4717049684210464</v>
      </c>
      <c r="T6">
        <f>LN(-R6)</f>
        <v>-1.4444092334316834</v>
      </c>
      <c r="AG6" t="str">
        <f>regions!A9</f>
        <v>Armenia</v>
      </c>
      <c r="AH6">
        <f>regions!B9</f>
        <v>2963496</v>
      </c>
      <c r="AI6">
        <f>regions!C9</f>
        <v>5918216827.4621973</v>
      </c>
      <c r="AJ6">
        <f>regions!D9</f>
        <v>1997.0389119682286</v>
      </c>
      <c r="AK6">
        <f>regions!X9</f>
        <v>7.1</v>
      </c>
      <c r="AL6" s="13">
        <f t="shared" ref="AL6:AL69" si="4">D6/AJ6</f>
        <v>-3.8001262541852439E-2</v>
      </c>
      <c r="AM6" s="13">
        <f t="shared" ref="AM6:AM69" si="5">E6/AJ6</f>
        <v>-6.7735285070976148E-2</v>
      </c>
      <c r="AO6" s="13">
        <v>-3.8001262541852439E-2</v>
      </c>
      <c r="AP6">
        <v>1997.0389119682286</v>
      </c>
      <c r="AQ6">
        <v>7.1</v>
      </c>
      <c r="AR6" s="13">
        <v>-8.240667915947493E-2</v>
      </c>
      <c r="AS6">
        <v>1850.8208503929698</v>
      </c>
      <c r="AT6">
        <v>5.8</v>
      </c>
      <c r="AU6">
        <f t="shared" ref="AU6:AU28" si="6">LN(-AO6)</f>
        <v>-3.2701358950220918</v>
      </c>
      <c r="AV6">
        <f t="shared" ref="AV6:AV69" si="7">LN(AP6)</f>
        <v>7.5994208184379133</v>
      </c>
      <c r="AW6">
        <f t="shared" ref="AW6:AW69" si="8">AQ6</f>
        <v>7.1</v>
      </c>
      <c r="AX6">
        <f t="shared" ref="AX6:AX29" si="9">LN(-AR6)</f>
        <v>-2.4960887875910958</v>
      </c>
      <c r="AY6">
        <f t="shared" ref="AY6:AY29" si="10">LN(AS6)</f>
        <v>7.523384522580459</v>
      </c>
      <c r="AZ6">
        <f t="shared" ref="AZ6:AZ29" si="11">AT6</f>
        <v>5.8</v>
      </c>
      <c r="BB6" t="s">
        <v>629</v>
      </c>
      <c r="BE6">
        <f>-BC22</f>
        <v>0.7798000740263229</v>
      </c>
      <c r="BF6">
        <f>BD22</f>
        <v>0.14071443713147136</v>
      </c>
      <c r="BG6">
        <f>BE6/BF6/BF6</f>
        <v>39.382742553929305</v>
      </c>
      <c r="BH6">
        <f>1/BF6/BF6</f>
        <v>50.503640440280215</v>
      </c>
      <c r="BO6">
        <f>-BM22</f>
        <v>0.99523977220160298</v>
      </c>
      <c r="BP6">
        <f>BN22</f>
        <v>0.14547876121915357</v>
      </c>
      <c r="BQ6">
        <f>BO6/BP6/BP6</f>
        <v>47.024970802263411</v>
      </c>
      <c r="BR6">
        <f>1/BP6/BP6</f>
        <v>47.249891047097037</v>
      </c>
      <c r="BT6">
        <f>-BM23</f>
        <v>7.1360849292085263E-2</v>
      </c>
      <c r="BU6">
        <f>BN23</f>
        <v>2.5663356782289683E-2</v>
      </c>
      <c r="BV6">
        <f>BT6/BU6/BU6</f>
        <v>108.35104060313772</v>
      </c>
      <c r="BW6">
        <f>1/BU6/BU6</f>
        <v>1518.3541350474804</v>
      </c>
    </row>
    <row r="7" spans="1:75" x14ac:dyDescent="0.35">
      <c r="A7" t="s">
        <v>145</v>
      </c>
      <c r="B7">
        <v>89.53</v>
      </c>
      <c r="C7">
        <v>147.46</v>
      </c>
      <c r="D7">
        <v>78.12</v>
      </c>
      <c r="E7">
        <v>128</v>
      </c>
      <c r="G7" s="12" t="s">
        <v>145</v>
      </c>
      <c r="H7" s="10">
        <v>20131.505302129397</v>
      </c>
      <c r="I7" s="10">
        <v>26746.018818196153</v>
      </c>
      <c r="J7" s="10">
        <f t="shared" si="0"/>
        <v>538437.61964936857</v>
      </c>
      <c r="L7" s="10">
        <f t="shared" si="1"/>
        <v>26746.018818196153</v>
      </c>
      <c r="M7">
        <f t="shared" si="2"/>
        <v>128</v>
      </c>
      <c r="N7" s="13">
        <f t="shared" si="3"/>
        <v>4.7857589897797271E-3</v>
      </c>
      <c r="P7">
        <v>399.84394006700404</v>
      </c>
      <c r="Q7">
        <v>-79.69</v>
      </c>
      <c r="R7">
        <v>-0.19930275793762414</v>
      </c>
      <c r="S7">
        <f t="shared" ref="S7:S67" si="12">LN(P7)</f>
        <v>5.991074321147245</v>
      </c>
      <c r="T7">
        <f t="shared" ref="T7:T29" si="13">LN(-R7)</f>
        <v>-1.6129302137375878</v>
      </c>
      <c r="V7" s="5" t="s">
        <v>23</v>
      </c>
      <c r="W7" s="5"/>
      <c r="AG7" t="str">
        <f>regions!A10</f>
        <v>Australia</v>
      </c>
      <c r="AH7">
        <f>regions!B10</f>
        <v>22065300</v>
      </c>
      <c r="AI7">
        <f>regions!C10</f>
        <v>797442264201.02002</v>
      </c>
      <c r="AJ7">
        <f>regions!D10</f>
        <v>36140.105242213795</v>
      </c>
      <c r="AK7">
        <f>regions!X10</f>
        <v>21.6</v>
      </c>
      <c r="AL7" s="13">
        <f t="shared" si="4"/>
        <v>2.1615875071872006E-3</v>
      </c>
      <c r="AM7" s="13">
        <f t="shared" si="5"/>
        <v>3.5417716451607998E-3</v>
      </c>
      <c r="AO7" s="13">
        <v>-3.7794591025776855E-2</v>
      </c>
      <c r="AP7">
        <v>1974.6211818802449</v>
      </c>
      <c r="AQ7">
        <v>8.3000000000000007</v>
      </c>
      <c r="AR7" s="13">
        <v>-6.7735285070976148E-2</v>
      </c>
      <c r="AS7">
        <v>1997.0389119682286</v>
      </c>
      <c r="AT7">
        <v>7.1</v>
      </c>
      <c r="AU7">
        <f t="shared" si="6"/>
        <v>-3.2755892811517655</v>
      </c>
      <c r="AV7">
        <f t="shared" si="7"/>
        <v>7.5881318522950618</v>
      </c>
      <c r="AW7">
        <f t="shared" si="8"/>
        <v>8.3000000000000007</v>
      </c>
      <c r="AX7">
        <f t="shared" si="9"/>
        <v>-2.6921480373368105</v>
      </c>
      <c r="AY7">
        <f t="shared" si="10"/>
        <v>7.5994208184379133</v>
      </c>
      <c r="AZ7">
        <f t="shared" si="11"/>
        <v>7.1</v>
      </c>
      <c r="BB7" s="5" t="s">
        <v>23</v>
      </c>
      <c r="BC7" s="5"/>
      <c r="BE7">
        <f>BC42</f>
        <v>-0.99248020886923283</v>
      </c>
      <c r="BF7">
        <f>BD42</f>
        <v>0.16614289525602446</v>
      </c>
      <c r="BG7">
        <f>BE7/BF7/BF7</f>
        <v>-35.954918323912807</v>
      </c>
      <c r="BH7">
        <f>1/BF7/BF7</f>
        <v>36.227340356617781</v>
      </c>
      <c r="BL7" s="5" t="s">
        <v>23</v>
      </c>
      <c r="BM7" s="5"/>
      <c r="BO7">
        <f>BM42</f>
        <v>-1.0135728597945466</v>
      </c>
      <c r="BP7">
        <f>BN42</f>
        <v>0.18459804356147619</v>
      </c>
      <c r="BQ7">
        <f>BO7/BP7/BP7</f>
        <v>-29.744096760131992</v>
      </c>
      <c r="BR7">
        <f>1/BP7/BP7</f>
        <v>29.34579046064945</v>
      </c>
      <c r="BT7">
        <f>BM43</f>
        <v>-8.6422287118126991E-3</v>
      </c>
      <c r="BU7">
        <f>BN43</f>
        <v>3.1213575854592938E-2</v>
      </c>
      <c r="BV7">
        <f>BT7/BU7/BU7</f>
        <v>-8.870308127207835</v>
      </c>
      <c r="BW7">
        <f>1/BU7/BU7</f>
        <v>1026.3912727839966</v>
      </c>
    </row>
    <row r="8" spans="1:75" x14ac:dyDescent="0.35">
      <c r="A8" t="s">
        <v>146</v>
      </c>
      <c r="B8">
        <v>166.51</v>
      </c>
      <c r="C8">
        <v>286.01</v>
      </c>
      <c r="D8">
        <v>123.35</v>
      </c>
      <c r="E8">
        <v>247.42</v>
      </c>
      <c r="G8" s="12" t="s">
        <v>146</v>
      </c>
      <c r="H8" s="10">
        <v>8126.0185124219352</v>
      </c>
      <c r="I8" s="10">
        <v>34598.698758536782</v>
      </c>
      <c r="J8" s="10">
        <f t="shared" si="0"/>
        <v>281149.6666175797</v>
      </c>
      <c r="L8" s="10">
        <f t="shared" si="1"/>
        <v>34598.698758536782</v>
      </c>
      <c r="M8">
        <f t="shared" si="2"/>
        <v>247.42</v>
      </c>
      <c r="N8" s="13">
        <f t="shared" si="3"/>
        <v>7.1511359929093375E-3</v>
      </c>
      <c r="P8">
        <v>656.51854512120008</v>
      </c>
      <c r="Q8">
        <v>-116.75</v>
      </c>
      <c r="R8">
        <v>-0.17783199098884062</v>
      </c>
      <c r="S8">
        <f t="shared" si="12"/>
        <v>6.486950941814853</v>
      </c>
      <c r="T8">
        <f t="shared" si="13"/>
        <v>-1.7269160452658463</v>
      </c>
      <c r="V8" s="2" t="s">
        <v>24</v>
      </c>
      <c r="W8" s="2">
        <v>0.59597158343386636</v>
      </c>
      <c r="AG8" t="str">
        <f>regions!A11</f>
        <v>Austria</v>
      </c>
      <c r="AH8">
        <f>regions!B11</f>
        <v>8389771</v>
      </c>
      <c r="AI8">
        <f>regions!C11</f>
        <v>325550262356.948</v>
      </c>
      <c r="AJ8">
        <f>regions!D11</f>
        <v>38803.235792365253</v>
      </c>
      <c r="AK8">
        <f>regions!X11</f>
        <v>6.3</v>
      </c>
      <c r="AL8" s="13">
        <f t="shared" si="4"/>
        <v>3.1788586049895811E-3</v>
      </c>
      <c r="AM8" s="13">
        <f t="shared" si="5"/>
        <v>6.3762723635713186E-3</v>
      </c>
      <c r="AO8" s="13">
        <v>-3.1997778142688456E-2</v>
      </c>
      <c r="AP8">
        <v>539.09993134762863</v>
      </c>
      <c r="AQ8">
        <v>25</v>
      </c>
      <c r="AR8" s="13">
        <v>-6.7435719429082761E-2</v>
      </c>
      <c r="AS8">
        <v>1974.6211818802449</v>
      </c>
      <c r="AT8">
        <v>8.3000000000000007</v>
      </c>
      <c r="AU8">
        <f t="shared" si="6"/>
        <v>-3.4420888116339814</v>
      </c>
      <c r="AV8">
        <f t="shared" si="7"/>
        <v>6.2899009551113503</v>
      </c>
      <c r="AW8">
        <f t="shared" si="8"/>
        <v>25</v>
      </c>
      <c r="AX8">
        <f t="shared" si="9"/>
        <v>-2.6965804395882373</v>
      </c>
      <c r="AY8">
        <f t="shared" si="10"/>
        <v>7.5881318522950618</v>
      </c>
      <c r="AZ8">
        <f t="shared" si="11"/>
        <v>8.3000000000000007</v>
      </c>
      <c r="BB8" s="2" t="s">
        <v>24</v>
      </c>
      <c r="BC8" s="2">
        <v>0.76330017913299364</v>
      </c>
      <c r="BE8">
        <f>-BC62</f>
        <v>0.80962797257314889</v>
      </c>
      <c r="BF8">
        <f>BD62</f>
        <v>0.12871073650888909</v>
      </c>
      <c r="BG8">
        <f>BE8/BF8/BF8</f>
        <v>48.871532048638322</v>
      </c>
      <c r="BH8">
        <f>1/BF8/BF8</f>
        <v>60.362949038575664</v>
      </c>
      <c r="BL8" s="2" t="s">
        <v>24</v>
      </c>
      <c r="BM8" s="2">
        <v>0.83363397765297975</v>
      </c>
      <c r="BO8">
        <f>-BM62</f>
        <v>1.0122193317158961</v>
      </c>
      <c r="BP8">
        <f>BN62</f>
        <v>0.13166710402965315</v>
      </c>
      <c r="BQ8">
        <f>BO8/BP8/BP8</f>
        <v>58.387524202775865</v>
      </c>
      <c r="BR8">
        <f>1/BP8/BP8</f>
        <v>57.682680396746008</v>
      </c>
      <c r="BT8">
        <f>-BM63</f>
        <v>6.710504874501888E-2</v>
      </c>
      <c r="BU8">
        <f>BN63</f>
        <v>2.3226894695051629E-2</v>
      </c>
      <c r="BV8">
        <f>BT8/BU8/BU8</f>
        <v>124.38639875050619</v>
      </c>
      <c r="BW8">
        <f>1/BU8/BU8</f>
        <v>1853.6071588762422</v>
      </c>
    </row>
    <row r="9" spans="1:75" x14ac:dyDescent="0.35">
      <c r="A9" t="s">
        <v>241</v>
      </c>
      <c r="B9">
        <v>-51.45</v>
      </c>
      <c r="C9">
        <v>-77.16</v>
      </c>
      <c r="D9">
        <v>-74.63</v>
      </c>
      <c r="E9">
        <v>-116.75</v>
      </c>
      <c r="G9" s="12" t="s">
        <v>241</v>
      </c>
      <c r="H9" s="10">
        <v>8513.698081016395</v>
      </c>
      <c r="I9" s="10">
        <v>656.51854512120008</v>
      </c>
      <c r="J9" s="10">
        <f t="shared" si="0"/>
        <v>5589.4006777500372</v>
      </c>
      <c r="L9" s="10">
        <f t="shared" si="1"/>
        <v>656.51854512120008</v>
      </c>
      <c r="M9">
        <f t="shared" si="2"/>
        <v>-116.75</v>
      </c>
      <c r="N9" s="13">
        <f t="shared" si="3"/>
        <v>-0.17783199098884062</v>
      </c>
      <c r="P9">
        <v>1208.3086702147152</v>
      </c>
      <c r="Q9">
        <v>-133.16</v>
      </c>
      <c r="R9">
        <v>-0.11020362866082688</v>
      </c>
      <c r="S9">
        <f t="shared" si="12"/>
        <v>7.0969768675555738</v>
      </c>
      <c r="T9">
        <f t="shared" si="13"/>
        <v>-2.2054254548487493</v>
      </c>
      <c r="V9" s="2" t="s">
        <v>25</v>
      </c>
      <c r="W9" s="2">
        <v>0.35518212826066997</v>
      </c>
      <c r="AG9" t="str">
        <f>regions!A12</f>
        <v>Azerbaijan</v>
      </c>
      <c r="AH9">
        <f>regions!B12</f>
        <v>9054332</v>
      </c>
      <c r="AI9">
        <f>regions!C12</f>
        <v>28310397706.794827</v>
      </c>
      <c r="AJ9">
        <f>regions!D12</f>
        <v>3126.7240594662121</v>
      </c>
      <c r="AK9">
        <f>regions!X12</f>
        <v>11.9</v>
      </c>
      <c r="AL9" s="13">
        <f t="shared" si="4"/>
        <v>-2.3868431809342547E-2</v>
      </c>
      <c r="AM9" s="13">
        <f t="shared" si="5"/>
        <v>-3.7339399889330598E-2</v>
      </c>
      <c r="AO9" s="13">
        <v>-2.7647416850881887E-2</v>
      </c>
      <c r="AP9">
        <v>1031.5611094455749</v>
      </c>
      <c r="AQ9">
        <v>23.7</v>
      </c>
      <c r="AR9" s="13">
        <v>-4.251808215566899E-2</v>
      </c>
      <c r="AS9">
        <v>1031.5611094455749</v>
      </c>
      <c r="AT9">
        <v>23.7</v>
      </c>
      <c r="AU9">
        <f t="shared" si="6"/>
        <v>-3.5882229784925834</v>
      </c>
      <c r="AV9">
        <f t="shared" si="7"/>
        <v>6.9388285740386788</v>
      </c>
      <c r="AW9">
        <f t="shared" si="8"/>
        <v>23.7</v>
      </c>
      <c r="AX9">
        <f t="shared" si="9"/>
        <v>-3.1578258310489362</v>
      </c>
      <c r="AY9">
        <f t="shared" si="10"/>
        <v>6.9388285740386788</v>
      </c>
      <c r="AZ9">
        <f t="shared" si="11"/>
        <v>23.7</v>
      </c>
      <c r="BB9" s="2" t="s">
        <v>25</v>
      </c>
      <c r="BC9" s="2">
        <v>0.5826271634644602</v>
      </c>
      <c r="BE9">
        <f>BC82</f>
        <v>-0.90220579257600042</v>
      </c>
      <c r="BF9">
        <f>BD82</f>
        <v>0.20460142686820915</v>
      </c>
      <c r="BG9">
        <f>BE9/BF9/BF9</f>
        <v>-21.552035558707804</v>
      </c>
      <c r="BH9">
        <f>1/BF9/BF9</f>
        <v>23.888159149557104</v>
      </c>
      <c r="BL9" s="2" t="s">
        <v>25</v>
      </c>
      <c r="BM9" s="2">
        <v>0.69494560869752875</v>
      </c>
      <c r="BO9">
        <f>BM82</f>
        <v>-0.88400655200149603</v>
      </c>
      <c r="BP9">
        <f>BN82</f>
        <v>0.22744525538193694</v>
      </c>
      <c r="BQ9">
        <f>BO9/BP9/BP9</f>
        <v>-17.08841256195397</v>
      </c>
      <c r="BR9">
        <f>1/BP9/BP9</f>
        <v>19.330640166935154</v>
      </c>
      <c r="BT9">
        <f>BM83</f>
        <v>7.4567203517037313E-3</v>
      </c>
      <c r="BU9">
        <f>BN83</f>
        <v>3.8458585988572866E-2</v>
      </c>
      <c r="BV9">
        <f>BT9/BU9/BU9</f>
        <v>5.0415169450525514</v>
      </c>
      <c r="BW9">
        <f>1/BU9/BU9</f>
        <v>676.10379728142175</v>
      </c>
    </row>
    <row r="10" spans="1:75" x14ac:dyDescent="0.35">
      <c r="A10" t="s">
        <v>148</v>
      </c>
      <c r="B10">
        <v>68.819999999999993</v>
      </c>
      <c r="C10">
        <v>115.74</v>
      </c>
      <c r="D10">
        <v>-17.25</v>
      </c>
      <c r="E10">
        <v>-79.69</v>
      </c>
      <c r="G10" s="12" t="s">
        <v>148</v>
      </c>
      <c r="H10" s="10">
        <v>152966.46715581231</v>
      </c>
      <c r="I10" s="10">
        <v>399.84394006700404</v>
      </c>
      <c r="J10" s="10">
        <f t="shared" si="0"/>
        <v>61162.714925709952</v>
      </c>
      <c r="L10" s="10">
        <f t="shared" si="1"/>
        <v>399.84394006700404</v>
      </c>
      <c r="M10">
        <f t="shared" si="2"/>
        <v>-79.69</v>
      </c>
      <c r="N10" s="13">
        <f t="shared" si="3"/>
        <v>-0.19930275793762414</v>
      </c>
      <c r="P10">
        <v>535.90480305606241</v>
      </c>
      <c r="Q10">
        <v>-43.86</v>
      </c>
      <c r="R10">
        <v>-8.1842894017525147E-2</v>
      </c>
      <c r="S10">
        <f t="shared" si="12"/>
        <v>6.2839565390582566</v>
      </c>
      <c r="T10">
        <f t="shared" si="13"/>
        <v>-2.5029537960685144</v>
      </c>
      <c r="V10" s="2" t="s">
        <v>26</v>
      </c>
      <c r="W10" s="2">
        <v>0.32587222499979129</v>
      </c>
      <c r="AG10" t="str">
        <f>regions!A15</f>
        <v>Bangladesh</v>
      </c>
      <c r="AH10">
        <f>regions!B15</f>
        <v>151125475</v>
      </c>
      <c r="AI10">
        <f>regions!C15</f>
        <v>81471733197.377762</v>
      </c>
      <c r="AJ10">
        <f>regions!D15</f>
        <v>539.09993134762863</v>
      </c>
      <c r="AK10">
        <f>regions!X15</f>
        <v>25</v>
      </c>
      <c r="AL10" s="13">
        <f t="shared" si="4"/>
        <v>-3.1997778142688456E-2</v>
      </c>
      <c r="AM10" s="13">
        <f t="shared" si="5"/>
        <v>-0.14782046030091844</v>
      </c>
      <c r="AO10" s="13">
        <v>-2.3868431809342547E-2</v>
      </c>
      <c r="AP10">
        <v>3126.7240594662121</v>
      </c>
      <c r="AQ10">
        <v>11.9</v>
      </c>
      <c r="AR10" s="13">
        <v>-3.7339399889330598E-2</v>
      </c>
      <c r="AS10">
        <v>3126.7240594662121</v>
      </c>
      <c r="AT10">
        <v>11.9</v>
      </c>
      <c r="AU10">
        <f t="shared" si="6"/>
        <v>-3.735198537926435</v>
      </c>
      <c r="AV10">
        <f t="shared" si="7"/>
        <v>8.0477411090697313</v>
      </c>
      <c r="AW10">
        <f t="shared" si="8"/>
        <v>11.9</v>
      </c>
      <c r="AX10">
        <f t="shared" si="9"/>
        <v>-3.2877062125207246</v>
      </c>
      <c r="AY10">
        <f t="shared" si="10"/>
        <v>8.0477411090697313</v>
      </c>
      <c r="AZ10">
        <f t="shared" si="11"/>
        <v>11.9</v>
      </c>
      <c r="BB10" s="2" t="s">
        <v>26</v>
      </c>
      <c r="BC10" s="2">
        <v>0.56365567089466295</v>
      </c>
      <c r="BL10" s="2" t="s">
        <v>26</v>
      </c>
      <c r="BM10" s="2">
        <v>0.66589280952586483</v>
      </c>
    </row>
    <row r="11" spans="1:75" x14ac:dyDescent="0.35">
      <c r="A11" t="s">
        <v>242</v>
      </c>
      <c r="B11">
        <v>-36.229999999999997</v>
      </c>
      <c r="C11">
        <v>-67.89</v>
      </c>
      <c r="D11">
        <v>-64.94</v>
      </c>
      <c r="E11">
        <v>-116.33</v>
      </c>
      <c r="G11" s="12" t="s">
        <v>242</v>
      </c>
      <c r="H11" s="10">
        <v>9803.2674800636487</v>
      </c>
      <c r="I11" s="10">
        <v>1836.1743065444698</v>
      </c>
      <c r="J11" s="10">
        <f t="shared" si="0"/>
        <v>18000.507867075823</v>
      </c>
      <c r="L11" s="10">
        <f t="shared" si="1"/>
        <v>1836.1743065444698</v>
      </c>
      <c r="M11">
        <f t="shared" si="2"/>
        <v>-116.33</v>
      </c>
      <c r="N11" s="13">
        <f t="shared" si="3"/>
        <v>-6.3354551681383431E-2</v>
      </c>
      <c r="P11">
        <v>1836.1743065444698</v>
      </c>
      <c r="Q11">
        <v>-116.33</v>
      </c>
      <c r="R11">
        <v>-6.3354551681383431E-2</v>
      </c>
      <c r="S11">
        <f t="shared" si="12"/>
        <v>7.5154395048791383</v>
      </c>
      <c r="T11">
        <f t="shared" si="13"/>
        <v>-2.7590085250504637</v>
      </c>
      <c r="V11" s="2" t="s">
        <v>27</v>
      </c>
      <c r="W11" s="2">
        <v>1.5762815537592039</v>
      </c>
      <c r="AG11" t="str">
        <f>regions!A17</f>
        <v>Belarus</v>
      </c>
      <c r="AH11">
        <f>regions!B17</f>
        <v>9490000</v>
      </c>
      <c r="AI11">
        <f>regions!C17</f>
        <v>42955347353.866852</v>
      </c>
      <c r="AJ11">
        <f>regions!D17</f>
        <v>4526.3801215876556</v>
      </c>
      <c r="AK11">
        <f>regions!X17</f>
        <v>6.2</v>
      </c>
      <c r="AL11" s="13">
        <f t="shared" si="4"/>
        <v>-1.4347005389644981E-2</v>
      </c>
      <c r="AM11" s="13">
        <f t="shared" si="5"/>
        <v>-2.5700448675352643E-2</v>
      </c>
      <c r="AO11" s="13">
        <v>-1.7050811652351835E-2</v>
      </c>
      <c r="AP11">
        <v>3536.4885396339923</v>
      </c>
      <c r="AQ11">
        <v>19.600000000000001</v>
      </c>
      <c r="AR11" s="13">
        <v>-2.5700448675352643E-2</v>
      </c>
      <c r="AS11">
        <v>4526.3801215876556</v>
      </c>
      <c r="AT11">
        <v>6.2</v>
      </c>
      <c r="AU11">
        <f t="shared" si="6"/>
        <v>-4.0715574721421479</v>
      </c>
      <c r="AV11">
        <f t="shared" si="7"/>
        <v>8.1708895758752877</v>
      </c>
      <c r="AW11">
        <f t="shared" si="8"/>
        <v>19.600000000000001</v>
      </c>
      <c r="AX11">
        <f t="shared" si="9"/>
        <v>-3.6612468290484275</v>
      </c>
      <c r="AY11">
        <f t="shared" si="10"/>
        <v>8.4176778088771034</v>
      </c>
      <c r="AZ11">
        <f t="shared" si="11"/>
        <v>6.2</v>
      </c>
      <c r="BB11" s="2" t="s">
        <v>27</v>
      </c>
      <c r="BC11" s="2">
        <v>0.9736874322550082</v>
      </c>
      <c r="BL11" s="2" t="s">
        <v>27</v>
      </c>
      <c r="BM11" s="2">
        <v>0.85201611209851758</v>
      </c>
    </row>
    <row r="12" spans="1:75" ht="15" thickBot="1" x14ac:dyDescent="0.4">
      <c r="A12" t="s">
        <v>150</v>
      </c>
      <c r="B12">
        <v>65.02</v>
      </c>
      <c r="C12">
        <v>116.58</v>
      </c>
      <c r="D12">
        <v>15.66</v>
      </c>
      <c r="E12">
        <v>32.880000000000003</v>
      </c>
      <c r="G12" s="12" t="s">
        <v>150</v>
      </c>
      <c r="H12" s="10">
        <v>10365.309426663956</v>
      </c>
      <c r="I12" s="10">
        <v>31855.685984454816</v>
      </c>
      <c r="J12" s="10">
        <f t="shared" si="0"/>
        <v>330194.04222751636</v>
      </c>
      <c r="L12" s="10">
        <f t="shared" si="1"/>
        <v>31855.685984454816</v>
      </c>
      <c r="M12">
        <f t="shared" si="2"/>
        <v>32.880000000000003</v>
      </c>
      <c r="N12" s="13">
        <f t="shared" si="3"/>
        <v>1.0321548252341839E-3</v>
      </c>
      <c r="P12">
        <v>2184.5274565026834</v>
      </c>
      <c r="Q12">
        <v>-135.27000000000001</v>
      </c>
      <c r="R12">
        <v>-6.1921858476688754E-2</v>
      </c>
      <c r="S12">
        <f t="shared" si="12"/>
        <v>7.6891548170937734</v>
      </c>
      <c r="T12">
        <f t="shared" si="13"/>
        <v>-2.781882035992671</v>
      </c>
      <c r="V12" s="3" t="s">
        <v>28</v>
      </c>
      <c r="W12" s="3">
        <v>24</v>
      </c>
      <c r="AG12" t="str">
        <f>regions!A18</f>
        <v>Belgium</v>
      </c>
      <c r="AH12">
        <f>regions!B18</f>
        <v>10895586</v>
      </c>
      <c r="AI12">
        <f>regions!C18</f>
        <v>400383139123.5824</v>
      </c>
      <c r="AJ12">
        <f>regions!D18</f>
        <v>36747.279047091397</v>
      </c>
      <c r="AK12">
        <f>regions!X18</f>
        <v>9.6</v>
      </c>
      <c r="AL12" s="13">
        <f t="shared" si="4"/>
        <v>4.2615400122365013E-4</v>
      </c>
      <c r="AM12" s="13">
        <f t="shared" si="5"/>
        <v>8.9476012517456047E-4</v>
      </c>
      <c r="AO12" s="13">
        <v>-1.4347005389644981E-2</v>
      </c>
      <c r="AP12">
        <v>4526.3801215876556</v>
      </c>
      <c r="AQ12">
        <v>6.2</v>
      </c>
      <c r="AR12" s="13">
        <v>-2.2454144314818961E-2</v>
      </c>
      <c r="AS12">
        <v>6923.8888741529627</v>
      </c>
      <c r="AT12">
        <v>5.6</v>
      </c>
      <c r="AU12">
        <f t="shared" si="6"/>
        <v>-4.2442140422024028</v>
      </c>
      <c r="AV12">
        <f t="shared" si="7"/>
        <v>8.4176778088771034</v>
      </c>
      <c r="AW12">
        <f t="shared" si="8"/>
        <v>6.2</v>
      </c>
      <c r="AX12">
        <f t="shared" si="9"/>
        <v>-3.7962800798343355</v>
      </c>
      <c r="AY12">
        <f t="shared" si="10"/>
        <v>8.8427328667959841</v>
      </c>
      <c r="AZ12">
        <f t="shared" si="11"/>
        <v>5.6</v>
      </c>
      <c r="BB12" s="3" t="s">
        <v>28</v>
      </c>
      <c r="BC12" s="3">
        <v>24</v>
      </c>
      <c r="BL12" s="3" t="s">
        <v>28</v>
      </c>
      <c r="BM12" s="3">
        <v>24</v>
      </c>
    </row>
    <row r="13" spans="1:75" x14ac:dyDescent="0.35">
      <c r="A13" t="s">
        <v>243</v>
      </c>
      <c r="B13">
        <v>210.55</v>
      </c>
      <c r="C13">
        <v>363.28</v>
      </c>
      <c r="D13">
        <v>158.88999999999999</v>
      </c>
      <c r="E13">
        <v>276.68</v>
      </c>
      <c r="G13" s="12" t="s">
        <v>274</v>
      </c>
      <c r="H13" s="10">
        <v>4308.1853277998443</v>
      </c>
      <c r="I13" s="10">
        <v>1792.6776774090165</v>
      </c>
      <c r="J13" s="10">
        <f t="shared" si="0"/>
        <v>7723.187667287827</v>
      </c>
      <c r="L13" s="10">
        <f t="shared" si="1"/>
        <v>1792.6776774090165</v>
      </c>
      <c r="M13">
        <f t="shared" si="2"/>
        <v>276.68</v>
      </c>
      <c r="N13" s="13">
        <f t="shared" si="3"/>
        <v>0.15433895534410275</v>
      </c>
      <c r="P13">
        <v>3295.3774023161427</v>
      </c>
      <c r="Q13">
        <v>-136.53</v>
      </c>
      <c r="R13">
        <v>-4.1430762954203802E-2</v>
      </c>
      <c r="S13">
        <f t="shared" si="12"/>
        <v>8.1002759782581144</v>
      </c>
      <c r="T13">
        <f t="shared" si="13"/>
        <v>-3.1837316075614535</v>
      </c>
      <c r="AG13" t="str">
        <f>regions!A24</f>
        <v>Bosnia and Herzegovina</v>
      </c>
      <c r="AH13">
        <f>regions!B24</f>
        <v>3845929</v>
      </c>
      <c r="AI13">
        <f>regions!C24</f>
        <v>12803068421.085346</v>
      </c>
      <c r="AJ13">
        <f>regions!D24</f>
        <v>3328.9924023780331</v>
      </c>
      <c r="AK13">
        <f>regions!X24</f>
        <v>9.8000000000000007</v>
      </c>
      <c r="AL13" s="13">
        <f t="shared" si="4"/>
        <v>4.7729156692126566E-2</v>
      </c>
      <c r="AM13" s="13">
        <f t="shared" si="5"/>
        <v>8.3112235342548801E-2</v>
      </c>
      <c r="AO13" s="13">
        <v>-1.2725507529289887E-2</v>
      </c>
      <c r="AP13">
        <v>6923.8888741529627</v>
      </c>
      <c r="AQ13">
        <v>5.6</v>
      </c>
      <c r="AR13" s="13">
        <v>-1.9996500551656842E-2</v>
      </c>
      <c r="AS13">
        <v>6385.6173068952321</v>
      </c>
      <c r="AT13">
        <v>-5.0999999999999996</v>
      </c>
      <c r="AU13">
        <f t="shared" si="6"/>
        <v>-4.3641468329173465</v>
      </c>
      <c r="AV13">
        <f t="shared" si="7"/>
        <v>8.8427328667959841</v>
      </c>
      <c r="AW13">
        <f t="shared" si="8"/>
        <v>5.6</v>
      </c>
      <c r="AX13">
        <f t="shared" si="9"/>
        <v>-3.9121979931547632</v>
      </c>
      <c r="AY13">
        <f t="shared" si="10"/>
        <v>8.7618034445913526</v>
      </c>
      <c r="AZ13">
        <f t="shared" si="11"/>
        <v>-5.0999999999999996</v>
      </c>
    </row>
    <row r="14" spans="1:75" ht="15" thickBot="1" x14ac:dyDescent="0.4">
      <c r="A14" t="s">
        <v>155</v>
      </c>
      <c r="B14">
        <v>46.43</v>
      </c>
      <c r="C14">
        <v>94.18</v>
      </c>
      <c r="D14">
        <v>58.26</v>
      </c>
      <c r="E14">
        <v>114.05</v>
      </c>
      <c r="G14" s="12" t="s">
        <v>155</v>
      </c>
      <c r="H14" s="10">
        <v>183113.60871761179</v>
      </c>
      <c r="I14" s="10">
        <v>4629.6697069570764</v>
      </c>
      <c r="J14" s="10">
        <f t="shared" si="0"/>
        <v>847755.52721151849</v>
      </c>
      <c r="L14" s="10">
        <f t="shared" si="1"/>
        <v>4629.6697069570764</v>
      </c>
      <c r="M14">
        <f t="shared" si="2"/>
        <v>114.05</v>
      </c>
      <c r="N14" s="13">
        <f t="shared" si="3"/>
        <v>2.4634586745705702E-2</v>
      </c>
      <c r="P14">
        <v>3814.5824821141455</v>
      </c>
      <c r="Q14">
        <v>-155.47</v>
      </c>
      <c r="R14">
        <v>-4.0756754042931137E-2</v>
      </c>
      <c r="S14">
        <f t="shared" si="12"/>
        <v>8.2465864966060192</v>
      </c>
      <c r="T14">
        <f t="shared" si="13"/>
        <v>-3.2001337096443696</v>
      </c>
      <c r="V14" t="s">
        <v>29</v>
      </c>
      <c r="AG14" t="str">
        <f>regions!A26</f>
        <v>Brazil</v>
      </c>
      <c r="AH14">
        <f>regions!B26</f>
        <v>195210154</v>
      </c>
      <c r="AI14">
        <f>regions!C26</f>
        <v>1096754010432.5254</v>
      </c>
      <c r="AJ14">
        <f>regions!D26</f>
        <v>5618.3246002281494</v>
      </c>
      <c r="AK14">
        <f>regions!X26</f>
        <v>24.9</v>
      </c>
      <c r="AL14" s="13">
        <f t="shared" si="4"/>
        <v>1.0369639375701819E-2</v>
      </c>
      <c r="AM14" s="13">
        <f t="shared" si="5"/>
        <v>2.0299645911410789E-2</v>
      </c>
      <c r="AO14" s="13">
        <v>-1.1884520533050653E-2</v>
      </c>
      <c r="AP14">
        <v>6385.6173068952321</v>
      </c>
      <c r="AQ14">
        <v>-5.0999999999999996</v>
      </c>
      <c r="AR14" s="13">
        <v>-1.8719133190475811E-2</v>
      </c>
      <c r="AS14">
        <v>3536.4885396339923</v>
      </c>
      <c r="AT14">
        <v>19.600000000000001</v>
      </c>
      <c r="AU14">
        <f t="shared" si="6"/>
        <v>-4.4325185211755311</v>
      </c>
      <c r="AV14">
        <f t="shared" si="7"/>
        <v>8.7618034445913526</v>
      </c>
      <c r="AW14">
        <f t="shared" si="8"/>
        <v>-5.0999999999999996</v>
      </c>
      <c r="AX14">
        <f t="shared" si="9"/>
        <v>-3.9782091129323254</v>
      </c>
      <c r="AY14">
        <f t="shared" si="10"/>
        <v>8.1708895758752877</v>
      </c>
      <c r="AZ14">
        <f t="shared" si="11"/>
        <v>19.600000000000001</v>
      </c>
      <c r="BB14" t="s">
        <v>29</v>
      </c>
      <c r="BL14" t="s">
        <v>29</v>
      </c>
    </row>
    <row r="15" spans="1:75" x14ac:dyDescent="0.35">
      <c r="A15" t="s">
        <v>244</v>
      </c>
      <c r="B15">
        <v>257.17</v>
      </c>
      <c r="C15">
        <v>444.92</v>
      </c>
      <c r="D15">
        <v>244.03</v>
      </c>
      <c r="E15">
        <v>421.09</v>
      </c>
      <c r="G15" s="12" t="s">
        <v>244</v>
      </c>
      <c r="H15" s="10">
        <v>7764.4343036470345</v>
      </c>
      <c r="I15" s="10">
        <v>1992.395314529037</v>
      </c>
      <c r="J15" s="10">
        <f t="shared" si="0"/>
        <v>15469.822526554879</v>
      </c>
      <c r="L15" s="10">
        <f t="shared" si="1"/>
        <v>1992.395314529037</v>
      </c>
      <c r="M15">
        <f t="shared" si="2"/>
        <v>421.09</v>
      </c>
      <c r="N15" s="13">
        <f t="shared" si="3"/>
        <v>0.21134861988949083</v>
      </c>
      <c r="P15">
        <v>3153.1465487611031</v>
      </c>
      <c r="Q15">
        <v>-127.69</v>
      </c>
      <c r="R15">
        <v>-4.0496056249009559E-2</v>
      </c>
      <c r="S15">
        <f t="shared" si="12"/>
        <v>8.0561561376153037</v>
      </c>
      <c r="T15">
        <f t="shared" si="13"/>
        <v>-3.2065506861787147</v>
      </c>
      <c r="V15" s="4"/>
      <c r="W15" s="4" t="s">
        <v>34</v>
      </c>
      <c r="X15" s="4" t="s">
        <v>35</v>
      </c>
      <c r="Y15" s="4" t="s">
        <v>36</v>
      </c>
      <c r="Z15" s="4" t="s">
        <v>37</v>
      </c>
      <c r="AA15" s="4" t="s">
        <v>38</v>
      </c>
      <c r="AG15" t="str">
        <f>regions!A28</f>
        <v>Bulgaria</v>
      </c>
      <c r="AH15">
        <f>regions!B28</f>
        <v>7534289</v>
      </c>
      <c r="AI15">
        <f>regions!C28</f>
        <v>32991740544.129009</v>
      </c>
      <c r="AJ15">
        <f>regions!D28</f>
        <v>4378.8790878779682</v>
      </c>
      <c r="AK15">
        <f>regions!X28</f>
        <v>10.5</v>
      </c>
      <c r="AL15" s="13">
        <f t="shared" si="4"/>
        <v>5.5728873783143999E-2</v>
      </c>
      <c r="AM15" s="13">
        <f t="shared" si="5"/>
        <v>9.6163879282645998E-2</v>
      </c>
      <c r="AO15" s="13">
        <v>-9.7442772097787091E-3</v>
      </c>
      <c r="AP15">
        <v>36337.22567382102</v>
      </c>
      <c r="AQ15">
        <v>-5.4</v>
      </c>
      <c r="AR15" s="13">
        <v>-1.640951973040454E-2</v>
      </c>
      <c r="AS15">
        <v>8320.1703793334709</v>
      </c>
      <c r="AT15">
        <v>6.2</v>
      </c>
      <c r="AU15">
        <f t="shared" si="6"/>
        <v>-4.6310751191398447</v>
      </c>
      <c r="AV15">
        <f t="shared" si="7"/>
        <v>10.500597995442584</v>
      </c>
      <c r="AW15">
        <f t="shared" si="8"/>
        <v>-5.4</v>
      </c>
      <c r="AX15">
        <f t="shared" si="9"/>
        <v>-4.1098936411941898</v>
      </c>
      <c r="AY15">
        <f t="shared" si="10"/>
        <v>9.0264380118908498</v>
      </c>
      <c r="AZ15">
        <f t="shared" si="11"/>
        <v>6.2</v>
      </c>
      <c r="BB15" s="4"/>
      <c r="BC15" s="4" t="s">
        <v>34</v>
      </c>
      <c r="BD15" s="4" t="s">
        <v>35</v>
      </c>
      <c r="BE15" s="4" t="s">
        <v>36</v>
      </c>
      <c r="BF15" s="4" t="s">
        <v>37</v>
      </c>
      <c r="BG15" s="4" t="s">
        <v>38</v>
      </c>
      <c r="BL15" s="4"/>
      <c r="BM15" s="4" t="s">
        <v>34</v>
      </c>
      <c r="BN15" s="4" t="s">
        <v>35</v>
      </c>
      <c r="BO15" s="4" t="s">
        <v>36</v>
      </c>
      <c r="BP15" s="4" t="s">
        <v>37</v>
      </c>
      <c r="BQ15" s="4" t="s">
        <v>38</v>
      </c>
    </row>
    <row r="16" spans="1:75" x14ac:dyDescent="0.35">
      <c r="A16" t="s">
        <v>157</v>
      </c>
      <c r="B16">
        <v>-261.8</v>
      </c>
      <c r="C16">
        <v>-445.37</v>
      </c>
      <c r="D16">
        <v>-354.08</v>
      </c>
      <c r="E16">
        <v>-591.61</v>
      </c>
      <c r="G16" s="12" t="s">
        <v>157</v>
      </c>
      <c r="H16" s="10">
        <v>32020.765323183747</v>
      </c>
      <c r="I16" s="10">
        <v>25510.694427824623</v>
      </c>
      <c r="J16" s="10">
        <f t="shared" si="0"/>
        <v>816871.95950482355</v>
      </c>
      <c r="L16" s="10">
        <f t="shared" si="1"/>
        <v>25510.694427824623</v>
      </c>
      <c r="M16">
        <f t="shared" si="2"/>
        <v>-591.61</v>
      </c>
      <c r="N16" s="13">
        <f t="shared" si="3"/>
        <v>-2.3190666238968722E-2</v>
      </c>
      <c r="P16">
        <v>2117.4383076870249</v>
      </c>
      <c r="Q16">
        <v>-55.25</v>
      </c>
      <c r="R16">
        <v>-2.6092849930703346E-2</v>
      </c>
      <c r="S16">
        <f t="shared" si="12"/>
        <v>7.6579622915974346</v>
      </c>
      <c r="T16">
        <f t="shared" si="13"/>
        <v>-3.6460939511995729</v>
      </c>
      <c r="V16" s="2" t="s">
        <v>30</v>
      </c>
      <c r="W16" s="2">
        <v>1</v>
      </c>
      <c r="X16" s="2">
        <v>30.109552908772756</v>
      </c>
      <c r="Y16" s="2">
        <v>30.109552908772756</v>
      </c>
      <c r="Z16" s="2">
        <v>12.118161056326274</v>
      </c>
      <c r="AA16" s="2">
        <v>2.1178680930050292E-3</v>
      </c>
      <c r="AG16" t="str">
        <f>regions!A34</f>
        <v>Canada</v>
      </c>
      <c r="AH16">
        <f>regions!B34</f>
        <v>34126547</v>
      </c>
      <c r="AI16">
        <f>regions!C34</f>
        <v>1240064039807.2598</v>
      </c>
      <c r="AJ16">
        <f>regions!D34</f>
        <v>36337.22567382102</v>
      </c>
      <c r="AK16">
        <f>regions!X34</f>
        <v>-5.4</v>
      </c>
      <c r="AL16" s="13">
        <f t="shared" si="4"/>
        <v>-9.7442772097787091E-3</v>
      </c>
      <c r="AM16" s="13">
        <f t="shared" si="5"/>
        <v>-1.6281099864655396E-2</v>
      </c>
      <c r="AO16" s="13">
        <v>-9.3682713192144475E-3</v>
      </c>
      <c r="AP16">
        <v>38064.653322818347</v>
      </c>
      <c r="AQ16">
        <v>1.7</v>
      </c>
      <c r="AR16" s="13">
        <v>-1.6281099864655396E-2</v>
      </c>
      <c r="AS16">
        <v>36337.22567382102</v>
      </c>
      <c r="AT16">
        <v>-5.4</v>
      </c>
      <c r="AU16">
        <f t="shared" si="6"/>
        <v>-4.6704266907646987</v>
      </c>
      <c r="AV16">
        <f t="shared" si="7"/>
        <v>10.547041396193739</v>
      </c>
      <c r="AW16">
        <f t="shared" si="8"/>
        <v>1.7</v>
      </c>
      <c r="AX16">
        <f t="shared" si="9"/>
        <v>-4.1177503614357498</v>
      </c>
      <c r="AY16">
        <f t="shared" si="10"/>
        <v>10.500597995442584</v>
      </c>
      <c r="AZ16">
        <f t="shared" si="11"/>
        <v>-5.4</v>
      </c>
      <c r="BB16" s="2" t="s">
        <v>30</v>
      </c>
      <c r="BC16" s="2">
        <v>1</v>
      </c>
      <c r="BD16" s="2">
        <v>29.115775189696024</v>
      </c>
      <c r="BE16" s="2">
        <v>29.115775189696024</v>
      </c>
      <c r="BF16" s="2">
        <v>30.710665558913714</v>
      </c>
      <c r="BG16" s="2">
        <v>1.4344560423848059E-5</v>
      </c>
      <c r="BL16" s="2" t="s">
        <v>30</v>
      </c>
      <c r="BM16" s="2">
        <v>2</v>
      </c>
      <c r="BN16" s="2">
        <v>34.728693375000802</v>
      </c>
      <c r="BO16" s="2">
        <v>17.364346687500401</v>
      </c>
      <c r="BP16" s="2">
        <v>23.92009129968207</v>
      </c>
      <c r="BQ16" s="2">
        <v>3.8544414376083164E-6</v>
      </c>
    </row>
    <row r="17" spans="1:72" x14ac:dyDescent="0.35">
      <c r="A17" t="s">
        <v>158</v>
      </c>
      <c r="B17">
        <v>142.81</v>
      </c>
      <c r="C17">
        <v>233.43</v>
      </c>
      <c r="D17">
        <v>102.21</v>
      </c>
      <c r="E17">
        <v>163.55000000000001</v>
      </c>
      <c r="G17" s="12" t="s">
        <v>158</v>
      </c>
      <c r="H17" s="10">
        <v>16209.76853780304</v>
      </c>
      <c r="I17" s="10">
        <v>5560.6574678415618</v>
      </c>
      <c r="J17" s="10">
        <f t="shared" si="0"/>
        <v>90136.970471717665</v>
      </c>
      <c r="L17" s="10">
        <f t="shared" si="1"/>
        <v>5560.6574678415618</v>
      </c>
      <c r="M17">
        <f t="shared" si="2"/>
        <v>163.55000000000001</v>
      </c>
      <c r="N17" s="13">
        <f t="shared" si="3"/>
        <v>2.9411989669538837E-2</v>
      </c>
      <c r="P17">
        <v>2675.0342610148427</v>
      </c>
      <c r="Q17">
        <v>-66.2</v>
      </c>
      <c r="R17">
        <v>-2.4747346590949956E-2</v>
      </c>
      <c r="S17">
        <f t="shared" si="12"/>
        <v>7.8917174671041028</v>
      </c>
      <c r="T17">
        <f t="shared" si="13"/>
        <v>-3.6990370041611405</v>
      </c>
      <c r="V17" s="2" t="s">
        <v>31</v>
      </c>
      <c r="W17" s="2">
        <v>22</v>
      </c>
      <c r="X17" s="2">
        <v>54.662597807873667</v>
      </c>
      <c r="Y17" s="2">
        <v>2.4846635367215302</v>
      </c>
      <c r="Z17" s="2"/>
      <c r="AA17" s="2"/>
      <c r="AG17" t="str">
        <f>regions!A38</f>
        <v>Chile</v>
      </c>
      <c r="AH17">
        <f>regions!B38</f>
        <v>17150760</v>
      </c>
      <c r="AI17">
        <f>regions!C38</f>
        <v>147668421646.38379</v>
      </c>
      <c r="AJ17">
        <f>regions!D38</f>
        <v>8610.0220425441075</v>
      </c>
      <c r="AK17">
        <f>regions!X38</f>
        <v>8.5</v>
      </c>
      <c r="AL17" s="13">
        <f t="shared" si="4"/>
        <v>1.1871049748183777E-2</v>
      </c>
      <c r="AM17" s="13">
        <f t="shared" si="5"/>
        <v>1.8995305609191437E-2</v>
      </c>
      <c r="AO17" s="13">
        <v>-9.2221669150658481E-3</v>
      </c>
      <c r="AP17">
        <v>8320.1703793334709</v>
      </c>
      <c r="AQ17">
        <v>6.2</v>
      </c>
      <c r="AR17" s="13">
        <v>-1.609025556612247E-2</v>
      </c>
      <c r="AS17">
        <v>38064.653322818347</v>
      </c>
      <c r="AT17">
        <v>1.7</v>
      </c>
      <c r="AU17">
        <f t="shared" si="6"/>
        <v>-4.686145245701276</v>
      </c>
      <c r="AV17">
        <f t="shared" si="7"/>
        <v>9.0264380118908498</v>
      </c>
      <c r="AW17">
        <f t="shared" si="8"/>
        <v>6.2</v>
      </c>
      <c r="AX17">
        <f t="shared" si="9"/>
        <v>-4.1295414345662325</v>
      </c>
      <c r="AY17">
        <f t="shared" si="10"/>
        <v>10.547041396193739</v>
      </c>
      <c r="AZ17">
        <f t="shared" si="11"/>
        <v>1.7</v>
      </c>
      <c r="BB17" s="2" t="s">
        <v>31</v>
      </c>
      <c r="BC17" s="2">
        <v>22</v>
      </c>
      <c r="BD17" s="2">
        <v>20.857478746089726</v>
      </c>
      <c r="BE17" s="2">
        <v>0.94806721573135111</v>
      </c>
      <c r="BF17" s="2"/>
      <c r="BG17" s="2"/>
      <c r="BL17" s="2" t="s">
        <v>31</v>
      </c>
      <c r="BM17" s="2">
        <v>21</v>
      </c>
      <c r="BN17" s="2">
        <v>15.244560560784947</v>
      </c>
      <c r="BO17" s="2">
        <v>0.72593145527547365</v>
      </c>
      <c r="BP17" s="2"/>
      <c r="BQ17" s="2"/>
    </row>
    <row r="18" spans="1:72" ht="15" thickBot="1" x14ac:dyDescent="0.4">
      <c r="A18" t="s">
        <v>91</v>
      </c>
      <c r="B18">
        <v>45.17</v>
      </c>
      <c r="C18">
        <v>74.739999999999995</v>
      </c>
      <c r="D18">
        <v>1.1399999999999999</v>
      </c>
      <c r="E18">
        <v>-0.14000000000000001</v>
      </c>
      <c r="G18" s="12" t="s">
        <v>91</v>
      </c>
      <c r="H18" s="10">
        <v>1324216.8272861396</v>
      </c>
      <c r="I18" s="10">
        <v>1147.8287858744766</v>
      </c>
      <c r="J18" s="10">
        <f t="shared" si="0"/>
        <v>1519974.1930984012</v>
      </c>
      <c r="L18" s="10">
        <f t="shared" si="1"/>
        <v>1147.8287858744766</v>
      </c>
      <c r="M18">
        <f t="shared" si="2"/>
        <v>-0.14000000000000001</v>
      </c>
      <c r="N18" s="13">
        <f t="shared" si="3"/>
        <v>-1.2196941017935931E-4</v>
      </c>
      <c r="P18">
        <v>25510.694427824623</v>
      </c>
      <c r="Q18">
        <v>-591.61</v>
      </c>
      <c r="R18">
        <v>-2.3190666238968722E-2</v>
      </c>
      <c r="S18">
        <f t="shared" si="12"/>
        <v>10.146853032553851</v>
      </c>
      <c r="T18">
        <f t="shared" si="13"/>
        <v>-3.7640053985470159</v>
      </c>
      <c r="V18" s="3" t="s">
        <v>32</v>
      </c>
      <c r="W18" s="3">
        <v>23</v>
      </c>
      <c r="X18" s="3">
        <v>84.772150716646422</v>
      </c>
      <c r="Y18" s="3"/>
      <c r="Z18" s="3"/>
      <c r="AA18" s="3"/>
      <c r="AG18" t="str">
        <f>regions!A39</f>
        <v>China</v>
      </c>
      <c r="AH18">
        <f>regions!B39</f>
        <v>1337705000</v>
      </c>
      <c r="AI18">
        <f>regions!C39</f>
        <v>3839284159376.0742</v>
      </c>
      <c r="AJ18">
        <f>regions!D39</f>
        <v>2870.0529334764196</v>
      </c>
      <c r="AK18">
        <f>regions!X39</f>
        <v>6.9</v>
      </c>
      <c r="AL18" s="13">
        <f t="shared" si="4"/>
        <v>3.9720521761218806E-4</v>
      </c>
      <c r="AM18" s="13">
        <f t="shared" si="5"/>
        <v>-4.8779588127812573E-5</v>
      </c>
      <c r="AO18" s="13">
        <v>-6.3581016311595427E-3</v>
      </c>
      <c r="AP18">
        <v>42825.675932195161</v>
      </c>
      <c r="AQ18">
        <v>2.1</v>
      </c>
      <c r="AR18" s="13">
        <v>-1.0692650846305695E-2</v>
      </c>
      <c r="AS18">
        <v>42825.675932195161</v>
      </c>
      <c r="AT18">
        <v>2.1</v>
      </c>
      <c r="AU18">
        <f t="shared" si="6"/>
        <v>-5.0580254318525579</v>
      </c>
      <c r="AV18">
        <f t="shared" si="7"/>
        <v>10.664893106656674</v>
      </c>
      <c r="AW18">
        <f t="shared" si="8"/>
        <v>2.1</v>
      </c>
      <c r="AX18">
        <f t="shared" si="9"/>
        <v>-4.5381986102885872</v>
      </c>
      <c r="AY18">
        <f t="shared" si="10"/>
        <v>10.664893106656674</v>
      </c>
      <c r="AZ18">
        <f t="shared" si="11"/>
        <v>2.1</v>
      </c>
      <c r="BB18" s="3" t="s">
        <v>32</v>
      </c>
      <c r="BC18" s="3">
        <v>23</v>
      </c>
      <c r="BD18" s="3">
        <v>49.973253935785749</v>
      </c>
      <c r="BE18" s="3"/>
      <c r="BF18" s="3"/>
      <c r="BG18" s="3"/>
      <c r="BL18" s="3" t="s">
        <v>32</v>
      </c>
      <c r="BM18" s="3">
        <v>23</v>
      </c>
      <c r="BN18" s="3">
        <v>49.973253935785749</v>
      </c>
      <c r="BO18" s="3"/>
      <c r="BP18" s="3"/>
      <c r="BQ18" s="3"/>
    </row>
    <row r="19" spans="1:72" ht="15" thickBot="1" x14ac:dyDescent="0.4">
      <c r="A19" t="s">
        <v>159</v>
      </c>
      <c r="B19">
        <v>82.77</v>
      </c>
      <c r="C19">
        <v>148.31</v>
      </c>
      <c r="D19">
        <v>12.36</v>
      </c>
      <c r="E19">
        <v>29.12</v>
      </c>
      <c r="G19" s="12" t="s">
        <v>159</v>
      </c>
      <c r="H19" s="10">
        <v>45695.401006971748</v>
      </c>
      <c r="I19" s="10">
        <v>2276.2821403215912</v>
      </c>
      <c r="J19" s="10">
        <f t="shared" si="0"/>
        <v>104015.62520700305</v>
      </c>
      <c r="L19" s="10">
        <f t="shared" si="1"/>
        <v>2276.2821403215912</v>
      </c>
      <c r="M19">
        <f t="shared" si="2"/>
        <v>29.12</v>
      </c>
      <c r="N19" s="13">
        <f t="shared" si="3"/>
        <v>1.2792790262759762E-2</v>
      </c>
      <c r="P19">
        <v>34112.011971110354</v>
      </c>
      <c r="Q19">
        <v>-457.92</v>
      </c>
      <c r="R19">
        <v>-1.3424010298419657E-2</v>
      </c>
      <c r="S19">
        <f t="shared" si="12"/>
        <v>10.437404858460914</v>
      </c>
      <c r="T19">
        <f t="shared" si="13"/>
        <v>-4.3107103620928271</v>
      </c>
      <c r="AG19" t="str">
        <f>regions!A40</f>
        <v>Colombia</v>
      </c>
      <c r="AH19">
        <f>regions!B40</f>
        <v>46444798</v>
      </c>
      <c r="AI19">
        <f>regions!C40</f>
        <v>182893446717.7428</v>
      </c>
      <c r="AJ19">
        <f>regions!D40</f>
        <v>3937.8672013546661</v>
      </c>
      <c r="AK19">
        <f>regions!X40</f>
        <v>24.5</v>
      </c>
      <c r="AL19" s="13">
        <f t="shared" si="4"/>
        <v>3.1387549066530314E-3</v>
      </c>
      <c r="AM19" s="13">
        <f t="shared" si="5"/>
        <v>7.3948659289430653E-3</v>
      </c>
      <c r="AO19" s="13">
        <v>-5.5024227898846159E-3</v>
      </c>
      <c r="AP19">
        <v>6010.0797889966334</v>
      </c>
      <c r="AQ19">
        <v>25.3</v>
      </c>
      <c r="AR19" s="13">
        <v>-9.192889602090264E-3</v>
      </c>
      <c r="AS19">
        <v>6010.0797889966334</v>
      </c>
      <c r="AT19">
        <v>25.3</v>
      </c>
      <c r="AU19">
        <f t="shared" si="6"/>
        <v>-5.2025667764867993</v>
      </c>
      <c r="AV19">
        <f t="shared" si="7"/>
        <v>8.7011933034805011</v>
      </c>
      <c r="AW19">
        <f t="shared" si="8"/>
        <v>25.3</v>
      </c>
      <c r="AX19">
        <f t="shared" si="9"/>
        <v>-4.6893249630826386</v>
      </c>
      <c r="AY19">
        <f t="shared" si="10"/>
        <v>8.7011933034805011</v>
      </c>
      <c r="AZ19">
        <f t="shared" si="11"/>
        <v>25.3</v>
      </c>
    </row>
    <row r="20" spans="1:72" x14ac:dyDescent="0.35">
      <c r="A20" t="s">
        <v>245</v>
      </c>
      <c r="B20">
        <v>241.06</v>
      </c>
      <c r="C20">
        <v>417.26</v>
      </c>
      <c r="D20">
        <v>219.44</v>
      </c>
      <c r="E20">
        <v>380.28</v>
      </c>
      <c r="G20" s="12" t="s">
        <v>245</v>
      </c>
      <c r="H20" s="10">
        <v>4421.0485502114498</v>
      </c>
      <c r="I20" s="10">
        <v>6400.9823610468329</v>
      </c>
      <c r="J20" s="10">
        <f t="shared" si="0"/>
        <v>28299.053787235163</v>
      </c>
      <c r="L20" s="10">
        <f t="shared" si="1"/>
        <v>6400.9823610468329</v>
      </c>
      <c r="M20">
        <f t="shared" si="2"/>
        <v>380.28</v>
      </c>
      <c r="N20" s="13">
        <f t="shared" si="3"/>
        <v>5.9409630983236768E-2</v>
      </c>
      <c r="P20">
        <v>40897.195755465604</v>
      </c>
      <c r="Q20">
        <v>-463.11</v>
      </c>
      <c r="R20">
        <v>-1.1323759280930865E-2</v>
      </c>
      <c r="S20">
        <f t="shared" si="12"/>
        <v>10.618816776244264</v>
      </c>
      <c r="T20">
        <f t="shared" si="13"/>
        <v>-4.4808521693824046</v>
      </c>
      <c r="V20" s="4"/>
      <c r="W20" s="4" t="s">
        <v>39</v>
      </c>
      <c r="X20" s="4" t="s">
        <v>27</v>
      </c>
      <c r="Y20" s="4" t="s">
        <v>40</v>
      </c>
      <c r="Z20" s="4" t="s">
        <v>41</v>
      </c>
      <c r="AA20" s="4" t="s">
        <v>42</v>
      </c>
      <c r="AB20" s="4" t="s">
        <v>43</v>
      </c>
      <c r="AC20" s="4" t="s">
        <v>44</v>
      </c>
      <c r="AD20" s="4" t="s">
        <v>45</v>
      </c>
      <c r="AG20" t="str">
        <f>regions!A45</f>
        <v>Croatia</v>
      </c>
      <c r="AH20">
        <f>regions!B45</f>
        <v>4417800</v>
      </c>
      <c r="AI20">
        <f>regions!C45</f>
        <v>45872253522.123985</v>
      </c>
      <c r="AJ20">
        <f>regions!D45</f>
        <v>10383.506161918598</v>
      </c>
      <c r="AK20">
        <f>regions!X45</f>
        <v>10.9</v>
      </c>
      <c r="AL20" s="13">
        <f t="shared" si="4"/>
        <v>2.1133516615494865E-2</v>
      </c>
      <c r="AM20" s="13">
        <f t="shared" si="5"/>
        <v>3.6623467455980614E-2</v>
      </c>
      <c r="AO20" s="13">
        <v>-4.2844573997610083E-3</v>
      </c>
      <c r="AP20">
        <v>22236.187948867053</v>
      </c>
      <c r="AQ20">
        <v>11.5</v>
      </c>
      <c r="AR20" s="13">
        <v>-7.1995254028313195E-3</v>
      </c>
      <c r="AS20">
        <v>22236.187948867053</v>
      </c>
      <c r="AT20">
        <v>11.5</v>
      </c>
      <c r="AU20">
        <f t="shared" si="6"/>
        <v>-5.4527613627774434</v>
      </c>
      <c r="AV20">
        <f t="shared" si="7"/>
        <v>10.009476328496131</v>
      </c>
      <c r="AW20">
        <f t="shared" si="8"/>
        <v>11.5</v>
      </c>
      <c r="AX20">
        <f t="shared" si="9"/>
        <v>-4.9337401714061286</v>
      </c>
      <c r="AY20">
        <f t="shared" si="10"/>
        <v>10.009476328496131</v>
      </c>
      <c r="AZ20">
        <f t="shared" si="11"/>
        <v>11.5</v>
      </c>
      <c r="BB20" s="4"/>
      <c r="BC20" s="4" t="s">
        <v>39</v>
      </c>
      <c r="BD20" s="4" t="s">
        <v>27</v>
      </c>
      <c r="BE20" s="4" t="s">
        <v>40</v>
      </c>
      <c r="BF20" s="4" t="s">
        <v>41</v>
      </c>
      <c r="BG20" s="4" t="s">
        <v>42</v>
      </c>
      <c r="BH20" s="4" t="s">
        <v>43</v>
      </c>
      <c r="BI20" s="4" t="s">
        <v>44</v>
      </c>
      <c r="BJ20" s="4" t="s">
        <v>45</v>
      </c>
      <c r="BK20" s="17"/>
      <c r="BL20" s="4"/>
      <c r="BM20" s="4" t="s">
        <v>39</v>
      </c>
      <c r="BN20" s="4" t="s">
        <v>27</v>
      </c>
      <c r="BO20" s="4" t="s">
        <v>40</v>
      </c>
      <c r="BP20" s="4" t="s">
        <v>41</v>
      </c>
      <c r="BQ20" s="4" t="s">
        <v>42</v>
      </c>
      <c r="BR20" s="4" t="s">
        <v>43</v>
      </c>
      <c r="BS20" s="4" t="s">
        <v>44</v>
      </c>
      <c r="BT20" s="4" t="s">
        <v>45</v>
      </c>
    </row>
    <row r="21" spans="1:72" x14ac:dyDescent="0.35">
      <c r="A21" t="s">
        <v>246</v>
      </c>
      <c r="B21">
        <v>121.66</v>
      </c>
      <c r="C21">
        <v>206.31</v>
      </c>
      <c r="D21">
        <v>89.95</v>
      </c>
      <c r="E21">
        <v>151.69999999999999</v>
      </c>
      <c r="G21" s="12" t="s">
        <v>283</v>
      </c>
      <c r="H21" s="10">
        <v>10213.070730338208</v>
      </c>
      <c r="I21" s="10">
        <v>6029.9885304322725</v>
      </c>
      <c r="J21" s="10">
        <f t="shared" si="0"/>
        <v>61584.699364432949</v>
      </c>
      <c r="L21" s="10">
        <f t="shared" si="1"/>
        <v>6029.9885304322725</v>
      </c>
      <c r="M21">
        <f t="shared" si="2"/>
        <v>151.69999999999999</v>
      </c>
      <c r="N21" s="13">
        <f t="shared" si="3"/>
        <v>2.515759345716783E-2</v>
      </c>
      <c r="P21">
        <v>6206.4370932338898</v>
      </c>
      <c r="Q21">
        <v>-65.78</v>
      </c>
      <c r="R21">
        <v>-1.0598673443691517E-2</v>
      </c>
      <c r="S21">
        <f t="shared" si="12"/>
        <v>8.7333422732780992</v>
      </c>
      <c r="T21">
        <f t="shared" si="13"/>
        <v>-4.5470264325171872</v>
      </c>
      <c r="V21" s="2" t="s">
        <v>33</v>
      </c>
      <c r="W21" s="2">
        <v>1.9351067355339415</v>
      </c>
      <c r="X21" s="2">
        <v>1.7701620754138396</v>
      </c>
      <c r="Y21" s="2">
        <v>1.0931805411555551</v>
      </c>
      <c r="Z21" s="2">
        <v>0.28614070827577065</v>
      </c>
      <c r="AA21" s="2">
        <v>-1.7359847184919155</v>
      </c>
      <c r="AB21" s="2">
        <v>5.6061981895597981</v>
      </c>
      <c r="AC21" s="2">
        <v>-1.7359847184919155</v>
      </c>
      <c r="AD21" s="2">
        <v>5.6061981895597981</v>
      </c>
      <c r="AG21" t="str">
        <f>regions!A48</f>
        <v>Czech Republic</v>
      </c>
      <c r="AH21">
        <f>regions!B48</f>
        <v>10519792</v>
      </c>
      <c r="AI21">
        <f>regions!C48</f>
        <v>148480783612.59024</v>
      </c>
      <c r="AJ21">
        <f>regions!D48</f>
        <v>14114.421997373165</v>
      </c>
      <c r="AK21">
        <f>regions!X48</f>
        <v>7.5</v>
      </c>
      <c r="AL21" s="13">
        <f t="shared" si="4"/>
        <v>6.3729141736544792E-3</v>
      </c>
      <c r="AM21" s="13">
        <f t="shared" si="5"/>
        <v>1.0747871930443405E-2</v>
      </c>
      <c r="AO21" s="13">
        <v>-4.2026645997161492E-3</v>
      </c>
      <c r="AP21">
        <v>64589.974659965468</v>
      </c>
      <c r="AQ21">
        <v>1.5</v>
      </c>
      <c r="AR21" s="13">
        <v>-7.1699981682613592E-3</v>
      </c>
      <c r="AS21">
        <v>64589.974659965468</v>
      </c>
      <c r="AT21">
        <v>1.5</v>
      </c>
      <c r="AU21">
        <f t="shared" si="6"/>
        <v>-5.4720365263536541</v>
      </c>
      <c r="AV21">
        <f t="shared" si="7"/>
        <v>11.075814486705115</v>
      </c>
      <c r="AW21">
        <f t="shared" si="8"/>
        <v>1.5</v>
      </c>
      <c r="AX21">
        <f t="shared" si="9"/>
        <v>-4.9378498798432542</v>
      </c>
      <c r="AY21">
        <f t="shared" si="10"/>
        <v>11.075814486705115</v>
      </c>
      <c r="AZ21">
        <f t="shared" si="11"/>
        <v>1.5</v>
      </c>
      <c r="BB21" s="2" t="s">
        <v>33</v>
      </c>
      <c r="BC21" s="2">
        <v>2.2029418263239053</v>
      </c>
      <c r="BD21" s="2">
        <v>1.3163501796562591</v>
      </c>
      <c r="BE21" s="2">
        <v>1.6735226388613123</v>
      </c>
      <c r="BF21" s="2">
        <v>0.10838541344856874</v>
      </c>
      <c r="BG21" s="2">
        <v>-0.52700135919583646</v>
      </c>
      <c r="BH21" s="2">
        <v>4.9328850118436467</v>
      </c>
      <c r="BI21" s="2">
        <v>-0.52700135919583646</v>
      </c>
      <c r="BJ21" s="2">
        <v>4.9328850118436467</v>
      </c>
      <c r="BK21" s="2"/>
      <c r="BL21" s="2" t="s">
        <v>33</v>
      </c>
      <c r="BM21" s="2">
        <v>4.7997097353663083</v>
      </c>
      <c r="BN21" s="2">
        <v>1.4828672185999432</v>
      </c>
      <c r="BO21" s="2">
        <v>3.2367764794868008</v>
      </c>
      <c r="BP21" s="2">
        <v>3.9511153890258582E-3</v>
      </c>
      <c r="BQ21" s="2">
        <v>1.7159185376730393</v>
      </c>
      <c r="BR21" s="2">
        <v>7.8835009330595778</v>
      </c>
      <c r="BS21" s="2">
        <v>1.7159185376730393</v>
      </c>
      <c r="BT21" s="2">
        <v>7.8835009330595778</v>
      </c>
    </row>
    <row r="22" spans="1:72" ht="15" thickBot="1" x14ac:dyDescent="0.4">
      <c r="A22" t="s">
        <v>247</v>
      </c>
      <c r="B22">
        <v>121.66</v>
      </c>
      <c r="C22">
        <v>206.31</v>
      </c>
      <c r="D22">
        <v>89.95</v>
      </c>
      <c r="E22">
        <v>151.69999999999999</v>
      </c>
      <c r="H22" s="10"/>
      <c r="I22" s="10"/>
      <c r="J22" s="10">
        <f t="shared" si="0"/>
        <v>0</v>
      </c>
      <c r="L22" s="10">
        <f t="shared" si="1"/>
        <v>0</v>
      </c>
      <c r="M22">
        <f t="shared" si="2"/>
        <v>151.69999999999999</v>
      </c>
      <c r="N22" s="13" t="e">
        <f t="shared" si="3"/>
        <v>#DIV/0!</v>
      </c>
      <c r="P22">
        <v>30847.065455033273</v>
      </c>
      <c r="Q22">
        <v>-323.89999999999998</v>
      </c>
      <c r="R22">
        <v>-1.0500188436795036E-2</v>
      </c>
      <c r="S22">
        <f t="shared" si="12"/>
        <v>10.336796901795545</v>
      </c>
      <c r="T22">
        <f t="shared" si="13"/>
        <v>-4.556362075618261</v>
      </c>
      <c r="V22" s="3" t="s">
        <v>46</v>
      </c>
      <c r="W22" s="3">
        <v>-0.70383959807998386</v>
      </c>
      <c r="X22" s="3">
        <v>0.20218798147258249</v>
      </c>
      <c r="Y22" s="3">
        <v>-3.4811149157024812</v>
      </c>
      <c r="Z22" s="3">
        <v>2.1178680930050153E-3</v>
      </c>
      <c r="AA22" s="3">
        <v>-1.1231518075098508</v>
      </c>
      <c r="AB22" s="3">
        <v>-0.2845273886501169</v>
      </c>
      <c r="AC22" s="3">
        <v>-1.1231518075098508</v>
      </c>
      <c r="AD22" s="3">
        <v>-0.2845273886501169</v>
      </c>
      <c r="AH22">
        <f>AH21+AH58</f>
        <v>15949891</v>
      </c>
      <c r="AI22">
        <f>AI21+AI58</f>
        <v>225380746303.79779</v>
      </c>
      <c r="AJ22">
        <f>AI22/AH22</f>
        <v>14130.550879864808</v>
      </c>
      <c r="AK22">
        <f>(AK21*AH21+AK58*AH58)/AH22</f>
        <v>7.2616868165431345</v>
      </c>
      <c r="AL22" s="13">
        <f t="shared" si="4"/>
        <v>6.365640006871451E-3</v>
      </c>
      <c r="AM22" s="13">
        <f t="shared" si="5"/>
        <v>1.0735604102750406E-2</v>
      </c>
      <c r="AO22" s="13">
        <v>-3.6618652445344164E-3</v>
      </c>
      <c r="AP22">
        <v>51528.384416011126</v>
      </c>
      <c r="AQ22">
        <v>1.7</v>
      </c>
      <c r="AR22" s="13">
        <v>-6.343396157087281E-3</v>
      </c>
      <c r="AS22">
        <v>10369.839494653985</v>
      </c>
      <c r="AT22">
        <v>5.0999999999999996</v>
      </c>
      <c r="AU22">
        <f t="shared" si="6"/>
        <v>-5.6097826317317381</v>
      </c>
      <c r="AV22">
        <f t="shared" si="7"/>
        <v>10.849888088531362</v>
      </c>
      <c r="AW22">
        <f t="shared" si="8"/>
        <v>1.7</v>
      </c>
      <c r="AX22">
        <f t="shared" si="9"/>
        <v>-5.0603409824888752</v>
      </c>
      <c r="AY22">
        <f t="shared" si="10"/>
        <v>9.2466568232497863</v>
      </c>
      <c r="AZ22">
        <f t="shared" si="11"/>
        <v>5.0999999999999996</v>
      </c>
      <c r="BB22" s="3" t="s">
        <v>46</v>
      </c>
      <c r="BC22" s="3">
        <v>-0.7798000740263229</v>
      </c>
      <c r="BD22" s="3">
        <v>0.14071443713147136</v>
      </c>
      <c r="BE22" s="3">
        <v>-5.541720451169807</v>
      </c>
      <c r="BF22" s="3">
        <v>1.4344560423848084E-5</v>
      </c>
      <c r="BG22" s="3">
        <v>-1.0716239554585556</v>
      </c>
      <c r="BH22" s="3">
        <v>-0.4879761925940902</v>
      </c>
      <c r="BI22" s="3">
        <v>-1.0716239554585556</v>
      </c>
      <c r="BJ22" s="3">
        <v>-0.4879761925940902</v>
      </c>
      <c r="BK22" s="2"/>
      <c r="BL22" s="2" t="s">
        <v>46</v>
      </c>
      <c r="BM22" s="2">
        <v>-0.99523977220160298</v>
      </c>
      <c r="BN22" s="2">
        <v>0.14547876121915357</v>
      </c>
      <c r="BO22" s="2">
        <v>-6.8411344986801472</v>
      </c>
      <c r="BP22" s="2">
        <v>9.1905526655995332E-7</v>
      </c>
      <c r="BQ22" s="2">
        <v>-1.297779418146787</v>
      </c>
      <c r="BR22" s="2">
        <v>-0.69270012625641897</v>
      </c>
      <c r="BS22" s="2">
        <v>-1.297779418146787</v>
      </c>
      <c r="BT22" s="2">
        <v>-0.69270012625641897</v>
      </c>
    </row>
    <row r="23" spans="1:72" ht="15" thickBot="1" x14ac:dyDescent="0.4">
      <c r="A23" t="s">
        <v>162</v>
      </c>
      <c r="B23">
        <v>3.86</v>
      </c>
      <c r="C23">
        <v>-1.85</v>
      </c>
      <c r="D23">
        <v>-81.790000000000006</v>
      </c>
      <c r="E23">
        <v>-147.88999999999999</v>
      </c>
      <c r="G23" s="12" t="s">
        <v>162</v>
      </c>
      <c r="H23" s="10">
        <v>5390.1902673870018</v>
      </c>
      <c r="I23" s="10">
        <v>40948.776996671819</v>
      </c>
      <c r="J23" s="10">
        <f t="shared" si="0"/>
        <v>220721.69922886119</v>
      </c>
      <c r="L23" s="10">
        <f t="shared" si="1"/>
        <v>40948.776996671819</v>
      </c>
      <c r="M23">
        <f t="shared" si="2"/>
        <v>-147.88999999999999</v>
      </c>
      <c r="N23" s="13">
        <f t="shared" si="3"/>
        <v>-3.6115852742566647E-3</v>
      </c>
      <c r="P23">
        <v>16938.268508572059</v>
      </c>
      <c r="Q23">
        <v>-160.09</v>
      </c>
      <c r="R23">
        <v>-9.4513792787605314E-3</v>
      </c>
      <c r="S23">
        <f t="shared" si="12"/>
        <v>9.7373307497925499</v>
      </c>
      <c r="T23">
        <f t="shared" si="13"/>
        <v>-4.6615945927025475</v>
      </c>
      <c r="AG23" t="str">
        <f>regions!A49</f>
        <v>Denmark</v>
      </c>
      <c r="AH23">
        <f>regions!B49</f>
        <v>5547683</v>
      </c>
      <c r="AI23">
        <f>regions!C49</f>
        <v>256817427641.90231</v>
      </c>
      <c r="AJ23">
        <f>regions!D49</f>
        <v>46292.736560813282</v>
      </c>
      <c r="AK23">
        <f>regions!X49</f>
        <v>7.5</v>
      </c>
      <c r="AL23" s="13">
        <f t="shared" si="4"/>
        <v>-1.7667998497465172E-3</v>
      </c>
      <c r="AM23" s="13">
        <f t="shared" si="5"/>
        <v>-3.1946696390636065E-3</v>
      </c>
      <c r="AO23" s="13">
        <v>-3.0791219108512752E-3</v>
      </c>
      <c r="AP23">
        <v>10369.839494653985</v>
      </c>
      <c r="AQ23">
        <v>5.0999999999999996</v>
      </c>
      <c r="AR23" s="13">
        <v>-6.2858559155477105E-3</v>
      </c>
      <c r="AS23">
        <v>51528.384416011126</v>
      </c>
      <c r="AT23">
        <v>1.7</v>
      </c>
      <c r="AU23">
        <f t="shared" si="6"/>
        <v>-5.783110816523096</v>
      </c>
      <c r="AV23">
        <f t="shared" si="7"/>
        <v>9.2466568232497863</v>
      </c>
      <c r="AW23">
        <f t="shared" si="8"/>
        <v>5.0999999999999996</v>
      </c>
      <c r="AX23">
        <f t="shared" si="9"/>
        <v>-5.0694532623540773</v>
      </c>
      <c r="AY23">
        <f t="shared" si="10"/>
        <v>10.849888088531362</v>
      </c>
      <c r="AZ23">
        <f t="shared" si="11"/>
        <v>1.7</v>
      </c>
      <c r="BK23" s="2"/>
      <c r="BL23" s="3" t="s">
        <v>47</v>
      </c>
      <c r="BM23" s="3">
        <v>-7.1360849292085263E-2</v>
      </c>
      <c r="BN23" s="3">
        <v>2.5663356782289683E-2</v>
      </c>
      <c r="BO23" s="3">
        <v>-2.7806514127306792</v>
      </c>
      <c r="BP23" s="3">
        <v>1.1204861163035673E-2</v>
      </c>
      <c r="BQ23" s="3">
        <v>-0.12473072135872089</v>
      </c>
      <c r="BR23" s="3">
        <v>-1.7990977225449636E-2</v>
      </c>
      <c r="BS23" s="3">
        <v>-0.12473072135872089</v>
      </c>
      <c r="BT23" s="3">
        <v>-1.7990977225449636E-2</v>
      </c>
    </row>
    <row r="24" spans="1:72" x14ac:dyDescent="0.35">
      <c r="A24" t="s">
        <v>248</v>
      </c>
      <c r="B24">
        <v>78.540000000000006</v>
      </c>
      <c r="C24">
        <v>126.73</v>
      </c>
      <c r="D24">
        <v>65.02</v>
      </c>
      <c r="E24">
        <v>103.48</v>
      </c>
      <c r="G24" s="12" t="s">
        <v>284</v>
      </c>
      <c r="H24" s="10">
        <v>9021.2604461934698</v>
      </c>
      <c r="I24" s="10">
        <v>2299.3763358127862</v>
      </c>
      <c r="J24" s="10">
        <f t="shared" si="0"/>
        <v>20743.272789181163</v>
      </c>
      <c r="L24" s="10">
        <f t="shared" si="1"/>
        <v>2299.3763358127862</v>
      </c>
      <c r="M24">
        <f t="shared" si="2"/>
        <v>103.48</v>
      </c>
      <c r="N24" s="13">
        <f t="shared" si="3"/>
        <v>4.5003507424295458E-2</v>
      </c>
      <c r="P24">
        <v>40948.776996671819</v>
      </c>
      <c r="Q24">
        <v>-147.88999999999999</v>
      </c>
      <c r="R24">
        <v>-3.6115852742566647E-3</v>
      </c>
      <c r="S24">
        <f t="shared" si="12"/>
        <v>10.620077223064085</v>
      </c>
      <c r="T24">
        <f t="shared" si="13"/>
        <v>-5.6236084688854069</v>
      </c>
      <c r="V24" t="s">
        <v>22</v>
      </c>
      <c r="AG24" t="str">
        <f>regions!A52</f>
        <v>Dominican Republic</v>
      </c>
      <c r="AH24">
        <f>regions!B52</f>
        <v>10016797</v>
      </c>
      <c r="AI24">
        <f>regions!C52</f>
        <v>47848657632.10955</v>
      </c>
      <c r="AJ24">
        <f>regions!D52</f>
        <v>4776.8421015330105</v>
      </c>
      <c r="AK24">
        <f>regions!X52</f>
        <v>24.5</v>
      </c>
      <c r="AL24" s="13">
        <f t="shared" si="4"/>
        <v>1.3611502875327074E-2</v>
      </c>
      <c r="AM24" s="13">
        <f t="shared" si="5"/>
        <v>2.1662847086109594E-2</v>
      </c>
      <c r="AO24" s="13">
        <v>-2.2424961619015508E-3</v>
      </c>
      <c r="AP24">
        <v>36472.749157637452</v>
      </c>
      <c r="AQ24">
        <v>11.1</v>
      </c>
      <c r="AR24" s="13">
        <v>-3.8933177037537617E-3</v>
      </c>
      <c r="AS24">
        <v>36472.749157637452</v>
      </c>
      <c r="AT24">
        <v>11.1</v>
      </c>
      <c r="AU24">
        <f t="shared" si="6"/>
        <v>-6.1001656755594089</v>
      </c>
      <c r="AV24">
        <f t="shared" si="7"/>
        <v>10.504320662306291</v>
      </c>
      <c r="AW24">
        <f t="shared" si="8"/>
        <v>11.1</v>
      </c>
      <c r="AX24">
        <f t="shared" si="9"/>
        <v>-5.5484936047050315</v>
      </c>
      <c r="AY24">
        <f t="shared" si="10"/>
        <v>10.504320662306291</v>
      </c>
      <c r="AZ24">
        <f t="shared" si="11"/>
        <v>11.1</v>
      </c>
    </row>
    <row r="25" spans="1:72" ht="15" thickBot="1" x14ac:dyDescent="0.4">
      <c r="A25" t="s">
        <v>249</v>
      </c>
      <c r="B25">
        <v>4.9400000000000004</v>
      </c>
      <c r="C25">
        <v>-3.16</v>
      </c>
      <c r="D25">
        <v>-31.93</v>
      </c>
      <c r="E25">
        <v>-65.78</v>
      </c>
      <c r="G25" s="12" t="s">
        <v>249</v>
      </c>
      <c r="H25" s="10">
        <v>1293.990428549653</v>
      </c>
      <c r="I25" s="10">
        <v>6206.4370932338898</v>
      </c>
      <c r="J25" s="10">
        <f t="shared" si="0"/>
        <v>8031.0701940401832</v>
      </c>
      <c r="L25" s="10">
        <f t="shared" si="1"/>
        <v>6206.4370932338898</v>
      </c>
      <c r="M25">
        <f t="shared" si="2"/>
        <v>-65.78</v>
      </c>
      <c r="N25" s="13">
        <f t="shared" si="3"/>
        <v>-1.0598673443691517E-2</v>
      </c>
      <c r="P25">
        <v>42866.15769262486</v>
      </c>
      <c r="Q25">
        <v>-142</v>
      </c>
      <c r="R25">
        <v>-3.3126365329550207E-3</v>
      </c>
      <c r="S25">
        <f t="shared" si="12"/>
        <v>10.665837928624619</v>
      </c>
      <c r="T25">
        <f t="shared" si="13"/>
        <v>-5.7100108710233588</v>
      </c>
      <c r="AG25" t="str">
        <f>regions!A58</f>
        <v>Estonia</v>
      </c>
      <c r="AH25">
        <f>regions!B58</f>
        <v>1340161</v>
      </c>
      <c r="AI25">
        <f>regions!C58</f>
        <v>13897254466.99498</v>
      </c>
      <c r="AJ25">
        <f>regions!D58</f>
        <v>10369.839494653985</v>
      </c>
      <c r="AK25">
        <f>regions!X58</f>
        <v>5.0999999999999996</v>
      </c>
      <c r="AL25" s="13">
        <f t="shared" si="4"/>
        <v>-3.0791219108512752E-3</v>
      </c>
      <c r="AM25" s="13">
        <f t="shared" si="5"/>
        <v>-6.343396157087281E-3</v>
      </c>
      <c r="AO25" s="13">
        <v>-1.7667998497465172E-3</v>
      </c>
      <c r="AP25">
        <v>46292.736560813282</v>
      </c>
      <c r="AQ25">
        <v>7.5</v>
      </c>
      <c r="AR25" s="13">
        <v>-3.1946696390636065E-3</v>
      </c>
      <c r="AS25">
        <v>46292.736560813282</v>
      </c>
      <c r="AT25">
        <v>7.5</v>
      </c>
      <c r="AU25">
        <f t="shared" si="6"/>
        <v>-6.3385853632846292</v>
      </c>
      <c r="AV25">
        <f t="shared" si="7"/>
        <v>10.742740350031513</v>
      </c>
      <c r="AW25">
        <f t="shared" si="8"/>
        <v>7.5</v>
      </c>
      <c r="AX25">
        <f t="shared" si="9"/>
        <v>-5.7462715958528348</v>
      </c>
      <c r="AY25">
        <f t="shared" si="10"/>
        <v>10.742740350031513</v>
      </c>
      <c r="AZ25">
        <f t="shared" si="11"/>
        <v>7.5</v>
      </c>
      <c r="BB25" t="s">
        <v>22</v>
      </c>
      <c r="BL25" t="s">
        <v>22</v>
      </c>
    </row>
    <row r="26" spans="1:72" ht="15" thickBot="1" x14ac:dyDescent="0.4">
      <c r="A26" t="s">
        <v>168</v>
      </c>
      <c r="B26">
        <v>-246.26</v>
      </c>
      <c r="C26">
        <v>-424.45</v>
      </c>
      <c r="D26">
        <v>-356.6</v>
      </c>
      <c r="E26">
        <v>-612.47</v>
      </c>
      <c r="G26" s="12" t="s">
        <v>168</v>
      </c>
      <c r="H26" s="10">
        <v>5224.0937861044849</v>
      </c>
      <c r="I26" s="10">
        <v>34027.282684816455</v>
      </c>
      <c r="J26" s="10">
        <f t="shared" si="0"/>
        <v>177761.71603177037</v>
      </c>
      <c r="L26" s="10">
        <f t="shared" si="1"/>
        <v>34027.282684816455</v>
      </c>
      <c r="M26">
        <f t="shared" si="2"/>
        <v>-612.47</v>
      </c>
      <c r="N26" s="13">
        <f t="shared" si="3"/>
        <v>-1.7999380252402417E-2</v>
      </c>
      <c r="P26">
        <v>23753.710002652209</v>
      </c>
      <c r="Q26">
        <v>-53.56</v>
      </c>
      <c r="R26">
        <v>-2.2548056701045768E-3</v>
      </c>
      <c r="S26">
        <f t="shared" si="12"/>
        <v>10.075494007901163</v>
      </c>
      <c r="T26">
        <f t="shared" si="13"/>
        <v>-6.0946914870781921</v>
      </c>
      <c r="V26" s="5" t="s">
        <v>23</v>
      </c>
      <c r="W26" s="5"/>
      <c r="AG26" t="str">
        <f>regions!A61</f>
        <v>Finland</v>
      </c>
      <c r="AH26">
        <f>regions!B61</f>
        <v>5363352</v>
      </c>
      <c r="AI26">
        <f>regions!C61</f>
        <v>204154134528.24445</v>
      </c>
      <c r="AJ26">
        <f>regions!D61</f>
        <v>38064.653322818347</v>
      </c>
      <c r="AK26">
        <f>regions!X61</f>
        <v>1.7</v>
      </c>
      <c r="AL26" s="13">
        <f t="shared" si="4"/>
        <v>-9.3682713192144475E-3</v>
      </c>
      <c r="AM26" s="13">
        <f t="shared" si="5"/>
        <v>-1.609025556612247E-2</v>
      </c>
      <c r="AO26" s="13">
        <v>-7.0898415473643261E-4</v>
      </c>
      <c r="AP26">
        <v>37899.295520911917</v>
      </c>
      <c r="AQ26">
        <v>8.4</v>
      </c>
      <c r="AR26" s="13">
        <v>-1.4132188808218581E-3</v>
      </c>
      <c r="AS26">
        <v>37899.295520911917</v>
      </c>
      <c r="AT26">
        <v>8.4</v>
      </c>
      <c r="AU26">
        <f t="shared" si="6"/>
        <v>-7.2516773804316257</v>
      </c>
      <c r="AV26">
        <f t="shared" si="7"/>
        <v>10.542687803059026</v>
      </c>
      <c r="AW26">
        <f t="shared" si="8"/>
        <v>8.4</v>
      </c>
      <c r="AX26">
        <f t="shared" si="9"/>
        <v>-6.5618852822360543</v>
      </c>
      <c r="AY26">
        <f t="shared" si="10"/>
        <v>10.542687803059026</v>
      </c>
      <c r="AZ26">
        <f t="shared" si="11"/>
        <v>8.4</v>
      </c>
      <c r="BB26" t="s">
        <v>630</v>
      </c>
    </row>
    <row r="27" spans="1:72" x14ac:dyDescent="0.35">
      <c r="A27" t="s">
        <v>169</v>
      </c>
      <c r="B27">
        <v>150.43</v>
      </c>
      <c r="C27">
        <v>254.62</v>
      </c>
      <c r="D27">
        <v>123.77</v>
      </c>
      <c r="E27">
        <v>210.12</v>
      </c>
      <c r="G27" s="12" t="s">
        <v>169</v>
      </c>
      <c r="H27" s="10">
        <v>60716.265880040832</v>
      </c>
      <c r="I27" s="10">
        <v>30932.980772138675</v>
      </c>
      <c r="J27" s="10">
        <f t="shared" si="0"/>
        <v>1878135.0850233627</v>
      </c>
      <c r="L27" s="10">
        <f t="shared" si="1"/>
        <v>30932.980772138675</v>
      </c>
      <c r="M27">
        <f t="shared" si="2"/>
        <v>210.12</v>
      </c>
      <c r="N27" s="13">
        <f t="shared" si="3"/>
        <v>6.792749833836092E-3</v>
      </c>
      <c r="P27">
        <v>32086.297825579641</v>
      </c>
      <c r="Q27">
        <v>-53.14</v>
      </c>
      <c r="R27">
        <v>-1.6561586596517861E-3</v>
      </c>
      <c r="S27">
        <f t="shared" si="12"/>
        <v>10.376184358971653</v>
      </c>
      <c r="T27">
        <f t="shared" si="13"/>
        <v>-6.4032544186399853</v>
      </c>
      <c r="V27" s="2" t="s">
        <v>24</v>
      </c>
      <c r="W27" s="2">
        <v>0.80603346991382763</v>
      </c>
      <c r="AG27" t="str">
        <f>regions!A62</f>
        <v>France</v>
      </c>
      <c r="AH27">
        <f>regions!B62</f>
        <v>65031235</v>
      </c>
      <c r="AI27">
        <f>regions!C62</f>
        <v>2204446339914.4404</v>
      </c>
      <c r="AJ27">
        <f>regions!D62</f>
        <v>33898.26965325878</v>
      </c>
      <c r="AK27">
        <f>regions!X62</f>
        <v>10.7</v>
      </c>
      <c r="AL27" s="13">
        <f t="shared" si="4"/>
        <v>3.651218816359303E-3</v>
      </c>
      <c r="AM27" s="13">
        <f t="shared" si="5"/>
        <v>6.1985464788997073E-3</v>
      </c>
      <c r="AO27" s="13">
        <v>-6.2392351384460963E-4</v>
      </c>
      <c r="AP27">
        <v>45438.261855700264</v>
      </c>
      <c r="AQ27">
        <v>9.3000000000000007</v>
      </c>
      <c r="AR27" s="13">
        <v>-1.1694989603422419E-3</v>
      </c>
      <c r="AS27">
        <v>45438.261855700264</v>
      </c>
      <c r="AT27">
        <v>9.3000000000000007</v>
      </c>
      <c r="AU27">
        <f t="shared" si="6"/>
        <v>-7.3794827710746205</v>
      </c>
      <c r="AV27">
        <f t="shared" si="7"/>
        <v>10.724109801248382</v>
      </c>
      <c r="AW27">
        <f t="shared" si="8"/>
        <v>9.3000000000000007</v>
      </c>
      <c r="AX27">
        <f t="shared" si="9"/>
        <v>-6.7511798609167144</v>
      </c>
      <c r="AY27">
        <f t="shared" si="10"/>
        <v>10.724109801248382</v>
      </c>
      <c r="AZ27">
        <f t="shared" si="11"/>
        <v>9.3000000000000007</v>
      </c>
      <c r="BB27" s="5" t="s">
        <v>23</v>
      </c>
      <c r="BC27" s="5"/>
      <c r="BL27" s="5" t="s">
        <v>23</v>
      </c>
      <c r="BM27" s="5"/>
    </row>
    <row r="28" spans="1:72" x14ac:dyDescent="0.35">
      <c r="A28" t="s">
        <v>250</v>
      </c>
      <c r="B28">
        <v>-36.229999999999997</v>
      </c>
      <c r="C28">
        <v>-67.89</v>
      </c>
      <c r="D28">
        <v>-86.01</v>
      </c>
      <c r="E28">
        <v>-152.52000000000001</v>
      </c>
      <c r="G28" s="12" t="s">
        <v>250</v>
      </c>
      <c r="H28" s="10">
        <v>5038.5219528847665</v>
      </c>
      <c r="I28" s="10">
        <v>646.58519505316701</v>
      </c>
      <c r="J28" s="10">
        <f t="shared" si="0"/>
        <v>3257.8336996856606</v>
      </c>
      <c r="L28" s="10">
        <f t="shared" si="1"/>
        <v>646.58519505316701</v>
      </c>
      <c r="M28">
        <f t="shared" si="2"/>
        <v>-152.52000000000001</v>
      </c>
      <c r="N28" s="13">
        <f t="shared" si="3"/>
        <v>-0.23588538860290281</v>
      </c>
      <c r="P28">
        <v>30907.510400477298</v>
      </c>
      <c r="Q28">
        <v>-12.02</v>
      </c>
      <c r="R28">
        <v>-3.8890223910801876E-4</v>
      </c>
      <c r="S28">
        <f t="shared" si="12"/>
        <v>10.338754488384376</v>
      </c>
      <c r="T28">
        <f t="shared" si="13"/>
        <v>-7.8521825592773142</v>
      </c>
      <c r="V28" s="2" t="s">
        <v>25</v>
      </c>
      <c r="W28" s="2">
        <v>0.64968995462132528</v>
      </c>
      <c r="AG28" t="str">
        <f>regions!A65</f>
        <v>Georgia</v>
      </c>
      <c r="AH28">
        <f>regions!B65</f>
        <v>4452800</v>
      </c>
      <c r="AI28">
        <f>regions!C65</f>
        <v>8241335082.6298161</v>
      </c>
      <c r="AJ28">
        <f>regions!D65</f>
        <v>1850.8208503929698</v>
      </c>
      <c r="AK28">
        <f>regions!X65</f>
        <v>5.8</v>
      </c>
      <c r="AL28" s="13">
        <f t="shared" si="4"/>
        <v>-4.6471272452835291E-2</v>
      </c>
      <c r="AM28" s="13">
        <f t="shared" si="5"/>
        <v>-8.240667915947493E-2</v>
      </c>
      <c r="AO28" s="13">
        <v>-1.1505638452862353E-4</v>
      </c>
      <c r="AP28">
        <v>41110.27840287541</v>
      </c>
      <c r="AQ28">
        <v>9.1999999999999993</v>
      </c>
      <c r="AR28" s="13">
        <v>-2.9238430064144921E-4</v>
      </c>
      <c r="AS28">
        <v>41110.27840287541</v>
      </c>
      <c r="AT28">
        <v>9.1999999999999993</v>
      </c>
      <c r="AU28">
        <f t="shared" si="6"/>
        <v>-9.0700882495100164</v>
      </c>
      <c r="AV28">
        <f t="shared" si="7"/>
        <v>10.624013452013859</v>
      </c>
      <c r="AW28">
        <f t="shared" si="8"/>
        <v>9.1999999999999993</v>
      </c>
      <c r="AX28">
        <f t="shared" si="9"/>
        <v>-8.1374415229067978</v>
      </c>
      <c r="AY28">
        <f t="shared" si="10"/>
        <v>10.624013452013859</v>
      </c>
      <c r="AZ28">
        <f t="shared" si="11"/>
        <v>9.1999999999999993</v>
      </c>
      <c r="BB28" s="2" t="s">
        <v>24</v>
      </c>
      <c r="BC28" s="2">
        <v>0.69123339480654467</v>
      </c>
      <c r="BL28" s="2" t="s">
        <v>24</v>
      </c>
      <c r="BM28" s="2">
        <v>0.69199345166697923</v>
      </c>
    </row>
    <row r="29" spans="1:72" x14ac:dyDescent="0.35">
      <c r="A29" t="s">
        <v>251</v>
      </c>
      <c r="B29">
        <v>68.400000000000006</v>
      </c>
      <c r="C29">
        <v>116.16</v>
      </c>
      <c r="D29">
        <v>12.7</v>
      </c>
      <c r="E29">
        <v>21.61</v>
      </c>
      <c r="G29" s="12" t="s">
        <v>170</v>
      </c>
      <c r="H29" s="10">
        <v>82609.307998180884</v>
      </c>
      <c r="I29" s="10">
        <v>32935.182999523611</v>
      </c>
      <c r="J29" s="10">
        <f t="shared" si="0"/>
        <v>2720752.676384097</v>
      </c>
      <c r="L29" s="10">
        <f t="shared" si="1"/>
        <v>32935.182999523611</v>
      </c>
      <c r="M29">
        <f t="shared" si="2"/>
        <v>21.61</v>
      </c>
      <c r="N29" s="13">
        <f t="shared" si="3"/>
        <v>6.561372378077443E-4</v>
      </c>
      <c r="P29">
        <v>1147.8287858744766</v>
      </c>
      <c r="Q29">
        <v>-0.14000000000000001</v>
      </c>
      <c r="R29">
        <v>-1.2196941017935931E-4</v>
      </c>
      <c r="S29">
        <f t="shared" si="12"/>
        <v>7.0456274245325297</v>
      </c>
      <c r="T29">
        <f t="shared" si="13"/>
        <v>-9.0117402809053626</v>
      </c>
      <c r="V29" s="2" t="s">
        <v>26</v>
      </c>
      <c r="W29" s="2">
        <v>0.63995912002747313</v>
      </c>
      <c r="AG29" t="str">
        <f>regions!A66</f>
        <v>Germany</v>
      </c>
      <c r="AH29">
        <f>regions!B66</f>
        <v>81776930</v>
      </c>
      <c r="AI29">
        <f>regions!C66</f>
        <v>2954359050887.9268</v>
      </c>
      <c r="AJ29">
        <f>regions!D66</f>
        <v>36127.047700224583</v>
      </c>
      <c r="AK29">
        <f>regions!X66</f>
        <v>8.4</v>
      </c>
      <c r="AL29" s="13">
        <f t="shared" si="4"/>
        <v>3.5153716698309257E-4</v>
      </c>
      <c r="AM29" s="13">
        <f t="shared" si="5"/>
        <v>5.9816678570902607E-4</v>
      </c>
      <c r="AO29" s="13">
        <v>3.5153716698309257E-4</v>
      </c>
      <c r="AP29">
        <v>36127.047700224583</v>
      </c>
      <c r="AQ29">
        <v>8.4</v>
      </c>
      <c r="AR29" s="13">
        <v>-4.8779588127812573E-5</v>
      </c>
      <c r="AS29">
        <v>2870.0529334764196</v>
      </c>
      <c r="AT29">
        <v>6.9</v>
      </c>
      <c r="AU29">
        <f>LN(AO29)</f>
        <v>-7.9531951140869657</v>
      </c>
      <c r="AV29">
        <f t="shared" si="7"/>
        <v>10.494797107551511</v>
      </c>
      <c r="AW29">
        <f t="shared" si="8"/>
        <v>8.4</v>
      </c>
      <c r="AX29">
        <f t="shared" si="9"/>
        <v>-9.9281986086764231</v>
      </c>
      <c r="AY29">
        <f t="shared" si="10"/>
        <v>7.9620857523035902</v>
      </c>
      <c r="AZ29">
        <f t="shared" si="11"/>
        <v>6.9</v>
      </c>
      <c r="BB29" s="2" t="s">
        <v>25</v>
      </c>
      <c r="BC29" s="2">
        <v>0.47780360609578049</v>
      </c>
      <c r="BL29" s="2" t="s">
        <v>25</v>
      </c>
      <c r="BM29" s="2">
        <v>0.47885493714997995</v>
      </c>
    </row>
    <row r="30" spans="1:72" x14ac:dyDescent="0.35">
      <c r="A30" t="s">
        <v>252</v>
      </c>
      <c r="B30">
        <v>104.32</v>
      </c>
      <c r="C30">
        <v>168.62</v>
      </c>
      <c r="D30">
        <v>71.36</v>
      </c>
      <c r="E30">
        <v>119.54</v>
      </c>
      <c r="G30" s="12" t="s">
        <v>252</v>
      </c>
      <c r="H30" s="10">
        <v>21859.664138598495</v>
      </c>
      <c r="I30" s="10">
        <v>452.65477884807916</v>
      </c>
      <c r="J30" s="10">
        <f t="shared" si="0"/>
        <v>9894.881436350588</v>
      </c>
      <c r="L30" s="10">
        <f t="shared" si="1"/>
        <v>452.65477884807916</v>
      </c>
      <c r="M30">
        <f t="shared" si="2"/>
        <v>119.54</v>
      </c>
      <c r="N30" s="13">
        <f t="shared" si="3"/>
        <v>0.26408646409125891</v>
      </c>
      <c r="P30">
        <v>32935.182999523611</v>
      </c>
      <c r="Q30">
        <v>21.61</v>
      </c>
      <c r="R30">
        <v>6.561372378077443E-4</v>
      </c>
      <c r="S30">
        <f t="shared" si="12"/>
        <v>10.40229675744386</v>
      </c>
      <c r="T30">
        <f>LN(R30)</f>
        <v>-7.3291405869250648</v>
      </c>
      <c r="V30" s="2" t="s">
        <v>27</v>
      </c>
      <c r="W30" s="2">
        <v>0.99306619777502281</v>
      </c>
      <c r="AG30" t="str">
        <f>regions!A67</f>
        <v>Ghana</v>
      </c>
      <c r="AH30">
        <f>regions!B67</f>
        <v>24262901</v>
      </c>
      <c r="AI30">
        <f>regions!C67</f>
        <v>14804825656.667994</v>
      </c>
      <c r="AJ30">
        <f>regions!D67</f>
        <v>610.18365679635724</v>
      </c>
      <c r="AK30">
        <f>regions!X67</f>
        <v>27.2</v>
      </c>
      <c r="AL30" s="13">
        <f t="shared" si="4"/>
        <v>0.11694839611840947</v>
      </c>
      <c r="AM30" s="13">
        <f t="shared" si="5"/>
        <v>0.19590822970844546</v>
      </c>
      <c r="AO30" s="13">
        <v>3.9720521761218806E-4</v>
      </c>
      <c r="AP30">
        <v>2870.0529334764196</v>
      </c>
      <c r="AQ30">
        <v>6.9</v>
      </c>
      <c r="AR30" s="13">
        <v>5.9816678570902607E-4</v>
      </c>
      <c r="AS30">
        <v>36127.047700224583</v>
      </c>
      <c r="AT30">
        <v>8.4</v>
      </c>
      <c r="AU30">
        <f t="shared" ref="AU30:AU69" si="14">LN(AO30)</f>
        <v>-7.8310574898971863</v>
      </c>
      <c r="AV30">
        <f t="shared" si="7"/>
        <v>7.9620857523035902</v>
      </c>
      <c r="AW30">
        <f t="shared" si="8"/>
        <v>6.9</v>
      </c>
      <c r="AX30">
        <f>LN(AR30)</f>
        <v>-7.4216409370327172</v>
      </c>
      <c r="AY30">
        <f t="shared" ref="AY30" si="15">LN(AS30)</f>
        <v>10.494797107551511</v>
      </c>
      <c r="AZ30">
        <f t="shared" ref="AZ30" si="16">AT30</f>
        <v>8.4</v>
      </c>
      <c r="BB30" s="2" t="s">
        <v>26</v>
      </c>
      <c r="BC30" s="2">
        <v>0.4644139549700313</v>
      </c>
      <c r="BL30" s="2" t="s">
        <v>26</v>
      </c>
      <c r="BM30" s="2">
        <v>0.45142624963155786</v>
      </c>
    </row>
    <row r="31" spans="1:72" ht="15" thickBot="1" x14ac:dyDescent="0.4">
      <c r="A31" t="s">
        <v>253</v>
      </c>
      <c r="B31">
        <v>56.15</v>
      </c>
      <c r="C31">
        <v>87.41</v>
      </c>
      <c r="D31">
        <v>-26.87</v>
      </c>
      <c r="E31">
        <v>-53.56</v>
      </c>
      <c r="G31" s="12"/>
      <c r="H31" s="10">
        <f t="shared" ref="H31" si="17">61.4/63.2*H84</f>
        <v>57934.17490031066</v>
      </c>
      <c r="I31" s="10">
        <v>23753.710002652209</v>
      </c>
      <c r="J31" s="10">
        <f t="shared" si="0"/>
        <v>1376151.5898249119</v>
      </c>
      <c r="L31" s="10">
        <f t="shared" si="1"/>
        <v>23753.710002652209</v>
      </c>
      <c r="M31">
        <f t="shared" si="2"/>
        <v>-53.56</v>
      </c>
      <c r="N31" s="13">
        <f t="shared" si="3"/>
        <v>-2.2548056701045768E-3</v>
      </c>
      <c r="P31">
        <v>31855.685984454816</v>
      </c>
      <c r="Q31">
        <v>32.880000000000003</v>
      </c>
      <c r="R31">
        <v>1.0321548252341839E-3</v>
      </c>
      <c r="S31">
        <f t="shared" si="12"/>
        <v>10.368971168911559</v>
      </c>
      <c r="T31">
        <f t="shared" ref="T31:T67" si="18">LN(R31)</f>
        <v>-6.8761065987235801</v>
      </c>
      <c r="V31" s="3" t="s">
        <v>28</v>
      </c>
      <c r="W31" s="3">
        <v>38</v>
      </c>
      <c r="AG31" t="str">
        <f>regions!A181</f>
        <v>United Kingdom</v>
      </c>
      <c r="AH31">
        <f>regions!B181</f>
        <v>62271177</v>
      </c>
      <c r="AI31">
        <f>regions!C181</f>
        <v>2360033739558.0132</v>
      </c>
      <c r="AJ31">
        <f>regions!D181</f>
        <v>37899.295520911917</v>
      </c>
      <c r="AK31">
        <f>regions!X181</f>
        <v>8.4</v>
      </c>
      <c r="AL31" s="13">
        <f t="shared" si="4"/>
        <v>-7.0898415473643261E-4</v>
      </c>
      <c r="AM31" s="13">
        <f t="shared" si="5"/>
        <v>-1.4132188808218581E-3</v>
      </c>
      <c r="AO31" s="13">
        <v>4.2615400122365013E-4</v>
      </c>
      <c r="AP31">
        <v>36747.279047091397</v>
      </c>
      <c r="AQ31">
        <v>9.6</v>
      </c>
      <c r="AR31" s="13">
        <v>8.9476012517456047E-4</v>
      </c>
      <c r="AS31">
        <v>36747.279047091397</v>
      </c>
      <c r="AT31">
        <v>9.6</v>
      </c>
      <c r="AU31">
        <f t="shared" si="14"/>
        <v>-7.7607097718023361</v>
      </c>
      <c r="AV31">
        <f t="shared" si="7"/>
        <v>10.511819462364993</v>
      </c>
      <c r="AW31">
        <f t="shared" si="8"/>
        <v>9.6</v>
      </c>
      <c r="AX31">
        <f t="shared" ref="AX31:AX68" si="19">LN(AR31)</f>
        <v>-7.018954892177014</v>
      </c>
      <c r="AY31">
        <f t="shared" ref="AY31:AY68" si="20">LN(AS31)</f>
        <v>10.511819462364993</v>
      </c>
      <c r="AZ31">
        <f t="shared" ref="AZ31:AZ68" si="21">AT31</f>
        <v>9.6</v>
      </c>
      <c r="BB31" s="2" t="s">
        <v>27</v>
      </c>
      <c r="BC31" s="2">
        <v>1.1959139528231579</v>
      </c>
      <c r="BL31" s="2" t="s">
        <v>27</v>
      </c>
      <c r="BM31" s="2">
        <v>1.210327267805595</v>
      </c>
    </row>
    <row r="32" spans="1:72" ht="15" thickBot="1" x14ac:dyDescent="0.4">
      <c r="A32" t="s">
        <v>176</v>
      </c>
      <c r="B32">
        <v>195.3</v>
      </c>
      <c r="C32">
        <v>336.09</v>
      </c>
      <c r="D32">
        <v>158.88999999999999</v>
      </c>
      <c r="E32">
        <v>273.70999999999998</v>
      </c>
      <c r="G32" s="12" t="s">
        <v>176</v>
      </c>
      <c r="H32" s="10">
        <v>9789.2152361813314</v>
      </c>
      <c r="I32" s="10">
        <v>6564.7883670885658</v>
      </c>
      <c r="J32" s="10">
        <f t="shared" si="0"/>
        <v>64264.126305409351</v>
      </c>
      <c r="L32" s="10">
        <f t="shared" si="1"/>
        <v>6564.7883670885658</v>
      </c>
      <c r="M32">
        <f t="shared" si="2"/>
        <v>273.70999999999998</v>
      </c>
      <c r="N32" s="13">
        <f t="shared" si="3"/>
        <v>4.1693651751547371E-2</v>
      </c>
      <c r="P32">
        <v>23753.710002652209</v>
      </c>
      <c r="Q32">
        <v>34.86</v>
      </c>
      <c r="R32">
        <v>1.4675602251651521E-3</v>
      </c>
      <c r="S32">
        <f t="shared" si="12"/>
        <v>10.075494007901163</v>
      </c>
      <c r="T32">
        <f t="shared" si="18"/>
        <v>-6.5241539678092888</v>
      </c>
      <c r="AG32" t="str">
        <f>regions!A77</f>
        <v>Hungary</v>
      </c>
      <c r="AH32">
        <f>regions!B77</f>
        <v>10000023</v>
      </c>
      <c r="AI32">
        <f>regions!C77</f>
        <v>109264940823.83978</v>
      </c>
      <c r="AJ32">
        <f>regions!D77</f>
        <v>10926.468951505391</v>
      </c>
      <c r="AK32">
        <f>regions!X77</f>
        <v>9.8000000000000007</v>
      </c>
      <c r="AL32" s="13">
        <f t="shared" si="4"/>
        <v>1.4541751841806953E-2</v>
      </c>
      <c r="AM32" s="13">
        <f t="shared" si="5"/>
        <v>2.5050178718742405E-2</v>
      </c>
      <c r="AO32" s="13">
        <v>4.664994363877978E-4</v>
      </c>
      <c r="AP32">
        <v>37899.295520911917</v>
      </c>
      <c r="AQ32">
        <v>8.4</v>
      </c>
      <c r="AR32" s="13">
        <v>9.1980601541168734E-4</v>
      </c>
      <c r="AS32">
        <v>37899.295520911917</v>
      </c>
      <c r="AT32">
        <v>8.4</v>
      </c>
      <c r="AU32">
        <f t="shared" si="14"/>
        <v>-7.6702537458495286</v>
      </c>
      <c r="AV32">
        <f t="shared" si="7"/>
        <v>10.542687803059026</v>
      </c>
      <c r="AW32">
        <f t="shared" si="8"/>
        <v>8.4</v>
      </c>
      <c r="AX32">
        <f t="shared" si="19"/>
        <v>-6.991347762967151</v>
      </c>
      <c r="AY32">
        <f t="shared" si="20"/>
        <v>10.542687803059026</v>
      </c>
      <c r="AZ32">
        <f t="shared" si="21"/>
        <v>8.4</v>
      </c>
      <c r="BB32" s="3" t="s">
        <v>28</v>
      </c>
      <c r="BC32" s="3">
        <v>41</v>
      </c>
      <c r="BL32" s="3" t="s">
        <v>28</v>
      </c>
      <c r="BM32" s="3">
        <v>41</v>
      </c>
    </row>
    <row r="33" spans="1:72" ht="15" thickBot="1" x14ac:dyDescent="0.4">
      <c r="A33" t="s">
        <v>177</v>
      </c>
      <c r="B33">
        <v>-87.27</v>
      </c>
      <c r="C33">
        <v>-152.52000000000001</v>
      </c>
      <c r="D33">
        <v>-188.69</v>
      </c>
      <c r="E33">
        <v>-323.89999999999998</v>
      </c>
      <c r="G33" s="12" t="s">
        <v>177</v>
      </c>
      <c r="H33" s="10">
        <v>293.08460518486129</v>
      </c>
      <c r="I33" s="10">
        <v>30847.065455033273</v>
      </c>
      <c r="J33" s="10">
        <f t="shared" si="0"/>
        <v>9040.7999999999993</v>
      </c>
      <c r="L33" s="10">
        <f t="shared" si="1"/>
        <v>30847.065455033273</v>
      </c>
      <c r="M33">
        <f t="shared" si="2"/>
        <v>-323.89999999999998</v>
      </c>
      <c r="N33" s="13">
        <f t="shared" si="3"/>
        <v>-1.0500188436795036E-2</v>
      </c>
      <c r="P33">
        <v>32877.970921224914</v>
      </c>
      <c r="Q33">
        <v>57.42</v>
      </c>
      <c r="R33">
        <v>1.7464581417623792E-3</v>
      </c>
      <c r="S33">
        <f t="shared" si="12"/>
        <v>10.400558135624296</v>
      </c>
      <c r="T33">
        <f t="shared" si="18"/>
        <v>-6.3501654609313789</v>
      </c>
      <c r="V33" t="s">
        <v>29</v>
      </c>
      <c r="AG33" t="str">
        <f>regions!A78</f>
        <v>Iceland</v>
      </c>
      <c r="AH33">
        <f>regions!B78</f>
        <v>318041</v>
      </c>
      <c r="AI33">
        <f>regions!C78</f>
        <v>16388138908.052595</v>
      </c>
      <c r="AJ33">
        <f>regions!D78</f>
        <v>51528.384416011126</v>
      </c>
      <c r="AK33">
        <f>regions!X78</f>
        <v>1.7</v>
      </c>
      <c r="AL33" s="13">
        <f t="shared" si="4"/>
        <v>-3.6618652445344164E-3</v>
      </c>
      <c r="AM33" s="13">
        <f t="shared" si="5"/>
        <v>-6.2858559155477105E-3</v>
      </c>
      <c r="AO33" s="13">
        <v>5.596958067669186E-4</v>
      </c>
      <c r="AP33">
        <v>43952.446494287382</v>
      </c>
      <c r="AQ33">
        <v>8.5</v>
      </c>
      <c r="AR33" s="13">
        <v>1.3064119196974173E-3</v>
      </c>
      <c r="AS33">
        <v>43952.446494287382</v>
      </c>
      <c r="AT33">
        <v>8.5</v>
      </c>
      <c r="AU33">
        <f t="shared" si="14"/>
        <v>-7.4881171240247753</v>
      </c>
      <c r="AV33">
        <f t="shared" si="7"/>
        <v>10.690863566963092</v>
      </c>
      <c r="AW33">
        <f t="shared" si="8"/>
        <v>8.5</v>
      </c>
      <c r="AX33">
        <f t="shared" si="19"/>
        <v>-6.6404708922701747</v>
      </c>
      <c r="AY33">
        <f t="shared" si="20"/>
        <v>10.690863566963092</v>
      </c>
      <c r="AZ33">
        <f t="shared" si="21"/>
        <v>8.5</v>
      </c>
    </row>
    <row r="34" spans="1:72" ht="15" thickBot="1" x14ac:dyDescent="0.4">
      <c r="A34" t="s">
        <v>178</v>
      </c>
      <c r="B34">
        <v>43.48</v>
      </c>
      <c r="C34">
        <v>78.540000000000006</v>
      </c>
      <c r="D34">
        <v>-28.52</v>
      </c>
      <c r="E34">
        <v>-43.86</v>
      </c>
      <c r="G34" s="12" t="s">
        <v>178</v>
      </c>
      <c r="H34" s="10">
        <v>1099541.9642679892</v>
      </c>
      <c r="I34" s="10">
        <v>535.90480305606241</v>
      </c>
      <c r="J34" s="10">
        <f t="shared" si="0"/>
        <v>589249.81981291273</v>
      </c>
      <c r="L34" s="10">
        <f t="shared" si="1"/>
        <v>535.90480305606241</v>
      </c>
      <c r="M34">
        <f t="shared" si="2"/>
        <v>-43.86</v>
      </c>
      <c r="N34" s="13">
        <f t="shared" si="3"/>
        <v>-8.1842894017525147E-2</v>
      </c>
      <c r="P34">
        <v>20892.739617468287</v>
      </c>
      <c r="Q34">
        <v>59.1</v>
      </c>
      <c r="R34">
        <v>2.8287338607612218E-3</v>
      </c>
      <c r="S34">
        <f t="shared" si="12"/>
        <v>9.9471569908761506</v>
      </c>
      <c r="T34">
        <f t="shared" si="18"/>
        <v>-5.8679260664640989</v>
      </c>
      <c r="V34" s="4"/>
      <c r="W34" s="4" t="s">
        <v>34</v>
      </c>
      <c r="X34" s="4" t="s">
        <v>35</v>
      </c>
      <c r="Y34" s="4" t="s">
        <v>36</v>
      </c>
      <c r="Z34" s="4" t="s">
        <v>37</v>
      </c>
      <c r="AA34" s="4" t="s">
        <v>38</v>
      </c>
      <c r="AG34" t="str">
        <f>regions!A79</f>
        <v>India</v>
      </c>
      <c r="AH34">
        <f>regions!B79</f>
        <v>1205624648</v>
      </c>
      <c r="AI34">
        <f>regions!C79</f>
        <v>1243675499465.8105</v>
      </c>
      <c r="AJ34">
        <f>regions!D79</f>
        <v>1031.5611094455749</v>
      </c>
      <c r="AK34">
        <f>regions!X79</f>
        <v>23.7</v>
      </c>
      <c r="AL34" s="13">
        <f t="shared" si="4"/>
        <v>-2.7647416850881887E-2</v>
      </c>
      <c r="AM34" s="13">
        <f t="shared" si="5"/>
        <v>-4.251808215566899E-2</v>
      </c>
      <c r="AO34" s="13">
        <v>1.4022953615925868E-3</v>
      </c>
      <c r="AP34">
        <v>27483.511003152802</v>
      </c>
      <c r="AQ34">
        <v>10.5</v>
      </c>
      <c r="AR34" s="13">
        <v>2.1503802768583782E-3</v>
      </c>
      <c r="AS34">
        <v>27483.511003152802</v>
      </c>
      <c r="AT34">
        <v>10.5</v>
      </c>
      <c r="AU34">
        <f t="shared" si="14"/>
        <v>-6.5696448409511898</v>
      </c>
      <c r="AV34">
        <f t="shared" si="7"/>
        <v>10.22134150393741</v>
      </c>
      <c r="AW34">
        <f t="shared" si="8"/>
        <v>10.5</v>
      </c>
      <c r="AX34">
        <f t="shared" si="19"/>
        <v>-6.1421105795253581</v>
      </c>
      <c r="AY34">
        <f t="shared" si="20"/>
        <v>10.22134150393741</v>
      </c>
      <c r="AZ34">
        <f t="shared" si="21"/>
        <v>10.5</v>
      </c>
      <c r="BB34" t="s">
        <v>29</v>
      </c>
      <c r="BL34" t="s">
        <v>29</v>
      </c>
    </row>
    <row r="35" spans="1:72" x14ac:dyDescent="0.35">
      <c r="A35" t="s">
        <v>181</v>
      </c>
      <c r="B35">
        <v>74.31</v>
      </c>
      <c r="C35">
        <v>121.66</v>
      </c>
      <c r="D35">
        <v>-28.35</v>
      </c>
      <c r="E35">
        <v>-53.14</v>
      </c>
      <c r="G35" s="12" t="s">
        <v>181</v>
      </c>
      <c r="H35" s="10">
        <v>4052.3110053210526</v>
      </c>
      <c r="I35" s="10">
        <v>32086.297825579641</v>
      </c>
      <c r="J35" s="10">
        <f t="shared" si="0"/>
        <v>130023.65779860533</v>
      </c>
      <c r="L35" s="10">
        <f t="shared" si="1"/>
        <v>32086.297825579641</v>
      </c>
      <c r="M35">
        <f t="shared" si="2"/>
        <v>-53.14</v>
      </c>
      <c r="N35" s="13">
        <f t="shared" si="3"/>
        <v>-1.6561586596517861E-3</v>
      </c>
      <c r="P35">
        <v>14676.593202656628</v>
      </c>
      <c r="Q35">
        <v>60.37</v>
      </c>
      <c r="R35">
        <v>4.113352408587052E-3</v>
      </c>
      <c r="S35">
        <f t="shared" si="12"/>
        <v>9.5940092045722256</v>
      </c>
      <c r="T35">
        <f t="shared" si="18"/>
        <v>-5.4935169117638907</v>
      </c>
      <c r="V35" s="2" t="s">
        <v>30</v>
      </c>
      <c r="W35" s="2">
        <v>1</v>
      </c>
      <c r="X35" s="2">
        <v>65.843432100133384</v>
      </c>
      <c r="Y35" s="2">
        <v>65.843432100133384</v>
      </c>
      <c r="Z35" s="2">
        <v>66.766108123120134</v>
      </c>
      <c r="AA35" s="2">
        <v>1.0199951130910219E-9</v>
      </c>
      <c r="AG35" t="str">
        <f>regions!A83</f>
        <v>Ireland</v>
      </c>
      <c r="AH35">
        <f>regions!B83</f>
        <v>4474356</v>
      </c>
      <c r="AI35">
        <f>regions!C83</f>
        <v>203306959563.6236</v>
      </c>
      <c r="AJ35">
        <f>regions!D83</f>
        <v>45438.261855700264</v>
      </c>
      <c r="AK35">
        <f>regions!X83</f>
        <v>9.3000000000000007</v>
      </c>
      <c r="AL35" s="13">
        <f t="shared" si="4"/>
        <v>-6.2392351384460963E-4</v>
      </c>
      <c r="AM35" s="13">
        <f t="shared" si="5"/>
        <v>-1.1694989603422419E-3</v>
      </c>
      <c r="AO35" s="13">
        <v>1.8216955838933685E-3</v>
      </c>
      <c r="AP35">
        <v>20782.83569150712</v>
      </c>
      <c r="AQ35">
        <v>25.2</v>
      </c>
      <c r="AR35" s="13">
        <v>2.9048009086012319E-3</v>
      </c>
      <c r="AS35">
        <v>20782.83569150712</v>
      </c>
      <c r="AT35">
        <v>25.2</v>
      </c>
      <c r="AU35">
        <f t="shared" si="14"/>
        <v>-6.3079875720983116</v>
      </c>
      <c r="AV35">
        <f t="shared" si="7"/>
        <v>9.9418827178794889</v>
      </c>
      <c r="AW35">
        <f t="shared" si="8"/>
        <v>25.2</v>
      </c>
      <c r="AX35">
        <f t="shared" si="19"/>
        <v>-5.8413904250711539</v>
      </c>
      <c r="AY35">
        <f t="shared" si="20"/>
        <v>9.9418827178794889</v>
      </c>
      <c r="AZ35">
        <f t="shared" si="21"/>
        <v>25.2</v>
      </c>
      <c r="BB35" s="4"/>
      <c r="BC35" s="4" t="s">
        <v>34</v>
      </c>
      <c r="BD35" s="4" t="s">
        <v>35</v>
      </c>
      <c r="BE35" s="4" t="s">
        <v>36</v>
      </c>
      <c r="BF35" s="4" t="s">
        <v>37</v>
      </c>
      <c r="BG35" s="4" t="s">
        <v>38</v>
      </c>
      <c r="BL35" s="4"/>
      <c r="BM35" s="4" t="s">
        <v>34</v>
      </c>
      <c r="BN35" s="4" t="s">
        <v>35</v>
      </c>
      <c r="BO35" s="4" t="s">
        <v>36</v>
      </c>
      <c r="BP35" s="4" t="s">
        <v>37</v>
      </c>
      <c r="BQ35" s="4" t="s">
        <v>38</v>
      </c>
    </row>
    <row r="36" spans="1:72" x14ac:dyDescent="0.35">
      <c r="A36" t="s">
        <v>182</v>
      </c>
      <c r="B36">
        <v>254.62</v>
      </c>
      <c r="C36">
        <v>427.9</v>
      </c>
      <c r="D36">
        <v>241.48</v>
      </c>
      <c r="E36">
        <v>401.53</v>
      </c>
      <c r="G36" s="12" t="s">
        <v>182</v>
      </c>
      <c r="H36" s="10">
        <v>6710.6554715151096</v>
      </c>
      <c r="I36" s="10">
        <v>20504.055171514665</v>
      </c>
      <c r="J36" s="10">
        <f t="shared" si="0"/>
        <v>137595.65002497257</v>
      </c>
      <c r="L36" s="10">
        <f t="shared" si="1"/>
        <v>20504.055171514665</v>
      </c>
      <c r="M36">
        <f t="shared" si="2"/>
        <v>401.53</v>
      </c>
      <c r="N36" s="13">
        <f t="shared" si="3"/>
        <v>1.9582955500325957E-2</v>
      </c>
      <c r="P36">
        <v>26746.018818196153</v>
      </c>
      <c r="Q36">
        <v>128</v>
      </c>
      <c r="R36">
        <v>4.7857589897797271E-3</v>
      </c>
      <c r="S36">
        <f t="shared" si="12"/>
        <v>10.194140912021671</v>
      </c>
      <c r="T36">
        <f t="shared" si="18"/>
        <v>-5.3421106481020555</v>
      </c>
      <c r="V36" s="2" t="s">
        <v>31</v>
      </c>
      <c r="W36" s="2">
        <v>36</v>
      </c>
      <c r="X36" s="2">
        <v>35.502497033880267</v>
      </c>
      <c r="Y36" s="2">
        <v>0.98618047316334079</v>
      </c>
      <c r="Z36" s="2"/>
      <c r="AA36" s="2"/>
      <c r="AG36" t="str">
        <f>regions!A84</f>
        <v>Israel</v>
      </c>
      <c r="AH36">
        <f>regions!B84</f>
        <v>7623600</v>
      </c>
      <c r="AI36">
        <f>regions!C84</f>
        <v>169010664818.13025</v>
      </c>
      <c r="AJ36">
        <f>regions!D84</f>
        <v>22169.403538765182</v>
      </c>
      <c r="AK36">
        <f>regions!X84</f>
        <v>19.2</v>
      </c>
      <c r="AL36" s="13">
        <f t="shared" si="4"/>
        <v>1.0892489713480592E-2</v>
      </c>
      <c r="AM36" s="13">
        <f t="shared" si="5"/>
        <v>1.8111899099941452E-2</v>
      </c>
      <c r="AO36" s="13">
        <v>2.1615875071872006E-3</v>
      </c>
      <c r="AP36">
        <v>36140.105242213795</v>
      </c>
      <c r="AQ36">
        <v>21.6</v>
      </c>
      <c r="AR36" s="13">
        <v>3.5417716451607998E-3</v>
      </c>
      <c r="AS36">
        <v>36140.105242213795</v>
      </c>
      <c r="AT36">
        <v>21.6</v>
      </c>
      <c r="AU36">
        <f t="shared" si="14"/>
        <v>-6.1369123702036115</v>
      </c>
      <c r="AV36">
        <f t="shared" si="7"/>
        <v>10.49515847621209</v>
      </c>
      <c r="AW36">
        <f t="shared" si="8"/>
        <v>21.6</v>
      </c>
      <c r="AX36">
        <f t="shared" si="19"/>
        <v>-5.6431282122924724</v>
      </c>
      <c r="AY36">
        <f t="shared" si="20"/>
        <v>10.49515847621209</v>
      </c>
      <c r="AZ36">
        <f t="shared" si="21"/>
        <v>21.6</v>
      </c>
      <c r="BB36" s="2" t="s">
        <v>30</v>
      </c>
      <c r="BC36" s="2">
        <v>1</v>
      </c>
      <c r="BD36" s="2">
        <v>51.036399401515737</v>
      </c>
      <c r="BE36" s="2">
        <v>51.036399401515737</v>
      </c>
      <c r="BF36" s="2">
        <v>35.684544847993187</v>
      </c>
      <c r="BG36" s="2">
        <v>5.6342622248961788E-7</v>
      </c>
      <c r="BL36" s="2" t="s">
        <v>30</v>
      </c>
      <c r="BM36" s="2">
        <v>2</v>
      </c>
      <c r="BN36" s="2">
        <v>51.148696903880307</v>
      </c>
      <c r="BO36" s="2">
        <v>25.574348451940153</v>
      </c>
      <c r="BP36" s="2">
        <v>17.458179026187945</v>
      </c>
      <c r="BQ36" s="2">
        <v>4.1899990792295716E-6</v>
      </c>
    </row>
    <row r="37" spans="1:72" ht="15" thickBot="1" x14ac:dyDescent="0.4">
      <c r="A37" t="s">
        <v>183</v>
      </c>
      <c r="B37">
        <v>187.25</v>
      </c>
      <c r="C37">
        <v>309.77</v>
      </c>
      <c r="D37">
        <v>203.77</v>
      </c>
      <c r="E37">
        <v>337.37</v>
      </c>
      <c r="G37" s="12" t="s">
        <v>183</v>
      </c>
      <c r="H37" s="10">
        <v>57365.15858339853</v>
      </c>
      <c r="I37" s="10">
        <v>21678.346910582142</v>
      </c>
      <c r="J37" s="10">
        <f t="shared" si="0"/>
        <v>1243581.8083514723</v>
      </c>
      <c r="L37" s="10">
        <f t="shared" ref="L37:L69" si="22">I37</f>
        <v>21678.346910582142</v>
      </c>
      <c r="M37">
        <f t="shared" ref="M37:M69" si="23">E37</f>
        <v>337.37</v>
      </c>
      <c r="N37" s="13">
        <f t="shared" si="3"/>
        <v>1.5562533499051769E-2</v>
      </c>
      <c r="P37">
        <v>47119.092553661976</v>
      </c>
      <c r="Q37">
        <v>258.02</v>
      </c>
      <c r="R37">
        <v>5.475911907814263E-3</v>
      </c>
      <c r="S37">
        <f t="shared" si="12"/>
        <v>10.760433559941003</v>
      </c>
      <c r="T37">
        <f t="shared" si="18"/>
        <v>-5.2073964586440118</v>
      </c>
      <c r="V37" s="3" t="s">
        <v>32</v>
      </c>
      <c r="W37" s="3">
        <v>37</v>
      </c>
      <c r="X37" s="3">
        <v>101.34592913401366</v>
      </c>
      <c r="Y37" s="3"/>
      <c r="Z37" s="3"/>
      <c r="AA37" s="3"/>
      <c r="AG37" t="str">
        <f>regions!A85</f>
        <v>Italy</v>
      </c>
      <c r="AH37">
        <f>regions!B85</f>
        <v>60483385</v>
      </c>
      <c r="AI37">
        <f>regions!C85</f>
        <v>1763885790470.2776</v>
      </c>
      <c r="AJ37">
        <f>regions!D85</f>
        <v>29163.146051932734</v>
      </c>
      <c r="AK37">
        <f>regions!X85</f>
        <v>13.4</v>
      </c>
      <c r="AL37" s="13">
        <f t="shared" si="4"/>
        <v>6.9872434077288288E-3</v>
      </c>
      <c r="AM37" s="13">
        <f t="shared" si="5"/>
        <v>1.1568367809125362E-2</v>
      </c>
      <c r="AO37" s="13">
        <v>2.5986835656181153E-3</v>
      </c>
      <c r="AP37">
        <v>10035.850591834826</v>
      </c>
      <c r="AQ37">
        <v>7.8</v>
      </c>
      <c r="AR37" s="13">
        <v>3.6379577063158511E-3</v>
      </c>
      <c r="AS37">
        <v>10035.850591834826</v>
      </c>
      <c r="AT37">
        <v>7.8</v>
      </c>
      <c r="AU37">
        <f t="shared" si="14"/>
        <v>-5.9527502830945282</v>
      </c>
      <c r="AV37">
        <f t="shared" si="7"/>
        <v>9.2139190201529804</v>
      </c>
      <c r="AW37">
        <f t="shared" si="8"/>
        <v>7.8</v>
      </c>
      <c r="AX37">
        <f t="shared" si="19"/>
        <v>-5.6163328244854354</v>
      </c>
      <c r="AY37">
        <f t="shared" si="20"/>
        <v>9.2139190201529804</v>
      </c>
      <c r="AZ37">
        <f t="shared" si="21"/>
        <v>7.8</v>
      </c>
      <c r="BB37" s="2" t="s">
        <v>31</v>
      </c>
      <c r="BC37" s="2">
        <v>39</v>
      </c>
      <c r="BD37" s="2">
        <v>55.778197119727309</v>
      </c>
      <c r="BE37" s="2">
        <v>1.4302101825571105</v>
      </c>
      <c r="BF37" s="2"/>
      <c r="BG37" s="2"/>
      <c r="BL37" s="2" t="s">
        <v>31</v>
      </c>
      <c r="BM37" s="2">
        <v>38</v>
      </c>
      <c r="BN37" s="2">
        <v>55.66589961736274</v>
      </c>
      <c r="BO37" s="2">
        <v>1.4648920951937563</v>
      </c>
      <c r="BP37" s="2"/>
      <c r="BQ37" s="2"/>
    </row>
    <row r="38" spans="1:72" ht="15" thickBot="1" x14ac:dyDescent="0.4">
      <c r="A38" t="s">
        <v>90</v>
      </c>
      <c r="B38">
        <v>25.24</v>
      </c>
      <c r="C38">
        <v>40.229999999999997</v>
      </c>
      <c r="D38">
        <v>-81.790000000000006</v>
      </c>
      <c r="E38">
        <v>-142</v>
      </c>
      <c r="G38" s="12" t="s">
        <v>90</v>
      </c>
      <c r="H38" s="10">
        <v>128101.02224293424</v>
      </c>
      <c r="I38" s="10">
        <v>42866.15769262486</v>
      </c>
      <c r="J38" s="10">
        <f t="shared" si="0"/>
        <v>5491198.6200520638</v>
      </c>
      <c r="L38" s="10">
        <f t="shared" si="22"/>
        <v>42866.15769262486</v>
      </c>
      <c r="M38">
        <f t="shared" si="23"/>
        <v>-142</v>
      </c>
      <c r="N38" s="13">
        <f t="shared" si="3"/>
        <v>-3.3126365329550207E-3</v>
      </c>
      <c r="P38">
        <v>30932.980772138675</v>
      </c>
      <c r="Q38">
        <v>210.12</v>
      </c>
      <c r="R38">
        <v>6.792749833836092E-3</v>
      </c>
      <c r="S38">
        <f t="shared" si="12"/>
        <v>10.339578232588817</v>
      </c>
      <c r="T38">
        <f t="shared" si="18"/>
        <v>-4.991899436503056</v>
      </c>
      <c r="AG38" t="str">
        <f>regions!A86</f>
        <v>Japan</v>
      </c>
      <c r="AH38">
        <f>regions!B86</f>
        <v>127450459</v>
      </c>
      <c r="AI38">
        <f>regions!C86</f>
        <v>4648468621132.7568</v>
      </c>
      <c r="AJ38">
        <f>regions!D86</f>
        <v>36472.749157637452</v>
      </c>
      <c r="AK38">
        <f>regions!X86</f>
        <v>11.1</v>
      </c>
      <c r="AL38" s="13">
        <f t="shared" si="4"/>
        <v>-2.2424961619015508E-3</v>
      </c>
      <c r="AM38" s="13">
        <f t="shared" si="5"/>
        <v>-3.8933177037537617E-3</v>
      </c>
      <c r="AO38" s="13">
        <v>2.6753748042716349E-3</v>
      </c>
      <c r="AP38">
        <v>54642.81108074497</v>
      </c>
      <c r="AQ38">
        <v>5.5</v>
      </c>
      <c r="AR38" s="13">
        <v>4.7219386209601697E-3</v>
      </c>
      <c r="AS38">
        <v>54642.81108074497</v>
      </c>
      <c r="AT38">
        <v>5.5</v>
      </c>
      <c r="AU38">
        <f t="shared" si="14"/>
        <v>-5.9236657947027762</v>
      </c>
      <c r="AV38">
        <f t="shared" si="7"/>
        <v>10.9085729402263</v>
      </c>
      <c r="AW38">
        <f t="shared" si="8"/>
        <v>5.5</v>
      </c>
      <c r="AX38">
        <f t="shared" si="19"/>
        <v>-5.3555358389293097</v>
      </c>
      <c r="AY38">
        <f t="shared" si="20"/>
        <v>10.9085729402263</v>
      </c>
      <c r="AZ38">
        <f t="shared" si="21"/>
        <v>5.5</v>
      </c>
      <c r="BB38" s="3" t="s">
        <v>32</v>
      </c>
      <c r="BC38" s="3">
        <v>40</v>
      </c>
      <c r="BD38" s="3">
        <v>106.81459652124305</v>
      </c>
      <c r="BE38" s="3"/>
      <c r="BF38" s="3"/>
      <c r="BG38" s="3"/>
      <c r="BL38" s="3" t="s">
        <v>32</v>
      </c>
      <c r="BM38" s="3">
        <v>40</v>
      </c>
      <c r="BN38" s="3">
        <v>106.81459652124305</v>
      </c>
      <c r="BO38" s="3"/>
      <c r="BP38" s="3"/>
      <c r="BQ38" s="3"/>
    </row>
    <row r="39" spans="1:72" ht="15" thickBot="1" x14ac:dyDescent="0.4">
      <c r="A39" t="s">
        <v>254</v>
      </c>
      <c r="B39">
        <v>-36.229999999999997</v>
      </c>
      <c r="C39">
        <v>-67.89</v>
      </c>
      <c r="D39">
        <v>-88.11</v>
      </c>
      <c r="E39">
        <v>-155.47</v>
      </c>
      <c r="G39" s="12" t="s">
        <v>254</v>
      </c>
      <c r="H39" s="10">
        <v>2264.2275311936382</v>
      </c>
      <c r="I39" s="10">
        <v>3814.5824821141455</v>
      </c>
      <c r="J39" s="10">
        <f t="shared" si="0"/>
        <v>8637.0826760118125</v>
      </c>
      <c r="L39" s="10">
        <f t="shared" si="22"/>
        <v>3814.5824821141455</v>
      </c>
      <c r="M39">
        <f t="shared" si="23"/>
        <v>-155.47</v>
      </c>
      <c r="N39" s="13">
        <f t="shared" si="3"/>
        <v>-4.0756754042931137E-2</v>
      </c>
      <c r="P39">
        <v>34598.698758536782</v>
      </c>
      <c r="Q39">
        <v>247.42</v>
      </c>
      <c r="R39">
        <v>7.1511359929093375E-3</v>
      </c>
      <c r="S39">
        <f t="shared" si="12"/>
        <v>10.451571352203837</v>
      </c>
      <c r="T39">
        <f t="shared" si="18"/>
        <v>-4.9404840547691515</v>
      </c>
      <c r="V39" s="4"/>
      <c r="W39" s="4" t="s">
        <v>39</v>
      </c>
      <c r="X39" s="4" t="s">
        <v>27</v>
      </c>
      <c r="Y39" s="4" t="s">
        <v>40</v>
      </c>
      <c r="Z39" s="4" t="s">
        <v>41</v>
      </c>
      <c r="AA39" s="4" t="s">
        <v>42</v>
      </c>
      <c r="AB39" s="4" t="s">
        <v>43</v>
      </c>
      <c r="AC39" s="4" t="s">
        <v>44</v>
      </c>
      <c r="AD39" s="4" t="s">
        <v>45</v>
      </c>
      <c r="AG39" t="str">
        <f>regions!A95</f>
        <v>Latvia</v>
      </c>
      <c r="AH39">
        <f>regions!B95</f>
        <v>2239008</v>
      </c>
      <c r="AI39">
        <f>regions!C95</f>
        <v>15502642580.339478</v>
      </c>
      <c r="AJ39">
        <f>regions!D95</f>
        <v>6923.8888741529627</v>
      </c>
      <c r="AK39">
        <f>regions!X95</f>
        <v>5.6</v>
      </c>
      <c r="AL39" s="13">
        <f t="shared" si="4"/>
        <v>-1.2725507529289887E-2</v>
      </c>
      <c r="AM39" s="13">
        <f t="shared" si="5"/>
        <v>-2.2454144314818961E-2</v>
      </c>
      <c r="AO39" s="13">
        <v>3.1387549066530314E-3</v>
      </c>
      <c r="AP39">
        <v>3937.8672013546661</v>
      </c>
      <c r="AQ39">
        <v>24.5</v>
      </c>
      <c r="AR39" s="13">
        <v>6.1985464788997073E-3</v>
      </c>
      <c r="AS39">
        <v>33898.26965325878</v>
      </c>
      <c r="AT39">
        <v>10.7</v>
      </c>
      <c r="AU39">
        <f t="shared" si="14"/>
        <v>-5.763929084243034</v>
      </c>
      <c r="AV39">
        <f t="shared" si="7"/>
        <v>8.2783945362725788</v>
      </c>
      <c r="AW39">
        <f t="shared" si="8"/>
        <v>24.5</v>
      </c>
      <c r="AX39">
        <f t="shared" si="19"/>
        <v>-5.0834404533033268</v>
      </c>
      <c r="AY39">
        <f t="shared" si="20"/>
        <v>10.431119249389088</v>
      </c>
      <c r="AZ39">
        <f t="shared" si="21"/>
        <v>10.7</v>
      </c>
    </row>
    <row r="40" spans="1:72" x14ac:dyDescent="0.35">
      <c r="A40" t="s">
        <v>255</v>
      </c>
      <c r="B40">
        <v>-36.229999999999997</v>
      </c>
      <c r="C40">
        <v>-67.89</v>
      </c>
      <c r="D40">
        <v>-76.73</v>
      </c>
      <c r="E40">
        <v>-136.53</v>
      </c>
      <c r="G40" s="12" t="s">
        <v>255</v>
      </c>
      <c r="H40" s="10">
        <v>3408.6194419861936</v>
      </c>
      <c r="I40" s="10">
        <v>3295.3774023161427</v>
      </c>
      <c r="J40" s="10">
        <f t="shared" si="0"/>
        <v>11232.687482216763</v>
      </c>
      <c r="L40" s="10">
        <f t="shared" si="22"/>
        <v>3295.3774023161427</v>
      </c>
      <c r="M40">
        <f t="shared" si="23"/>
        <v>-136.53</v>
      </c>
      <c r="N40" s="13">
        <f t="shared" si="3"/>
        <v>-4.1430762954203802E-2</v>
      </c>
      <c r="P40">
        <v>3908.1028275933168</v>
      </c>
      <c r="Q40">
        <v>36.51</v>
      </c>
      <c r="R40">
        <v>9.3421288053680881E-3</v>
      </c>
      <c r="S40">
        <f t="shared" si="12"/>
        <v>8.270807324892596</v>
      </c>
      <c r="T40">
        <f t="shared" si="18"/>
        <v>-4.6732211292250501</v>
      </c>
      <c r="V40" s="2" t="s">
        <v>33</v>
      </c>
      <c r="W40" s="2">
        <v>5.93440727762375</v>
      </c>
      <c r="X40" s="2">
        <v>1.1893595749474395</v>
      </c>
      <c r="Y40" s="2">
        <v>4.9895821269072513</v>
      </c>
      <c r="Z40" s="2">
        <v>1.5509865188966836E-5</v>
      </c>
      <c r="AA40" s="2">
        <v>3.5222742586641878</v>
      </c>
      <c r="AB40" s="2">
        <v>8.3465402965833118</v>
      </c>
      <c r="AC40" s="2">
        <v>3.5222742586641878</v>
      </c>
      <c r="AD40" s="2">
        <v>8.3465402965833118</v>
      </c>
      <c r="AG40" t="str">
        <f>regions!A100</f>
        <v>Lithuania</v>
      </c>
      <c r="AH40">
        <f>regions!B100</f>
        <v>3286820</v>
      </c>
      <c r="AI40">
        <f>regions!C100</f>
        <v>27346902406.20084</v>
      </c>
      <c r="AJ40">
        <f>regions!D100</f>
        <v>8320.1703793334709</v>
      </c>
      <c r="AK40">
        <f>regions!X100</f>
        <v>6.2</v>
      </c>
      <c r="AL40" s="13">
        <f t="shared" si="4"/>
        <v>-9.2221669150658481E-3</v>
      </c>
      <c r="AM40" s="13">
        <f t="shared" si="5"/>
        <v>-1.640951973040454E-2</v>
      </c>
      <c r="AO40" s="13">
        <v>3.1788586049895811E-3</v>
      </c>
      <c r="AP40">
        <v>38803.235792365253</v>
      </c>
      <c r="AQ40">
        <v>6.3</v>
      </c>
      <c r="AR40" s="13">
        <v>6.3762723635713186E-3</v>
      </c>
      <c r="AS40">
        <v>38803.235792365253</v>
      </c>
      <c r="AT40">
        <v>6.3</v>
      </c>
      <c r="AU40">
        <f t="shared" si="14"/>
        <v>-5.7512330758691315</v>
      </c>
      <c r="AV40">
        <f t="shared" si="7"/>
        <v>10.566258918844497</v>
      </c>
      <c r="AW40">
        <f t="shared" si="8"/>
        <v>6.3</v>
      </c>
      <c r="AX40">
        <f t="shared" si="19"/>
        <v>-5.0551716214098121</v>
      </c>
      <c r="AY40">
        <f t="shared" si="20"/>
        <v>10.566258918844497</v>
      </c>
      <c r="AZ40">
        <f t="shared" si="21"/>
        <v>6.3</v>
      </c>
      <c r="BB40" s="4"/>
      <c r="BC40" s="4" t="s">
        <v>39</v>
      </c>
      <c r="BD40" s="4" t="s">
        <v>27</v>
      </c>
      <c r="BE40" s="4" t="s">
        <v>40</v>
      </c>
      <c r="BF40" s="4" t="s">
        <v>41</v>
      </c>
      <c r="BG40" s="4" t="s">
        <v>42</v>
      </c>
      <c r="BH40" s="4" t="s">
        <v>43</v>
      </c>
      <c r="BI40" s="4" t="s">
        <v>44</v>
      </c>
      <c r="BJ40" s="4" t="s">
        <v>45</v>
      </c>
      <c r="BK40" s="4"/>
      <c r="BL40" s="4"/>
      <c r="BM40" s="4" t="s">
        <v>39</v>
      </c>
      <c r="BN40" s="4" t="s">
        <v>27</v>
      </c>
      <c r="BO40" s="4" t="s">
        <v>40</v>
      </c>
      <c r="BP40" s="4" t="s">
        <v>41</v>
      </c>
      <c r="BQ40" s="4" t="s">
        <v>42</v>
      </c>
      <c r="BR40" s="4" t="s">
        <v>43</v>
      </c>
      <c r="BS40" s="4" t="s">
        <v>44</v>
      </c>
      <c r="BT40" s="4" t="s">
        <v>45</v>
      </c>
    </row>
    <row r="41" spans="1:72" ht="15" thickBot="1" x14ac:dyDescent="0.4">
      <c r="A41" t="s">
        <v>256</v>
      </c>
      <c r="B41">
        <v>241.06</v>
      </c>
      <c r="C41">
        <v>417.26</v>
      </c>
      <c r="D41">
        <v>253.78</v>
      </c>
      <c r="E41">
        <v>440.66</v>
      </c>
      <c r="G41" s="12" t="s">
        <v>286</v>
      </c>
      <c r="H41" s="10">
        <v>2079.3580441040012</v>
      </c>
      <c r="I41" s="10">
        <v>2388.7196853606374</v>
      </c>
      <c r="J41" s="10">
        <f t="shared" si="0"/>
        <v>4967.0034928642208</v>
      </c>
      <c r="L41" s="10">
        <f t="shared" si="22"/>
        <v>2388.7196853606374</v>
      </c>
      <c r="M41">
        <f t="shared" si="23"/>
        <v>440.66</v>
      </c>
      <c r="N41" s="13">
        <f t="shared" si="3"/>
        <v>0.18447539185974904</v>
      </c>
      <c r="P41">
        <v>1315.8639008391624</v>
      </c>
      <c r="Q41">
        <v>14.47</v>
      </c>
      <c r="R41">
        <v>1.099657798254978E-2</v>
      </c>
      <c r="S41">
        <f t="shared" si="12"/>
        <v>7.182248687721942</v>
      </c>
      <c r="T41">
        <f t="shared" si="18"/>
        <v>-4.510171147078549</v>
      </c>
      <c r="V41" s="3" t="s">
        <v>46</v>
      </c>
      <c r="W41" s="3">
        <v>-1.0970700322785458</v>
      </c>
      <c r="X41" s="3">
        <v>0.13426299206595693</v>
      </c>
      <c r="Y41" s="3">
        <v>-8.1710530608435139</v>
      </c>
      <c r="Z41" s="3">
        <v>1.0199951130910179E-9</v>
      </c>
      <c r="AA41" s="3">
        <v>-1.369368001041199</v>
      </c>
      <c r="AB41" s="3">
        <v>-0.82477206351589261</v>
      </c>
      <c r="AC41" s="3">
        <v>-1.369368001041199</v>
      </c>
      <c r="AD41" s="3">
        <v>-0.82477206351589261</v>
      </c>
      <c r="AG41" t="str">
        <f>regions!A103</f>
        <v>Macedonia [FYROM]</v>
      </c>
      <c r="AH41">
        <f>regions!B103</f>
        <v>2102216</v>
      </c>
      <c r="AI41">
        <f>regions!C103</f>
        <v>7140636379.2323322</v>
      </c>
      <c r="AJ41">
        <f>regions!D103</f>
        <v>3396.7186907683758</v>
      </c>
      <c r="AK41">
        <f>regions!X103</f>
        <v>9.8000000000000007</v>
      </c>
      <c r="AL41" s="13">
        <f t="shared" si="4"/>
        <v>7.4713281582524022E-2</v>
      </c>
      <c r="AM41" s="13">
        <f t="shared" si="5"/>
        <v>0.12973108464873134</v>
      </c>
      <c r="AO41" s="13">
        <v>3.651218816359303E-3</v>
      </c>
      <c r="AP41">
        <v>33898.26965325878</v>
      </c>
      <c r="AQ41">
        <v>10.7</v>
      </c>
      <c r="AR41" s="13">
        <v>7.3948659289430653E-3</v>
      </c>
      <c r="AS41">
        <v>3937.8672013546661</v>
      </c>
      <c r="AT41">
        <v>24.5</v>
      </c>
      <c r="AU41">
        <f t="shared" si="14"/>
        <v>-5.6126942448371571</v>
      </c>
      <c r="AV41">
        <f t="shared" si="7"/>
        <v>10.431119249389088</v>
      </c>
      <c r="AW41">
        <f t="shared" si="8"/>
        <v>10.7</v>
      </c>
      <c r="AX41">
        <f t="shared" si="19"/>
        <v>-4.9069693129440939</v>
      </c>
      <c r="AY41">
        <f t="shared" si="20"/>
        <v>8.2783945362725788</v>
      </c>
      <c r="AZ41">
        <f t="shared" si="21"/>
        <v>24.5</v>
      </c>
      <c r="BB41" s="2" t="s">
        <v>33</v>
      </c>
      <c r="BC41" s="2">
        <v>4.3779367626554748</v>
      </c>
      <c r="BD41" s="2">
        <v>1.5327656494736417</v>
      </c>
      <c r="BE41" s="2">
        <v>2.8562336089400731</v>
      </c>
      <c r="BF41" s="2">
        <v>6.8383542558634559E-3</v>
      </c>
      <c r="BG41" s="2">
        <v>1.2776256009208931</v>
      </c>
      <c r="BH41" s="2">
        <v>7.4782479243900566</v>
      </c>
      <c r="BI41" s="2">
        <v>1.2776256009208931</v>
      </c>
      <c r="BJ41" s="2">
        <v>7.4782479243900566</v>
      </c>
      <c r="BK41" s="2"/>
      <c r="BL41" s="2" t="s">
        <v>33</v>
      </c>
      <c r="BM41" s="2">
        <v>4.6878672787050997</v>
      </c>
      <c r="BN41" s="2">
        <v>1.9129504898619945</v>
      </c>
      <c r="BO41" s="2">
        <v>2.4505951949876628</v>
      </c>
      <c r="BP41" s="2">
        <v>1.8977020316379548E-2</v>
      </c>
      <c r="BQ41" s="2">
        <v>0.81530147117593366</v>
      </c>
      <c r="BR41" s="2">
        <v>8.5604330862342657</v>
      </c>
      <c r="BS41" s="2">
        <v>0.81530147117593366</v>
      </c>
      <c r="BT41" s="2">
        <v>8.5604330862342657</v>
      </c>
    </row>
    <row r="42" spans="1:72" ht="15" thickBot="1" x14ac:dyDescent="0.4">
      <c r="A42" t="s">
        <v>193</v>
      </c>
      <c r="B42">
        <v>142.38999999999999</v>
      </c>
      <c r="C42">
        <v>243.6</v>
      </c>
      <c r="D42">
        <v>166.08</v>
      </c>
      <c r="E42">
        <v>283.89</v>
      </c>
      <c r="G42" s="12" t="s">
        <v>193</v>
      </c>
      <c r="H42" s="10">
        <v>106629.37178983702</v>
      </c>
      <c r="I42" s="10">
        <v>3593.1832519659124</v>
      </c>
      <c r="J42" s="10">
        <f t="shared" si="0"/>
        <v>383138.87288288889</v>
      </c>
      <c r="L42" s="10">
        <f t="shared" si="22"/>
        <v>3593.1832519659124</v>
      </c>
      <c r="M42">
        <f t="shared" si="23"/>
        <v>283.89</v>
      </c>
      <c r="N42" s="13">
        <f t="shared" si="3"/>
        <v>7.9007938113002538E-2</v>
      </c>
      <c r="P42">
        <v>2276.2821403215912</v>
      </c>
      <c r="Q42">
        <v>29.12</v>
      </c>
      <c r="R42">
        <v>1.2792790262759762E-2</v>
      </c>
      <c r="S42">
        <f t="shared" si="12"/>
        <v>7.7302987507978571</v>
      </c>
      <c r="T42">
        <f t="shared" si="18"/>
        <v>-4.3588735274693722</v>
      </c>
      <c r="AG42" t="str">
        <f>regions!A113</f>
        <v>Mexico</v>
      </c>
      <c r="AH42">
        <f>regions!B113</f>
        <v>117886404</v>
      </c>
      <c r="AI42">
        <f>regions!C113</f>
        <v>953067840505.29358</v>
      </c>
      <c r="AJ42">
        <f>regions!D113</f>
        <v>8084.6290001796442</v>
      </c>
      <c r="AK42">
        <f>regions!X113</f>
        <v>21</v>
      </c>
      <c r="AL42" s="13">
        <f t="shared" si="4"/>
        <v>2.0542686621279671E-2</v>
      </c>
      <c r="AM42" s="13">
        <f t="shared" si="5"/>
        <v>3.5114783868708366E-2</v>
      </c>
      <c r="AO42" s="13">
        <v>6.365640006871451E-3</v>
      </c>
      <c r="AP42">
        <v>14130.550879864808</v>
      </c>
      <c r="AQ42">
        <v>7.2616868165431345</v>
      </c>
      <c r="AR42" s="13">
        <v>1.0311362264380628E-2</v>
      </c>
      <c r="AS42">
        <v>1403.3063361554944</v>
      </c>
      <c r="AT42">
        <v>25.8</v>
      </c>
      <c r="AU42">
        <f t="shared" si="14"/>
        <v>-5.0568405010659401</v>
      </c>
      <c r="AV42">
        <f t="shared" si="7"/>
        <v>9.5560944614624823</v>
      </c>
      <c r="AW42">
        <f t="shared" si="8"/>
        <v>7.2616868165431345</v>
      </c>
      <c r="AX42">
        <f t="shared" si="19"/>
        <v>-4.5745088592859275</v>
      </c>
      <c r="AY42">
        <f t="shared" si="20"/>
        <v>7.2465863999293196</v>
      </c>
      <c r="AZ42">
        <f t="shared" si="21"/>
        <v>25.8</v>
      </c>
      <c r="BB42" s="3" t="s">
        <v>46</v>
      </c>
      <c r="BC42" s="3">
        <v>-0.99248020886923283</v>
      </c>
      <c r="BD42" s="3">
        <v>0.16614289525602446</v>
      </c>
      <c r="BE42" s="3">
        <v>-5.9736542290287602</v>
      </c>
      <c r="BF42" s="3">
        <v>5.6342622248961651E-7</v>
      </c>
      <c r="BG42" s="3">
        <v>-1.3285359345322119</v>
      </c>
      <c r="BH42" s="3">
        <v>-0.65642448320625379</v>
      </c>
      <c r="BI42" s="3">
        <v>-1.3285359345322119</v>
      </c>
      <c r="BJ42" s="3">
        <v>-0.65642448320625379</v>
      </c>
      <c r="BK42" s="2"/>
      <c r="BL42" s="2" t="s">
        <v>46</v>
      </c>
      <c r="BM42" s="2">
        <v>-1.0135728597945466</v>
      </c>
      <c r="BN42" s="2">
        <v>0.18459804356147619</v>
      </c>
      <c r="BO42" s="2">
        <v>-5.4907020694236079</v>
      </c>
      <c r="BP42" s="2">
        <v>2.843172548315483E-6</v>
      </c>
      <c r="BQ42" s="2">
        <v>-1.3872720618499668</v>
      </c>
      <c r="BR42" s="2">
        <v>-0.63987365773912652</v>
      </c>
      <c r="BS42" s="2">
        <v>-1.3872720618499668</v>
      </c>
      <c r="BT42" s="2">
        <v>-0.63987365773912652</v>
      </c>
    </row>
    <row r="43" spans="1:72" ht="15" thickBot="1" x14ac:dyDescent="0.4">
      <c r="A43" t="s">
        <v>257</v>
      </c>
      <c r="B43">
        <v>111.93</v>
      </c>
      <c r="C43">
        <v>182.17</v>
      </c>
      <c r="D43">
        <v>65.02</v>
      </c>
      <c r="E43">
        <v>102.63</v>
      </c>
      <c r="G43" s="12" t="s">
        <v>287</v>
      </c>
      <c r="H43" s="10">
        <v>4252.0504672621355</v>
      </c>
      <c r="I43" s="10">
        <v>898.96145763820402</v>
      </c>
      <c r="J43" s="10">
        <f t="shared" si="0"/>
        <v>3822.429486001176</v>
      </c>
      <c r="L43" s="10">
        <f t="shared" si="22"/>
        <v>898.96145763820402</v>
      </c>
      <c r="M43">
        <f t="shared" si="23"/>
        <v>102.63</v>
      </c>
      <c r="N43" s="13">
        <f t="shared" si="3"/>
        <v>0.11416507251560551</v>
      </c>
      <c r="P43">
        <v>21678.346910582142</v>
      </c>
      <c r="Q43">
        <v>337.37</v>
      </c>
      <c r="R43">
        <v>1.5562533499051769E-2</v>
      </c>
      <c r="S43">
        <f t="shared" si="12"/>
        <v>9.9840692031345473</v>
      </c>
      <c r="T43">
        <f t="shared" si="18"/>
        <v>-4.1628889522100163</v>
      </c>
      <c r="AG43" t="str">
        <f>regions!A115</f>
        <v>Moldova</v>
      </c>
      <c r="AH43">
        <f>regions!B115</f>
        <v>3562062</v>
      </c>
      <c r="AI43">
        <f>regions!C115</f>
        <v>3501430331.6016059</v>
      </c>
      <c r="AJ43">
        <f>regions!D115</f>
        <v>982.97849155955339</v>
      </c>
      <c r="AK43">
        <f>regions!X115</f>
        <v>9.4</v>
      </c>
      <c r="AL43" s="13">
        <f t="shared" si="4"/>
        <v>6.6145903047015744E-2</v>
      </c>
      <c r="AM43" s="13">
        <f t="shared" si="5"/>
        <v>0.1044071674825473</v>
      </c>
      <c r="AO43" s="13">
        <v>6.3729141736544792E-3</v>
      </c>
      <c r="AP43">
        <v>14114.421997373165</v>
      </c>
      <c r="AQ43">
        <v>7.5</v>
      </c>
      <c r="AR43" s="13">
        <v>1.0735604102750406E-2</v>
      </c>
      <c r="AS43">
        <v>14130.550879864808</v>
      </c>
      <c r="AT43">
        <v>7.2616868165431345</v>
      </c>
      <c r="AU43">
        <f t="shared" si="14"/>
        <v>-5.0556984299218213</v>
      </c>
      <c r="AV43">
        <f t="shared" si="7"/>
        <v>9.5549523903183644</v>
      </c>
      <c r="AW43">
        <f t="shared" si="8"/>
        <v>7.5</v>
      </c>
      <c r="AX43">
        <f t="shared" si="19"/>
        <v>-4.5341895751079955</v>
      </c>
      <c r="AY43">
        <f t="shared" si="20"/>
        <v>9.5560944614624823</v>
      </c>
      <c r="AZ43">
        <f t="shared" si="21"/>
        <v>7.2616868165431345</v>
      </c>
      <c r="BK43" s="2"/>
      <c r="BL43" s="3" t="s">
        <v>47</v>
      </c>
      <c r="BM43" s="3">
        <v>-8.6422287118126991E-3</v>
      </c>
      <c r="BN43" s="3">
        <v>3.1213575854592938E-2</v>
      </c>
      <c r="BO43" s="3">
        <v>-0.27687403558221396</v>
      </c>
      <c r="BP43" s="3">
        <v>0.78337737842526844</v>
      </c>
      <c r="BQ43" s="3">
        <v>-7.1830809506674226E-2</v>
      </c>
      <c r="BR43" s="3">
        <v>5.4546352083048831E-2</v>
      </c>
      <c r="BS43" s="3">
        <v>-7.1830809506674226E-2</v>
      </c>
      <c r="BT43" s="3">
        <v>5.4546352083048831E-2</v>
      </c>
    </row>
    <row r="44" spans="1:72" x14ac:dyDescent="0.35">
      <c r="A44" t="s">
        <v>258</v>
      </c>
      <c r="B44">
        <v>241.06</v>
      </c>
      <c r="C44">
        <v>417.26</v>
      </c>
      <c r="D44">
        <v>272.43</v>
      </c>
      <c r="E44">
        <v>470.46</v>
      </c>
      <c r="G44" s="12"/>
      <c r="H44" s="10">
        <f t="shared" ref="H44" si="24">6/78*H83</f>
        <v>808.08129715696998</v>
      </c>
      <c r="I44" s="10">
        <f t="shared" ref="I44" si="25">I57</f>
        <v>1598.3755633697153</v>
      </c>
      <c r="J44" s="10">
        <f t="shared" si="0"/>
        <v>1291.6173985918022</v>
      </c>
      <c r="L44" s="10">
        <f t="shared" si="22"/>
        <v>1598.3755633697153</v>
      </c>
      <c r="M44">
        <f t="shared" si="23"/>
        <v>470.46</v>
      </c>
      <c r="N44" s="13">
        <f t="shared" si="3"/>
        <v>0.29433633169927242</v>
      </c>
      <c r="P44">
        <v>20504.055171514665</v>
      </c>
      <c r="Q44">
        <v>401.53</v>
      </c>
      <c r="R44">
        <v>1.9582955500325957E-2</v>
      </c>
      <c r="S44">
        <f t="shared" si="12"/>
        <v>9.9283779588086567</v>
      </c>
      <c r="T44">
        <f t="shared" si="18"/>
        <v>-3.9330957084124791</v>
      </c>
      <c r="AG44" t="str">
        <f>regions!A117</f>
        <v>Montenegro</v>
      </c>
      <c r="AH44">
        <f>regions!B117</f>
        <v>620078</v>
      </c>
      <c r="AI44">
        <f>regions!C117</f>
        <v>2803866144.4280138</v>
      </c>
      <c r="AJ44">
        <f>regions!D117</f>
        <v>4521.7958779831151</v>
      </c>
      <c r="AK44">
        <f>regions!X117</f>
        <v>9.9</v>
      </c>
      <c r="AL44" s="13">
        <f t="shared" si="4"/>
        <v>6.0248186196656374E-2</v>
      </c>
      <c r="AM44" s="13">
        <f t="shared" si="5"/>
        <v>0.10404273273163366</v>
      </c>
      <c r="AO44" s="13">
        <v>6.9872434077288288E-3</v>
      </c>
      <c r="AP44">
        <v>29163.146051932734</v>
      </c>
      <c r="AQ44">
        <v>13.4</v>
      </c>
      <c r="AR44" s="13">
        <v>1.0747871930443405E-2</v>
      </c>
      <c r="AS44">
        <v>14114.421997373165</v>
      </c>
      <c r="AT44">
        <v>7.5</v>
      </c>
      <c r="AU44">
        <f t="shared" si="14"/>
        <v>-4.9636691627882223</v>
      </c>
      <c r="AV44">
        <f t="shared" si="7"/>
        <v>10.280661069601068</v>
      </c>
      <c r="AW44">
        <f t="shared" si="8"/>
        <v>13.4</v>
      </c>
      <c r="AX44">
        <f t="shared" si="19"/>
        <v>-4.5330475039638776</v>
      </c>
      <c r="AY44">
        <f t="shared" si="20"/>
        <v>9.5549523903183644</v>
      </c>
      <c r="AZ44">
        <f t="shared" si="21"/>
        <v>7.5</v>
      </c>
    </row>
    <row r="45" spans="1:72" x14ac:dyDescent="0.35">
      <c r="A45" t="s">
        <v>196</v>
      </c>
      <c r="B45">
        <v>49.81</v>
      </c>
      <c r="C45">
        <v>80.23</v>
      </c>
      <c r="D45">
        <v>-4.7300000000000004</v>
      </c>
      <c r="E45">
        <v>-12.02</v>
      </c>
      <c r="G45" s="12" t="s">
        <v>196</v>
      </c>
      <c r="H45" s="10">
        <v>16324.722056597135</v>
      </c>
      <c r="I45" s="10">
        <v>30907.510400477298</v>
      </c>
      <c r="J45" s="10">
        <f t="shared" si="0"/>
        <v>504556.51674917707</v>
      </c>
      <c r="L45" s="10">
        <f t="shared" si="22"/>
        <v>30907.510400477298</v>
      </c>
      <c r="M45">
        <f t="shared" si="23"/>
        <v>-12.02</v>
      </c>
      <c r="N45" s="13">
        <f t="shared" si="3"/>
        <v>-3.8890223910801876E-4</v>
      </c>
      <c r="P45">
        <v>18820.255154630006</v>
      </c>
      <c r="Q45">
        <v>453.43</v>
      </c>
      <c r="R45">
        <v>2.4092659545503072E-2</v>
      </c>
      <c r="S45">
        <f t="shared" si="12"/>
        <v>9.8426889706792426</v>
      </c>
      <c r="T45">
        <f t="shared" si="18"/>
        <v>-3.72584806805455</v>
      </c>
      <c r="AG45" t="str">
        <f>regions!A122</f>
        <v>Netherlands</v>
      </c>
      <c r="AH45">
        <f>regions!B122</f>
        <v>16615394</v>
      </c>
      <c r="AI45">
        <f>regions!C122</f>
        <v>683063473113.4657</v>
      </c>
      <c r="AJ45">
        <f>regions!D122</f>
        <v>41110.27840287541</v>
      </c>
      <c r="AK45">
        <f>regions!X122</f>
        <v>9.1999999999999993</v>
      </c>
      <c r="AL45" s="13">
        <f t="shared" si="4"/>
        <v>-1.1505638452862353E-4</v>
      </c>
      <c r="AM45" s="13">
        <f t="shared" si="5"/>
        <v>-2.9238430064144921E-4</v>
      </c>
      <c r="AO45" s="13">
        <v>8.9289128661153589E-3</v>
      </c>
      <c r="AP45">
        <v>1403.3063361554944</v>
      </c>
      <c r="AQ45">
        <v>25.8</v>
      </c>
      <c r="AR45" s="13">
        <v>1.1568367809125362E-2</v>
      </c>
      <c r="AS45">
        <v>29163.146051932734</v>
      </c>
      <c r="AT45">
        <v>13.4</v>
      </c>
      <c r="AU45">
        <f t="shared" si="14"/>
        <v>-4.7184606310213431</v>
      </c>
      <c r="AV45">
        <f t="shared" si="7"/>
        <v>7.2465863999293196</v>
      </c>
      <c r="AW45">
        <f t="shared" si="8"/>
        <v>25.8</v>
      </c>
      <c r="AX45">
        <f t="shared" si="19"/>
        <v>-4.4594808186765365</v>
      </c>
      <c r="AY45">
        <f t="shared" si="20"/>
        <v>10.280661069601068</v>
      </c>
      <c r="AZ45">
        <f t="shared" si="21"/>
        <v>13.4</v>
      </c>
      <c r="BB45" t="s">
        <v>22</v>
      </c>
      <c r="BL45" t="s">
        <v>22</v>
      </c>
    </row>
    <row r="46" spans="1:72" ht="15" thickBot="1" x14ac:dyDescent="0.4">
      <c r="A46" t="s">
        <v>197</v>
      </c>
      <c r="B46">
        <v>95.87</v>
      </c>
      <c r="C46">
        <v>156.35</v>
      </c>
      <c r="D46">
        <v>38.54</v>
      </c>
      <c r="E46">
        <v>59.1</v>
      </c>
      <c r="G46" s="12" t="s">
        <v>197</v>
      </c>
      <c r="H46" s="10">
        <v>3940.5196065799641</v>
      </c>
      <c r="I46" s="10">
        <v>20892.739617468287</v>
      </c>
      <c r="J46" s="10">
        <f t="shared" si="0"/>
        <v>82328.250097803771</v>
      </c>
      <c r="L46" s="10">
        <f t="shared" si="22"/>
        <v>20892.739617468287</v>
      </c>
      <c r="M46">
        <f t="shared" si="23"/>
        <v>59.1</v>
      </c>
      <c r="N46" s="13">
        <f t="shared" si="3"/>
        <v>2.8287338607612218E-3</v>
      </c>
      <c r="P46">
        <v>13510.586163877184</v>
      </c>
      <c r="Q46">
        <v>328.87</v>
      </c>
      <c r="R46">
        <v>2.4341652983146583E-2</v>
      </c>
      <c r="S46">
        <f t="shared" si="12"/>
        <v>9.5112288174206761</v>
      </c>
      <c r="T46">
        <f t="shared" si="18"/>
        <v>-3.7155662815205268</v>
      </c>
      <c r="AG46" t="str">
        <f>regions!A123</f>
        <v>New Zealand</v>
      </c>
      <c r="AH46">
        <f>regions!B123</f>
        <v>4367800</v>
      </c>
      <c r="AI46">
        <f>regions!C123</f>
        <v>120042479359.5708</v>
      </c>
      <c r="AJ46">
        <f>regions!D123</f>
        <v>27483.511003152802</v>
      </c>
      <c r="AK46">
        <f>regions!X123</f>
        <v>10.5</v>
      </c>
      <c r="AL46" s="13">
        <f t="shared" si="4"/>
        <v>1.4022953615925868E-3</v>
      </c>
      <c r="AM46" s="13">
        <f t="shared" si="5"/>
        <v>2.1503802768583782E-3</v>
      </c>
      <c r="AO46" s="13">
        <v>9.6357824322419617E-3</v>
      </c>
      <c r="AP46">
        <v>14161.797545718329</v>
      </c>
      <c r="AQ46">
        <v>6.8</v>
      </c>
      <c r="AR46" s="13">
        <v>1.6303721279351799E-2</v>
      </c>
      <c r="AS46">
        <v>14161.797545718329</v>
      </c>
      <c r="AT46">
        <v>6.8</v>
      </c>
      <c r="AU46">
        <f t="shared" si="14"/>
        <v>-4.6422717731226486</v>
      </c>
      <c r="AV46">
        <f t="shared" si="7"/>
        <v>9.558303304509927</v>
      </c>
      <c r="AW46">
        <f t="shared" si="8"/>
        <v>6.8</v>
      </c>
      <c r="AX46">
        <f t="shared" si="19"/>
        <v>-4.1163618978790142</v>
      </c>
      <c r="AY46">
        <f t="shared" si="20"/>
        <v>9.558303304509927</v>
      </c>
      <c r="AZ46">
        <f t="shared" si="21"/>
        <v>6.8</v>
      </c>
      <c r="BB46" t="s">
        <v>631</v>
      </c>
    </row>
    <row r="47" spans="1:72" x14ac:dyDescent="0.35">
      <c r="A47" t="s">
        <v>198</v>
      </c>
      <c r="B47">
        <v>154.22999999999999</v>
      </c>
      <c r="C47">
        <v>259.70999999999998</v>
      </c>
      <c r="D47">
        <v>180.48</v>
      </c>
      <c r="E47">
        <v>304.25</v>
      </c>
      <c r="G47" s="12" t="s">
        <v>198</v>
      </c>
      <c r="H47" s="10">
        <v>130669.13693358886</v>
      </c>
      <c r="I47" s="10">
        <v>245.43422046692868</v>
      </c>
      <c r="J47" s="10">
        <f t="shared" si="0"/>
        <v>32070.67776238174</v>
      </c>
      <c r="L47" s="10">
        <f t="shared" si="22"/>
        <v>245.43422046692868</v>
      </c>
      <c r="M47">
        <f t="shared" si="23"/>
        <v>304.25</v>
      </c>
      <c r="N47" s="13">
        <f t="shared" si="3"/>
        <v>1.2396396860273873</v>
      </c>
      <c r="P47">
        <v>4629.6697069570764</v>
      </c>
      <c r="Q47">
        <v>114.05</v>
      </c>
      <c r="R47">
        <v>2.4634586745705702E-2</v>
      </c>
      <c r="S47">
        <f t="shared" si="12"/>
        <v>8.4402408069453685</v>
      </c>
      <c r="T47">
        <f t="shared" si="18"/>
        <v>-3.7036038582149717</v>
      </c>
      <c r="AG47" t="str">
        <f>regions!A126</f>
        <v>Nigeria</v>
      </c>
      <c r="AH47">
        <f>regions!B126</f>
        <v>159707780</v>
      </c>
      <c r="AI47">
        <f>regions!C126</f>
        <v>159017874554.81158</v>
      </c>
      <c r="AJ47">
        <f>regions!D126</f>
        <v>995.6802013953959</v>
      </c>
      <c r="AK47">
        <f>regions!X126</f>
        <v>26.8</v>
      </c>
      <c r="AL47" s="13">
        <f t="shared" si="4"/>
        <v>0.18126301973973805</v>
      </c>
      <c r="AM47" s="13">
        <f t="shared" si="5"/>
        <v>0.3055700008633383</v>
      </c>
      <c r="AO47" s="13">
        <v>9.9384612677678019E-3</v>
      </c>
      <c r="AP47">
        <v>19054.257484924816</v>
      </c>
      <c r="AQ47">
        <v>8.9</v>
      </c>
      <c r="AR47" s="13">
        <v>1.7259659698636513E-2</v>
      </c>
      <c r="AS47">
        <v>19054.257484924816</v>
      </c>
      <c r="AT47">
        <v>8.9</v>
      </c>
      <c r="AU47">
        <f t="shared" si="14"/>
        <v>-4.6113430723321587</v>
      </c>
      <c r="AV47">
        <f t="shared" si="7"/>
        <v>9.8550458456069716</v>
      </c>
      <c r="AW47">
        <f t="shared" si="8"/>
        <v>8.9</v>
      </c>
      <c r="AX47">
        <f t="shared" si="19"/>
        <v>-4.0593833097068233</v>
      </c>
      <c r="AY47">
        <f t="shared" si="20"/>
        <v>9.8550458456069716</v>
      </c>
      <c r="AZ47">
        <f t="shared" si="21"/>
        <v>8.9</v>
      </c>
      <c r="BB47" s="5" t="s">
        <v>23</v>
      </c>
      <c r="BC47" s="5"/>
      <c r="BL47" s="5" t="s">
        <v>23</v>
      </c>
      <c r="BM47" s="5"/>
    </row>
    <row r="48" spans="1:72" x14ac:dyDescent="0.35">
      <c r="A48" t="s">
        <v>259</v>
      </c>
      <c r="B48">
        <v>82.34</v>
      </c>
      <c r="C48">
        <v>144.93</v>
      </c>
      <c r="D48">
        <v>17.68</v>
      </c>
      <c r="E48">
        <v>34.86</v>
      </c>
      <c r="H48" s="10">
        <f t="shared" ref="H48" si="26">1.8/63.2*H84</f>
        <v>1698.3960068494982</v>
      </c>
      <c r="I48" s="10">
        <f t="shared" ref="I48" si="27">I31</f>
        <v>23753.710002652209</v>
      </c>
      <c r="J48" s="10">
        <f t="shared" si="0"/>
        <v>40343.206216365492</v>
      </c>
      <c r="L48" s="10">
        <f t="shared" si="22"/>
        <v>23753.710002652209</v>
      </c>
      <c r="M48">
        <f t="shared" si="23"/>
        <v>34.86</v>
      </c>
      <c r="N48" s="13">
        <f t="shared" si="3"/>
        <v>1.4675602251651521E-3</v>
      </c>
      <c r="P48">
        <v>6029.9885304322725</v>
      </c>
      <c r="Q48">
        <v>151.69999999999999</v>
      </c>
      <c r="R48">
        <v>2.515759345716783E-2</v>
      </c>
      <c r="S48">
        <f t="shared" si="12"/>
        <v>8.7045003876352212</v>
      </c>
      <c r="T48">
        <f t="shared" si="18"/>
        <v>-3.6825955012807352</v>
      </c>
      <c r="AG48" t="str">
        <f>regions!A181</f>
        <v>United Kingdom</v>
      </c>
      <c r="AH48">
        <f>regions!B181</f>
        <v>62271177</v>
      </c>
      <c r="AI48">
        <f>regions!C181</f>
        <v>2360033739558.0132</v>
      </c>
      <c r="AJ48">
        <f>regions!D181</f>
        <v>37899.295520911917</v>
      </c>
      <c r="AK48">
        <f>regions!X181</f>
        <v>8.4</v>
      </c>
      <c r="AL48" s="13">
        <f t="shared" si="4"/>
        <v>4.664994363877978E-4</v>
      </c>
      <c r="AM48" s="13">
        <f t="shared" si="5"/>
        <v>9.1980601541168734E-4</v>
      </c>
      <c r="AO48" s="13">
        <v>1.0369639375701819E-2</v>
      </c>
      <c r="AP48">
        <v>5618.3246002281494</v>
      </c>
      <c r="AQ48">
        <v>24.9</v>
      </c>
      <c r="AR48" s="13">
        <v>1.7714884171490752E-2</v>
      </c>
      <c r="AS48">
        <v>25595.990106992766</v>
      </c>
      <c r="AT48">
        <v>13.3</v>
      </c>
      <c r="AU48">
        <f t="shared" si="14"/>
        <v>-4.5688730330732774</v>
      </c>
      <c r="AV48">
        <f t="shared" si="7"/>
        <v>8.6337887846045653</v>
      </c>
      <c r="AW48">
        <f t="shared" si="8"/>
        <v>24.9</v>
      </c>
      <c r="AX48">
        <f t="shared" si="19"/>
        <v>-4.0333500791285974</v>
      </c>
      <c r="AY48">
        <f t="shared" si="20"/>
        <v>10.150190981753289</v>
      </c>
      <c r="AZ48">
        <f t="shared" si="21"/>
        <v>13.3</v>
      </c>
      <c r="BB48" s="2" t="s">
        <v>24</v>
      </c>
      <c r="BC48" s="2">
        <v>0.8016670888367633</v>
      </c>
      <c r="BL48" s="2" t="s">
        <v>24</v>
      </c>
      <c r="BM48" s="2">
        <v>0.86272998889802988</v>
      </c>
    </row>
    <row r="49" spans="1:72" x14ac:dyDescent="0.35">
      <c r="A49" t="s">
        <v>199</v>
      </c>
      <c r="B49">
        <v>-168.09</v>
      </c>
      <c r="C49">
        <v>-286.98</v>
      </c>
      <c r="D49">
        <v>-271.45</v>
      </c>
      <c r="E49">
        <v>-463.11</v>
      </c>
      <c r="G49" s="12" t="s">
        <v>199</v>
      </c>
      <c r="H49" s="10">
        <v>4574.5356316260786</v>
      </c>
      <c r="I49" s="10">
        <v>40897.195755465604</v>
      </c>
      <c r="J49" s="10">
        <f t="shared" si="0"/>
        <v>187085.67921696423</v>
      </c>
      <c r="L49" s="10">
        <f t="shared" si="22"/>
        <v>40897.195755465604</v>
      </c>
      <c r="M49">
        <f t="shared" si="23"/>
        <v>-463.11</v>
      </c>
      <c r="N49" s="13">
        <f t="shared" si="3"/>
        <v>-1.1323759280930865E-2</v>
      </c>
      <c r="P49">
        <v>13223.454597560642</v>
      </c>
      <c r="Q49">
        <v>368.38</v>
      </c>
      <c r="R49">
        <v>2.7858075760925274E-2</v>
      </c>
      <c r="S49">
        <f t="shared" si="12"/>
        <v>9.4897473952716709</v>
      </c>
      <c r="T49">
        <f t="shared" si="18"/>
        <v>-3.580632381180715</v>
      </c>
      <c r="AG49" t="str">
        <f>regions!A127</f>
        <v>Norway</v>
      </c>
      <c r="AH49">
        <f>regions!B127</f>
        <v>4889252</v>
      </c>
      <c r="AI49">
        <f>regions!C127</f>
        <v>315796662786.18549</v>
      </c>
      <c r="AJ49">
        <f>regions!D127</f>
        <v>64589.974659965468</v>
      </c>
      <c r="AK49">
        <f>regions!X127</f>
        <v>1.5</v>
      </c>
      <c r="AL49" s="13">
        <f t="shared" si="4"/>
        <v>-4.2026645997161492E-3</v>
      </c>
      <c r="AM49" s="13">
        <f t="shared" si="5"/>
        <v>-7.1699981682613592E-3</v>
      </c>
      <c r="AO49" s="13">
        <v>1.0477813082398837E-2</v>
      </c>
      <c r="AP49">
        <v>25595.990106992766</v>
      </c>
      <c r="AQ49">
        <v>13.3</v>
      </c>
      <c r="AR49" s="13">
        <v>1.8111899099941452E-2</v>
      </c>
      <c r="AS49">
        <v>22169.403538765182</v>
      </c>
      <c r="AT49">
        <v>19.2</v>
      </c>
      <c r="AU49">
        <f t="shared" si="14"/>
        <v>-4.5584952972085926</v>
      </c>
      <c r="AV49">
        <f t="shared" si="7"/>
        <v>10.150190981753289</v>
      </c>
      <c r="AW49">
        <f t="shared" si="8"/>
        <v>13.3</v>
      </c>
      <c r="AX49">
        <f t="shared" si="19"/>
        <v>-4.0111861478723405</v>
      </c>
      <c r="AY49">
        <f t="shared" si="20"/>
        <v>10.006468398268519</v>
      </c>
      <c r="AZ49">
        <f t="shared" si="21"/>
        <v>19.2</v>
      </c>
      <c r="BB49" s="2" t="s">
        <v>25</v>
      </c>
      <c r="BC49" s="2">
        <v>0.64267012132401102</v>
      </c>
      <c r="BL49" s="2" t="s">
        <v>25</v>
      </c>
      <c r="BM49" s="2">
        <v>0.74430303374399476</v>
      </c>
    </row>
    <row r="50" spans="1:72" x14ac:dyDescent="0.35">
      <c r="A50" t="s">
        <v>203</v>
      </c>
      <c r="B50">
        <v>17.809999999999999</v>
      </c>
      <c r="C50">
        <v>24.77</v>
      </c>
      <c r="D50">
        <v>-60.3</v>
      </c>
      <c r="E50">
        <v>-66.2</v>
      </c>
      <c r="G50" s="12" t="s">
        <v>203</v>
      </c>
      <c r="H50" s="10">
        <v>28019.715969678615</v>
      </c>
      <c r="I50" s="10">
        <v>2675.0342610148427</v>
      </c>
      <c r="J50" s="10">
        <f t="shared" si="0"/>
        <v>74953.700202795007</v>
      </c>
      <c r="L50" s="10">
        <f t="shared" si="22"/>
        <v>2675.0342610148427</v>
      </c>
      <c r="M50">
        <f t="shared" si="23"/>
        <v>-66.2</v>
      </c>
      <c r="N50" s="13">
        <f t="shared" si="3"/>
        <v>-2.4747346590949956E-2</v>
      </c>
      <c r="P50">
        <v>5560.6574678415618</v>
      </c>
      <c r="Q50">
        <v>163.55000000000001</v>
      </c>
      <c r="R50">
        <v>2.9411989669538837E-2</v>
      </c>
      <c r="S50">
        <f t="shared" si="12"/>
        <v>8.6234716298654863</v>
      </c>
      <c r="T50">
        <f t="shared" si="18"/>
        <v>-3.5263528758810927</v>
      </c>
      <c r="AG50" t="str">
        <f>regions!A135</f>
        <v>Peru</v>
      </c>
      <c r="AH50">
        <f>regions!B135</f>
        <v>29262830</v>
      </c>
      <c r="AI50">
        <f>regions!C135</f>
        <v>103487662932.25778</v>
      </c>
      <c r="AJ50">
        <f>regions!D135</f>
        <v>3536.4885396339923</v>
      </c>
      <c r="AK50">
        <f>regions!X135</f>
        <v>19.600000000000001</v>
      </c>
      <c r="AL50" s="13">
        <f t="shared" si="4"/>
        <v>-1.7050811652351835E-2</v>
      </c>
      <c r="AM50" s="13">
        <f t="shared" si="5"/>
        <v>-1.8719133190475811E-2</v>
      </c>
      <c r="AO50" s="13">
        <v>1.0892489713480592E-2</v>
      </c>
      <c r="AP50">
        <v>22169.403538765182</v>
      </c>
      <c r="AQ50">
        <v>19.2</v>
      </c>
      <c r="AR50" s="13">
        <v>1.8995305609191437E-2</v>
      </c>
      <c r="AS50">
        <v>8610.0220425441075</v>
      </c>
      <c r="AT50">
        <v>8.5</v>
      </c>
      <c r="AU50">
        <f t="shared" si="14"/>
        <v>-4.5196817443402937</v>
      </c>
      <c r="AV50">
        <f t="shared" si="7"/>
        <v>10.006468398268519</v>
      </c>
      <c r="AW50">
        <f t="shared" si="8"/>
        <v>19.2</v>
      </c>
      <c r="AX50">
        <f t="shared" si="19"/>
        <v>-3.963563403543759</v>
      </c>
      <c r="AY50">
        <f t="shared" si="20"/>
        <v>9.0606821575281522</v>
      </c>
      <c r="AZ50">
        <f t="shared" si="21"/>
        <v>8.5</v>
      </c>
      <c r="BB50" s="2" t="s">
        <v>26</v>
      </c>
      <c r="BC50" s="2">
        <v>0.62642785411146606</v>
      </c>
      <c r="BL50" s="2" t="s">
        <v>26</v>
      </c>
      <c r="BM50" s="2">
        <v>0.71995094171961327</v>
      </c>
    </row>
    <row r="51" spans="1:72" x14ac:dyDescent="0.35">
      <c r="A51" t="s">
        <v>204</v>
      </c>
      <c r="B51">
        <v>46.86</v>
      </c>
      <c r="C51">
        <v>72.62</v>
      </c>
      <c r="D51">
        <v>12.53</v>
      </c>
      <c r="E51">
        <v>14.47</v>
      </c>
      <c r="G51" s="12" t="s">
        <v>204</v>
      </c>
      <c r="H51" s="10">
        <v>83027.778710140483</v>
      </c>
      <c r="I51" s="10">
        <v>1315.8639008391624</v>
      </c>
      <c r="J51" s="10">
        <f t="shared" si="0"/>
        <v>109253.25677153621</v>
      </c>
      <c r="L51" s="10">
        <f t="shared" si="22"/>
        <v>1315.8639008391624</v>
      </c>
      <c r="M51">
        <f t="shared" si="23"/>
        <v>14.47</v>
      </c>
      <c r="N51" s="13">
        <f t="shared" si="3"/>
        <v>1.099657798254978E-2</v>
      </c>
      <c r="P51">
        <v>6564.7883670885658</v>
      </c>
      <c r="Q51">
        <v>273.70999999999998</v>
      </c>
      <c r="R51">
        <v>4.1693651751547371E-2</v>
      </c>
      <c r="S51">
        <f t="shared" si="12"/>
        <v>8.789475549673277</v>
      </c>
      <c r="T51">
        <f t="shared" si="18"/>
        <v>-3.1774063979404077</v>
      </c>
      <c r="AG51" t="str">
        <f>regions!A136</f>
        <v>Philippines</v>
      </c>
      <c r="AH51">
        <f>regions!B136</f>
        <v>93444322</v>
      </c>
      <c r="AI51">
        <f>regions!C136</f>
        <v>131131009140.35426</v>
      </c>
      <c r="AJ51">
        <f>regions!D136</f>
        <v>1403.3063361554944</v>
      </c>
      <c r="AK51">
        <f>regions!X136</f>
        <v>25.8</v>
      </c>
      <c r="AL51" s="13">
        <f t="shared" si="4"/>
        <v>8.9289128661153589E-3</v>
      </c>
      <c r="AM51" s="13">
        <f t="shared" si="5"/>
        <v>1.0311362264380628E-2</v>
      </c>
      <c r="AO51" s="13">
        <v>1.1770620733352086E-2</v>
      </c>
      <c r="AP51">
        <v>18535.131234142536</v>
      </c>
      <c r="AQ51">
        <v>15.1</v>
      </c>
      <c r="AR51" s="13">
        <v>1.9874690680442966E-2</v>
      </c>
      <c r="AS51">
        <v>18535.131234142536</v>
      </c>
      <c r="AT51">
        <v>15.1</v>
      </c>
      <c r="AU51">
        <f t="shared" si="14"/>
        <v>-4.4421486204980267</v>
      </c>
      <c r="AV51">
        <f t="shared" si="7"/>
        <v>9.8274231959019591</v>
      </c>
      <c r="AW51">
        <f t="shared" si="8"/>
        <v>15.1</v>
      </c>
      <c r="AX51">
        <f t="shared" si="19"/>
        <v>-3.9183081818110028</v>
      </c>
      <c r="AY51">
        <f t="shared" si="20"/>
        <v>9.8274231959019591</v>
      </c>
      <c r="AZ51">
        <f t="shared" si="21"/>
        <v>15.1</v>
      </c>
      <c r="BB51" s="2" t="s">
        <v>27</v>
      </c>
      <c r="BC51" s="2">
        <v>0.89062664137226566</v>
      </c>
      <c r="BL51" s="2" t="s">
        <v>27</v>
      </c>
      <c r="BM51" s="2">
        <v>0.77112626699935294</v>
      </c>
    </row>
    <row r="52" spans="1:72" ht="15" thickBot="1" x14ac:dyDescent="0.4">
      <c r="A52" t="s">
        <v>205</v>
      </c>
      <c r="B52">
        <v>87.84</v>
      </c>
      <c r="C52">
        <v>141.54</v>
      </c>
      <c r="D52">
        <v>26.08</v>
      </c>
      <c r="E52">
        <v>36.51</v>
      </c>
      <c r="G52" s="12" t="s">
        <v>205</v>
      </c>
      <c r="H52" s="10">
        <v>38535.130487605777</v>
      </c>
      <c r="I52" s="10">
        <v>3908.1028275933168</v>
      </c>
      <c r="J52" s="10">
        <f t="shared" si="0"/>
        <v>150599.25242028959</v>
      </c>
      <c r="L52" s="10">
        <f t="shared" si="22"/>
        <v>3908.1028275933168</v>
      </c>
      <c r="M52">
        <f t="shared" si="23"/>
        <v>36.51</v>
      </c>
      <c r="N52" s="13">
        <f t="shared" si="3"/>
        <v>9.3421288053680881E-3</v>
      </c>
      <c r="P52">
        <v>5227.4386821681028</v>
      </c>
      <c r="Q52">
        <v>230.89</v>
      </c>
      <c r="R52">
        <v>4.4168858601367156E-2</v>
      </c>
      <c r="S52">
        <f t="shared" si="12"/>
        <v>8.5616767013761468</v>
      </c>
      <c r="T52">
        <f t="shared" si="18"/>
        <v>-3.1197352947452339</v>
      </c>
      <c r="AG52" t="str">
        <f>regions!A137</f>
        <v>Poland</v>
      </c>
      <c r="AH52">
        <f>regions!B137</f>
        <v>38183683</v>
      </c>
      <c r="AI52">
        <f>regions!C137</f>
        <v>383205737633.98334</v>
      </c>
      <c r="AJ52">
        <f>regions!D137</f>
        <v>10035.850591834826</v>
      </c>
      <c r="AK52">
        <f>regions!X137</f>
        <v>7.8</v>
      </c>
      <c r="AL52" s="13">
        <f t="shared" si="4"/>
        <v>2.5986835656181153E-3</v>
      </c>
      <c r="AM52" s="13">
        <f t="shared" si="5"/>
        <v>3.6379577063158511E-3</v>
      </c>
      <c r="AO52" s="13">
        <v>1.1871049748183777E-2</v>
      </c>
      <c r="AP52">
        <v>8610.0220425441075</v>
      </c>
      <c r="AQ52">
        <v>8.5</v>
      </c>
      <c r="AR52" s="13">
        <v>2.0299645911410789E-2</v>
      </c>
      <c r="AS52">
        <v>5618.3246002281494</v>
      </c>
      <c r="AT52">
        <v>24.9</v>
      </c>
      <c r="AU52">
        <f t="shared" si="14"/>
        <v>-4.4336526371871674</v>
      </c>
      <c r="AV52">
        <f t="shared" si="7"/>
        <v>9.0606821575281522</v>
      </c>
      <c r="AW52">
        <f t="shared" si="8"/>
        <v>8.5</v>
      </c>
      <c r="AX52">
        <f t="shared" si="19"/>
        <v>-3.8971518358741686</v>
      </c>
      <c r="AY52">
        <f t="shared" si="20"/>
        <v>8.6337887846045653</v>
      </c>
      <c r="AZ52">
        <f t="shared" si="21"/>
        <v>24.9</v>
      </c>
      <c r="BB52" s="3" t="s">
        <v>28</v>
      </c>
      <c r="BC52" s="3">
        <v>24</v>
      </c>
      <c r="BL52" s="3" t="s">
        <v>28</v>
      </c>
      <c r="BM52" s="3">
        <v>24</v>
      </c>
    </row>
    <row r="53" spans="1:72" x14ac:dyDescent="0.35">
      <c r="A53" t="s">
        <v>206</v>
      </c>
      <c r="B53">
        <v>199.96</v>
      </c>
      <c r="C53">
        <v>350.11</v>
      </c>
      <c r="D53">
        <v>218.17</v>
      </c>
      <c r="E53">
        <v>368.38</v>
      </c>
      <c r="G53" s="12" t="s">
        <v>206</v>
      </c>
      <c r="H53" s="10">
        <v>10097.153257616075</v>
      </c>
      <c r="I53" s="10">
        <v>13223.454597560642</v>
      </c>
      <c r="J53" s="10">
        <f t="shared" si="0"/>
        <v>133519.24766669769</v>
      </c>
      <c r="L53" s="10">
        <f t="shared" si="22"/>
        <v>13223.454597560642</v>
      </c>
      <c r="M53">
        <f t="shared" si="23"/>
        <v>368.38</v>
      </c>
      <c r="N53" s="13">
        <f t="shared" si="3"/>
        <v>2.7858075760925274E-2</v>
      </c>
      <c r="P53">
        <v>2299.3763358127862</v>
      </c>
      <c r="Q53">
        <v>103.48</v>
      </c>
      <c r="R53">
        <v>4.5003507424295458E-2</v>
      </c>
      <c r="S53">
        <f t="shared" si="12"/>
        <v>7.7403932068049039</v>
      </c>
      <c r="T53">
        <f t="shared" si="18"/>
        <v>-3.1010148494870751</v>
      </c>
      <c r="AG53" t="str">
        <f>regions!A138</f>
        <v>Portugal</v>
      </c>
      <c r="AH53">
        <f>regions!B138</f>
        <v>10637346</v>
      </c>
      <c r="AI53">
        <f>regions!C138</f>
        <v>197164604092.98117</v>
      </c>
      <c r="AJ53">
        <f>regions!D138</f>
        <v>18535.131234142536</v>
      </c>
      <c r="AK53">
        <f>regions!X138</f>
        <v>15.1</v>
      </c>
      <c r="AL53" s="13">
        <f t="shared" si="4"/>
        <v>1.1770620733352086E-2</v>
      </c>
      <c r="AM53" s="13">
        <f t="shared" si="5"/>
        <v>1.9874690680442966E-2</v>
      </c>
      <c r="AO53" s="13">
        <v>1.3611502875327074E-2</v>
      </c>
      <c r="AP53">
        <v>4776.8421015330105</v>
      </c>
      <c r="AQ53">
        <v>24.5</v>
      </c>
      <c r="AR53" s="13">
        <v>2.1662847086109594E-2</v>
      </c>
      <c r="AS53">
        <v>4776.8421015330105</v>
      </c>
      <c r="AT53">
        <v>24.5</v>
      </c>
      <c r="AU53">
        <f t="shared" si="14"/>
        <v>-4.2968400440706969</v>
      </c>
      <c r="AV53">
        <f t="shared" si="7"/>
        <v>8.4715349589464566</v>
      </c>
      <c r="AW53">
        <f t="shared" si="8"/>
        <v>24.5</v>
      </c>
      <c r="AX53">
        <f t="shared" si="19"/>
        <v>-3.8321566016286277</v>
      </c>
      <c r="AY53">
        <f t="shared" si="20"/>
        <v>8.4715349589464566</v>
      </c>
      <c r="AZ53">
        <f t="shared" si="21"/>
        <v>24.5</v>
      </c>
    </row>
    <row r="54" spans="1:72" ht="15" thickBot="1" x14ac:dyDescent="0.4">
      <c r="A54" t="s">
        <v>260</v>
      </c>
      <c r="B54">
        <v>63.33</v>
      </c>
      <c r="C54">
        <v>103.9</v>
      </c>
      <c r="D54">
        <v>37.86</v>
      </c>
      <c r="E54">
        <v>60.37</v>
      </c>
      <c r="G54" s="12" t="s">
        <v>260</v>
      </c>
      <c r="H54" s="10">
        <v>3922.6919398397258</v>
      </c>
      <c r="I54" s="10">
        <v>14676.593202656628</v>
      </c>
      <c r="J54" s="10">
        <f t="shared" si="0"/>
        <v>57571.753860367666</v>
      </c>
      <c r="L54" s="10">
        <f t="shared" si="22"/>
        <v>14676.593202656628</v>
      </c>
      <c r="M54">
        <f t="shared" si="23"/>
        <v>60.37</v>
      </c>
      <c r="N54" s="13">
        <f t="shared" si="3"/>
        <v>4.113352408587052E-3</v>
      </c>
      <c r="P54">
        <v>4477.6158985924385</v>
      </c>
      <c r="Q54">
        <v>233.85</v>
      </c>
      <c r="R54">
        <v>5.2226453830823659E-2</v>
      </c>
      <c r="S54">
        <f t="shared" si="12"/>
        <v>8.4068460182659592</v>
      </c>
      <c r="T54">
        <f t="shared" si="18"/>
        <v>-2.9521661340940639</v>
      </c>
      <c r="AG54" t="str">
        <f>regions!A139</f>
        <v>Puerto Rico</v>
      </c>
      <c r="AH54">
        <f>regions!B139</f>
        <v>3721208</v>
      </c>
      <c r="AI54">
        <f>regions!C139</f>
        <v>77337254437.921829</v>
      </c>
      <c r="AJ54">
        <f>regions!D139</f>
        <v>20782.83569150712</v>
      </c>
      <c r="AK54">
        <f>regions!X139</f>
        <v>25.2</v>
      </c>
      <c r="AL54" s="13">
        <f t="shared" si="4"/>
        <v>1.8216955838933685E-3</v>
      </c>
      <c r="AM54" s="13">
        <f t="shared" si="5"/>
        <v>2.9048009086012319E-3</v>
      </c>
      <c r="AO54" s="13">
        <v>1.4541751841806953E-2</v>
      </c>
      <c r="AP54">
        <v>10926.468951505391</v>
      </c>
      <c r="AQ54">
        <v>9.8000000000000007</v>
      </c>
      <c r="AR54" s="13">
        <v>2.5050178718742405E-2</v>
      </c>
      <c r="AS54">
        <v>10926.468951505391</v>
      </c>
      <c r="AT54">
        <v>9.8000000000000007</v>
      </c>
      <c r="AU54">
        <f t="shared" si="14"/>
        <v>-4.230731329828572</v>
      </c>
      <c r="AV54">
        <f t="shared" si="7"/>
        <v>9.2989434687288473</v>
      </c>
      <c r="AW54">
        <f t="shared" si="8"/>
        <v>9.8000000000000007</v>
      </c>
      <c r="AX54">
        <f t="shared" si="19"/>
        <v>-3.6868743169959788</v>
      </c>
      <c r="AY54">
        <f t="shared" si="20"/>
        <v>9.2989434687288473</v>
      </c>
      <c r="AZ54">
        <f t="shared" si="21"/>
        <v>9.8000000000000007</v>
      </c>
      <c r="BB54" t="s">
        <v>29</v>
      </c>
      <c r="BL54" t="s">
        <v>29</v>
      </c>
    </row>
    <row r="55" spans="1:72" ht="14.25" customHeight="1" x14ac:dyDescent="0.35">
      <c r="A55" t="s">
        <v>207</v>
      </c>
      <c r="B55">
        <v>247.84</v>
      </c>
      <c r="C55">
        <v>414.29</v>
      </c>
      <c r="D55">
        <v>233.85</v>
      </c>
      <c r="E55">
        <v>389.63</v>
      </c>
      <c r="G55" s="12" t="s">
        <v>207</v>
      </c>
      <c r="H55" s="10">
        <v>22237.66754591951</v>
      </c>
      <c r="I55" s="10">
        <v>1837.338589350624</v>
      </c>
      <c r="J55" s="10">
        <f t="shared" si="0"/>
        <v>40858.124719267907</v>
      </c>
      <c r="L55" s="10">
        <f t="shared" si="22"/>
        <v>1837.338589350624</v>
      </c>
      <c r="M55">
        <f t="shared" si="23"/>
        <v>389.63</v>
      </c>
      <c r="N55" s="13">
        <f t="shared" si="3"/>
        <v>0.21206216549215792</v>
      </c>
      <c r="P55">
        <v>6400.9823610468329</v>
      </c>
      <c r="Q55">
        <v>380.28</v>
      </c>
      <c r="R55">
        <v>5.9409630983236768E-2</v>
      </c>
      <c r="S55">
        <f t="shared" si="12"/>
        <v>8.7642067514823463</v>
      </c>
      <c r="T55">
        <f t="shared" si="18"/>
        <v>-2.8232989279915159</v>
      </c>
      <c r="AG55" t="str">
        <f>regions!A141</f>
        <v>Romania</v>
      </c>
      <c r="AH55">
        <f>regions!B141</f>
        <v>21438001</v>
      </c>
      <c r="AI55">
        <f>regions!C141</f>
        <v>114088972368.88327</v>
      </c>
      <c r="AJ55">
        <f>regions!D141</f>
        <v>5321.8101990424975</v>
      </c>
      <c r="AK55">
        <f>regions!X141</f>
        <v>8.8000000000000007</v>
      </c>
      <c r="AL55" s="13">
        <f t="shared" si="4"/>
        <v>4.3941815144417286E-2</v>
      </c>
      <c r="AM55" s="13">
        <f t="shared" si="5"/>
        <v>7.3213809855545472E-2</v>
      </c>
      <c r="AO55" s="13">
        <v>1.9050393416597623E-2</v>
      </c>
      <c r="AP55">
        <v>7274.3904532313973</v>
      </c>
      <c r="AQ55">
        <v>14.8</v>
      </c>
      <c r="AR55" s="13">
        <v>3.2147023383398428E-2</v>
      </c>
      <c r="AS55">
        <v>7274.3904532313973</v>
      </c>
      <c r="AT55">
        <v>14.8</v>
      </c>
      <c r="AU55">
        <f t="shared" si="14"/>
        <v>-3.960667525832771</v>
      </c>
      <c r="AV55">
        <f t="shared" si="7"/>
        <v>8.892115302032007</v>
      </c>
      <c r="AW55">
        <f t="shared" si="8"/>
        <v>14.8</v>
      </c>
      <c r="AX55">
        <f t="shared" si="19"/>
        <v>-3.4374354178601108</v>
      </c>
      <c r="AY55">
        <f t="shared" si="20"/>
        <v>8.892115302032007</v>
      </c>
      <c r="AZ55">
        <f t="shared" si="21"/>
        <v>14.8</v>
      </c>
      <c r="BB55" s="4"/>
      <c r="BC55" s="4" t="s">
        <v>34</v>
      </c>
      <c r="BD55" s="4" t="s">
        <v>35</v>
      </c>
      <c r="BE55" s="4" t="s">
        <v>36</v>
      </c>
      <c r="BF55" s="4" t="s">
        <v>37</v>
      </c>
      <c r="BG55" s="4" t="s">
        <v>38</v>
      </c>
      <c r="BL55" s="4"/>
      <c r="BM55" s="4" t="s">
        <v>34</v>
      </c>
      <c r="BN55" s="4" t="s">
        <v>35</v>
      </c>
      <c r="BO55" s="4" t="s">
        <v>36</v>
      </c>
      <c r="BP55" s="4" t="s">
        <v>37</v>
      </c>
      <c r="BQ55" s="4" t="s">
        <v>38</v>
      </c>
    </row>
    <row r="56" spans="1:72" x14ac:dyDescent="0.35">
      <c r="A56" t="s">
        <v>261</v>
      </c>
      <c r="B56">
        <v>-36.229999999999997</v>
      </c>
      <c r="C56">
        <v>-67.88</v>
      </c>
      <c r="D56">
        <v>-75.89</v>
      </c>
      <c r="E56">
        <v>-127.69</v>
      </c>
      <c r="G56" s="12" t="s">
        <v>288</v>
      </c>
      <c r="H56" s="10">
        <v>141723.07933834477</v>
      </c>
      <c r="I56" s="10">
        <v>3153.1465487611031</v>
      </c>
      <c r="J56" s="10">
        <f t="shared" si="0"/>
        <v>446873.63849549781</v>
      </c>
      <c r="L56" s="10">
        <f t="shared" si="22"/>
        <v>3153.1465487611031</v>
      </c>
      <c r="M56">
        <f t="shared" si="23"/>
        <v>-127.69</v>
      </c>
      <c r="N56" s="13">
        <f t="shared" si="3"/>
        <v>-4.0496056249009559E-2</v>
      </c>
      <c r="P56">
        <v>4345.5884887777938</v>
      </c>
      <c r="Q56">
        <v>272.01</v>
      </c>
      <c r="R56">
        <v>6.2594514115280026E-2</v>
      </c>
      <c r="S56">
        <f t="shared" si="12"/>
        <v>8.3769164689834508</v>
      </c>
      <c r="T56">
        <f t="shared" si="18"/>
        <v>-2.7710776386573759</v>
      </c>
      <c r="AG56" t="str">
        <f>regions!A142</f>
        <v>Russia</v>
      </c>
      <c r="AH56">
        <f>regions!B142</f>
        <v>142389000</v>
      </c>
      <c r="AI56">
        <f>regions!C142</f>
        <v>909241662711.50525</v>
      </c>
      <c r="AJ56">
        <f>regions!D142</f>
        <v>6385.6173068952321</v>
      </c>
      <c r="AK56">
        <f>regions!X142</f>
        <v>-5.0999999999999996</v>
      </c>
      <c r="AL56" s="13">
        <f t="shared" si="4"/>
        <v>-1.1884520533050653E-2</v>
      </c>
      <c r="AM56" s="13">
        <f t="shared" si="5"/>
        <v>-1.9996500551656842E-2</v>
      </c>
      <c r="AO56" s="13">
        <v>2.0542686621279671E-2</v>
      </c>
      <c r="AP56">
        <v>8084.6290001796442</v>
      </c>
      <c r="AQ56">
        <v>21</v>
      </c>
      <c r="AR56" s="13">
        <v>3.5114783868708366E-2</v>
      </c>
      <c r="AS56">
        <v>8084.6290001796442</v>
      </c>
      <c r="AT56">
        <v>21</v>
      </c>
      <c r="AU56">
        <f t="shared" si="14"/>
        <v>-3.8852502835571552</v>
      </c>
      <c r="AV56">
        <f t="shared" si="7"/>
        <v>8.9977198835346783</v>
      </c>
      <c r="AW56">
        <f t="shared" si="8"/>
        <v>21</v>
      </c>
      <c r="AX56">
        <f t="shared" si="19"/>
        <v>-3.349133044346428</v>
      </c>
      <c r="AY56">
        <f t="shared" si="20"/>
        <v>8.9977198835346783</v>
      </c>
      <c r="AZ56">
        <f t="shared" si="21"/>
        <v>21</v>
      </c>
      <c r="BB56" s="2" t="s">
        <v>30</v>
      </c>
      <c r="BC56" s="2">
        <v>1</v>
      </c>
      <c r="BD56" s="2">
        <v>31.385772500574191</v>
      </c>
      <c r="BE56" s="2">
        <v>31.385772500574191</v>
      </c>
      <c r="BF56" s="2">
        <v>39.567759409082704</v>
      </c>
      <c r="BG56" s="2">
        <v>2.4887788703708264E-6</v>
      </c>
      <c r="BL56" s="2" t="s">
        <v>30</v>
      </c>
      <c r="BM56" s="2">
        <v>2</v>
      </c>
      <c r="BN56" s="2">
        <v>36.349170302875621</v>
      </c>
      <c r="BO56" s="2">
        <v>18.17458515143781</v>
      </c>
      <c r="BP56" s="2">
        <v>30.564233783232837</v>
      </c>
      <c r="BQ56" s="2">
        <v>6.0411349995883062E-7</v>
      </c>
    </row>
    <row r="57" spans="1:72" x14ac:dyDescent="0.35">
      <c r="A57" t="s">
        <v>262</v>
      </c>
      <c r="B57">
        <v>241.06</v>
      </c>
      <c r="C57">
        <v>417.26</v>
      </c>
      <c r="D57">
        <v>219.44</v>
      </c>
      <c r="E57">
        <v>395.15</v>
      </c>
      <c r="G57" s="12"/>
      <c r="H57" s="10">
        <f t="shared" ref="H57" si="28">72/78*H83</f>
        <v>9696.9755658836402</v>
      </c>
      <c r="I57" s="10">
        <v>1598.3755633697153</v>
      </c>
      <c r="J57" s="10">
        <f t="shared" si="0"/>
        <v>15499.408783101628</v>
      </c>
      <c r="L57" s="10">
        <f t="shared" si="22"/>
        <v>1598.3755633697153</v>
      </c>
      <c r="M57">
        <f t="shared" si="23"/>
        <v>395.15</v>
      </c>
      <c r="N57" s="13">
        <f t="shared" si="3"/>
        <v>0.24721974550645645</v>
      </c>
      <c r="P57">
        <v>3784.6504604277588</v>
      </c>
      <c r="Q57">
        <v>260.14</v>
      </c>
      <c r="R57">
        <v>6.8735541820841697E-2</v>
      </c>
      <c r="S57">
        <f t="shared" si="12"/>
        <v>8.2387088129751191</v>
      </c>
      <c r="T57">
        <f t="shared" si="18"/>
        <v>-2.6774888653395248</v>
      </c>
      <c r="AG57" t="str">
        <f>regions!A151</f>
        <v>Serbia</v>
      </c>
      <c r="AH57">
        <f>regions!B151</f>
        <v>7291436</v>
      </c>
      <c r="AI57">
        <f>regions!C151</f>
        <v>27876766882.558659</v>
      </c>
      <c r="AJ57">
        <f>regions!D151</f>
        <v>3823.2204030260514</v>
      </c>
      <c r="AK57">
        <f>regions!X151</f>
        <v>9.9</v>
      </c>
      <c r="AL57" s="13">
        <f t="shared" si="4"/>
        <v>5.7396638662608836E-2</v>
      </c>
      <c r="AM57" s="13">
        <f t="shared" si="5"/>
        <v>0.1033552760095237</v>
      </c>
      <c r="AO57" s="13">
        <v>2.1133516615494865E-2</v>
      </c>
      <c r="AP57">
        <v>10383.506161918598</v>
      </c>
      <c r="AQ57">
        <v>10.9</v>
      </c>
      <c r="AR57" s="13">
        <v>3.6623467455980614E-2</v>
      </c>
      <c r="AS57">
        <v>10383.506161918598</v>
      </c>
      <c r="AT57">
        <v>10.9</v>
      </c>
      <c r="AU57">
        <f t="shared" si="14"/>
        <v>-3.8568950335871879</v>
      </c>
      <c r="AV57">
        <f t="shared" si="7"/>
        <v>9.2479738802165361</v>
      </c>
      <c r="AW57">
        <f t="shared" si="8"/>
        <v>10.9</v>
      </c>
      <c r="AX57">
        <f t="shared" si="19"/>
        <v>-3.3070660567257062</v>
      </c>
      <c r="AY57">
        <f t="shared" si="20"/>
        <v>9.2479738802165361</v>
      </c>
      <c r="AZ57">
        <f t="shared" si="21"/>
        <v>10.9</v>
      </c>
      <c r="BB57" s="2" t="s">
        <v>31</v>
      </c>
      <c r="BC57" s="2">
        <v>22</v>
      </c>
      <c r="BD57" s="2">
        <v>17.450747915084932</v>
      </c>
      <c r="BE57" s="2">
        <v>0.79321581432204236</v>
      </c>
      <c r="BF57" s="2"/>
      <c r="BG57" s="2"/>
      <c r="BL57" s="2" t="s">
        <v>31</v>
      </c>
      <c r="BM57" s="2">
        <v>21</v>
      </c>
      <c r="BN57" s="2">
        <v>12.487350112783506</v>
      </c>
      <c r="BO57" s="2">
        <v>0.59463571965635742</v>
      </c>
      <c r="BP57" s="2"/>
      <c r="BQ57" s="2"/>
    </row>
    <row r="58" spans="1:72" ht="15" thickBot="1" x14ac:dyDescent="0.4">
      <c r="A58" t="s">
        <v>263</v>
      </c>
      <c r="B58">
        <v>121.66</v>
      </c>
      <c r="C58">
        <v>206.31</v>
      </c>
      <c r="D58">
        <v>136.46</v>
      </c>
      <c r="E58">
        <v>230.89</v>
      </c>
      <c r="G58" s="12" t="s">
        <v>263</v>
      </c>
      <c r="H58" s="10">
        <v>5410.0178063531584</v>
      </c>
      <c r="I58" s="10">
        <v>5227.4386821681028</v>
      </c>
      <c r="J58" s="10">
        <f t="shared" si="0"/>
        <v>28280.536352148727</v>
      </c>
      <c r="L58" s="10">
        <f t="shared" si="22"/>
        <v>5227.4386821681028</v>
      </c>
      <c r="M58">
        <f t="shared" si="23"/>
        <v>230.89</v>
      </c>
      <c r="N58" s="13">
        <f t="shared" si="3"/>
        <v>4.4168858601367156E-2</v>
      </c>
      <c r="P58">
        <v>3593.1832519659124</v>
      </c>
      <c r="Q58">
        <v>283.89</v>
      </c>
      <c r="R58">
        <v>7.9007938113002538E-2</v>
      </c>
      <c r="S58">
        <f t="shared" si="12"/>
        <v>8.1867937883083197</v>
      </c>
      <c r="T58">
        <f t="shared" si="18"/>
        <v>-2.5382069491200681</v>
      </c>
      <c r="AG58" t="str">
        <f>regions!A155</f>
        <v>Slovakia</v>
      </c>
      <c r="AH58">
        <f>regions!B155</f>
        <v>5430099</v>
      </c>
      <c r="AI58">
        <f>regions!C155</f>
        <v>76899962691.20755</v>
      </c>
      <c r="AJ58">
        <f>regions!D155</f>
        <v>14161.797545718329</v>
      </c>
      <c r="AK58">
        <f>regions!X155</f>
        <v>6.8</v>
      </c>
      <c r="AL58" s="13">
        <f t="shared" si="4"/>
        <v>9.6357824322419617E-3</v>
      </c>
      <c r="AM58" s="13">
        <f t="shared" si="5"/>
        <v>1.6303721279351799E-2</v>
      </c>
      <c r="AO58" s="13">
        <v>2.1652025968879076E-2</v>
      </c>
      <c r="AP58">
        <v>6791.0504176996537</v>
      </c>
      <c r="AQ58">
        <v>17.5</v>
      </c>
      <c r="AR58" s="13">
        <v>3.8306297847825098E-2</v>
      </c>
      <c r="AS58">
        <v>6791.0504176996537</v>
      </c>
      <c r="AT58">
        <v>17.5</v>
      </c>
      <c r="AU58">
        <f t="shared" si="14"/>
        <v>-3.8326562506725903</v>
      </c>
      <c r="AV58">
        <f t="shared" si="7"/>
        <v>8.8233609092799679</v>
      </c>
      <c r="AW58">
        <f t="shared" si="8"/>
        <v>17.5</v>
      </c>
      <c r="AX58">
        <f t="shared" si="19"/>
        <v>-3.2621409616443726</v>
      </c>
      <c r="AY58">
        <f t="shared" si="20"/>
        <v>8.8233609092799679</v>
      </c>
      <c r="AZ58">
        <f t="shared" si="21"/>
        <v>17.5</v>
      </c>
      <c r="BB58" s="3" t="s">
        <v>32</v>
      </c>
      <c r="BC58" s="3">
        <v>23</v>
      </c>
      <c r="BD58" s="3">
        <v>48.836520415659123</v>
      </c>
      <c r="BE58" s="3"/>
      <c r="BF58" s="3"/>
      <c r="BG58" s="3"/>
      <c r="BL58" s="3" t="s">
        <v>32</v>
      </c>
      <c r="BM58" s="3">
        <v>23</v>
      </c>
      <c r="BN58" s="3">
        <v>48.836520415659123</v>
      </c>
      <c r="BO58" s="3"/>
      <c r="BP58" s="3"/>
      <c r="BQ58" s="3"/>
    </row>
    <row r="59" spans="1:72" ht="15" thickBot="1" x14ac:dyDescent="0.4">
      <c r="A59" t="s">
        <v>264</v>
      </c>
      <c r="B59">
        <v>241.06</v>
      </c>
      <c r="C59">
        <v>417.26</v>
      </c>
      <c r="D59">
        <v>189.37</v>
      </c>
      <c r="E59">
        <v>328.87</v>
      </c>
      <c r="G59" s="12" t="s">
        <v>264</v>
      </c>
      <c r="H59" s="10">
        <v>1980.0120643397734</v>
      </c>
      <c r="I59" s="10">
        <v>13510.586163877184</v>
      </c>
      <c r="J59" s="10">
        <f t="shared" si="0"/>
        <v>26751.123600778843</v>
      </c>
      <c r="L59" s="10">
        <f t="shared" si="22"/>
        <v>13510.586163877184</v>
      </c>
      <c r="M59">
        <f t="shared" si="23"/>
        <v>328.87</v>
      </c>
      <c r="N59" s="13">
        <f t="shared" si="3"/>
        <v>2.4341652983146583E-2</v>
      </c>
      <c r="P59">
        <v>898.96145763820402</v>
      </c>
      <c r="Q59">
        <v>102.63</v>
      </c>
      <c r="R59">
        <v>0.11416507251560551</v>
      </c>
      <c r="S59">
        <f t="shared" si="12"/>
        <v>6.8012401610700373</v>
      </c>
      <c r="T59">
        <f t="shared" si="18"/>
        <v>-2.1701098734124145</v>
      </c>
      <c r="AG59" t="str">
        <f>regions!A156</f>
        <v>Slovenia</v>
      </c>
      <c r="AH59">
        <f>regions!B156</f>
        <v>2048583</v>
      </c>
      <c r="AI59">
        <f>regions!C156</f>
        <v>39034227961.239731</v>
      </c>
      <c r="AJ59">
        <f>regions!D156</f>
        <v>19054.257484924816</v>
      </c>
      <c r="AK59">
        <f>regions!X156</f>
        <v>8.9</v>
      </c>
      <c r="AL59" s="13">
        <f t="shared" si="4"/>
        <v>9.9384612677678019E-3</v>
      </c>
      <c r="AM59" s="13">
        <f t="shared" si="5"/>
        <v>1.7259659698636513E-2</v>
      </c>
      <c r="AO59" s="13">
        <v>2.7261232042523263E-2</v>
      </c>
      <c r="AP59">
        <v>5797.2434904439497</v>
      </c>
      <c r="AQ59">
        <v>17.8</v>
      </c>
      <c r="AR59" s="13">
        <v>4.6920575347296586E-2</v>
      </c>
      <c r="AS59">
        <v>5797.2434904439497</v>
      </c>
      <c r="AT59">
        <v>17.8</v>
      </c>
      <c r="AU59">
        <f t="shared" si="14"/>
        <v>-3.6022896577510792</v>
      </c>
      <c r="AV59">
        <f t="shared" si="7"/>
        <v>8.6651378232942697</v>
      </c>
      <c r="AW59">
        <f t="shared" si="8"/>
        <v>17.8</v>
      </c>
      <c r="AX59">
        <f t="shared" si="19"/>
        <v>-3.0592989929681949</v>
      </c>
      <c r="AY59">
        <f t="shared" si="20"/>
        <v>8.6651378232942697</v>
      </c>
      <c r="AZ59">
        <f t="shared" si="21"/>
        <v>17.8</v>
      </c>
    </row>
    <row r="60" spans="1:72" x14ac:dyDescent="0.35">
      <c r="A60" t="s">
        <v>265</v>
      </c>
      <c r="B60">
        <v>138.58000000000001</v>
      </c>
      <c r="C60">
        <v>238.51</v>
      </c>
      <c r="D60">
        <v>158.04</v>
      </c>
      <c r="E60">
        <v>272.01</v>
      </c>
      <c r="G60" s="12" t="s">
        <v>265</v>
      </c>
      <c r="H60" s="10">
        <v>45803.974765098515</v>
      </c>
      <c r="I60" s="10">
        <v>4345.5884887777938</v>
      </c>
      <c r="J60" s="10">
        <f t="shared" si="0"/>
        <v>199045.22547948066</v>
      </c>
      <c r="L60" s="10">
        <f t="shared" si="22"/>
        <v>4345.5884887777938</v>
      </c>
      <c r="M60">
        <f t="shared" si="23"/>
        <v>272.01</v>
      </c>
      <c r="N60" s="13">
        <f t="shared" si="3"/>
        <v>6.2594514115280026E-2</v>
      </c>
      <c r="P60">
        <v>3492.4385271527062</v>
      </c>
      <c r="Q60">
        <v>500.27</v>
      </c>
      <c r="R60">
        <v>0.14324375249858928</v>
      </c>
      <c r="S60">
        <f t="shared" si="12"/>
        <v>8.1583554895882955</v>
      </c>
      <c r="T60">
        <f t="shared" si="18"/>
        <v>-1.943207536913637</v>
      </c>
      <c r="AG60" t="str">
        <f>regions!A158</f>
        <v>South Africa</v>
      </c>
      <c r="AH60">
        <f>regions!B158</f>
        <v>49991300</v>
      </c>
      <c r="AI60">
        <f>regions!C158</f>
        <v>289811738503.83063</v>
      </c>
      <c r="AJ60">
        <f>regions!D158</f>
        <v>5797.2434904439497</v>
      </c>
      <c r="AK60">
        <f>regions!X158</f>
        <v>17.8</v>
      </c>
      <c r="AL60" s="13">
        <f t="shared" si="4"/>
        <v>2.7261232042523263E-2</v>
      </c>
      <c r="AM60" s="13">
        <f t="shared" si="5"/>
        <v>4.6920575347296586E-2</v>
      </c>
      <c r="AO60" s="13">
        <v>3.808117845968792E-2</v>
      </c>
      <c r="AP60">
        <v>7833.5285846205052</v>
      </c>
      <c r="AQ60">
        <v>11.1</v>
      </c>
      <c r="AR60" s="13">
        <v>6.3862663497797845E-2</v>
      </c>
      <c r="AS60">
        <v>7833.5285846205052</v>
      </c>
      <c r="AT60">
        <v>11.1</v>
      </c>
      <c r="AU60">
        <f t="shared" si="14"/>
        <v>-3.2680351225922331</v>
      </c>
      <c r="AV60">
        <f t="shared" si="7"/>
        <v>8.9661683368497354</v>
      </c>
      <c r="AW60">
        <f t="shared" si="8"/>
        <v>11.1</v>
      </c>
      <c r="AX60">
        <f t="shared" si="19"/>
        <v>-2.7510203841750771</v>
      </c>
      <c r="AY60">
        <f t="shared" si="20"/>
        <v>8.9661683368497354</v>
      </c>
      <c r="AZ60">
        <f t="shared" si="21"/>
        <v>11.1</v>
      </c>
      <c r="BB60" s="4"/>
      <c r="BC60" s="4" t="s">
        <v>39</v>
      </c>
      <c r="BD60" s="4" t="s">
        <v>27</v>
      </c>
      <c r="BE60" s="4" t="s">
        <v>40</v>
      </c>
      <c r="BF60" s="4" t="s">
        <v>41</v>
      </c>
      <c r="BG60" s="4" t="s">
        <v>42</v>
      </c>
      <c r="BH60" s="4" t="s">
        <v>43</v>
      </c>
      <c r="BI60" s="4" t="s">
        <v>44</v>
      </c>
      <c r="BJ60" s="4" t="s">
        <v>45</v>
      </c>
      <c r="BL60" s="4"/>
      <c r="BM60" s="4" t="s">
        <v>39</v>
      </c>
      <c r="BN60" s="4" t="s">
        <v>27</v>
      </c>
      <c r="BO60" s="4" t="s">
        <v>40</v>
      </c>
      <c r="BP60" s="4" t="s">
        <v>41</v>
      </c>
      <c r="BQ60" s="4" t="s">
        <v>42</v>
      </c>
      <c r="BR60" s="4" t="s">
        <v>43</v>
      </c>
      <c r="BS60" s="4" t="s">
        <v>44</v>
      </c>
      <c r="BT60" s="4" t="s">
        <v>45</v>
      </c>
    </row>
    <row r="61" spans="1:72" x14ac:dyDescent="0.35">
      <c r="A61" t="s">
        <v>212</v>
      </c>
      <c r="B61">
        <v>-17.72</v>
      </c>
      <c r="C61">
        <v>-27.97</v>
      </c>
      <c r="D61">
        <v>-95.27</v>
      </c>
      <c r="E61">
        <v>-160.09</v>
      </c>
      <c r="G61" s="12" t="s">
        <v>285</v>
      </c>
      <c r="H61" s="10">
        <v>48304.599762043654</v>
      </c>
      <c r="I61" s="10">
        <v>16938.268508572059</v>
      </c>
      <c r="J61" s="10">
        <f t="shared" si="0"/>
        <v>818196.28096860135</v>
      </c>
      <c r="L61" s="10">
        <f t="shared" si="22"/>
        <v>16938.268508572059</v>
      </c>
      <c r="M61">
        <f t="shared" si="23"/>
        <v>-160.09</v>
      </c>
      <c r="N61" s="13">
        <f t="shared" si="3"/>
        <v>-9.4513792787605314E-3</v>
      </c>
      <c r="P61">
        <v>1792.6776774090165</v>
      </c>
      <c r="Q61">
        <v>276.68</v>
      </c>
      <c r="R61">
        <v>0.15433895534410275</v>
      </c>
      <c r="S61">
        <f t="shared" si="12"/>
        <v>7.4914656902443015</v>
      </c>
      <c r="T61">
        <f t="shared" si="18"/>
        <v>-1.8686040865119173</v>
      </c>
      <c r="AG61" t="str">
        <f>regions!A159</f>
        <v>South Korea</v>
      </c>
      <c r="AH61">
        <f>regions!B159</f>
        <v>49410000</v>
      </c>
      <c r="AI61">
        <f>regions!C159</f>
        <v>1098690046553.521</v>
      </c>
      <c r="AJ61">
        <f>regions!D159</f>
        <v>22236.187948867053</v>
      </c>
      <c r="AK61">
        <f>regions!X159</f>
        <v>11.5</v>
      </c>
      <c r="AL61" s="13">
        <f t="shared" si="4"/>
        <v>-4.2844573997610083E-3</v>
      </c>
      <c r="AM61" s="13">
        <f t="shared" si="5"/>
        <v>-7.1995254028313195E-3</v>
      </c>
      <c r="AO61" s="13">
        <v>4.3941815144417286E-2</v>
      </c>
      <c r="AP61">
        <v>5321.8101990424975</v>
      </c>
      <c r="AQ61">
        <v>8.8000000000000007</v>
      </c>
      <c r="AR61" s="13">
        <v>7.3213809855545472E-2</v>
      </c>
      <c r="AS61">
        <v>5321.8101990424975</v>
      </c>
      <c r="AT61">
        <v>8.8000000000000007</v>
      </c>
      <c r="AU61">
        <f t="shared" si="14"/>
        <v>-3.1248889032653895</v>
      </c>
      <c r="AV61">
        <f t="shared" si="7"/>
        <v>8.5795687874372852</v>
      </c>
      <c r="AW61">
        <f t="shared" si="8"/>
        <v>8.8000000000000007</v>
      </c>
      <c r="AX61">
        <f t="shared" si="19"/>
        <v>-2.6143712165800221</v>
      </c>
      <c r="AY61">
        <f t="shared" si="20"/>
        <v>8.5795687874372852</v>
      </c>
      <c r="AZ61">
        <f t="shared" si="21"/>
        <v>8.8000000000000007</v>
      </c>
      <c r="BB61" s="2" t="s">
        <v>33</v>
      </c>
      <c r="BC61" s="2">
        <v>3.0736557119693968</v>
      </c>
      <c r="BD61" s="2">
        <v>1.2040584078012295</v>
      </c>
      <c r="BE61" s="2">
        <v>2.5527463552057248</v>
      </c>
      <c r="BF61" s="2">
        <v>1.8143042467162897E-2</v>
      </c>
      <c r="BG61" s="2">
        <v>0.57659140784702423</v>
      </c>
      <c r="BH61" s="2">
        <v>5.5707200160917694</v>
      </c>
      <c r="BI61" s="2">
        <v>0.57659140784702423</v>
      </c>
      <c r="BJ61" s="2">
        <v>5.5707200160917694</v>
      </c>
      <c r="BL61" s="2" t="s">
        <v>33</v>
      </c>
      <c r="BM61" s="2">
        <v>5.5155582235629348</v>
      </c>
      <c r="BN61" s="2">
        <v>1.3420847874793109</v>
      </c>
      <c r="BO61" s="2">
        <v>4.1096943166476061</v>
      </c>
      <c r="BP61" s="2">
        <v>4.9986206425494935E-4</v>
      </c>
      <c r="BQ61" s="2">
        <v>2.7245401187225537</v>
      </c>
      <c r="BR61" s="2">
        <v>8.3065763284033167</v>
      </c>
      <c r="BS61" s="2">
        <v>2.7245401187225537</v>
      </c>
      <c r="BT61" s="2">
        <v>8.3065763284033167</v>
      </c>
    </row>
    <row r="62" spans="1:72" ht="15" thickBot="1" x14ac:dyDescent="0.4">
      <c r="A62" t="s">
        <v>213</v>
      </c>
      <c r="B62">
        <v>232.16</v>
      </c>
      <c r="C62">
        <v>393.88</v>
      </c>
      <c r="D62">
        <v>268.19</v>
      </c>
      <c r="E62">
        <v>453.43</v>
      </c>
      <c r="G62" s="12" t="s">
        <v>213</v>
      </c>
      <c r="H62" s="10">
        <v>41284.529734896321</v>
      </c>
      <c r="I62" s="10">
        <v>18820.255154630006</v>
      </c>
      <c r="J62" s="10">
        <f t="shared" si="0"/>
        <v>776985.38354965823</v>
      </c>
      <c r="L62" s="10">
        <f t="shared" si="22"/>
        <v>18820.255154630006</v>
      </c>
      <c r="M62">
        <f t="shared" si="23"/>
        <v>453.43</v>
      </c>
      <c r="N62" s="13">
        <f t="shared" si="3"/>
        <v>2.4092659545503072E-2</v>
      </c>
      <c r="P62">
        <v>2388.7196853606374</v>
      </c>
      <c r="Q62">
        <v>440.66</v>
      </c>
      <c r="R62">
        <v>0.18447539185974904</v>
      </c>
      <c r="S62">
        <f t="shared" si="12"/>
        <v>7.7785128048870966</v>
      </c>
      <c r="T62">
        <f t="shared" si="18"/>
        <v>-1.6902392018510535</v>
      </c>
      <c r="AG62" t="str">
        <f>regions!A160</f>
        <v>Spain</v>
      </c>
      <c r="AH62">
        <f>regions!B160</f>
        <v>46070971</v>
      </c>
      <c r="AI62">
        <f>regions!C160</f>
        <v>1179232117935.5505</v>
      </c>
      <c r="AJ62">
        <f>regions!D160</f>
        <v>25595.990106992766</v>
      </c>
      <c r="AK62">
        <f>regions!X160</f>
        <v>13.3</v>
      </c>
      <c r="AL62" s="13">
        <f t="shared" si="4"/>
        <v>1.0477813082398837E-2</v>
      </c>
      <c r="AM62" s="13">
        <f t="shared" si="5"/>
        <v>1.7714884171490752E-2</v>
      </c>
      <c r="AO62" s="13">
        <v>4.7729156692126566E-2</v>
      </c>
      <c r="AP62">
        <v>3328.9924023780331</v>
      </c>
      <c r="AQ62">
        <v>9.8000000000000007</v>
      </c>
      <c r="AR62" s="13">
        <v>8.3112235342548801E-2</v>
      </c>
      <c r="AS62">
        <v>3328.9924023780331</v>
      </c>
      <c r="AT62">
        <v>9.8000000000000007</v>
      </c>
      <c r="AU62">
        <f t="shared" si="14"/>
        <v>-3.0422128164186253</v>
      </c>
      <c r="AV62">
        <f t="shared" si="7"/>
        <v>8.1104249553189014</v>
      </c>
      <c r="AW62">
        <f t="shared" si="8"/>
        <v>9.8000000000000007</v>
      </c>
      <c r="AX62">
        <f t="shared" si="19"/>
        <v>-2.487563351586517</v>
      </c>
      <c r="AY62">
        <f t="shared" si="20"/>
        <v>8.1104249553189014</v>
      </c>
      <c r="AZ62">
        <f t="shared" si="21"/>
        <v>9.8000000000000007</v>
      </c>
      <c r="BB62" s="3" t="s">
        <v>46</v>
      </c>
      <c r="BC62" s="3">
        <v>-0.80962797257314889</v>
      </c>
      <c r="BD62" s="3">
        <v>0.12871073650888909</v>
      </c>
      <c r="BE62" s="3">
        <v>-6.2902908842980159</v>
      </c>
      <c r="BF62" s="3">
        <v>2.4887788703708264E-6</v>
      </c>
      <c r="BG62" s="3">
        <v>-1.0765577025690254</v>
      </c>
      <c r="BH62" s="3">
        <v>-0.54269824257727239</v>
      </c>
      <c r="BI62" s="3">
        <v>-1.0765577025690254</v>
      </c>
      <c r="BJ62" s="3">
        <v>-0.54269824257727239</v>
      </c>
      <c r="BL62" s="2" t="s">
        <v>46</v>
      </c>
      <c r="BM62" s="2">
        <v>-1.0122193317158961</v>
      </c>
      <c r="BN62" s="2">
        <v>0.13166710402965315</v>
      </c>
      <c r="BO62" s="2">
        <v>-7.6877162232407805</v>
      </c>
      <c r="BP62" s="2">
        <v>1.5498877022926408E-7</v>
      </c>
      <c r="BQ62" s="2">
        <v>-1.2860360641511623</v>
      </c>
      <c r="BR62" s="2">
        <v>-0.73840259928062968</v>
      </c>
      <c r="BS62" s="2">
        <v>-1.2860360641511623</v>
      </c>
      <c r="BT62" s="2">
        <v>-0.73840259928062968</v>
      </c>
    </row>
    <row r="63" spans="1:72" ht="15" thickBot="1" x14ac:dyDescent="0.4">
      <c r="A63" t="s">
        <v>217</v>
      </c>
      <c r="B63">
        <v>-169.77</v>
      </c>
      <c r="C63">
        <v>-282.79000000000002</v>
      </c>
      <c r="D63">
        <v>-272.29000000000002</v>
      </c>
      <c r="E63">
        <v>-457.92</v>
      </c>
      <c r="G63" s="12" t="s">
        <v>217</v>
      </c>
      <c r="H63" s="10">
        <v>8888.033200325488</v>
      </c>
      <c r="I63" s="10">
        <v>34112.011971110354</v>
      </c>
      <c r="J63" s="10">
        <f t="shared" si="0"/>
        <v>303188.69492912933</v>
      </c>
      <c r="L63" s="10">
        <f t="shared" si="22"/>
        <v>34112.011971110354</v>
      </c>
      <c r="M63">
        <f t="shared" si="23"/>
        <v>-457.92</v>
      </c>
      <c r="N63" s="13">
        <f t="shared" si="3"/>
        <v>-1.3424010298419657E-2</v>
      </c>
      <c r="P63">
        <v>1992.395314529037</v>
      </c>
      <c r="Q63">
        <v>421.09</v>
      </c>
      <c r="R63">
        <v>0.21134861988949083</v>
      </c>
      <c r="S63">
        <f t="shared" si="12"/>
        <v>7.5970928695245288</v>
      </c>
      <c r="T63">
        <f t="shared" si="18"/>
        <v>-1.5542462819670444</v>
      </c>
      <c r="AG63" t="str">
        <f>regions!A165</f>
        <v>Sweden</v>
      </c>
      <c r="AH63">
        <f>regions!B165</f>
        <v>9378126</v>
      </c>
      <c r="AI63">
        <f>regions!C165</f>
        <v>401624584927.2937</v>
      </c>
      <c r="AJ63">
        <f>regions!D165</f>
        <v>42825.675932195161</v>
      </c>
      <c r="AK63">
        <f>regions!X165</f>
        <v>2.1</v>
      </c>
      <c r="AL63" s="13">
        <f t="shared" si="4"/>
        <v>-6.3581016311595427E-3</v>
      </c>
      <c r="AM63" s="13">
        <f t="shared" si="5"/>
        <v>-1.0692650846305695E-2</v>
      </c>
      <c r="AO63" s="13">
        <v>5.5728873783143999E-2</v>
      </c>
      <c r="AP63">
        <v>4378.8790878779682</v>
      </c>
      <c r="AQ63">
        <v>10.5</v>
      </c>
      <c r="AR63" s="13">
        <v>9.6163879282645998E-2</v>
      </c>
      <c r="AS63">
        <v>4378.8790878779682</v>
      </c>
      <c r="AT63">
        <v>10.5</v>
      </c>
      <c r="AU63">
        <f t="shared" si="14"/>
        <v>-2.887256886053764</v>
      </c>
      <c r="AV63">
        <f t="shared" si="7"/>
        <v>8.3845480546088051</v>
      </c>
      <c r="AW63">
        <f t="shared" si="8"/>
        <v>10.5</v>
      </c>
      <c r="AX63">
        <f t="shared" si="19"/>
        <v>-2.3417014670513212</v>
      </c>
      <c r="AY63">
        <f t="shared" si="20"/>
        <v>8.3845480546088051</v>
      </c>
      <c r="AZ63">
        <f t="shared" si="21"/>
        <v>10.5</v>
      </c>
      <c r="BL63" s="3" t="s">
        <v>47</v>
      </c>
      <c r="BM63" s="3">
        <v>-6.710504874501888E-2</v>
      </c>
      <c r="BN63" s="3">
        <v>2.3226894695051629E-2</v>
      </c>
      <c r="BO63" s="3">
        <v>-2.8891097852747087</v>
      </c>
      <c r="BP63" s="3">
        <v>8.7784649806600251E-3</v>
      </c>
      <c r="BQ63" s="3">
        <v>-0.11540802052288016</v>
      </c>
      <c r="BR63" s="3">
        <v>-1.8802076967157612E-2</v>
      </c>
      <c r="BS63" s="3">
        <v>-0.11540802052288016</v>
      </c>
      <c r="BT63" s="3">
        <v>-1.8802076967157612E-2</v>
      </c>
    </row>
    <row r="64" spans="1:72" x14ac:dyDescent="0.35">
      <c r="A64" t="s">
        <v>218</v>
      </c>
      <c r="B64">
        <v>163.12</v>
      </c>
      <c r="C64">
        <v>286.43</v>
      </c>
      <c r="D64">
        <v>146.19</v>
      </c>
      <c r="E64">
        <v>258.02</v>
      </c>
      <c r="G64" s="12" t="s">
        <v>218</v>
      </c>
      <c r="H64" s="10">
        <v>7165.0033452584903</v>
      </c>
      <c r="I64" s="10">
        <v>47119.092553661976</v>
      </c>
      <c r="J64" s="10">
        <f t="shared" si="0"/>
        <v>337608.45577253244</v>
      </c>
      <c r="L64" s="10">
        <f t="shared" si="22"/>
        <v>47119.092553661976</v>
      </c>
      <c r="M64">
        <f t="shared" si="23"/>
        <v>258.02</v>
      </c>
      <c r="N64" s="13">
        <f t="shared" si="3"/>
        <v>5.475911907814263E-3</v>
      </c>
      <c r="P64">
        <v>1837.338589350624</v>
      </c>
      <c r="Q64">
        <v>389.63</v>
      </c>
      <c r="R64">
        <v>0.21206216549215792</v>
      </c>
      <c r="S64">
        <f t="shared" si="12"/>
        <v>7.5160733846983385</v>
      </c>
      <c r="T64">
        <f t="shared" si="18"/>
        <v>-1.5508758138410759</v>
      </c>
      <c r="AG64" t="str">
        <f>regions!A166</f>
        <v>Switzerland</v>
      </c>
      <c r="AH64">
        <f>regions!B166</f>
        <v>7824909</v>
      </c>
      <c r="AI64">
        <f>regions!C166</f>
        <v>427575024211.02106</v>
      </c>
      <c r="AJ64">
        <f>regions!D166</f>
        <v>54642.81108074497</v>
      </c>
      <c r="AK64">
        <f>regions!X166</f>
        <v>5.5</v>
      </c>
      <c r="AL64" s="13">
        <f t="shared" si="4"/>
        <v>2.6753748042716349E-3</v>
      </c>
      <c r="AM64" s="13">
        <f t="shared" si="5"/>
        <v>4.7219386209601697E-3</v>
      </c>
      <c r="AO64" s="13">
        <v>5.7396638662608836E-2</v>
      </c>
      <c r="AP64">
        <v>3823.2204030260514</v>
      </c>
      <c r="AQ64">
        <v>9.9</v>
      </c>
      <c r="AR64" s="13">
        <v>0.1033552760095237</v>
      </c>
      <c r="AS64">
        <v>3823.2204030260514</v>
      </c>
      <c r="AT64">
        <v>9.9</v>
      </c>
      <c r="AU64">
        <f t="shared" si="14"/>
        <v>-2.8577695372561767</v>
      </c>
      <c r="AV64">
        <f t="shared" si="7"/>
        <v>8.2488483838855249</v>
      </c>
      <c r="AW64">
        <f t="shared" si="8"/>
        <v>9.9</v>
      </c>
      <c r="AX64">
        <f t="shared" si="19"/>
        <v>-2.2695829442345405</v>
      </c>
      <c r="AY64">
        <f t="shared" si="20"/>
        <v>8.2488483838855249</v>
      </c>
      <c r="AZ64">
        <f t="shared" si="21"/>
        <v>9.9</v>
      </c>
    </row>
    <row r="65" spans="1:72" x14ac:dyDescent="0.35">
      <c r="A65" t="s">
        <v>224</v>
      </c>
      <c r="B65">
        <v>277.10000000000002</v>
      </c>
      <c r="C65">
        <v>466.2</v>
      </c>
      <c r="D65">
        <v>298.31</v>
      </c>
      <c r="E65">
        <v>500.27</v>
      </c>
      <c r="G65" s="12" t="s">
        <v>224</v>
      </c>
      <c r="H65" s="10">
        <v>73453.067168622743</v>
      </c>
      <c r="I65" s="10">
        <v>3492.4385271527062</v>
      </c>
      <c r="J65" s="10">
        <f t="shared" si="0"/>
        <v>256530.32171723363</v>
      </c>
      <c r="L65" s="10">
        <f t="shared" si="22"/>
        <v>3492.4385271527062</v>
      </c>
      <c r="M65">
        <f t="shared" si="23"/>
        <v>500.27</v>
      </c>
      <c r="N65" s="13">
        <f t="shared" si="3"/>
        <v>0.14324375249858928</v>
      </c>
      <c r="P65">
        <v>1598.3755633697153</v>
      </c>
      <c r="Q65">
        <v>395.15</v>
      </c>
      <c r="R65">
        <v>0.24721974550645645</v>
      </c>
      <c r="S65">
        <f t="shared" si="12"/>
        <v>7.3767431195953135</v>
      </c>
      <c r="T65">
        <f t="shared" si="18"/>
        <v>-1.3974776799443294</v>
      </c>
      <c r="AG65" t="str">
        <f>regions!A175</f>
        <v>Turkey</v>
      </c>
      <c r="AH65">
        <f>regions!B175</f>
        <v>72137546</v>
      </c>
      <c r="AI65">
        <f>regions!C175</f>
        <v>565091528615.37659</v>
      </c>
      <c r="AJ65">
        <f>regions!D175</f>
        <v>7833.5285846205052</v>
      </c>
      <c r="AK65">
        <f>regions!X175</f>
        <v>11.1</v>
      </c>
      <c r="AL65" s="13">
        <f t="shared" si="4"/>
        <v>3.808117845968792E-2</v>
      </c>
      <c r="AM65" s="13">
        <f t="shared" si="5"/>
        <v>6.3862663497797845E-2</v>
      </c>
      <c r="AO65" s="13">
        <v>6.0248186196656374E-2</v>
      </c>
      <c r="AP65">
        <v>4521.7958779831151</v>
      </c>
      <c r="AQ65">
        <v>9.9</v>
      </c>
      <c r="AR65" s="13">
        <v>0.10404273273163366</v>
      </c>
      <c r="AS65">
        <v>4521.7958779831151</v>
      </c>
      <c r="AT65">
        <v>9.9</v>
      </c>
      <c r="AU65">
        <f t="shared" si="14"/>
        <v>-2.8092828116843371</v>
      </c>
      <c r="AV65">
        <f t="shared" si="7"/>
        <v>8.416664512054183</v>
      </c>
      <c r="AW65">
        <f t="shared" si="8"/>
        <v>9.9</v>
      </c>
      <c r="AX65">
        <f t="shared" si="19"/>
        <v>-2.2629535725832981</v>
      </c>
      <c r="AY65">
        <f t="shared" si="20"/>
        <v>8.416664512054183</v>
      </c>
      <c r="AZ65">
        <f t="shared" si="21"/>
        <v>9.9</v>
      </c>
      <c r="BB65" t="s">
        <v>22</v>
      </c>
      <c r="BL65" t="s">
        <v>22</v>
      </c>
    </row>
    <row r="66" spans="1:72" ht="15" thickBot="1" x14ac:dyDescent="0.4">
      <c r="A66" t="s">
        <v>89</v>
      </c>
      <c r="B66">
        <v>69.239999999999995</v>
      </c>
      <c r="C66">
        <v>132.66</v>
      </c>
      <c r="D66">
        <v>24.6</v>
      </c>
      <c r="E66">
        <v>57.42</v>
      </c>
      <c r="G66" s="12" t="s">
        <v>226</v>
      </c>
      <c r="H66" s="10">
        <v>300267.43440884893</v>
      </c>
      <c r="I66" s="10">
        <v>32877.970921224914</v>
      </c>
      <c r="J66" s="10">
        <f t="shared" si="0"/>
        <v>9872183.977084944</v>
      </c>
      <c r="L66" s="10">
        <f t="shared" si="22"/>
        <v>32877.970921224914</v>
      </c>
      <c r="M66">
        <f t="shared" si="23"/>
        <v>57.42</v>
      </c>
      <c r="N66" s="13">
        <f t="shared" si="3"/>
        <v>1.7464581417623792E-3</v>
      </c>
      <c r="P66">
        <v>452.65477884807916</v>
      </c>
      <c r="Q66">
        <v>119.54</v>
      </c>
      <c r="R66">
        <v>0.26408646409125891</v>
      </c>
      <c r="S66">
        <f t="shared" si="12"/>
        <v>6.1151297573562289</v>
      </c>
      <c r="T66">
        <f t="shared" si="18"/>
        <v>-1.331478713960121</v>
      </c>
      <c r="AG66" t="str">
        <f>regions!A182</f>
        <v>United States</v>
      </c>
      <c r="AH66">
        <f>regions!B182</f>
        <v>309326225</v>
      </c>
      <c r="AI66">
        <f>regions!C182</f>
        <v>13595644353592.4</v>
      </c>
      <c r="AJ66">
        <f>regions!D182</f>
        <v>43952.446494287382</v>
      </c>
      <c r="AK66">
        <f>regions!X182</f>
        <v>8.5</v>
      </c>
      <c r="AL66" s="13">
        <f t="shared" si="4"/>
        <v>5.596958067669186E-4</v>
      </c>
      <c r="AM66" s="13">
        <f t="shared" si="5"/>
        <v>1.3064119196974173E-3</v>
      </c>
      <c r="AO66" s="13">
        <v>6.6145903047015744E-2</v>
      </c>
      <c r="AP66">
        <v>982.97849155955339</v>
      </c>
      <c r="AQ66">
        <v>9.4</v>
      </c>
      <c r="AR66" s="13">
        <v>0.1044071674825473</v>
      </c>
      <c r="AS66">
        <v>982.97849155955339</v>
      </c>
      <c r="AT66">
        <v>9.4</v>
      </c>
      <c r="AU66">
        <f t="shared" si="14"/>
        <v>-2.7158923246246558</v>
      </c>
      <c r="AV66">
        <f t="shared" si="7"/>
        <v>6.8905872395004151</v>
      </c>
      <c r="AW66">
        <f t="shared" si="8"/>
        <v>9.4</v>
      </c>
      <c r="AX66">
        <f t="shared" si="19"/>
        <v>-2.2594569518427918</v>
      </c>
      <c r="AY66">
        <f t="shared" si="20"/>
        <v>6.8905872395004151</v>
      </c>
      <c r="AZ66">
        <f t="shared" si="21"/>
        <v>9.4</v>
      </c>
      <c r="BB66" t="s">
        <v>632</v>
      </c>
    </row>
    <row r="67" spans="1:72" x14ac:dyDescent="0.35">
      <c r="A67" t="s">
        <v>266</v>
      </c>
      <c r="B67">
        <v>-36.229999999999997</v>
      </c>
      <c r="C67">
        <v>-67.89</v>
      </c>
      <c r="D67">
        <v>-74.63</v>
      </c>
      <c r="E67">
        <v>-133.16</v>
      </c>
      <c r="G67" s="12" t="s">
        <v>266</v>
      </c>
      <c r="H67" s="10">
        <v>47756.22952184813</v>
      </c>
      <c r="I67" s="10">
        <v>1208.3086702147152</v>
      </c>
      <c r="J67" s="10">
        <f t="shared" si="0"/>
        <v>57704.26618801304</v>
      </c>
      <c r="L67" s="10">
        <f t="shared" si="22"/>
        <v>1208.3086702147152</v>
      </c>
      <c r="M67">
        <f t="shared" si="23"/>
        <v>-133.16</v>
      </c>
      <c r="N67" s="13">
        <f t="shared" si="3"/>
        <v>-0.11020362866082688</v>
      </c>
      <c r="P67">
        <v>1598.3755633697153</v>
      </c>
      <c r="Q67">
        <v>470.46</v>
      </c>
      <c r="R67">
        <v>0.29433633169927242</v>
      </c>
      <c r="S67">
        <f t="shared" si="12"/>
        <v>7.3767431195953135</v>
      </c>
      <c r="T67">
        <f t="shared" si="18"/>
        <v>-1.2230321801244282</v>
      </c>
      <c r="AG67" t="str">
        <f>regions!A179</f>
        <v>Ukraine</v>
      </c>
      <c r="AH67">
        <f>regions!B179</f>
        <v>45870700</v>
      </c>
      <c r="AI67">
        <f>regions!C179</f>
        <v>90577255847.674149</v>
      </c>
      <c r="AJ67">
        <f>regions!D179</f>
        <v>1974.6211818802449</v>
      </c>
      <c r="AK67">
        <f>regions!X179</f>
        <v>8.3000000000000007</v>
      </c>
      <c r="AL67" s="13">
        <f t="shared" si="4"/>
        <v>-3.7794591025776855E-2</v>
      </c>
      <c r="AM67" s="13">
        <f t="shared" si="5"/>
        <v>-6.7435719429082761E-2</v>
      </c>
      <c r="AO67" s="13">
        <v>7.4713281582524022E-2</v>
      </c>
      <c r="AP67">
        <v>3396.7186907683758</v>
      </c>
      <c r="AQ67">
        <v>9.8000000000000007</v>
      </c>
      <c r="AR67" s="13">
        <v>0.12973108464873134</v>
      </c>
      <c r="AS67">
        <v>3396.7186907683758</v>
      </c>
      <c r="AT67">
        <v>9.8000000000000007</v>
      </c>
      <c r="AU67">
        <f t="shared" si="14"/>
        <v>-2.5940974036848896</v>
      </c>
      <c r="AV67">
        <f t="shared" si="7"/>
        <v>8.1305651536536576</v>
      </c>
      <c r="AW67">
        <f t="shared" si="8"/>
        <v>9.8000000000000007</v>
      </c>
      <c r="AX67">
        <f t="shared" si="19"/>
        <v>-2.0422915506176151</v>
      </c>
      <c r="AY67">
        <f t="shared" si="20"/>
        <v>8.1305651536536576</v>
      </c>
      <c r="AZ67">
        <f t="shared" si="21"/>
        <v>9.8000000000000007</v>
      </c>
      <c r="BB67" s="5" t="s">
        <v>23</v>
      </c>
      <c r="BC67" s="5"/>
      <c r="BL67" s="5" t="s">
        <v>23</v>
      </c>
      <c r="BM67" s="5"/>
    </row>
    <row r="68" spans="1:72" x14ac:dyDescent="0.35">
      <c r="A68" t="s">
        <v>227</v>
      </c>
      <c r="B68">
        <v>163.97</v>
      </c>
      <c r="C68">
        <v>289.39999999999998</v>
      </c>
      <c r="D68">
        <v>147.04</v>
      </c>
      <c r="E68">
        <v>260.14</v>
      </c>
      <c r="G68" s="12" t="s">
        <v>227</v>
      </c>
      <c r="H68" s="10">
        <v>3467.119608588966</v>
      </c>
      <c r="I68" s="10">
        <v>3784.6504604277588</v>
      </c>
      <c r="J68" s="10">
        <f t="shared" si="0"/>
        <v>13121.835823004341</v>
      </c>
      <c r="L68" s="10">
        <f t="shared" si="22"/>
        <v>3784.6504604277588</v>
      </c>
      <c r="M68">
        <f t="shared" si="23"/>
        <v>260.14</v>
      </c>
      <c r="N68" s="13">
        <f t="shared" si="3"/>
        <v>6.8735541820841697E-2</v>
      </c>
      <c r="P68">
        <v>245.43422046692868</v>
      </c>
      <c r="Q68">
        <v>304.25</v>
      </c>
      <c r="R68">
        <v>1.2396396860273873</v>
      </c>
      <c r="AG68" t="str">
        <f>regions!A183</f>
        <v>Uruguay</v>
      </c>
      <c r="AH68">
        <f>regions!B183</f>
        <v>3371982</v>
      </c>
      <c r="AI68">
        <f>regions!C183</f>
        <v>22899299769.575714</v>
      </c>
      <c r="AJ68">
        <f>regions!D183</f>
        <v>6791.0504176996537</v>
      </c>
      <c r="AK68">
        <f>regions!X183</f>
        <v>17.5</v>
      </c>
      <c r="AL68" s="13">
        <f t="shared" si="4"/>
        <v>2.1652025968879076E-2</v>
      </c>
      <c r="AM68" s="13">
        <f t="shared" si="5"/>
        <v>3.8306297847825098E-2</v>
      </c>
      <c r="AO68" s="13">
        <v>0.11694839611840947</v>
      </c>
      <c r="AP68">
        <v>610.18365679635724</v>
      </c>
      <c r="AQ68">
        <v>27.2</v>
      </c>
      <c r="AR68" s="13">
        <v>0.19590822970844546</v>
      </c>
      <c r="AS68">
        <v>610.18365679635724</v>
      </c>
      <c r="AT68">
        <v>27.2</v>
      </c>
      <c r="AU68">
        <f t="shared" si="14"/>
        <v>-2.1460225002964437</v>
      </c>
      <c r="AV68">
        <f t="shared" si="7"/>
        <v>6.4137599885681977</v>
      </c>
      <c r="AW68">
        <f t="shared" si="8"/>
        <v>27.2</v>
      </c>
      <c r="AX68">
        <f t="shared" si="19"/>
        <v>-1.6301089451720894</v>
      </c>
      <c r="AY68">
        <f t="shared" si="20"/>
        <v>6.4137599885681977</v>
      </c>
      <c r="AZ68">
        <f t="shared" si="21"/>
        <v>27.2</v>
      </c>
      <c r="BB68" s="2" t="s">
        <v>24</v>
      </c>
      <c r="BC68" s="2">
        <v>0.57680047233992626</v>
      </c>
      <c r="BL68" s="2" t="s">
        <v>24</v>
      </c>
      <c r="BM68" s="2">
        <v>0.57737188164238318</v>
      </c>
    </row>
    <row r="69" spans="1:72" x14ac:dyDescent="0.35">
      <c r="A69" t="s">
        <v>228</v>
      </c>
      <c r="B69">
        <v>59.1</v>
      </c>
      <c r="C69">
        <v>101.36</v>
      </c>
      <c r="D69">
        <v>-33.07</v>
      </c>
      <c r="E69">
        <v>-55.25</v>
      </c>
      <c r="G69" s="12" t="s">
        <v>228</v>
      </c>
      <c r="H69" s="10">
        <v>26703.161140353091</v>
      </c>
      <c r="I69" s="10">
        <v>2117.4383076870249</v>
      </c>
      <c r="J69" s="10">
        <f t="shared" ref="J69" si="29">H69*I69/1000</f>
        <v>56542.29633492318</v>
      </c>
      <c r="L69" s="10">
        <f t="shared" si="22"/>
        <v>2117.4383076870249</v>
      </c>
      <c r="M69">
        <f t="shared" si="23"/>
        <v>-55.25</v>
      </c>
      <c r="N69" s="13">
        <f t="shared" si="3"/>
        <v>-2.6092849930703346E-2</v>
      </c>
      <c r="P69">
        <v>0</v>
      </c>
      <c r="Q69">
        <v>151.69999999999999</v>
      </c>
      <c r="R69" t="e">
        <v>#DIV/0!</v>
      </c>
      <c r="AG69" t="str">
        <f>regions!A186</f>
        <v>Venezuela</v>
      </c>
      <c r="AH69">
        <f>regions!B186</f>
        <v>29043283</v>
      </c>
      <c r="AI69">
        <f>regions!C186</f>
        <v>174552448164.40952</v>
      </c>
      <c r="AJ69">
        <f>regions!D186</f>
        <v>6010.0797889966334</v>
      </c>
      <c r="AK69">
        <f>regions!X186</f>
        <v>25.3</v>
      </c>
      <c r="AL69" s="13">
        <f t="shared" si="4"/>
        <v>-5.5024227898846159E-3</v>
      </c>
      <c r="AM69" s="13">
        <f t="shared" si="5"/>
        <v>-9.192889602090264E-3</v>
      </c>
      <c r="AO69" s="13">
        <v>0.18126301973973805</v>
      </c>
      <c r="AP69">
        <v>995.6802013953959</v>
      </c>
      <c r="AQ69">
        <v>26.8</v>
      </c>
      <c r="AR69" s="13">
        <v>0.3055700008633383</v>
      </c>
      <c r="AS69">
        <v>995.6802013953959</v>
      </c>
      <c r="AT69">
        <v>26.8</v>
      </c>
      <c r="AU69">
        <f t="shared" si="14"/>
        <v>-1.707806154780392</v>
      </c>
      <c r="AV69">
        <f t="shared" si="7"/>
        <v>6.9034261230900862</v>
      </c>
      <c r="AW69">
        <f t="shared" si="8"/>
        <v>26.8</v>
      </c>
      <c r="AX69">
        <f t="shared" ref="AX69" si="30">LN(AR69)</f>
        <v>-1.1855763912224497</v>
      </c>
      <c r="AY69">
        <f t="shared" ref="AY69" si="31">LN(AS69)</f>
        <v>6.9034261230900862</v>
      </c>
      <c r="AZ69">
        <f t="shared" ref="AZ69" si="32">AT69</f>
        <v>26.8</v>
      </c>
      <c r="BB69" s="2" t="s">
        <v>25</v>
      </c>
      <c r="BC69" s="2">
        <v>0.33269878489156202</v>
      </c>
      <c r="BL69" s="2" t="s">
        <v>25</v>
      </c>
      <c r="BM69" s="2">
        <v>0.33335828971126613</v>
      </c>
    </row>
    <row r="70" spans="1:72" x14ac:dyDescent="0.35">
      <c r="G70" s="12"/>
      <c r="J70" s="10"/>
      <c r="BB70" s="2" t="s">
        <v>26</v>
      </c>
      <c r="BC70" s="2">
        <v>0.31558849732467903</v>
      </c>
      <c r="BL70" s="2" t="s">
        <v>26</v>
      </c>
      <c r="BM70" s="2">
        <v>0.29827188390659592</v>
      </c>
    </row>
    <row r="71" spans="1:72" x14ac:dyDescent="0.35">
      <c r="D71" s="10"/>
      <c r="E71" s="10"/>
      <c r="H71" s="10">
        <f t="shared" ref="H71" si="33">SUM(H5:H69)</f>
        <v>4659597.0732299509</v>
      </c>
      <c r="I71" s="10">
        <f>J71/H71*1000</f>
        <v>7302.0048878982843</v>
      </c>
      <c r="J71" s="10">
        <f t="shared" ref="J71" si="34">SUM(J5:J69)</f>
        <v>34024400.604361638</v>
      </c>
      <c r="AH71" s="10">
        <f t="shared" ref="AH71:AI71" si="35">SUM(AH5:AH69)</f>
        <v>4957120233</v>
      </c>
      <c r="AI71" s="10">
        <f t="shared" si="35"/>
        <v>49719009088017.078</v>
      </c>
      <c r="AJ71">
        <f>AI71/AH71</f>
        <v>10029.817061331923</v>
      </c>
      <c r="AL71" s="13">
        <f>SUMPRODUCT(D5:D69,AH5:AH69)/AH71/AJ71*172.2/152.4</f>
        <v>1.7962065483383895E-3</v>
      </c>
      <c r="AM71" s="13">
        <f>SUMPRODUCT(E5:E69,AH5:AH69)/AH71/AJ71*172.2/152.4</f>
        <v>3.0947656699459297E-3</v>
      </c>
      <c r="BB71" s="2" t="s">
        <v>27</v>
      </c>
      <c r="BC71" s="2">
        <v>1.472742489422495</v>
      </c>
      <c r="BL71" s="2" t="s">
        <v>27</v>
      </c>
      <c r="BM71" s="2">
        <v>1.4912573785219383</v>
      </c>
    </row>
    <row r="72" spans="1:72" ht="15" thickBot="1" x14ac:dyDescent="0.4">
      <c r="D72" s="13"/>
      <c r="E72" s="13"/>
      <c r="G72" s="12"/>
      <c r="BB72" s="3" t="s">
        <v>28</v>
      </c>
      <c r="BC72" s="3">
        <v>41</v>
      </c>
      <c r="BL72" s="3" t="s">
        <v>28</v>
      </c>
      <c r="BM72" s="3">
        <v>41</v>
      </c>
    </row>
    <row r="73" spans="1:72" x14ac:dyDescent="0.35">
      <c r="I73" s="7">
        <f>SUMPRODUCT($B$5:$B$69,H$5:H$69)/SUM(H$5:H$69)</f>
        <v>60.76747857362173</v>
      </c>
    </row>
    <row r="74" spans="1:72" ht="15" thickBot="1" x14ac:dyDescent="0.4">
      <c r="I74" s="7">
        <f>SUMPRODUCT($C$5:$C$69,H$5:H$69)/SUM(H$5:H$69)</f>
        <v>104.46744578853394</v>
      </c>
      <c r="BB74" t="s">
        <v>29</v>
      </c>
      <c r="BL74" t="s">
        <v>29</v>
      </c>
    </row>
    <row r="75" spans="1:72" x14ac:dyDescent="0.35">
      <c r="I75" s="7">
        <f>SUMPRODUCT($D$5:$D$69,H$5:H$69)/SUM(H$5:H$69)</f>
        <v>14.942389096612201</v>
      </c>
      <c r="BB75" s="4"/>
      <c r="BC75" s="4" t="s">
        <v>34</v>
      </c>
      <c r="BD75" s="4" t="s">
        <v>35</v>
      </c>
      <c r="BE75" s="4" t="s">
        <v>36</v>
      </c>
      <c r="BF75" s="4" t="s">
        <v>37</v>
      </c>
      <c r="BG75" s="4" t="s">
        <v>38</v>
      </c>
      <c r="BL75" s="4"/>
      <c r="BM75" s="4" t="s">
        <v>34</v>
      </c>
      <c r="BN75" s="4" t="s">
        <v>35</v>
      </c>
      <c r="BO75" s="4" t="s">
        <v>36</v>
      </c>
      <c r="BP75" s="4" t="s">
        <v>37</v>
      </c>
      <c r="BQ75" s="4" t="s">
        <v>38</v>
      </c>
    </row>
    <row r="76" spans="1:72" x14ac:dyDescent="0.35">
      <c r="G76" s="12"/>
      <c r="I76" s="7">
        <f>SUMPRODUCT($E$5:$E$69,H$5:H$69)/SUM(H$5:H$69)</f>
        <v>25.576500664761905</v>
      </c>
      <c r="BB76" s="2" t="s">
        <v>30</v>
      </c>
      <c r="BC76" s="2">
        <v>1</v>
      </c>
      <c r="BD76" s="2">
        <v>42.174266626612862</v>
      </c>
      <c r="BE76" s="2">
        <v>42.174266626612862</v>
      </c>
      <c r="BF76" s="2">
        <v>19.444371322870154</v>
      </c>
      <c r="BG76" s="2">
        <v>7.9007526377929509E-5</v>
      </c>
      <c r="BL76" s="2" t="s">
        <v>30</v>
      </c>
      <c r="BM76" s="2">
        <v>2</v>
      </c>
      <c r="BN76" s="2">
        <v>42.257868170624519</v>
      </c>
      <c r="BO76" s="2">
        <v>21.12893408531226</v>
      </c>
      <c r="BP76" s="2">
        <v>9.5010669250965041</v>
      </c>
      <c r="BQ76" s="2">
        <v>4.507722548618629E-4</v>
      </c>
    </row>
    <row r="77" spans="1:72" x14ac:dyDescent="0.35">
      <c r="G77" s="12"/>
      <c r="BB77" s="2" t="s">
        <v>31</v>
      </c>
      <c r="BC77" s="2">
        <v>39</v>
      </c>
      <c r="BD77" s="2">
        <v>84.589847165864342</v>
      </c>
      <c r="BE77" s="2">
        <v>2.1689704401503676</v>
      </c>
      <c r="BF77" s="2"/>
      <c r="BG77" s="2"/>
      <c r="BL77" s="2" t="s">
        <v>31</v>
      </c>
      <c r="BM77" s="2">
        <v>38</v>
      </c>
      <c r="BN77" s="2">
        <v>84.506245621852685</v>
      </c>
      <c r="BO77" s="2">
        <v>2.2238485689961234</v>
      </c>
      <c r="BP77" s="2"/>
      <c r="BQ77" s="2"/>
    </row>
    <row r="78" spans="1:72" ht="15" thickBot="1" x14ac:dyDescent="0.4">
      <c r="I78" s="13">
        <f t="shared" ref="I78" si="36">I73/I$71</f>
        <v>8.3220265538759813E-3</v>
      </c>
      <c r="BB78" s="3" t="s">
        <v>32</v>
      </c>
      <c r="BC78" s="3">
        <v>40</v>
      </c>
      <c r="BD78" s="3">
        <v>126.7641137924772</v>
      </c>
      <c r="BE78" s="3"/>
      <c r="BF78" s="3"/>
      <c r="BG78" s="3"/>
      <c r="BL78" s="3" t="s">
        <v>32</v>
      </c>
      <c r="BM78" s="3">
        <v>40</v>
      </c>
      <c r="BN78" s="3">
        <v>126.7641137924772</v>
      </c>
      <c r="BO78" s="3"/>
      <c r="BP78" s="3"/>
      <c r="BQ78" s="3"/>
    </row>
    <row r="79" spans="1:72" ht="15" thickBot="1" x14ac:dyDescent="0.4">
      <c r="I79" s="13">
        <f t="shared" ref="I79" si="37">I74/I$71</f>
        <v>1.4306679794431431E-2</v>
      </c>
    </row>
    <row r="80" spans="1:72" x14ac:dyDescent="0.35">
      <c r="I80" s="13">
        <f t="shared" ref="I80" si="38">I75/I$71</f>
        <v>2.0463406045340277E-3</v>
      </c>
      <c r="BB80" s="4"/>
      <c r="BC80" s="4" t="s">
        <v>39</v>
      </c>
      <c r="BD80" s="4" t="s">
        <v>27</v>
      </c>
      <c r="BE80" s="4" t="s">
        <v>40</v>
      </c>
      <c r="BF80" s="4" t="s">
        <v>41</v>
      </c>
      <c r="BG80" s="4" t="s">
        <v>42</v>
      </c>
      <c r="BH80" s="4" t="s">
        <v>43</v>
      </c>
      <c r="BI80" s="4" t="s">
        <v>44</v>
      </c>
      <c r="BJ80" s="4" t="s">
        <v>45</v>
      </c>
      <c r="BL80" s="4"/>
      <c r="BM80" s="4" t="s">
        <v>39</v>
      </c>
      <c r="BN80" s="4" t="s">
        <v>27</v>
      </c>
      <c r="BO80" s="4" t="s">
        <v>40</v>
      </c>
      <c r="BP80" s="4" t="s">
        <v>41</v>
      </c>
      <c r="BQ80" s="4" t="s">
        <v>42</v>
      </c>
      <c r="BR80" s="4" t="s">
        <v>43</v>
      </c>
      <c r="BS80" s="4" t="s">
        <v>44</v>
      </c>
      <c r="BT80" s="4" t="s">
        <v>45</v>
      </c>
    </row>
    <row r="81" spans="7:72" x14ac:dyDescent="0.35">
      <c r="I81" s="13">
        <f t="shared" ref="I81" si="39">I76/I$71</f>
        <v>3.5026682476137754E-3</v>
      </c>
      <c r="BB81" s="2" t="s">
        <v>33</v>
      </c>
      <c r="BC81" s="2">
        <v>4.0290626042456026</v>
      </c>
      <c r="BD81" s="2">
        <v>1.8875681590453852</v>
      </c>
      <c r="BE81" s="2">
        <v>2.1345256249094877</v>
      </c>
      <c r="BF81" s="2">
        <v>3.9140765527036034E-2</v>
      </c>
      <c r="BG81" s="2">
        <v>0.21109562799399972</v>
      </c>
      <c r="BH81" s="2">
        <v>7.847029580497205</v>
      </c>
      <c r="BI81" s="2">
        <v>0.21109562799399972</v>
      </c>
      <c r="BJ81" s="2">
        <v>7.847029580497205</v>
      </c>
      <c r="BL81" s="2" t="s">
        <v>33</v>
      </c>
      <c r="BM81" s="2">
        <v>3.7616471881872009</v>
      </c>
      <c r="BN81" s="2">
        <v>2.3569670853784825</v>
      </c>
      <c r="BO81" s="2">
        <v>1.595969333438169</v>
      </c>
      <c r="BP81" s="2">
        <v>0.11877979974860998</v>
      </c>
      <c r="BQ81" s="2">
        <v>-1.0097832239856057</v>
      </c>
      <c r="BR81" s="2">
        <v>8.5330776003600075</v>
      </c>
      <c r="BS81" s="2">
        <v>-1.0097832239856057</v>
      </c>
      <c r="BT81" s="2">
        <v>8.5330776003600075</v>
      </c>
    </row>
    <row r="82" spans="7:72" ht="15" thickBot="1" x14ac:dyDescent="0.4">
      <c r="BB82" s="3" t="s">
        <v>46</v>
      </c>
      <c r="BC82" s="3">
        <v>-0.90220579257600042</v>
      </c>
      <c r="BD82" s="3">
        <v>0.20460142686820915</v>
      </c>
      <c r="BE82" s="3">
        <v>-4.4095772272259977</v>
      </c>
      <c r="BF82" s="3">
        <v>7.9007526377930593E-5</v>
      </c>
      <c r="BG82" s="3">
        <v>-1.3160512409288923</v>
      </c>
      <c r="BH82" s="3">
        <v>-0.4883603442231087</v>
      </c>
      <c r="BI82" s="3">
        <v>-1.3160512409288923</v>
      </c>
      <c r="BJ82" s="3">
        <v>-0.4883603442231087</v>
      </c>
      <c r="BL82" s="2" t="s">
        <v>46</v>
      </c>
      <c r="BM82" s="2">
        <v>-0.88400655200149603</v>
      </c>
      <c r="BN82" s="2">
        <v>0.22744525538193694</v>
      </c>
      <c r="BO82" s="2">
        <v>-3.8866783592255199</v>
      </c>
      <c r="BP82" s="2">
        <v>3.9464982430565814E-4</v>
      </c>
      <c r="BQ82" s="2">
        <v>-1.3444453996061569</v>
      </c>
      <c r="BR82" s="2">
        <v>-0.42356770439683522</v>
      </c>
      <c r="BS82" s="2">
        <v>-1.3444453996061569</v>
      </c>
      <c r="BT82" s="2">
        <v>-0.42356770439683522</v>
      </c>
    </row>
    <row r="83" spans="7:72" ht="15" thickBot="1" x14ac:dyDescent="0.4">
      <c r="G83" s="12" t="s">
        <v>229</v>
      </c>
      <c r="H83" s="10">
        <v>10505.056863040609</v>
      </c>
      <c r="I83" s="13"/>
      <c r="BL83" s="3" t="s">
        <v>47</v>
      </c>
      <c r="BM83" s="3">
        <v>7.4567203517037313E-3</v>
      </c>
      <c r="BN83" s="3">
        <v>3.8458585988572866E-2</v>
      </c>
      <c r="BO83" s="3">
        <v>0.19388961294415072</v>
      </c>
      <c r="BP83" s="3">
        <v>0.84729507705301543</v>
      </c>
      <c r="BQ83" s="3">
        <v>-7.0398616675869843E-2</v>
      </c>
      <c r="BR83" s="3">
        <v>8.5312057379277315E-2</v>
      </c>
      <c r="BS83" s="3">
        <v>-7.0398616675869843E-2</v>
      </c>
      <c r="BT83" s="3">
        <v>8.5312057379277315E-2</v>
      </c>
    </row>
    <row r="84" spans="7:72" x14ac:dyDescent="0.35">
      <c r="G84" s="12" t="s">
        <v>225</v>
      </c>
      <c r="H84" s="10">
        <v>59632.57090716016</v>
      </c>
    </row>
    <row r="85" spans="7:72" x14ac:dyDescent="0.35">
      <c r="I85" s="13"/>
    </row>
  </sheetData>
  <sortState xmlns:xlrd2="http://schemas.microsoft.com/office/spreadsheetml/2017/richdata2" ref="AR5:AT69">
    <sortCondition ref="AR5:AR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I28" sqref="I28"/>
    </sheetView>
  </sheetViews>
  <sheetFormatPr defaultRowHeight="14.5" x14ac:dyDescent="0.35"/>
  <cols>
    <col min="1" max="1" width="33.81640625" customWidth="1"/>
    <col min="2" max="2" width="8.54296875" customWidth="1"/>
    <col min="3" max="3" width="6.453125" customWidth="1"/>
    <col min="4" max="4" width="5.453125" customWidth="1"/>
    <col min="5" max="5" width="5.81640625" customWidth="1"/>
    <col min="6" max="6" width="5.453125" customWidth="1"/>
    <col min="7" max="7" width="34.1796875" customWidth="1"/>
    <col min="8" max="8" width="20.1796875" customWidth="1"/>
    <col min="9" max="9" width="58.54296875" customWidth="1"/>
  </cols>
  <sheetData>
    <row r="1" spans="1:9" x14ac:dyDescent="0.35">
      <c r="A1" t="s">
        <v>317</v>
      </c>
      <c r="B1" t="s">
        <v>316</v>
      </c>
      <c r="G1" t="s">
        <v>67</v>
      </c>
    </row>
    <row r="2" spans="1:9" x14ac:dyDescent="0.35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13</v>
      </c>
      <c r="H2" t="s">
        <v>14</v>
      </c>
      <c r="I2" t="s">
        <v>72</v>
      </c>
    </row>
    <row r="3" spans="1:9" x14ac:dyDescent="0.35">
      <c r="A3" t="s">
        <v>633</v>
      </c>
      <c r="B3" s="1">
        <v>-1</v>
      </c>
      <c r="C3" s="1">
        <f>-dArge!K32*100</f>
        <v>-0.59642907312262095</v>
      </c>
      <c r="I3" t="s">
        <v>636</v>
      </c>
    </row>
    <row r="4" spans="1:9" x14ac:dyDescent="0.35">
      <c r="A4" t="s">
        <v>352</v>
      </c>
      <c r="B4">
        <v>2.5</v>
      </c>
      <c r="C4" s="18">
        <v>-3</v>
      </c>
      <c r="E4" s="1">
        <v>-12</v>
      </c>
      <c r="F4" s="1">
        <v>5</v>
      </c>
      <c r="G4" t="s">
        <v>353</v>
      </c>
      <c r="H4" t="s">
        <v>354</v>
      </c>
    </row>
    <row r="5" spans="1:9" x14ac:dyDescent="0.35">
      <c r="A5" t="s">
        <v>68</v>
      </c>
      <c r="B5" s="16">
        <v>3</v>
      </c>
      <c r="C5" s="19">
        <v>-1</v>
      </c>
      <c r="G5" t="s">
        <v>69</v>
      </c>
      <c r="H5" t="s">
        <v>69</v>
      </c>
    </row>
    <row r="6" spans="1:9" x14ac:dyDescent="0.35">
      <c r="A6" t="s">
        <v>1</v>
      </c>
      <c r="B6" s="1">
        <v>3</v>
      </c>
      <c r="C6" s="18">
        <v>-1.33</v>
      </c>
      <c r="D6" s="1"/>
      <c r="E6" s="1"/>
      <c r="F6" s="1"/>
      <c r="G6" t="s">
        <v>79</v>
      </c>
      <c r="H6" t="s">
        <v>78</v>
      </c>
    </row>
    <row r="7" spans="1:9" x14ac:dyDescent="0.35">
      <c r="A7" t="s">
        <v>0</v>
      </c>
      <c r="B7" s="1">
        <v>3</v>
      </c>
      <c r="C7" s="18">
        <v>-3.6</v>
      </c>
      <c r="D7" s="6"/>
      <c r="E7" s="6">
        <v>-21</v>
      </c>
      <c r="F7" s="6">
        <v>0</v>
      </c>
      <c r="G7" s="1" t="s">
        <v>71</v>
      </c>
      <c r="H7" s="1" t="s">
        <v>77</v>
      </c>
      <c r="I7" t="s">
        <v>73</v>
      </c>
    </row>
    <row r="8" spans="1:9" x14ac:dyDescent="0.35">
      <c r="B8" s="6">
        <v>6</v>
      </c>
      <c r="C8" s="18">
        <v>-6.7</v>
      </c>
      <c r="D8" s="1"/>
      <c r="E8" s="1"/>
      <c r="F8" s="1"/>
      <c r="G8" s="1"/>
      <c r="H8" s="1"/>
    </row>
    <row r="9" spans="1:9" x14ac:dyDescent="0.35">
      <c r="A9" t="s">
        <v>2</v>
      </c>
      <c r="B9" s="1">
        <v>2.5</v>
      </c>
      <c r="C9" s="18">
        <v>-1.4</v>
      </c>
      <c r="D9" s="1"/>
      <c r="E9" s="1"/>
      <c r="F9" s="1"/>
      <c r="G9" s="1" t="s">
        <v>81</v>
      </c>
      <c r="H9" s="1" t="s">
        <v>80</v>
      </c>
    </row>
    <row r="10" spans="1:9" x14ac:dyDescent="0.35">
      <c r="A10" t="s">
        <v>87</v>
      </c>
      <c r="B10" s="6">
        <v>2.5</v>
      </c>
      <c r="C10" s="18">
        <v>-1.5</v>
      </c>
      <c r="D10" s="1"/>
      <c r="E10" s="1"/>
      <c r="F10" s="1"/>
      <c r="G10" s="1" t="s">
        <v>88</v>
      </c>
      <c r="H10" s="1" t="s">
        <v>88</v>
      </c>
    </row>
    <row r="11" spans="1:9" x14ac:dyDescent="0.35">
      <c r="A11" t="s">
        <v>3</v>
      </c>
      <c r="B11" s="1">
        <v>2.5</v>
      </c>
      <c r="C11" s="18">
        <v>-1.9</v>
      </c>
      <c r="D11" s="1"/>
      <c r="E11" s="1"/>
      <c r="F11" s="1"/>
      <c r="G11" s="1" t="s">
        <v>83</v>
      </c>
      <c r="H11" s="1" t="s">
        <v>83</v>
      </c>
    </row>
    <row r="12" spans="1:9" x14ac:dyDescent="0.35">
      <c r="A12" t="s">
        <v>4</v>
      </c>
      <c r="B12" s="1">
        <v>2.5</v>
      </c>
      <c r="C12" s="18">
        <f>-NordhausYang!Z9</f>
        <v>-1.4351033687575427</v>
      </c>
      <c r="D12" s="1"/>
      <c r="E12" s="1"/>
      <c r="F12" s="1"/>
      <c r="G12" s="1" t="s">
        <v>95</v>
      </c>
      <c r="H12" s="1" t="s">
        <v>95</v>
      </c>
      <c r="I12" t="s">
        <v>304</v>
      </c>
    </row>
    <row r="13" spans="1:9" x14ac:dyDescent="0.35">
      <c r="A13" t="s">
        <v>5</v>
      </c>
      <c r="B13" s="1">
        <v>2.5</v>
      </c>
      <c r="C13" s="18">
        <f>-PlambeckHope!AL11</f>
        <v>-2.8891788330145758</v>
      </c>
      <c r="D13" s="1"/>
      <c r="E13" s="1">
        <f>-PlambeckHope!AM11</f>
        <v>-13.063357045557673</v>
      </c>
      <c r="F13" s="1">
        <f>-PlambeckHope!AK11</f>
        <v>-0.50344377208965629</v>
      </c>
      <c r="G13" s="1" t="s">
        <v>114</v>
      </c>
      <c r="H13" s="1" t="s">
        <v>115</v>
      </c>
      <c r="I13" t="s">
        <v>305</v>
      </c>
    </row>
    <row r="14" spans="1:9" x14ac:dyDescent="0.35">
      <c r="A14" t="s">
        <v>6</v>
      </c>
      <c r="B14" s="1">
        <v>2.4900000000000002</v>
      </c>
      <c r="C14" s="18">
        <f>55/145*C15</f>
        <v>2.5345622119815666E-2</v>
      </c>
      <c r="D14" s="1"/>
      <c r="E14" s="1"/>
      <c r="F14" s="1"/>
      <c r="G14" s="1" t="s">
        <v>139</v>
      </c>
      <c r="H14" s="1" t="s">
        <v>140</v>
      </c>
      <c r="I14" t="s">
        <v>142</v>
      </c>
    </row>
    <row r="15" spans="1:9" x14ac:dyDescent="0.35">
      <c r="B15" s="1">
        <v>2.4900000000000002</v>
      </c>
      <c r="C15" s="18">
        <f>145/217/1000*100</f>
        <v>6.6820276497695855E-2</v>
      </c>
      <c r="D15" s="1"/>
      <c r="E15" s="1"/>
      <c r="F15" s="1"/>
      <c r="G15" s="1" t="s">
        <v>139</v>
      </c>
      <c r="H15" s="1" t="s">
        <v>141</v>
      </c>
      <c r="I15" t="s">
        <v>143</v>
      </c>
    </row>
    <row r="16" spans="1:9" x14ac:dyDescent="0.35">
      <c r="A16" t="s">
        <v>7</v>
      </c>
      <c r="B16" s="1">
        <v>2.5</v>
      </c>
      <c r="C16" s="18">
        <v>-1.5</v>
      </c>
      <c r="D16" s="1"/>
      <c r="E16" s="1"/>
      <c r="F16" s="1"/>
      <c r="G16" s="1" t="s">
        <v>74</v>
      </c>
      <c r="H16" s="1" t="s">
        <v>74</v>
      </c>
      <c r="I16" t="s">
        <v>349</v>
      </c>
    </row>
    <row r="17" spans="1:9" x14ac:dyDescent="0.35">
      <c r="A17" t="s">
        <v>8</v>
      </c>
      <c r="B17" s="1">
        <v>1</v>
      </c>
      <c r="C17" s="18">
        <v>2.2999999999999998</v>
      </c>
      <c r="D17" s="1">
        <v>1</v>
      </c>
      <c r="E17" s="1"/>
      <c r="F17" s="1"/>
      <c r="G17" s="1" t="s">
        <v>82</v>
      </c>
      <c r="H17" s="1" t="s">
        <v>82</v>
      </c>
      <c r="I17" t="s">
        <v>350</v>
      </c>
    </row>
    <row r="18" spans="1:9" x14ac:dyDescent="0.35">
      <c r="A18" t="s">
        <v>9</v>
      </c>
      <c r="B18" s="1">
        <v>2.5</v>
      </c>
      <c r="C18" s="18">
        <f>-Maddison!AD92</f>
        <v>3.3000365094043249E-2</v>
      </c>
      <c r="D18" s="1"/>
      <c r="E18" s="1"/>
      <c r="F18" s="1"/>
      <c r="G18" s="1" t="s">
        <v>267</v>
      </c>
      <c r="H18" s="1" t="s">
        <v>267</v>
      </c>
      <c r="I18" t="s">
        <v>303</v>
      </c>
    </row>
    <row r="19" spans="1:9" x14ac:dyDescent="0.35">
      <c r="A19" t="s">
        <v>10</v>
      </c>
      <c r="B19" s="1">
        <v>0.6</v>
      </c>
      <c r="C19" s="18">
        <f>-RehdanzMaddison!AL71*100</f>
        <v>-0.17962065483383896</v>
      </c>
      <c r="D19" s="1"/>
      <c r="E19" s="1"/>
      <c r="F19" s="1"/>
      <c r="G19" s="1"/>
      <c r="H19" s="1"/>
    </row>
    <row r="20" spans="1:9" x14ac:dyDescent="0.35">
      <c r="B20" s="1">
        <v>1</v>
      </c>
      <c r="C20" s="18">
        <f>-RehdanzMaddison!AM71*100</f>
        <v>-0.30947656699459297</v>
      </c>
      <c r="D20" s="1"/>
      <c r="E20" s="1"/>
      <c r="F20" s="1"/>
      <c r="G20" s="1" t="s">
        <v>268</v>
      </c>
      <c r="H20" s="1" t="s">
        <v>301</v>
      </c>
      <c r="I20" t="s">
        <v>302</v>
      </c>
    </row>
    <row r="21" spans="1:9" x14ac:dyDescent="0.35">
      <c r="A21" t="s">
        <v>11</v>
      </c>
      <c r="B21" s="1">
        <v>2.5</v>
      </c>
      <c r="C21" s="18">
        <f>-Hope!AN11</f>
        <v>-0.97915753272366335</v>
      </c>
      <c r="D21" s="6"/>
      <c r="E21" s="6">
        <f>-Hope!AO11</f>
        <v>-3.0371870730367685</v>
      </c>
      <c r="F21" s="6">
        <f>-Hope!AM11</f>
        <v>4.6344323764782099E-2</v>
      </c>
      <c r="G21" s="1" t="s">
        <v>306</v>
      </c>
      <c r="H21" s="1" t="s">
        <v>306</v>
      </c>
      <c r="I21" t="s">
        <v>307</v>
      </c>
    </row>
    <row r="22" spans="1:9" x14ac:dyDescent="0.35">
      <c r="A22" t="s">
        <v>12</v>
      </c>
      <c r="B22" s="6">
        <v>3</v>
      </c>
      <c r="C22" s="18">
        <v>-0.93</v>
      </c>
      <c r="D22" s="1">
        <v>0.13</v>
      </c>
      <c r="E22" s="1"/>
      <c r="F22" s="1"/>
      <c r="G22" s="1" t="s">
        <v>75</v>
      </c>
      <c r="H22" s="1" t="s">
        <v>76</v>
      </c>
    </row>
    <row r="23" spans="1:9" x14ac:dyDescent="0.35">
      <c r="B23" s="6">
        <v>3</v>
      </c>
      <c r="C23" s="18">
        <v>-1.05</v>
      </c>
      <c r="D23" s="1">
        <v>0.13</v>
      </c>
      <c r="G23" s="1" t="s">
        <v>75</v>
      </c>
      <c r="H23" s="1" t="s">
        <v>76</v>
      </c>
      <c r="I23" t="s">
        <v>351</v>
      </c>
    </row>
    <row r="24" spans="1:9" x14ac:dyDescent="0.35">
      <c r="A24" t="s">
        <v>18</v>
      </c>
      <c r="B24" s="6">
        <v>3</v>
      </c>
      <c r="C24" s="18">
        <v>-2.5</v>
      </c>
      <c r="G24" s="1" t="s">
        <v>86</v>
      </c>
      <c r="H24" s="1" t="s">
        <v>86</v>
      </c>
      <c r="I24" t="s">
        <v>70</v>
      </c>
    </row>
    <row r="25" spans="1:9" x14ac:dyDescent="0.35">
      <c r="A25" t="s">
        <v>19</v>
      </c>
      <c r="B25" s="6">
        <v>3.2</v>
      </c>
      <c r="C25" s="18">
        <f>MaddisonRehdanz!G85</f>
        <v>-5.1135252093739076</v>
      </c>
      <c r="G25" s="1" t="s">
        <v>298</v>
      </c>
      <c r="H25" s="1" t="s">
        <v>300</v>
      </c>
      <c r="I25" t="s">
        <v>299</v>
      </c>
    </row>
    <row r="26" spans="1:9" x14ac:dyDescent="0.35">
      <c r="A26" t="s">
        <v>20</v>
      </c>
      <c r="B26" s="6">
        <v>1.92</v>
      </c>
      <c r="C26" s="18">
        <v>-0.5</v>
      </c>
      <c r="G26" s="1" t="s">
        <v>84</v>
      </c>
      <c r="H26" s="1" t="s">
        <v>84</v>
      </c>
    </row>
    <row r="27" spans="1:9" x14ac:dyDescent="0.35">
      <c r="A27" t="s">
        <v>21</v>
      </c>
      <c r="B27" s="6">
        <f>2.3+0.61</f>
        <v>2.9099999999999997</v>
      </c>
      <c r="C27" s="18">
        <f>-1.8</f>
        <v>-1.8</v>
      </c>
      <c r="G27" s="1" t="s">
        <v>310</v>
      </c>
      <c r="H27" s="1" t="s">
        <v>308</v>
      </c>
      <c r="I27" t="s">
        <v>312</v>
      </c>
    </row>
    <row r="28" spans="1:9" x14ac:dyDescent="0.35">
      <c r="B28" s="6">
        <f>4.79+0.61</f>
        <v>5.4</v>
      </c>
      <c r="C28" s="18">
        <f>-4.6</f>
        <v>-4.5999999999999996</v>
      </c>
      <c r="G28" s="1" t="s">
        <v>309</v>
      </c>
      <c r="H28" s="1" t="s">
        <v>308</v>
      </c>
      <c r="I28" t="s">
        <v>311</v>
      </c>
    </row>
    <row r="29" spans="1:9" x14ac:dyDescent="0.35">
      <c r="A29" t="s">
        <v>51</v>
      </c>
      <c r="B29" s="6">
        <v>2.9</v>
      </c>
      <c r="C29" s="18">
        <v>-2</v>
      </c>
      <c r="G29" s="1" t="s">
        <v>85</v>
      </c>
      <c r="H29" s="1" t="s">
        <v>85</v>
      </c>
      <c r="I29" t="s">
        <v>70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RowHeight="14.5" x14ac:dyDescent="0.35"/>
  <cols>
    <col min="1" max="1" width="12.26953125" customWidth="1"/>
    <col min="2" max="2" width="13.26953125" customWidth="1"/>
    <col min="7" max="7" width="13.453125" bestFit="1" customWidth="1"/>
    <col min="8" max="8" width="14" bestFit="1" customWidth="1"/>
  </cols>
  <sheetData>
    <row r="1" spans="1:37" x14ac:dyDescent="0.35">
      <c r="G1" t="s">
        <v>98</v>
      </c>
      <c r="H1" t="s">
        <v>315</v>
      </c>
      <c r="I1" t="s">
        <v>107</v>
      </c>
      <c r="L1" t="s">
        <v>58</v>
      </c>
    </row>
    <row r="2" spans="1:37" x14ac:dyDescent="0.35">
      <c r="B2" t="s">
        <v>294</v>
      </c>
      <c r="C2" t="s">
        <v>295</v>
      </c>
      <c r="D2" t="s">
        <v>296</v>
      </c>
      <c r="G2">
        <v>2005</v>
      </c>
      <c r="H2">
        <v>2005</v>
      </c>
      <c r="I2">
        <v>2005</v>
      </c>
    </row>
    <row r="3" spans="1:37" x14ac:dyDescent="0.35">
      <c r="A3" t="s">
        <v>272</v>
      </c>
      <c r="B3">
        <v>7</v>
      </c>
      <c r="C3">
        <v>-697</v>
      </c>
      <c r="D3">
        <v>-9.6</v>
      </c>
      <c r="F3" s="12" t="s">
        <v>272</v>
      </c>
      <c r="G3" s="10">
        <v>3925.5459775138702</v>
      </c>
      <c r="H3" s="10">
        <v>3735.8221686778065</v>
      </c>
      <c r="I3" s="10">
        <v>3198.6966051655886</v>
      </c>
      <c r="J3" s="10"/>
      <c r="K3" s="10" t="str">
        <f>regions!A4</f>
        <v>Albania</v>
      </c>
      <c r="L3" s="10">
        <f>regions!X4</f>
        <v>11.4</v>
      </c>
      <c r="N3">
        <v>-324.39999999999998</v>
      </c>
      <c r="O3" s="10">
        <v>1190.2714665937431</v>
      </c>
      <c r="P3" s="10">
        <v>17.899999999999999</v>
      </c>
      <c r="Q3">
        <f>LN(-N3)</f>
        <v>5.781977322241258</v>
      </c>
      <c r="R3">
        <f>LN(O3)</f>
        <v>7.0819366832774566</v>
      </c>
      <c r="S3" s="10">
        <f>P3</f>
        <v>17.899999999999999</v>
      </c>
      <c r="U3" t="s">
        <v>22</v>
      </c>
      <c r="X3">
        <f>SUM(Z4:Z5)*Y3*Y3</f>
        <v>-0.64568323404249861</v>
      </c>
      <c r="Y3">
        <f>SQRT(1/SUM(AA4:AA5))</f>
        <v>0.12046138409326258</v>
      </c>
      <c r="AE3" t="s">
        <v>22</v>
      </c>
      <c r="AH3">
        <f>SUM(AJ4:AJ5)*AI3*AI3</f>
        <v>-0.6200192575802923</v>
      </c>
      <c r="AI3">
        <f>SQRT(1/SUM(AK4:AK5))</f>
        <v>0.10033629339207535</v>
      </c>
    </row>
    <row r="4" spans="1:37" ht="15" thickBot="1" x14ac:dyDescent="0.4">
      <c r="A4" t="s">
        <v>273</v>
      </c>
      <c r="B4">
        <v>15</v>
      </c>
      <c r="C4">
        <v>-1649</v>
      </c>
      <c r="D4">
        <v>-22.3</v>
      </c>
      <c r="F4" s="12" t="s">
        <v>273</v>
      </c>
      <c r="G4" s="10">
        <v>58535.006574738596</v>
      </c>
      <c r="H4" s="10">
        <v>6066.2656423992603</v>
      </c>
      <c r="I4" s="10">
        <v>32879.3653222141</v>
      </c>
      <c r="J4" s="10"/>
      <c r="K4" s="10" t="str">
        <f>regions!A5</f>
        <v>Algeria</v>
      </c>
      <c r="L4" s="10">
        <f>regions!X5</f>
        <v>22.5</v>
      </c>
      <c r="N4">
        <v>-246.8</v>
      </c>
      <c r="O4" s="10">
        <v>1256.5439148907253</v>
      </c>
      <c r="P4" s="10">
        <v>22.8</v>
      </c>
      <c r="Q4">
        <f t="shared" ref="Q4:Q50" si="0">LN(-N4)</f>
        <v>5.5085782920312329</v>
      </c>
      <c r="R4">
        <f t="shared" ref="R4:R67" si="1">LN(O4)</f>
        <v>7.1361203065445915</v>
      </c>
      <c r="S4" s="10">
        <f t="shared" ref="S4:S67" si="2">P4</f>
        <v>22.8</v>
      </c>
      <c r="X4">
        <f>V20</f>
        <v>-1.1845609996335087</v>
      </c>
      <c r="Y4">
        <f>W20</f>
        <v>0.14586439370815463</v>
      </c>
      <c r="Z4">
        <f>X4/Y4/Y4</f>
        <v>-55.674823319413505</v>
      </c>
      <c r="AA4">
        <f>1/Y4/Y4</f>
        <v>47.000385236926363</v>
      </c>
      <c r="AH4">
        <f>AF20</f>
        <v>-1.0260754403691728</v>
      </c>
      <c r="AI4">
        <f>AG20</f>
        <v>0.11585966078321221</v>
      </c>
      <c r="AJ4">
        <f>AH4/AI4/AI4</f>
        <v>-76.438963141748687</v>
      </c>
      <c r="AK4">
        <f>1/AI4/AI4</f>
        <v>74.496435773033056</v>
      </c>
    </row>
    <row r="5" spans="1:37" x14ac:dyDescent="0.35">
      <c r="A5" t="s">
        <v>144</v>
      </c>
      <c r="B5">
        <v>2</v>
      </c>
      <c r="C5">
        <v>-231</v>
      </c>
      <c r="D5">
        <v>-1.7</v>
      </c>
      <c r="F5" s="12" t="s">
        <v>144</v>
      </c>
      <c r="G5" s="10">
        <v>176283.40853441539</v>
      </c>
      <c r="H5" s="10">
        <v>7306.0396360183177</v>
      </c>
      <c r="I5" s="10">
        <v>39369.926435590642</v>
      </c>
      <c r="J5" s="10"/>
      <c r="K5" s="10" t="str">
        <f>regions!A8</f>
        <v>Argentina</v>
      </c>
      <c r="L5" s="10">
        <f>regions!X8</f>
        <v>14.8</v>
      </c>
      <c r="N5">
        <v>-207.4</v>
      </c>
      <c r="O5" s="10">
        <v>977.19107223573053</v>
      </c>
      <c r="P5" s="10">
        <v>21.4</v>
      </c>
      <c r="Q5">
        <f t="shared" si="0"/>
        <v>5.334649295795427</v>
      </c>
      <c r="R5">
        <f t="shared" si="1"/>
        <v>6.8846822032752639</v>
      </c>
      <c r="S5" s="10">
        <f t="shared" si="2"/>
        <v>21.4</v>
      </c>
      <c r="U5" s="5" t="s">
        <v>23</v>
      </c>
      <c r="V5" s="5"/>
      <c r="X5">
        <f>-V39</f>
        <v>0.51012979511725753</v>
      </c>
      <c r="Y5">
        <f>W39</f>
        <v>0.21362297146347045</v>
      </c>
      <c r="Z5">
        <f>X5/Y5/Y5</f>
        <v>11.178532314476154</v>
      </c>
      <c r="AA5">
        <f>1/Y5/Y5</f>
        <v>21.913113920167469</v>
      </c>
      <c r="AE5" s="5" t="s">
        <v>23</v>
      </c>
      <c r="AF5" s="5"/>
      <c r="AH5">
        <f>-AF39</f>
        <v>0.59804089460355025</v>
      </c>
      <c r="AI5">
        <f>AG39</f>
        <v>0.20066589051087219</v>
      </c>
      <c r="AJ5">
        <f>AH5/AI5/AI5</f>
        <v>14.851959935447162</v>
      </c>
      <c r="AK5">
        <f>1/AI5/AI5</f>
        <v>24.834355090871728</v>
      </c>
    </row>
    <row r="6" spans="1:37" x14ac:dyDescent="0.35">
      <c r="A6" t="s">
        <v>240</v>
      </c>
      <c r="B6">
        <v>4</v>
      </c>
      <c r="C6">
        <v>-233</v>
      </c>
      <c r="D6">
        <v>-4.0999999999999996</v>
      </c>
      <c r="F6" s="12" t="s">
        <v>240</v>
      </c>
      <c r="G6" s="10">
        <v>6607.0938842738697</v>
      </c>
      <c r="H6" s="10">
        <v>5495.4592406523652</v>
      </c>
      <c r="I6" s="10">
        <v>3024.495693385099</v>
      </c>
      <c r="J6" s="10"/>
      <c r="K6" s="10" t="str">
        <f>regions!A9</f>
        <v>Armenia</v>
      </c>
      <c r="L6" s="10">
        <f>regions!X9</f>
        <v>7.1</v>
      </c>
      <c r="N6">
        <v>-157.1</v>
      </c>
      <c r="O6" s="10">
        <v>1073.8498127967318</v>
      </c>
      <c r="P6" s="10">
        <v>28.2</v>
      </c>
      <c r="Q6">
        <f t="shared" si="0"/>
        <v>5.0568825452615753</v>
      </c>
      <c r="R6">
        <f t="shared" si="1"/>
        <v>6.9790054261812218</v>
      </c>
      <c r="S6" s="10">
        <f t="shared" si="2"/>
        <v>28.2</v>
      </c>
      <c r="U6" s="2" t="s">
        <v>24</v>
      </c>
      <c r="V6" s="2">
        <v>0.76753052141627598</v>
      </c>
      <c r="AE6" s="2" t="s">
        <v>24</v>
      </c>
      <c r="AF6" s="2">
        <v>0.87238277331247083</v>
      </c>
    </row>
    <row r="7" spans="1:37" x14ac:dyDescent="0.35">
      <c r="A7" t="s">
        <v>145</v>
      </c>
      <c r="B7">
        <v>8</v>
      </c>
      <c r="C7">
        <v>-1070</v>
      </c>
      <c r="D7">
        <v>-3.1</v>
      </c>
      <c r="F7" s="12" t="s">
        <v>145</v>
      </c>
      <c r="G7" s="10">
        <v>538437.61964936857</v>
      </c>
      <c r="H7" s="10">
        <v>26316.339850887143</v>
      </c>
      <c r="I7" s="10">
        <v>20131.505302129397</v>
      </c>
      <c r="J7" s="10"/>
      <c r="K7" s="10" t="str">
        <f>regions!A10</f>
        <v>Australia</v>
      </c>
      <c r="L7" s="10">
        <f>regions!X10</f>
        <v>21.6</v>
      </c>
      <c r="N7">
        <v>-138.30000000000001</v>
      </c>
      <c r="O7" s="10">
        <v>3591.4835678468412</v>
      </c>
      <c r="P7" s="10">
        <v>23.4</v>
      </c>
      <c r="Q7">
        <f t="shared" si="0"/>
        <v>4.9294252386707127</v>
      </c>
      <c r="R7">
        <f t="shared" si="1"/>
        <v>8.1863206462146341</v>
      </c>
      <c r="S7" s="10">
        <f t="shared" si="2"/>
        <v>23.4</v>
      </c>
      <c r="U7" s="2" t="s">
        <v>25</v>
      </c>
      <c r="V7" s="2">
        <v>0.58910310130554056</v>
      </c>
      <c r="AE7" s="2" t="s">
        <v>25</v>
      </c>
      <c r="AF7" s="2">
        <v>0.76105170317235782</v>
      </c>
      <c r="AH7">
        <f>SUM(AJ8:AJ9)*AI7*AI7</f>
        <v>0.10562218075872606</v>
      </c>
      <c r="AI7">
        <f>SQRT(1/SUM(AK8:AK9))</f>
        <v>1.7151487433087573E-2</v>
      </c>
    </row>
    <row r="8" spans="1:37" x14ac:dyDescent="0.35">
      <c r="A8" t="s">
        <v>241</v>
      </c>
      <c r="B8">
        <v>10</v>
      </c>
      <c r="C8">
        <v>-939</v>
      </c>
      <c r="D8">
        <v>-11.6</v>
      </c>
      <c r="F8" s="12" t="s">
        <v>355</v>
      </c>
      <c r="G8" s="10">
        <v>5589.4006777500372</v>
      </c>
      <c r="H8" s="10">
        <v>4724.5009021205369</v>
      </c>
      <c r="I8" s="10">
        <v>8513.698081016395</v>
      </c>
      <c r="J8" s="10"/>
      <c r="K8" s="10" t="str">
        <f>regions!A12</f>
        <v>Azerbaijan</v>
      </c>
      <c r="L8" s="10">
        <f>regions!X12</f>
        <v>11.9</v>
      </c>
      <c r="N8">
        <v>-135.1</v>
      </c>
      <c r="O8" s="10">
        <v>1770.7413965863902</v>
      </c>
      <c r="P8" s="10">
        <v>25</v>
      </c>
      <c r="Q8">
        <f t="shared" si="0"/>
        <v>4.9060152449661532</v>
      </c>
      <c r="R8">
        <f t="shared" si="1"/>
        <v>7.4791536059950134</v>
      </c>
      <c r="S8" s="10">
        <f t="shared" si="2"/>
        <v>25</v>
      </c>
      <c r="U8" s="2" t="s">
        <v>26</v>
      </c>
      <c r="V8" s="2">
        <v>0.58017056002957401</v>
      </c>
      <c r="AE8" s="2" t="s">
        <v>26</v>
      </c>
      <c r="AF8" s="2">
        <v>0.75043177886890711</v>
      </c>
      <c r="AH8">
        <f>AF21</f>
        <v>0.11444069246790424</v>
      </c>
      <c r="AI8">
        <f>AG21</f>
        <v>2.0110685081963342E-2</v>
      </c>
      <c r="AJ8">
        <f>AH8/AI8/AI8</f>
        <v>282.96110731039204</v>
      </c>
      <c r="AK8">
        <f>1/AI8/AI8</f>
        <v>2472.5567558912721</v>
      </c>
    </row>
    <row r="9" spans="1:37" x14ac:dyDescent="0.35">
      <c r="A9" t="s">
        <v>148</v>
      </c>
      <c r="B9">
        <v>50</v>
      </c>
      <c r="C9">
        <v>-1666</v>
      </c>
      <c r="D9">
        <v>-135.1</v>
      </c>
      <c r="F9" s="12" t="s">
        <v>148</v>
      </c>
      <c r="G9" s="10">
        <v>61162.714925709952</v>
      </c>
      <c r="H9" s="10">
        <v>1770.7413965863902</v>
      </c>
      <c r="I9" s="10">
        <v>152966.46715581231</v>
      </c>
      <c r="J9" s="10"/>
      <c r="K9" s="10" t="str">
        <f>regions!A15</f>
        <v>Bangladesh</v>
      </c>
      <c r="L9" s="10">
        <f>regions!X15</f>
        <v>25</v>
      </c>
      <c r="N9">
        <v>-134.30000000000001</v>
      </c>
      <c r="O9" s="10">
        <v>851.58644922447445</v>
      </c>
      <c r="P9" s="10">
        <v>22.3</v>
      </c>
      <c r="Q9">
        <f t="shared" si="0"/>
        <v>4.9000761035291918</v>
      </c>
      <c r="R9">
        <f t="shared" si="1"/>
        <v>6.7471010207561282</v>
      </c>
      <c r="S9" s="10">
        <f t="shared" si="2"/>
        <v>22.3</v>
      </c>
      <c r="U9" s="2" t="s">
        <v>27</v>
      </c>
      <c r="V9" s="2">
        <v>0.98098357363723976</v>
      </c>
      <c r="AE9" s="2" t="s">
        <v>27</v>
      </c>
      <c r="AF9" s="2">
        <v>0.75634498599487232</v>
      </c>
      <c r="AH9">
        <f>-AF40</f>
        <v>8.2095712900087117E-2</v>
      </c>
      <c r="AI9">
        <f>AG40</f>
        <v>3.2847897895592566E-2</v>
      </c>
      <c r="AJ9">
        <f>AH9/AI9/AI9</f>
        <v>76.08609836464079</v>
      </c>
      <c r="AK9">
        <f>1/AI9/AI9</f>
        <v>926.79746209451639</v>
      </c>
    </row>
    <row r="10" spans="1:37" ht="15" thickBot="1" x14ac:dyDescent="0.4">
      <c r="A10" t="s">
        <v>242</v>
      </c>
      <c r="B10">
        <v>-41</v>
      </c>
      <c r="C10">
        <v>3329</v>
      </c>
      <c r="D10">
        <v>29.3</v>
      </c>
      <c r="F10" s="12" t="s">
        <v>242</v>
      </c>
      <c r="G10" s="10">
        <v>18000.507867075823</v>
      </c>
      <c r="H10" s="10">
        <v>9662.2845402804032</v>
      </c>
      <c r="I10" s="10">
        <v>9803.2674800636487</v>
      </c>
      <c r="J10" s="10"/>
      <c r="K10" s="10" t="str">
        <f>regions!A17</f>
        <v>Belarus</v>
      </c>
      <c r="L10" s="10">
        <f>regions!X17</f>
        <v>6.2</v>
      </c>
      <c r="N10">
        <v>-130</v>
      </c>
      <c r="O10" s="10">
        <v>1132.7403764573671</v>
      </c>
      <c r="P10" s="10">
        <v>28.2</v>
      </c>
      <c r="Q10">
        <f t="shared" si="0"/>
        <v>4.8675344504555822</v>
      </c>
      <c r="R10">
        <f t="shared" si="1"/>
        <v>7.0323950877772079</v>
      </c>
      <c r="S10" s="10">
        <f t="shared" si="2"/>
        <v>28.2</v>
      </c>
      <c r="U10" s="3" t="s">
        <v>28</v>
      </c>
      <c r="V10" s="3">
        <v>48</v>
      </c>
      <c r="AE10" s="3" t="s">
        <v>28</v>
      </c>
      <c r="AF10" s="3">
        <v>48</v>
      </c>
    </row>
    <row r="11" spans="1:37" x14ac:dyDescent="0.35">
      <c r="A11" t="s">
        <v>274</v>
      </c>
      <c r="B11">
        <v>-11</v>
      </c>
      <c r="C11">
        <v>889</v>
      </c>
      <c r="D11">
        <v>11.7</v>
      </c>
      <c r="F11" s="12" t="s">
        <v>274</v>
      </c>
      <c r="G11" s="10">
        <v>7723.187667287827</v>
      </c>
      <c r="H11" s="10">
        <v>1911.1775248268789</v>
      </c>
      <c r="I11" s="10">
        <v>4308.1853277998443</v>
      </c>
      <c r="J11" s="10"/>
      <c r="K11" s="10" t="str">
        <f>regions!A24</f>
        <v>Bosnia and Herzegovina</v>
      </c>
      <c r="L11" s="10">
        <f>regions!X24</f>
        <v>9.8000000000000007</v>
      </c>
      <c r="N11">
        <v>-118.7</v>
      </c>
      <c r="O11" s="10">
        <v>2112.084486136619</v>
      </c>
      <c r="P11" s="10">
        <v>27.2</v>
      </c>
      <c r="Q11">
        <f t="shared" si="0"/>
        <v>4.7765993016156223</v>
      </c>
      <c r="R11">
        <f t="shared" si="1"/>
        <v>7.6554306469316531</v>
      </c>
      <c r="S11" s="10">
        <f t="shared" si="2"/>
        <v>27.2</v>
      </c>
    </row>
    <row r="12" spans="1:37" ht="15" thickBot="1" x14ac:dyDescent="0.4">
      <c r="A12" t="s">
        <v>155</v>
      </c>
      <c r="B12">
        <v>66</v>
      </c>
      <c r="C12">
        <v>-8897</v>
      </c>
      <c r="D12">
        <v>-93</v>
      </c>
      <c r="F12" s="12" t="s">
        <v>155</v>
      </c>
      <c r="G12" s="10">
        <v>847755.52721151849</v>
      </c>
      <c r="H12" s="10">
        <v>6569.5532982156883</v>
      </c>
      <c r="I12" s="10">
        <v>183113.60871761179</v>
      </c>
      <c r="J12" s="10"/>
      <c r="K12" s="10" t="str">
        <f>regions!A26</f>
        <v>Brazil</v>
      </c>
      <c r="L12" s="10">
        <f>regions!X26</f>
        <v>24.9</v>
      </c>
      <c r="N12">
        <v>-99.8</v>
      </c>
      <c r="O12" s="10">
        <v>827.92457113279204</v>
      </c>
      <c r="P12" s="10">
        <v>26.8</v>
      </c>
      <c r="Q12">
        <f t="shared" si="0"/>
        <v>4.6031681833174183</v>
      </c>
      <c r="R12">
        <f t="shared" si="1"/>
        <v>6.7189220525699049</v>
      </c>
      <c r="S12" s="10">
        <f t="shared" si="2"/>
        <v>26.8</v>
      </c>
      <c r="U12" t="s">
        <v>29</v>
      </c>
      <c r="AE12" t="s">
        <v>29</v>
      </c>
    </row>
    <row r="13" spans="1:37" x14ac:dyDescent="0.35">
      <c r="A13" t="s">
        <v>244</v>
      </c>
      <c r="B13">
        <v>-8</v>
      </c>
      <c r="C13">
        <v>742</v>
      </c>
      <c r="D13">
        <v>6.5</v>
      </c>
      <c r="F13" s="12" t="s">
        <v>244</v>
      </c>
      <c r="G13" s="10">
        <v>15469.822526554879</v>
      </c>
      <c r="H13" s="10">
        <v>7959.4682200183106</v>
      </c>
      <c r="I13" s="10">
        <v>7764.4343036470345</v>
      </c>
      <c r="J13" s="10"/>
      <c r="K13" s="10" t="str">
        <f>regions!A28</f>
        <v>Bulgaria</v>
      </c>
      <c r="L13" s="10">
        <f>regions!X28</f>
        <v>10.5</v>
      </c>
      <c r="N13">
        <v>-98</v>
      </c>
      <c r="O13" s="10">
        <v>2561.5538307434826</v>
      </c>
      <c r="P13" s="10">
        <v>24.4</v>
      </c>
      <c r="Q13">
        <f t="shared" si="0"/>
        <v>4.5849674786705723</v>
      </c>
      <c r="R13">
        <f t="shared" si="1"/>
        <v>7.8483693184789471</v>
      </c>
      <c r="S13" s="10">
        <f t="shared" si="2"/>
        <v>24.4</v>
      </c>
      <c r="U13" s="4"/>
      <c r="V13" s="4" t="s">
        <v>34</v>
      </c>
      <c r="W13" s="4" t="s">
        <v>35</v>
      </c>
      <c r="X13" s="4" t="s">
        <v>36</v>
      </c>
      <c r="Y13" s="4" t="s">
        <v>37</v>
      </c>
      <c r="Z13" s="4" t="s">
        <v>38</v>
      </c>
      <c r="AE13" s="4"/>
      <c r="AF13" s="4" t="s">
        <v>34</v>
      </c>
      <c r="AG13" s="4" t="s">
        <v>35</v>
      </c>
      <c r="AH13" s="4" t="s">
        <v>36</v>
      </c>
      <c r="AI13" s="4" t="s">
        <v>37</v>
      </c>
      <c r="AJ13" s="4" t="s">
        <v>38</v>
      </c>
    </row>
    <row r="14" spans="1:37" x14ac:dyDescent="0.35">
      <c r="A14" t="s">
        <v>275</v>
      </c>
      <c r="B14">
        <v>54</v>
      </c>
      <c r="C14">
        <v>-1400</v>
      </c>
      <c r="D14">
        <v>-130</v>
      </c>
      <c r="F14" s="12" t="s">
        <v>275</v>
      </c>
      <c r="G14" s="10">
        <v>3589.1160437150716</v>
      </c>
      <c r="H14" s="10">
        <v>1132.7403764573671</v>
      </c>
      <c r="I14" s="10">
        <v>13785.509070147011</v>
      </c>
      <c r="J14" s="10"/>
      <c r="K14" s="10" t="str">
        <f>regions!A29</f>
        <v>Burkina Faso</v>
      </c>
      <c r="L14" s="10">
        <f>regions!X29</f>
        <v>28.2</v>
      </c>
      <c r="N14">
        <v>-96.6</v>
      </c>
      <c r="O14" s="10">
        <v>2158.7813553015694</v>
      </c>
      <c r="P14" s="10">
        <v>20.2</v>
      </c>
      <c r="Q14">
        <f t="shared" si="0"/>
        <v>4.5705787412184726</v>
      </c>
      <c r="R14">
        <f t="shared" si="1"/>
        <v>7.6772991541042499</v>
      </c>
      <c r="S14" s="10">
        <f t="shared" si="2"/>
        <v>20.2</v>
      </c>
      <c r="U14" s="2" t="s">
        <v>30</v>
      </c>
      <c r="V14" s="2">
        <v>1</v>
      </c>
      <c r="W14" s="2">
        <v>63.465798410187894</v>
      </c>
      <c r="X14" s="2">
        <v>63.465798410187894</v>
      </c>
      <c r="Y14" s="2">
        <v>65.950224365663388</v>
      </c>
      <c r="Z14" s="2">
        <v>1.9627073626871453E-10</v>
      </c>
      <c r="AE14" s="2" t="s">
        <v>30</v>
      </c>
      <c r="AF14" s="2">
        <v>2</v>
      </c>
      <c r="AG14" s="2">
        <v>81.990323707726759</v>
      </c>
      <c r="AH14" s="2">
        <v>40.99516185386338</v>
      </c>
      <c r="AI14" s="2">
        <v>71.662629735041264</v>
      </c>
      <c r="AJ14" s="2">
        <v>1.0276344015329805E-14</v>
      </c>
    </row>
    <row r="15" spans="1:37" x14ac:dyDescent="0.35">
      <c r="A15" t="s">
        <v>157</v>
      </c>
      <c r="B15">
        <v>-32</v>
      </c>
      <c r="C15">
        <v>2696</v>
      </c>
      <c r="D15">
        <v>7.5</v>
      </c>
      <c r="F15" s="12" t="s">
        <v>157</v>
      </c>
      <c r="G15" s="10">
        <v>816871.95950482355</v>
      </c>
      <c r="H15" s="10">
        <v>27529.022015146173</v>
      </c>
      <c r="I15" s="10">
        <v>32020.765323183747</v>
      </c>
      <c r="J15" s="10"/>
      <c r="K15" s="10" t="str">
        <f>regions!A34</f>
        <v>Canada</v>
      </c>
      <c r="L15" s="10">
        <f>regions!X34</f>
        <v>-5.4</v>
      </c>
      <c r="N15">
        <v>-93</v>
      </c>
      <c r="O15" s="10">
        <v>6569.5532982156883</v>
      </c>
      <c r="P15" s="10">
        <v>24.9</v>
      </c>
      <c r="Q15">
        <f t="shared" si="0"/>
        <v>4.5325994931532563</v>
      </c>
      <c r="R15">
        <f t="shared" si="1"/>
        <v>8.7902011180279889</v>
      </c>
      <c r="S15" s="10">
        <f t="shared" si="2"/>
        <v>24.9</v>
      </c>
      <c r="U15" s="2" t="s">
        <v>31</v>
      </c>
      <c r="V15" s="2">
        <v>46</v>
      </c>
      <c r="W15" s="2">
        <v>44.267123500320132</v>
      </c>
      <c r="X15" s="2">
        <v>0.96232877174608977</v>
      </c>
      <c r="Y15" s="2"/>
      <c r="Z15" s="2"/>
      <c r="AE15" s="2" t="s">
        <v>31</v>
      </c>
      <c r="AF15" s="2">
        <v>45</v>
      </c>
      <c r="AG15" s="2">
        <v>25.742598202781259</v>
      </c>
      <c r="AH15" s="2">
        <v>0.57205773783958358</v>
      </c>
      <c r="AI15" s="2"/>
      <c r="AJ15" s="2"/>
    </row>
    <row r="16" spans="1:37" ht="15" thickBot="1" x14ac:dyDescent="0.4">
      <c r="A16" t="s">
        <v>158</v>
      </c>
      <c r="B16">
        <v>-5</v>
      </c>
      <c r="C16">
        <v>662</v>
      </c>
      <c r="D16">
        <v>4.9000000000000004</v>
      </c>
      <c r="F16" s="12" t="s">
        <v>158</v>
      </c>
      <c r="G16" s="10">
        <v>90136.970471717665</v>
      </c>
      <c r="H16" s="10">
        <v>10596.672076418698</v>
      </c>
      <c r="I16" s="10">
        <v>16209.76853780304</v>
      </c>
      <c r="J16" s="10"/>
      <c r="K16" s="10" t="str">
        <f>regions!A38</f>
        <v>Chile</v>
      </c>
      <c r="L16" s="10">
        <f>regions!X38</f>
        <v>8.5</v>
      </c>
      <c r="N16">
        <v>-89.6</v>
      </c>
      <c r="O16" s="10">
        <v>2549.0139282869914</v>
      </c>
      <c r="P16" s="10">
        <v>23.7</v>
      </c>
      <c r="Q16">
        <f t="shared" si="0"/>
        <v>4.4953553199808844</v>
      </c>
      <c r="R16">
        <f t="shared" si="1"/>
        <v>7.8434618685773465</v>
      </c>
      <c r="S16" s="10">
        <f t="shared" si="2"/>
        <v>23.7</v>
      </c>
      <c r="U16" s="3" t="s">
        <v>32</v>
      </c>
      <c r="V16" s="3">
        <v>47</v>
      </c>
      <c r="W16" s="3">
        <v>107.73292191050803</v>
      </c>
      <c r="X16" s="3"/>
      <c r="Y16" s="3"/>
      <c r="Z16" s="3"/>
      <c r="AE16" s="3" t="s">
        <v>32</v>
      </c>
      <c r="AF16" s="3">
        <v>47</v>
      </c>
      <c r="AG16" s="3">
        <v>107.73292191050803</v>
      </c>
      <c r="AH16" s="3"/>
      <c r="AI16" s="3"/>
      <c r="AJ16" s="3"/>
    </row>
    <row r="17" spans="1:39" ht="15" thickBot="1" x14ac:dyDescent="0.4">
      <c r="A17" t="s">
        <v>91</v>
      </c>
      <c r="B17">
        <v>-4</v>
      </c>
      <c r="C17">
        <v>258</v>
      </c>
      <c r="D17">
        <v>4.5</v>
      </c>
      <c r="F17" s="12" t="s">
        <v>91</v>
      </c>
      <c r="G17" s="10">
        <v>1519974.1930984012</v>
      </c>
      <c r="H17" s="10">
        <v>5060.8254435133804</v>
      </c>
      <c r="I17" s="10">
        <v>1324216.8272861396</v>
      </c>
      <c r="J17" s="10"/>
      <c r="K17" s="10" t="str">
        <f>regions!A39</f>
        <v>China</v>
      </c>
      <c r="L17" s="10">
        <f>regions!X39</f>
        <v>6.9</v>
      </c>
      <c r="N17">
        <v>-83</v>
      </c>
      <c r="O17" s="10">
        <v>5198.2096053597807</v>
      </c>
      <c r="P17" s="10">
        <v>19.600000000000001</v>
      </c>
      <c r="Q17">
        <f t="shared" si="0"/>
        <v>4.4188406077965983</v>
      </c>
      <c r="R17">
        <f t="shared" si="1"/>
        <v>8.5560695386207897</v>
      </c>
      <c r="S17" s="10">
        <f t="shared" si="2"/>
        <v>19.600000000000001</v>
      </c>
    </row>
    <row r="18" spans="1:39" x14ac:dyDescent="0.35">
      <c r="A18" t="s">
        <v>159</v>
      </c>
      <c r="B18">
        <v>33</v>
      </c>
      <c r="C18">
        <v>-5207</v>
      </c>
      <c r="D18">
        <v>-64.099999999999994</v>
      </c>
      <c r="F18" s="12" t="s">
        <v>159</v>
      </c>
      <c r="G18" s="10">
        <v>104015.62520700305</v>
      </c>
      <c r="H18" s="10">
        <v>6150.3112545694185</v>
      </c>
      <c r="I18" s="10">
        <v>45695.401006971748</v>
      </c>
      <c r="J18" s="10"/>
      <c r="K18" s="10" t="str">
        <f>regions!A40</f>
        <v>Colombia</v>
      </c>
      <c r="L18" s="10">
        <f>regions!X40</f>
        <v>24.5</v>
      </c>
      <c r="N18">
        <v>-82.2</v>
      </c>
      <c r="O18" s="10">
        <v>4115.1156567510443</v>
      </c>
      <c r="P18" s="10">
        <v>24.4</v>
      </c>
      <c r="Q18">
        <f t="shared" si="0"/>
        <v>4.4091553020621346</v>
      </c>
      <c r="R18">
        <f t="shared" si="1"/>
        <v>8.322422218852541</v>
      </c>
      <c r="S18" s="10">
        <f t="shared" si="2"/>
        <v>24.4</v>
      </c>
      <c r="U18" s="4"/>
      <c r="V18" s="4" t="s">
        <v>39</v>
      </c>
      <c r="W18" s="4" t="s">
        <v>27</v>
      </c>
      <c r="X18" s="4" t="s">
        <v>40</v>
      </c>
      <c r="Y18" s="4" t="s">
        <v>41</v>
      </c>
      <c r="Z18" s="4" t="s">
        <v>42</v>
      </c>
      <c r="AA18" s="4" t="s">
        <v>43</v>
      </c>
      <c r="AB18" s="4" t="s">
        <v>44</v>
      </c>
      <c r="AC18" s="4" t="s">
        <v>45</v>
      </c>
      <c r="AE18" s="4"/>
      <c r="AF18" s="4" t="s">
        <v>39</v>
      </c>
      <c r="AG18" s="4" t="s">
        <v>27</v>
      </c>
      <c r="AH18" s="4" t="s">
        <v>40</v>
      </c>
      <c r="AI18" s="4" t="s">
        <v>41</v>
      </c>
      <c r="AJ18" s="4" t="s">
        <v>42</v>
      </c>
      <c r="AK18" s="4" t="s">
        <v>43</v>
      </c>
      <c r="AL18" s="4" t="s">
        <v>44</v>
      </c>
      <c r="AM18" s="4" t="s">
        <v>45</v>
      </c>
    </row>
    <row r="19" spans="1:39" x14ac:dyDescent="0.35">
      <c r="A19" t="s">
        <v>245</v>
      </c>
      <c r="B19">
        <v>-5</v>
      </c>
      <c r="C19">
        <v>540</v>
      </c>
      <c r="D19">
        <v>3.1</v>
      </c>
      <c r="F19" s="12" t="s">
        <v>245</v>
      </c>
      <c r="G19" s="10">
        <v>28299.053787235163</v>
      </c>
      <c r="H19" s="10">
        <v>7420.8999783228855</v>
      </c>
      <c r="I19" s="10">
        <v>4421.0485502114498</v>
      </c>
      <c r="J19" s="10"/>
      <c r="K19" s="10" t="str">
        <f>regions!A45</f>
        <v>Croatia</v>
      </c>
      <c r="L19" s="10">
        <f>regions!X45</f>
        <v>10.9</v>
      </c>
      <c r="N19">
        <v>-64.099999999999994</v>
      </c>
      <c r="O19" s="10">
        <v>6150.3112545694185</v>
      </c>
      <c r="P19" s="10">
        <v>24.5</v>
      </c>
      <c r="Q19">
        <f t="shared" si="0"/>
        <v>4.160444363926624</v>
      </c>
      <c r="R19">
        <f t="shared" si="1"/>
        <v>8.7242579700189875</v>
      </c>
      <c r="S19" s="10">
        <f t="shared" si="2"/>
        <v>24.5</v>
      </c>
      <c r="U19" s="2" t="s">
        <v>33</v>
      </c>
      <c r="V19" s="2">
        <v>13.328308134374032</v>
      </c>
      <c r="W19" s="2">
        <v>1.2408076406483637</v>
      </c>
      <c r="X19" s="2">
        <v>10.741639314381997</v>
      </c>
      <c r="Y19" s="2">
        <v>3.9832107826805694E-14</v>
      </c>
      <c r="Z19" s="2">
        <v>10.830691895407339</v>
      </c>
      <c r="AA19" s="2">
        <v>15.825924373340724</v>
      </c>
      <c r="AB19" s="2">
        <v>10.830691895407339</v>
      </c>
      <c r="AC19" s="2">
        <v>15.825924373340724</v>
      </c>
      <c r="AE19" s="2" t="s">
        <v>33</v>
      </c>
      <c r="AF19" s="2">
        <v>9.617160758183859</v>
      </c>
      <c r="AG19" s="2">
        <v>1.1578139361116895</v>
      </c>
      <c r="AH19" s="2">
        <v>8.3063093803149144</v>
      </c>
      <c r="AI19" s="2">
        <v>1.2401850991080564E-10</v>
      </c>
      <c r="AJ19" s="2">
        <v>7.285203785767834</v>
      </c>
      <c r="AK19" s="2">
        <v>11.949117730599884</v>
      </c>
      <c r="AL19" s="2">
        <v>7.285203785767834</v>
      </c>
      <c r="AM19" s="2">
        <v>11.949117730599884</v>
      </c>
    </row>
    <row r="20" spans="1:39" ht="15" thickBot="1" x14ac:dyDescent="0.4">
      <c r="A20" t="s">
        <v>276</v>
      </c>
      <c r="B20">
        <v>4</v>
      </c>
      <c r="C20">
        <v>-448</v>
      </c>
      <c r="D20">
        <v>-1.7</v>
      </c>
      <c r="F20" s="12" t="s">
        <v>276</v>
      </c>
      <c r="G20" s="10">
        <v>12014.298701246225</v>
      </c>
      <c r="H20" s="10">
        <v>14884.614392214289</v>
      </c>
      <c r="I20" s="10">
        <v>817.37483240419579</v>
      </c>
      <c r="J20" s="10"/>
      <c r="K20" s="10" t="str">
        <f>regions!A47</f>
        <v>Cyprus</v>
      </c>
      <c r="L20" s="10">
        <f>regions!X47</f>
        <v>18.399999999999999</v>
      </c>
      <c r="N20">
        <v>-63.1</v>
      </c>
      <c r="O20" s="10">
        <v>3994.4617034508947</v>
      </c>
      <c r="P20" s="10">
        <v>25.3</v>
      </c>
      <c r="Q20">
        <f t="shared" si="0"/>
        <v>4.1447207695471677</v>
      </c>
      <c r="R20">
        <f t="shared" si="1"/>
        <v>8.2926641065562965</v>
      </c>
      <c r="S20" s="10">
        <f t="shared" si="2"/>
        <v>25.3</v>
      </c>
      <c r="U20" s="3" t="s">
        <v>46</v>
      </c>
      <c r="V20" s="3">
        <v>-1.1845609996335087</v>
      </c>
      <c r="W20" s="3">
        <v>0.14586439370815463</v>
      </c>
      <c r="X20" s="3">
        <v>-8.1209743482948795</v>
      </c>
      <c r="Y20" s="3">
        <v>1.9627073626871166E-10</v>
      </c>
      <c r="Z20" s="3">
        <v>-1.4781707957677042</v>
      </c>
      <c r="AA20" s="3">
        <v>-0.89095120349931323</v>
      </c>
      <c r="AB20" s="3">
        <v>-1.4781707957677042</v>
      </c>
      <c r="AC20" s="3">
        <v>-0.89095120349931323</v>
      </c>
      <c r="AE20" s="2" t="s">
        <v>46</v>
      </c>
      <c r="AF20" s="2">
        <v>-1.0260754403691728</v>
      </c>
      <c r="AG20" s="2">
        <v>0.11585966078321221</v>
      </c>
      <c r="AH20" s="2">
        <v>-8.8561923402234637</v>
      </c>
      <c r="AI20" s="2">
        <v>2.0247821218582354E-11</v>
      </c>
      <c r="AJ20" s="2">
        <v>-1.2594287757872258</v>
      </c>
      <c r="AK20" s="2">
        <v>-0.79272210495111983</v>
      </c>
      <c r="AL20" s="2">
        <v>-1.2594287757872258</v>
      </c>
      <c r="AM20" s="2">
        <v>-0.79272210495111983</v>
      </c>
    </row>
    <row r="21" spans="1:39" ht="15" thickBot="1" x14ac:dyDescent="0.4">
      <c r="A21" t="s">
        <v>277</v>
      </c>
      <c r="B21">
        <v>-30</v>
      </c>
      <c r="C21">
        <v>3244</v>
      </c>
      <c r="D21">
        <v>13.9</v>
      </c>
      <c r="F21" s="12" t="s">
        <v>283</v>
      </c>
      <c r="G21" s="10">
        <v>61584.699364432949</v>
      </c>
      <c r="H21" s="10">
        <v>14448.82513887697</v>
      </c>
      <c r="I21" s="10">
        <v>10213.070730338208</v>
      </c>
      <c r="J21" s="10"/>
      <c r="K21" s="10" t="str">
        <f>regions!A48</f>
        <v>Czech Republic</v>
      </c>
      <c r="L21" s="10">
        <f>regions!X48</f>
        <v>7.5</v>
      </c>
      <c r="N21">
        <v>-58.3</v>
      </c>
      <c r="O21" s="10">
        <v>4275.274508995446</v>
      </c>
      <c r="P21" s="10">
        <v>25.8</v>
      </c>
      <c r="Q21">
        <f t="shared" si="0"/>
        <v>4.0656020933564463</v>
      </c>
      <c r="R21">
        <f t="shared" si="1"/>
        <v>8.3606035919398316</v>
      </c>
      <c r="S21" s="10">
        <f t="shared" si="2"/>
        <v>25.8</v>
      </c>
      <c r="AE21" s="3" t="s">
        <v>47</v>
      </c>
      <c r="AF21" s="3">
        <v>0.11444069246790424</v>
      </c>
      <c r="AG21" s="3">
        <v>2.0110685081963342E-2</v>
      </c>
      <c r="AH21" s="3">
        <v>5.6905417195629298</v>
      </c>
      <c r="AI21" s="3">
        <v>8.9721694315754973E-7</v>
      </c>
      <c r="AJ21" s="3">
        <v>7.3935693491606405E-2</v>
      </c>
      <c r="AK21" s="3">
        <v>0.15494569144420206</v>
      </c>
      <c r="AL21" s="3">
        <v>7.3935693491606405E-2</v>
      </c>
      <c r="AM21" s="3">
        <v>0.15494569144420206</v>
      </c>
    </row>
    <row r="22" spans="1:39" x14ac:dyDescent="0.35">
      <c r="A22" t="s">
        <v>248</v>
      </c>
      <c r="B22">
        <v>37</v>
      </c>
      <c r="C22">
        <v>-3179</v>
      </c>
      <c r="D22">
        <v>-42.3</v>
      </c>
      <c r="F22" s="12" t="s">
        <v>284</v>
      </c>
      <c r="G22" s="10">
        <v>20743.272789181163</v>
      </c>
      <c r="H22" s="10">
        <v>6366.6365836814057</v>
      </c>
      <c r="I22" s="10">
        <v>9021.2604461934698</v>
      </c>
      <c r="J22" s="10"/>
      <c r="K22" s="10" t="str">
        <f>regions!A52</f>
        <v>Dominican Republic</v>
      </c>
      <c r="L22" s="10">
        <f>regions!X52</f>
        <v>24.5</v>
      </c>
      <c r="N22">
        <v>-54.5</v>
      </c>
      <c r="O22" s="10">
        <v>3246.2998166491607</v>
      </c>
      <c r="P22" s="10">
        <v>25.8</v>
      </c>
      <c r="Q22">
        <f t="shared" si="0"/>
        <v>3.9982007016691985</v>
      </c>
      <c r="R22">
        <f t="shared" si="1"/>
        <v>8.0852711087657685</v>
      </c>
      <c r="S22" s="10">
        <f t="shared" si="2"/>
        <v>25.8</v>
      </c>
      <c r="U22" t="s">
        <v>22</v>
      </c>
    </row>
    <row r="23" spans="1:39" ht="15" thickBot="1" x14ac:dyDescent="0.4">
      <c r="A23" t="s">
        <v>165</v>
      </c>
      <c r="B23">
        <v>28</v>
      </c>
      <c r="C23">
        <v>-2446</v>
      </c>
      <c r="D23">
        <v>-48.8</v>
      </c>
      <c r="F23" s="12" t="s">
        <v>165</v>
      </c>
      <c r="G23" s="10">
        <v>90515.043642891615</v>
      </c>
      <c r="H23" s="10">
        <v>3792.5077192908611</v>
      </c>
      <c r="I23" s="10">
        <v>74824.247964899187</v>
      </c>
      <c r="J23" s="10"/>
      <c r="K23" s="10" t="str">
        <f>regions!A54</f>
        <v>Egypt</v>
      </c>
      <c r="L23" s="10">
        <f>regions!X54</f>
        <v>22.1</v>
      </c>
      <c r="N23">
        <v>-51.1</v>
      </c>
      <c r="O23" s="10">
        <v>2911.160142012031</v>
      </c>
      <c r="P23" s="10">
        <v>21.4</v>
      </c>
      <c r="Q23">
        <f t="shared" si="0"/>
        <v>3.9337844972096589</v>
      </c>
      <c r="R23">
        <f t="shared" si="1"/>
        <v>7.9763069549470211</v>
      </c>
      <c r="S23" s="10">
        <f t="shared" si="2"/>
        <v>21.4</v>
      </c>
    </row>
    <row r="24" spans="1:39" x14ac:dyDescent="0.35">
      <c r="A24" t="s">
        <v>166</v>
      </c>
      <c r="B24">
        <v>53</v>
      </c>
      <c r="C24">
        <v>-5167</v>
      </c>
      <c r="D24">
        <v>-82.2</v>
      </c>
      <c r="F24" s="12" t="s">
        <v>166</v>
      </c>
      <c r="G24" s="10">
        <v>12313.240018037815</v>
      </c>
      <c r="H24" s="10">
        <v>4115.1156567510443</v>
      </c>
      <c r="I24" s="10">
        <v>6730.995107139318</v>
      </c>
      <c r="J24" s="10"/>
      <c r="K24" s="10" t="str">
        <f>regions!A55</f>
        <v>El Salvador</v>
      </c>
      <c r="L24" s="10">
        <f>regions!X55</f>
        <v>24.4</v>
      </c>
      <c r="N24">
        <v>-48.8</v>
      </c>
      <c r="O24" s="10">
        <v>3792.5077192908611</v>
      </c>
      <c r="P24" s="10">
        <v>22.1</v>
      </c>
      <c r="Q24">
        <f t="shared" si="0"/>
        <v>3.8877303128591016</v>
      </c>
      <c r="R24">
        <f t="shared" si="1"/>
        <v>8.2407827466302042</v>
      </c>
      <c r="S24" s="10">
        <f t="shared" si="2"/>
        <v>22.1</v>
      </c>
      <c r="U24" s="5" t="s">
        <v>23</v>
      </c>
      <c r="V24" s="5"/>
    </row>
    <row r="25" spans="1:39" x14ac:dyDescent="0.35">
      <c r="A25" t="s">
        <v>249</v>
      </c>
      <c r="B25">
        <v>-51</v>
      </c>
      <c r="C25">
        <v>4734</v>
      </c>
      <c r="D25">
        <v>25.2</v>
      </c>
      <c r="F25" s="12" t="s">
        <v>249</v>
      </c>
      <c r="G25" s="10">
        <v>8031.0701940401832</v>
      </c>
      <c r="H25" s="10">
        <v>13879.17274362533</v>
      </c>
      <c r="I25" s="10">
        <v>1293.990428549653</v>
      </c>
      <c r="J25" s="10"/>
      <c r="K25" s="10" t="str">
        <f>regions!A58</f>
        <v>Estonia</v>
      </c>
      <c r="L25" s="10">
        <f>regions!X58</f>
        <v>5.0999999999999996</v>
      </c>
      <c r="N25">
        <v>-47.8</v>
      </c>
      <c r="O25" s="10">
        <v>7950.5425287906155</v>
      </c>
      <c r="P25" s="10">
        <v>26.3</v>
      </c>
      <c r="Q25">
        <f t="shared" si="0"/>
        <v>3.8670256394974101</v>
      </c>
      <c r="R25">
        <f t="shared" si="1"/>
        <v>8.9809954479351273</v>
      </c>
      <c r="S25" s="10">
        <f t="shared" si="2"/>
        <v>26.3</v>
      </c>
      <c r="U25" s="2" t="s">
        <v>24</v>
      </c>
      <c r="V25" s="2">
        <v>0.39417120995367017</v>
      </c>
      <c r="AE25" s="2" t="s">
        <v>24</v>
      </c>
      <c r="AF25" s="2">
        <v>0.54856732302051736</v>
      </c>
    </row>
    <row r="26" spans="1:39" x14ac:dyDescent="0.35">
      <c r="A26" t="s">
        <v>167</v>
      </c>
      <c r="B26">
        <v>7</v>
      </c>
      <c r="C26">
        <v>-268</v>
      </c>
      <c r="D26">
        <v>-33.4</v>
      </c>
      <c r="F26" s="12" t="s">
        <v>167</v>
      </c>
      <c r="G26" s="10">
        <v>9660.9145706418258</v>
      </c>
      <c r="H26" s="10">
        <v>694.78151872883029</v>
      </c>
      <c r="I26" s="10">
        <v>74306.60056421347</v>
      </c>
      <c r="J26" s="10"/>
      <c r="K26" s="10" t="str">
        <f>regions!A59</f>
        <v>Ethiopia</v>
      </c>
      <c r="L26" s="10">
        <f>regions!X59</f>
        <v>22.2</v>
      </c>
      <c r="N26">
        <v>-42.3</v>
      </c>
      <c r="O26" s="10">
        <v>6366.6365836814057</v>
      </c>
      <c r="P26" s="10">
        <v>24.5</v>
      </c>
      <c r="Q26">
        <f t="shared" si="0"/>
        <v>3.7447870860522321</v>
      </c>
      <c r="R26">
        <f t="shared" si="1"/>
        <v>8.7588266002792299</v>
      </c>
      <c r="S26" s="10">
        <f t="shared" si="2"/>
        <v>24.5</v>
      </c>
      <c r="U26" s="2" t="s">
        <v>25</v>
      </c>
      <c r="V26" s="2">
        <v>0.15537094275634031</v>
      </c>
      <c r="AE26" s="2" t="s">
        <v>25</v>
      </c>
      <c r="AF26" s="2">
        <v>0.30092610788589669</v>
      </c>
    </row>
    <row r="27" spans="1:39" x14ac:dyDescent="0.35">
      <c r="A27" t="s">
        <v>168</v>
      </c>
      <c r="B27">
        <v>-57</v>
      </c>
      <c r="C27">
        <v>4713</v>
      </c>
      <c r="D27">
        <v>14</v>
      </c>
      <c r="F27" s="12" t="s">
        <v>168</v>
      </c>
      <c r="G27" s="10">
        <v>177761.71603177037</v>
      </c>
      <c r="H27" s="10">
        <v>24387.060935619571</v>
      </c>
      <c r="I27" s="10">
        <v>5224.0937861044849</v>
      </c>
      <c r="J27" s="10"/>
      <c r="K27" s="10" t="str">
        <f>regions!A61</f>
        <v>Finland</v>
      </c>
      <c r="L27" s="10">
        <f>regions!X61</f>
        <v>1.7</v>
      </c>
      <c r="N27">
        <v>-35.6</v>
      </c>
      <c r="O27" s="10">
        <v>8681.8113641495875</v>
      </c>
      <c r="P27" s="10">
        <v>21</v>
      </c>
      <c r="Q27">
        <f t="shared" si="0"/>
        <v>3.572345637857985</v>
      </c>
      <c r="R27">
        <f t="shared" si="1"/>
        <v>9.0689854683889433</v>
      </c>
      <c r="S27" s="10">
        <f t="shared" si="2"/>
        <v>21</v>
      </c>
      <c r="U27" s="2" t="s">
        <v>26</v>
      </c>
      <c r="V27" s="2">
        <v>0.12812484413557709</v>
      </c>
      <c r="AE27" s="2" t="s">
        <v>26</v>
      </c>
      <c r="AF27" s="2">
        <v>0.25432118174495649</v>
      </c>
    </row>
    <row r="28" spans="1:39" x14ac:dyDescent="0.35">
      <c r="A28" t="s">
        <v>169</v>
      </c>
      <c r="B28">
        <v>-10</v>
      </c>
      <c r="C28">
        <v>1136</v>
      </c>
      <c r="D28">
        <v>3.7</v>
      </c>
      <c r="F28" s="12" t="s">
        <v>169</v>
      </c>
      <c r="G28" s="10">
        <v>1878135.0850233627</v>
      </c>
      <c r="H28" s="10">
        <v>25251.675599250215</v>
      </c>
      <c r="I28" s="10">
        <v>60716.265880040832</v>
      </c>
      <c r="J28" s="10"/>
      <c r="K28" s="10" t="str">
        <f>regions!A62</f>
        <v>France</v>
      </c>
      <c r="L28" s="10">
        <f>regions!X62</f>
        <v>10.7</v>
      </c>
      <c r="N28">
        <v>-33.4</v>
      </c>
      <c r="O28" s="10">
        <v>694.78151872883029</v>
      </c>
      <c r="P28" s="10">
        <v>22.2</v>
      </c>
      <c r="Q28">
        <f t="shared" si="0"/>
        <v>3.5085558999826545</v>
      </c>
      <c r="R28">
        <f t="shared" si="1"/>
        <v>6.5435974346015939</v>
      </c>
      <c r="S28" s="10">
        <f t="shared" si="2"/>
        <v>22.2</v>
      </c>
      <c r="U28" s="2" t="s">
        <v>27</v>
      </c>
      <c r="V28" s="2">
        <v>0.90193678595804294</v>
      </c>
      <c r="AE28" s="2" t="s">
        <v>27</v>
      </c>
      <c r="AF28" s="2">
        <v>0.83411292770344159</v>
      </c>
    </row>
    <row r="29" spans="1:39" ht="15" thickBot="1" x14ac:dyDescent="0.4">
      <c r="A29" t="s">
        <v>250</v>
      </c>
      <c r="B29">
        <v>6</v>
      </c>
      <c r="C29">
        <v>-351</v>
      </c>
      <c r="D29">
        <v>-7.7</v>
      </c>
      <c r="F29" s="12" t="s">
        <v>250</v>
      </c>
      <c r="G29" s="10">
        <v>3257.8336996856606</v>
      </c>
      <c r="H29" s="10">
        <v>6207.1563271598789</v>
      </c>
      <c r="I29" s="10">
        <v>5038.5219528847665</v>
      </c>
      <c r="J29" s="10"/>
      <c r="K29" s="10" t="str">
        <f>regions!A65</f>
        <v>Georgia</v>
      </c>
      <c r="L29" s="10">
        <f>regions!X65</f>
        <v>5.8</v>
      </c>
      <c r="N29">
        <v>-33.299999999999997</v>
      </c>
      <c r="O29" s="10">
        <v>4102.0690647477741</v>
      </c>
      <c r="P29" s="10">
        <v>17.100000000000001</v>
      </c>
      <c r="Q29">
        <f t="shared" si="0"/>
        <v>3.505557396986398</v>
      </c>
      <c r="R29">
        <f t="shared" si="1"/>
        <v>8.3192467753379251</v>
      </c>
      <c r="S29" s="10">
        <f t="shared" si="2"/>
        <v>17.100000000000001</v>
      </c>
      <c r="U29" s="3" t="s">
        <v>28</v>
      </c>
      <c r="V29" s="3">
        <v>33</v>
      </c>
      <c r="AE29" s="3" t="s">
        <v>28</v>
      </c>
      <c r="AF29" s="3">
        <v>33</v>
      </c>
    </row>
    <row r="30" spans="1:39" x14ac:dyDescent="0.35">
      <c r="A30" t="s">
        <v>170</v>
      </c>
      <c r="B30">
        <v>-27</v>
      </c>
      <c r="C30">
        <v>2579</v>
      </c>
      <c r="D30">
        <v>7.6</v>
      </c>
      <c r="F30" s="12" t="s">
        <v>170</v>
      </c>
      <c r="G30" s="10">
        <v>2720752.676384097</v>
      </c>
      <c r="H30" s="10">
        <v>23604.821599691179</v>
      </c>
      <c r="I30" s="10">
        <v>82609.307998180884</v>
      </c>
      <c r="J30" s="10"/>
      <c r="K30" s="10" t="str">
        <f>regions!A66</f>
        <v>Germany</v>
      </c>
      <c r="L30" s="10">
        <f>regions!X66</f>
        <v>8.4</v>
      </c>
      <c r="N30">
        <v>-30.7</v>
      </c>
      <c r="O30" s="10">
        <v>11031.290904320615</v>
      </c>
      <c r="P30" s="10">
        <v>25.4</v>
      </c>
      <c r="Q30">
        <f t="shared" si="0"/>
        <v>3.4242626545931514</v>
      </c>
      <c r="R30">
        <f t="shared" si="1"/>
        <v>9.3084911411492275</v>
      </c>
      <c r="S30" s="10">
        <f t="shared" si="2"/>
        <v>25.4</v>
      </c>
    </row>
    <row r="31" spans="1:39" ht="15" thickBot="1" x14ac:dyDescent="0.4">
      <c r="A31" t="s">
        <v>252</v>
      </c>
      <c r="B31">
        <v>47</v>
      </c>
      <c r="C31">
        <v>-1604</v>
      </c>
      <c r="D31">
        <v>-118.7</v>
      </c>
      <c r="F31" s="12" t="s">
        <v>252</v>
      </c>
      <c r="G31" s="10">
        <v>9894.881436350588</v>
      </c>
      <c r="H31" s="10">
        <v>2112.084486136619</v>
      </c>
      <c r="I31" s="10">
        <v>21859.664138598495</v>
      </c>
      <c r="J31" s="10"/>
      <c r="K31" s="10" t="str">
        <f>regions!A67</f>
        <v>Ghana</v>
      </c>
      <c r="L31" s="10">
        <f>regions!X67</f>
        <v>27.2</v>
      </c>
      <c r="N31">
        <v>-25.3</v>
      </c>
      <c r="O31" s="10">
        <v>12400.349982995878</v>
      </c>
      <c r="P31" s="10">
        <v>24.6</v>
      </c>
      <c r="Q31">
        <f t="shared" si="0"/>
        <v>3.2308043957334744</v>
      </c>
      <c r="R31">
        <f t="shared" si="1"/>
        <v>9.4254799756299779</v>
      </c>
      <c r="S31" s="10">
        <f t="shared" si="2"/>
        <v>24.6</v>
      </c>
      <c r="U31" t="s">
        <v>29</v>
      </c>
      <c r="AE31" t="s">
        <v>29</v>
      </c>
    </row>
    <row r="32" spans="1:39" x14ac:dyDescent="0.35">
      <c r="A32" t="s">
        <v>253</v>
      </c>
      <c r="B32">
        <v>-24</v>
      </c>
      <c r="C32">
        <v>2551</v>
      </c>
      <c r="D32">
        <v>7.4</v>
      </c>
      <c r="F32" s="12" t="s">
        <v>225</v>
      </c>
      <c r="G32" s="10">
        <v>1416494.7960412775</v>
      </c>
      <c r="H32" s="10">
        <v>24341.798424606382</v>
      </c>
      <c r="I32" s="10">
        <v>59632.57090716016</v>
      </c>
      <c r="J32" s="10"/>
      <c r="K32" s="10" t="str">
        <f>regions!A181</f>
        <v>United Kingdom</v>
      </c>
      <c r="L32" s="10">
        <f>regions!X181</f>
        <v>8.4</v>
      </c>
      <c r="N32">
        <v>-22.3</v>
      </c>
      <c r="O32" s="10">
        <v>6066.2656423992603</v>
      </c>
      <c r="P32" s="10">
        <v>22.5</v>
      </c>
      <c r="Q32">
        <f t="shared" si="0"/>
        <v>3.1045866784660729</v>
      </c>
      <c r="R32">
        <f t="shared" si="1"/>
        <v>8.7104984793106635</v>
      </c>
      <c r="S32" s="10">
        <f t="shared" si="2"/>
        <v>22.5</v>
      </c>
      <c r="U32" s="4"/>
      <c r="V32" s="4" t="s">
        <v>34</v>
      </c>
      <c r="W32" s="4" t="s">
        <v>35</v>
      </c>
      <c r="X32" s="4" t="s">
        <v>36</v>
      </c>
      <c r="Y32" s="4" t="s">
        <v>37</v>
      </c>
      <c r="Z32" s="4" t="s">
        <v>38</v>
      </c>
      <c r="AE32" s="4"/>
      <c r="AF32" s="4" t="s">
        <v>34</v>
      </c>
      <c r="AG32" s="4" t="s">
        <v>35</v>
      </c>
      <c r="AH32" s="4" t="s">
        <v>36</v>
      </c>
      <c r="AI32" s="4" t="s">
        <v>37</v>
      </c>
      <c r="AJ32" s="4" t="s">
        <v>38</v>
      </c>
    </row>
    <row r="33" spans="1:39" x14ac:dyDescent="0.35">
      <c r="A33" t="s">
        <v>173</v>
      </c>
      <c r="B33">
        <v>48</v>
      </c>
      <c r="C33">
        <v>-6085</v>
      </c>
      <c r="D33">
        <v>-138.30000000000001</v>
      </c>
      <c r="F33" s="12" t="s">
        <v>173</v>
      </c>
      <c r="G33" s="10">
        <v>19666.39579774137</v>
      </c>
      <c r="H33" s="10">
        <v>3591.4835678468412</v>
      </c>
      <c r="I33" s="10">
        <v>13009.387335977934</v>
      </c>
      <c r="J33" s="10"/>
      <c r="K33" s="10" t="str">
        <f>regions!A70</f>
        <v>Guatemala</v>
      </c>
      <c r="L33" s="10">
        <f>regions!X70</f>
        <v>23.4</v>
      </c>
      <c r="N33">
        <v>-22.3</v>
      </c>
      <c r="O33" s="10">
        <v>3833.9835085755694</v>
      </c>
      <c r="P33" s="10">
        <v>18.3</v>
      </c>
      <c r="Q33">
        <f t="shared" si="0"/>
        <v>3.1045866784660729</v>
      </c>
      <c r="R33">
        <f t="shared" si="1"/>
        <v>8.2516596222336815</v>
      </c>
      <c r="S33" s="10">
        <f t="shared" si="2"/>
        <v>18.3</v>
      </c>
      <c r="U33" s="2" t="s">
        <v>30</v>
      </c>
      <c r="V33" s="2">
        <v>1</v>
      </c>
      <c r="W33" s="2">
        <v>4.6389284821440135</v>
      </c>
      <c r="X33" s="2">
        <v>4.6389284821440135</v>
      </c>
      <c r="Y33" s="2">
        <v>5.7025023992953621</v>
      </c>
      <c r="Z33" s="2">
        <v>2.3219088483679682E-2</v>
      </c>
      <c r="AE33" s="2" t="s">
        <v>30</v>
      </c>
      <c r="AF33" s="2">
        <v>2</v>
      </c>
      <c r="AG33" s="2">
        <v>8.984786139077876</v>
      </c>
      <c r="AH33" s="2">
        <v>4.492393069538938</v>
      </c>
      <c r="AI33" s="2">
        <v>6.4569592273540239</v>
      </c>
      <c r="AJ33" s="2">
        <v>4.6542129102735809E-3</v>
      </c>
    </row>
    <row r="34" spans="1:39" x14ac:dyDescent="0.35">
      <c r="A34" t="s">
        <v>175</v>
      </c>
      <c r="B34">
        <v>33</v>
      </c>
      <c r="C34">
        <v>-2411</v>
      </c>
      <c r="D34">
        <v>-5.9</v>
      </c>
      <c r="F34" s="12" t="s">
        <v>235</v>
      </c>
      <c r="G34" s="10">
        <v>184750.92778731228</v>
      </c>
      <c r="H34" s="10">
        <v>26286.365891026679</v>
      </c>
      <c r="I34" s="10">
        <v>7226.6075392926241</v>
      </c>
      <c r="J34" s="10"/>
      <c r="K34" s="10" t="str">
        <f>regions!A76</f>
        <v>Hong Kong</v>
      </c>
      <c r="L34" s="10">
        <f>regions!X76</f>
        <v>22.7</v>
      </c>
      <c r="N34">
        <v>-19.600000000000001</v>
      </c>
      <c r="O34" s="10">
        <v>9441.2625690508721</v>
      </c>
      <c r="P34" s="10">
        <v>17.8</v>
      </c>
      <c r="Q34">
        <f t="shared" si="0"/>
        <v>2.9755295662364718</v>
      </c>
      <c r="R34">
        <f t="shared" si="1"/>
        <v>9.1528449969177412</v>
      </c>
      <c r="S34" s="10">
        <f t="shared" si="2"/>
        <v>17.8</v>
      </c>
      <c r="U34" s="2" t="s">
        <v>31</v>
      </c>
      <c r="V34" s="2">
        <v>31</v>
      </c>
      <c r="W34" s="2">
        <v>25.218188941794065</v>
      </c>
      <c r="X34" s="2">
        <v>0.81348996586432465</v>
      </c>
      <c r="Y34" s="2"/>
      <c r="Z34" s="2"/>
      <c r="AE34" s="2" t="s">
        <v>31</v>
      </c>
      <c r="AF34" s="2">
        <v>30</v>
      </c>
      <c r="AG34" s="2">
        <v>20.872331284860202</v>
      </c>
      <c r="AH34" s="2">
        <v>0.69574437616200668</v>
      </c>
      <c r="AI34" s="2"/>
      <c r="AJ34" s="2"/>
    </row>
    <row r="35" spans="1:39" ht="15" thickBot="1" x14ac:dyDescent="0.4">
      <c r="A35" t="s">
        <v>176</v>
      </c>
      <c r="B35">
        <v>-5</v>
      </c>
      <c r="C35">
        <v>598</v>
      </c>
      <c r="D35">
        <v>3.3</v>
      </c>
      <c r="F35" s="12" t="s">
        <v>176</v>
      </c>
      <c r="G35" s="10">
        <v>64264.126305409351</v>
      </c>
      <c r="H35" s="10">
        <v>13539.077615629838</v>
      </c>
      <c r="I35" s="10">
        <v>9789.2152361813314</v>
      </c>
      <c r="J35" s="10"/>
      <c r="K35" s="10" t="str">
        <f>regions!A77</f>
        <v>Hungary</v>
      </c>
      <c r="L35" s="10">
        <f>regions!X77</f>
        <v>9.8000000000000007</v>
      </c>
      <c r="N35">
        <v>-11.6</v>
      </c>
      <c r="O35" s="10">
        <v>4724.5009021205369</v>
      </c>
      <c r="P35" s="10">
        <v>11.9</v>
      </c>
      <c r="Q35">
        <f t="shared" si="0"/>
        <v>2.451005098112319</v>
      </c>
      <c r="R35">
        <f t="shared" si="1"/>
        <v>8.4605172051678501</v>
      </c>
      <c r="S35" s="10">
        <f t="shared" si="2"/>
        <v>11.9</v>
      </c>
      <c r="U35" s="3" t="s">
        <v>32</v>
      </c>
      <c r="V35" s="3">
        <v>32</v>
      </c>
      <c r="W35" s="3">
        <v>29.857117423938078</v>
      </c>
      <c r="X35" s="3"/>
      <c r="Y35" s="3"/>
      <c r="Z35" s="3"/>
      <c r="AE35" s="3" t="s">
        <v>32</v>
      </c>
      <c r="AF35" s="3">
        <v>32</v>
      </c>
      <c r="AG35" s="3">
        <v>29.857117423938078</v>
      </c>
      <c r="AH35" s="3"/>
      <c r="AI35" s="3"/>
      <c r="AJ35" s="3"/>
    </row>
    <row r="36" spans="1:39" ht="15" thickBot="1" x14ac:dyDescent="0.4">
      <c r="A36" t="s">
        <v>178</v>
      </c>
      <c r="B36">
        <v>48</v>
      </c>
      <c r="C36">
        <v>-2507</v>
      </c>
      <c r="D36">
        <v>-89.6</v>
      </c>
      <c r="F36" s="12" t="s">
        <v>178</v>
      </c>
      <c r="G36" s="10">
        <v>589249.81981291273</v>
      </c>
      <c r="H36" s="10">
        <v>2549.0139282869914</v>
      </c>
      <c r="I36" s="10">
        <v>1099541.9642679892</v>
      </c>
      <c r="J36" s="10"/>
      <c r="K36" s="10" t="str">
        <f>regions!A79</f>
        <v>India</v>
      </c>
      <c r="L36" s="10">
        <f>regions!X79</f>
        <v>23.7</v>
      </c>
      <c r="N36">
        <v>-10.7</v>
      </c>
      <c r="O36" s="10">
        <v>10740.498328165604</v>
      </c>
      <c r="P36" s="10">
        <v>25.7</v>
      </c>
      <c r="Q36">
        <f t="shared" si="0"/>
        <v>2.3702437414678603</v>
      </c>
      <c r="R36">
        <f t="shared" si="1"/>
        <v>9.2817767662569839</v>
      </c>
      <c r="S36" s="10">
        <f t="shared" si="2"/>
        <v>25.7</v>
      </c>
    </row>
    <row r="37" spans="1:39" x14ac:dyDescent="0.35">
      <c r="A37" t="s">
        <v>179</v>
      </c>
      <c r="B37">
        <v>35</v>
      </c>
      <c r="C37">
        <v>-2013</v>
      </c>
      <c r="D37">
        <v>-54.5</v>
      </c>
      <c r="F37" s="12" t="s">
        <v>179</v>
      </c>
      <c r="G37" s="10">
        <v>249903.79462945557</v>
      </c>
      <c r="H37" s="10">
        <v>3246.2998166491607</v>
      </c>
      <c r="I37" s="10">
        <v>225673.41309853006</v>
      </c>
      <c r="J37" s="10"/>
      <c r="K37" s="10" t="str">
        <f>regions!A80</f>
        <v>Indonesia</v>
      </c>
      <c r="L37" s="10">
        <f>regions!X80</f>
        <v>25.8</v>
      </c>
      <c r="N37">
        <v>-9.6</v>
      </c>
      <c r="O37" s="10">
        <v>3735.8221686778065</v>
      </c>
      <c r="P37" s="10">
        <v>11.4</v>
      </c>
      <c r="Q37">
        <f t="shared" si="0"/>
        <v>2.2617630984737906</v>
      </c>
      <c r="R37">
        <f t="shared" si="1"/>
        <v>8.2257231988255377</v>
      </c>
      <c r="S37" s="10">
        <f t="shared" si="2"/>
        <v>11.4</v>
      </c>
      <c r="U37" s="4"/>
      <c r="V37" s="4" t="s">
        <v>39</v>
      </c>
      <c r="W37" s="4" t="s">
        <v>27</v>
      </c>
      <c r="X37" s="4" t="s">
        <v>40</v>
      </c>
      <c r="Y37" s="4" t="s">
        <v>41</v>
      </c>
      <c r="Z37" s="4" t="s">
        <v>42</v>
      </c>
      <c r="AA37" s="4" t="s">
        <v>43</v>
      </c>
      <c r="AB37" s="4" t="s">
        <v>44</v>
      </c>
      <c r="AC37" s="4" t="s">
        <v>45</v>
      </c>
      <c r="AE37" s="4"/>
      <c r="AF37" s="4" t="s">
        <v>39</v>
      </c>
      <c r="AG37" s="4" t="s">
        <v>27</v>
      </c>
      <c r="AH37" s="4" t="s">
        <v>40</v>
      </c>
      <c r="AI37" s="4" t="s">
        <v>41</v>
      </c>
      <c r="AJ37" s="4" t="s">
        <v>42</v>
      </c>
      <c r="AK37" s="4" t="s">
        <v>43</v>
      </c>
      <c r="AL37" s="4" t="s">
        <v>44</v>
      </c>
      <c r="AM37" s="4" t="s">
        <v>45</v>
      </c>
    </row>
    <row r="38" spans="1:39" x14ac:dyDescent="0.35">
      <c r="A38" t="s">
        <v>180</v>
      </c>
      <c r="B38">
        <v>7</v>
      </c>
      <c r="C38">
        <v>-656</v>
      </c>
      <c r="D38">
        <v>-6.2</v>
      </c>
      <c r="F38" s="12" t="s">
        <v>236</v>
      </c>
      <c r="G38" s="10">
        <v>138948.35156650367</v>
      </c>
      <c r="H38" s="10">
        <v>7805.2420399046723</v>
      </c>
      <c r="I38" s="10">
        <v>70606.227654523464</v>
      </c>
      <c r="J38" s="10"/>
      <c r="K38" s="10" t="str">
        <f>regions!A81</f>
        <v>Iran</v>
      </c>
      <c r="L38" s="10">
        <f>regions!X81</f>
        <v>17.2</v>
      </c>
      <c r="N38">
        <v>-9.4</v>
      </c>
      <c r="O38" s="10">
        <v>4132.1203585617668</v>
      </c>
      <c r="P38" s="10">
        <v>9.8000000000000007</v>
      </c>
      <c r="Q38">
        <f t="shared" si="0"/>
        <v>2.2407096892759584</v>
      </c>
      <c r="R38">
        <f t="shared" si="1"/>
        <v>8.3265459582184445</v>
      </c>
      <c r="S38" s="10">
        <f t="shared" si="2"/>
        <v>9.8000000000000007</v>
      </c>
      <c r="U38" s="2" t="s">
        <v>33</v>
      </c>
      <c r="V38" s="2">
        <v>6.8012743546747449</v>
      </c>
      <c r="W38" s="2">
        <v>2.0179233048026601</v>
      </c>
      <c r="X38" s="2">
        <v>3.3704325325386266</v>
      </c>
      <c r="Y38" s="2">
        <v>2.0237949127757198E-3</v>
      </c>
      <c r="Z38" s="2">
        <v>2.6856926407330421</v>
      </c>
      <c r="AA38" s="2">
        <v>10.916856068616447</v>
      </c>
      <c r="AB38" s="2">
        <v>2.6856926407330421</v>
      </c>
      <c r="AC38" s="2">
        <v>10.916856068616447</v>
      </c>
      <c r="AE38" s="2" t="s">
        <v>33</v>
      </c>
      <c r="AF38" s="2">
        <v>8.213056583014545</v>
      </c>
      <c r="AG38" s="2">
        <v>1.949798247167136</v>
      </c>
      <c r="AH38" s="2">
        <v>4.2122597017139096</v>
      </c>
      <c r="AI38" s="2">
        <v>2.1243717706795917E-4</v>
      </c>
      <c r="AJ38" s="2">
        <v>4.2310373274806707</v>
      </c>
      <c r="AK38" s="2">
        <v>12.195075838548419</v>
      </c>
      <c r="AL38" s="2">
        <v>4.2310373274806707</v>
      </c>
      <c r="AM38" s="2">
        <v>12.195075838548419</v>
      </c>
    </row>
    <row r="39" spans="1:39" ht="15" thickBot="1" x14ac:dyDescent="0.4">
      <c r="A39" t="s">
        <v>278</v>
      </c>
      <c r="B39">
        <v>31</v>
      </c>
      <c r="C39">
        <v>-1622</v>
      </c>
      <c r="D39">
        <v>-51.1</v>
      </c>
      <c r="F39" s="12" t="s">
        <v>278</v>
      </c>
      <c r="G39" s="10">
        <v>92379.452352015855</v>
      </c>
      <c r="H39" s="10">
        <v>2911.160142012031</v>
      </c>
      <c r="I39" s="10">
        <v>26568.187466497311</v>
      </c>
      <c r="J39" s="10"/>
      <c r="K39" s="10" t="str">
        <f>regions!A82</f>
        <v>Iraq</v>
      </c>
      <c r="L39" s="10">
        <f>regions!X82</f>
        <v>21.4</v>
      </c>
      <c r="N39">
        <v>-7.7</v>
      </c>
      <c r="O39" s="10">
        <v>6207.1563271598789</v>
      </c>
      <c r="P39" s="10">
        <v>5.8</v>
      </c>
      <c r="Q39">
        <f t="shared" si="0"/>
        <v>2.0412203288596382</v>
      </c>
      <c r="R39">
        <f t="shared" si="1"/>
        <v>8.7334581517191641</v>
      </c>
      <c r="S39" s="10">
        <f t="shared" si="2"/>
        <v>5.8</v>
      </c>
      <c r="U39" s="3" t="s">
        <v>46</v>
      </c>
      <c r="V39" s="3">
        <v>-0.51012979511725753</v>
      </c>
      <c r="W39" s="3">
        <v>0.21362297146347045</v>
      </c>
      <c r="X39" s="3">
        <v>-2.3879912896188218</v>
      </c>
      <c r="Y39" s="3">
        <v>2.3219088483679682E-2</v>
      </c>
      <c r="Z39" s="3">
        <v>-0.94581671787616173</v>
      </c>
      <c r="AA39" s="3">
        <v>-7.444287235835334E-2</v>
      </c>
      <c r="AB39" s="3">
        <v>-0.94581671787616173</v>
      </c>
      <c r="AC39" s="3">
        <v>-7.444287235835334E-2</v>
      </c>
      <c r="AE39" s="2" t="s">
        <v>46</v>
      </c>
      <c r="AF39" s="2">
        <v>-0.59804089460355025</v>
      </c>
      <c r="AG39" s="2">
        <v>0.20066589051087219</v>
      </c>
      <c r="AH39" s="2">
        <v>-2.9802817662783005</v>
      </c>
      <c r="AI39" s="2">
        <v>5.6636836013340972E-3</v>
      </c>
      <c r="AJ39" s="2">
        <v>-1.0078553157130645</v>
      </c>
      <c r="AK39" s="2">
        <v>-0.18822647349403604</v>
      </c>
      <c r="AL39" s="2">
        <v>-1.0078553157130645</v>
      </c>
      <c r="AM39" s="2">
        <v>-0.18822647349403604</v>
      </c>
    </row>
    <row r="40" spans="1:39" ht="15" thickBot="1" x14ac:dyDescent="0.4">
      <c r="A40" t="s">
        <v>182</v>
      </c>
      <c r="B40">
        <v>13</v>
      </c>
      <c r="C40">
        <v>-1747</v>
      </c>
      <c r="D40">
        <v>-6.8</v>
      </c>
      <c r="F40" s="12" t="s">
        <v>182</v>
      </c>
      <c r="G40" s="10">
        <v>137595.65002497257</v>
      </c>
      <c r="H40" s="10">
        <v>22009.431700698431</v>
      </c>
      <c r="I40" s="10">
        <v>6710.6554715151096</v>
      </c>
      <c r="J40" s="10"/>
      <c r="K40" s="10" t="str">
        <f>regions!A84</f>
        <v>Israel</v>
      </c>
      <c r="L40" s="10">
        <f>regions!X84</f>
        <v>19.2</v>
      </c>
      <c r="N40">
        <v>-6.8</v>
      </c>
      <c r="O40" s="10">
        <v>22009.431700698431</v>
      </c>
      <c r="P40" s="10">
        <v>19.2</v>
      </c>
      <c r="Q40">
        <f t="shared" si="0"/>
        <v>1.9169226121820611</v>
      </c>
      <c r="R40">
        <f t="shared" si="1"/>
        <v>9.9992263541371162</v>
      </c>
      <c r="S40" s="10">
        <f t="shared" si="2"/>
        <v>19.2</v>
      </c>
      <c r="AE40" s="3" t="s">
        <v>47</v>
      </c>
      <c r="AF40" s="3">
        <v>-8.2095712900087117E-2</v>
      </c>
      <c r="AG40" s="3">
        <v>3.2847897895592566E-2</v>
      </c>
      <c r="AH40" s="3">
        <v>-2.4992683903557333</v>
      </c>
      <c r="AI40" s="3">
        <v>1.8146484212023736E-2</v>
      </c>
      <c r="AJ40" s="3">
        <v>-0.14918007001965122</v>
      </c>
      <c r="AK40" s="3">
        <v>-1.5011355780523025E-2</v>
      </c>
      <c r="AL40" s="3">
        <v>-0.14918007001965122</v>
      </c>
      <c r="AM40" s="3">
        <v>-1.5011355780523025E-2</v>
      </c>
    </row>
    <row r="41" spans="1:39" x14ac:dyDescent="0.35">
      <c r="A41" t="s">
        <v>183</v>
      </c>
      <c r="B41">
        <v>3</v>
      </c>
      <c r="C41">
        <v>-388</v>
      </c>
      <c r="D41">
        <v>-1.3</v>
      </c>
      <c r="F41" s="12" t="s">
        <v>183</v>
      </c>
      <c r="G41" s="10">
        <v>1243581.8083514723</v>
      </c>
      <c r="H41" s="10">
        <v>22896.596643237899</v>
      </c>
      <c r="I41" s="10">
        <v>57365.15858339853</v>
      </c>
      <c r="J41" s="10"/>
      <c r="K41" s="10" t="str">
        <f>regions!A85</f>
        <v>Italy</v>
      </c>
      <c r="L41" s="10">
        <f>regions!X85</f>
        <v>13.4</v>
      </c>
      <c r="N41">
        <v>-6.2</v>
      </c>
      <c r="O41" s="10">
        <v>7805.2420399046723</v>
      </c>
      <c r="P41" s="10">
        <v>17.2</v>
      </c>
      <c r="Q41">
        <f t="shared" si="0"/>
        <v>1.824549292051046</v>
      </c>
      <c r="R41">
        <f t="shared" si="1"/>
        <v>8.9625508433469463</v>
      </c>
      <c r="S41" s="10">
        <f t="shared" si="2"/>
        <v>17.2</v>
      </c>
    </row>
    <row r="42" spans="1:39" x14ac:dyDescent="0.35">
      <c r="A42" t="s">
        <v>90</v>
      </c>
      <c r="B42">
        <v>-3</v>
      </c>
      <c r="C42">
        <v>327</v>
      </c>
      <c r="D42">
        <v>1</v>
      </c>
      <c r="F42" s="12" t="s">
        <v>90</v>
      </c>
      <c r="G42" s="10">
        <v>5491198.6200520638</v>
      </c>
      <c r="H42" s="10">
        <v>23869.433648270769</v>
      </c>
      <c r="I42" s="10">
        <v>128101.02224293424</v>
      </c>
      <c r="J42" s="10"/>
      <c r="K42" s="10" t="str">
        <f>regions!A86</f>
        <v>Japan</v>
      </c>
      <c r="L42" s="10">
        <f>regions!X86</f>
        <v>11.1</v>
      </c>
      <c r="N42">
        <v>-5.9</v>
      </c>
      <c r="O42" s="10">
        <v>26286.365891026679</v>
      </c>
      <c r="P42" s="10">
        <v>22.7</v>
      </c>
      <c r="Q42">
        <f t="shared" si="0"/>
        <v>1.7749523509116738</v>
      </c>
      <c r="R42">
        <f t="shared" si="1"/>
        <v>10.176805676561095</v>
      </c>
      <c r="S42" s="10">
        <f t="shared" si="2"/>
        <v>22.7</v>
      </c>
    </row>
    <row r="43" spans="1:39" x14ac:dyDescent="0.35">
      <c r="A43" t="s">
        <v>279</v>
      </c>
      <c r="B43">
        <v>14</v>
      </c>
      <c r="C43">
        <v>-1146</v>
      </c>
      <c r="D43">
        <v>-22.3</v>
      </c>
      <c r="F43" s="12" t="s">
        <v>279</v>
      </c>
      <c r="G43" s="10">
        <v>9900.9924383599755</v>
      </c>
      <c r="H43" s="10">
        <v>3833.9835085755694</v>
      </c>
      <c r="I43" s="10">
        <v>5792.1427198381734</v>
      </c>
      <c r="J43" s="10"/>
      <c r="K43" s="10" t="str">
        <f>regions!A87</f>
        <v>Jordan</v>
      </c>
      <c r="L43" s="10">
        <f>regions!X87</f>
        <v>18.3</v>
      </c>
      <c r="N43">
        <v>-4.0999999999999996</v>
      </c>
      <c r="O43" s="10">
        <v>5495.4592406523652</v>
      </c>
      <c r="P43" s="10">
        <v>7.1</v>
      </c>
      <c r="Q43">
        <f t="shared" si="0"/>
        <v>1.410986973710262</v>
      </c>
      <c r="R43">
        <f t="shared" si="1"/>
        <v>8.6116774376226317</v>
      </c>
      <c r="S43" s="10">
        <f t="shared" si="2"/>
        <v>7.1</v>
      </c>
    </row>
    <row r="44" spans="1:39" x14ac:dyDescent="0.35">
      <c r="A44" t="s">
        <v>280</v>
      </c>
      <c r="B44">
        <v>-6</v>
      </c>
      <c r="C44">
        <v>211</v>
      </c>
      <c r="D44">
        <v>10.3</v>
      </c>
      <c r="F44" s="12" t="s">
        <v>280</v>
      </c>
      <c r="G44" s="10">
        <v>2024.9896619452306</v>
      </c>
      <c r="H44" s="10">
        <v>2594.8978139785836</v>
      </c>
      <c r="I44" s="10">
        <v>5289.2870819628988</v>
      </c>
      <c r="J44" s="10"/>
      <c r="K44" s="10" t="str">
        <f>regions!A93</f>
        <v>Kyrgyzstan</v>
      </c>
      <c r="L44" s="10">
        <f>regions!X93</f>
        <v>1.6</v>
      </c>
      <c r="N44">
        <v>-3.1</v>
      </c>
      <c r="O44" s="10">
        <v>26316.339850887143</v>
      </c>
      <c r="P44" s="10">
        <v>21.6</v>
      </c>
      <c r="Q44">
        <f t="shared" si="0"/>
        <v>1.1314021114911006</v>
      </c>
      <c r="R44">
        <f t="shared" si="1"/>
        <v>10.177945312352898</v>
      </c>
      <c r="S44" s="10">
        <f t="shared" si="2"/>
        <v>21.6</v>
      </c>
    </row>
    <row r="45" spans="1:39" x14ac:dyDescent="0.35">
      <c r="A45" t="s">
        <v>254</v>
      </c>
      <c r="B45">
        <v>-42</v>
      </c>
      <c r="C45">
        <v>3888</v>
      </c>
      <c r="D45">
        <v>24.9</v>
      </c>
      <c r="F45" s="12" t="s">
        <v>254</v>
      </c>
      <c r="G45" s="10">
        <v>8637.0826760118125</v>
      </c>
      <c r="H45" s="10">
        <v>10308.332219281841</v>
      </c>
      <c r="I45" s="10">
        <v>2264.2275311936382</v>
      </c>
      <c r="J45" s="10"/>
      <c r="K45" s="10" t="str">
        <f>regions!A95</f>
        <v>Latvia</v>
      </c>
      <c r="L45" s="10">
        <f>regions!X95</f>
        <v>5.6</v>
      </c>
      <c r="N45">
        <v>-2.9</v>
      </c>
      <c r="O45" s="10">
        <v>19608.429907928083</v>
      </c>
      <c r="P45" s="10">
        <v>13.3</v>
      </c>
      <c r="Q45">
        <f t="shared" si="0"/>
        <v>1.0647107369924282</v>
      </c>
      <c r="R45">
        <f t="shared" si="1"/>
        <v>9.8837148500965277</v>
      </c>
      <c r="S45" s="10">
        <f t="shared" si="2"/>
        <v>13.3</v>
      </c>
    </row>
    <row r="46" spans="1:39" x14ac:dyDescent="0.35">
      <c r="A46" t="s">
        <v>255</v>
      </c>
      <c r="B46">
        <v>-42</v>
      </c>
      <c r="C46">
        <v>4070</v>
      </c>
      <c r="D46">
        <v>23.1</v>
      </c>
      <c r="F46" s="12" t="s">
        <v>255</v>
      </c>
      <c r="G46" s="10">
        <v>11232.687482216763</v>
      </c>
      <c r="H46" s="10">
        <v>10355.586430942756</v>
      </c>
      <c r="I46" s="10">
        <v>3408.6194419861936</v>
      </c>
      <c r="J46" s="10"/>
      <c r="K46" s="10" t="str">
        <f>regions!A100</f>
        <v>Lithuania</v>
      </c>
      <c r="L46" s="10">
        <f>regions!X100</f>
        <v>6.2</v>
      </c>
      <c r="N46">
        <v>-2.2999999999999998</v>
      </c>
      <c r="O46" s="10">
        <v>25656.500749856674</v>
      </c>
      <c r="P46" s="10">
        <v>26.4</v>
      </c>
      <c r="Q46">
        <f t="shared" si="0"/>
        <v>0.83290912293510388</v>
      </c>
      <c r="R46">
        <f t="shared" si="1"/>
        <v>10.152552259028509</v>
      </c>
      <c r="S46" s="10">
        <f t="shared" si="2"/>
        <v>26.4</v>
      </c>
    </row>
    <row r="47" spans="1:39" x14ac:dyDescent="0.35">
      <c r="A47" t="s">
        <v>256</v>
      </c>
      <c r="B47">
        <v>9</v>
      </c>
      <c r="C47">
        <v>-831</v>
      </c>
      <c r="D47">
        <v>-9.4</v>
      </c>
      <c r="F47" s="12" t="s">
        <v>286</v>
      </c>
      <c r="G47" s="10">
        <v>4967.0034928642208</v>
      </c>
      <c r="H47" s="10">
        <v>4132.1203585617668</v>
      </c>
      <c r="I47" s="10">
        <v>2079.3580441040012</v>
      </c>
      <c r="J47" s="10"/>
      <c r="K47" s="10" t="str">
        <f>regions!A103</f>
        <v>Macedonia [FYROM]</v>
      </c>
      <c r="L47" s="10">
        <f>regions!X103</f>
        <v>9.8000000000000007</v>
      </c>
      <c r="N47">
        <v>-2</v>
      </c>
      <c r="O47" s="10">
        <v>7891.9260228141757</v>
      </c>
      <c r="P47" s="10">
        <v>11.1</v>
      </c>
      <c r="Q47">
        <f t="shared" si="0"/>
        <v>0.69314718055994529</v>
      </c>
      <c r="R47">
        <f t="shared" si="1"/>
        <v>8.9735954934054885</v>
      </c>
      <c r="S47" s="10">
        <f t="shared" si="2"/>
        <v>11.1</v>
      </c>
    </row>
    <row r="48" spans="1:39" x14ac:dyDescent="0.35">
      <c r="A48" t="s">
        <v>190</v>
      </c>
      <c r="B48">
        <v>41</v>
      </c>
      <c r="C48">
        <v>-4031</v>
      </c>
      <c r="D48">
        <v>-30.7</v>
      </c>
      <c r="F48" s="12" t="s">
        <v>190</v>
      </c>
      <c r="G48" s="10">
        <v>132338.60000724686</v>
      </c>
      <c r="H48" s="10">
        <v>11031.290904320615</v>
      </c>
      <c r="I48" s="10">
        <v>25441.912625491881</v>
      </c>
      <c r="J48" s="10"/>
      <c r="K48" s="10" t="str">
        <f>regions!A106</f>
        <v>Malaysia</v>
      </c>
      <c r="L48" s="10">
        <f>regions!X106</f>
        <v>25.4</v>
      </c>
      <c r="N48">
        <v>-1.7</v>
      </c>
      <c r="O48" s="10">
        <v>7306.0396360183177</v>
      </c>
      <c r="P48" s="10">
        <v>14.8</v>
      </c>
      <c r="Q48">
        <f t="shared" si="0"/>
        <v>0.53062825106217038</v>
      </c>
      <c r="R48">
        <f t="shared" si="1"/>
        <v>8.8964566324730487</v>
      </c>
      <c r="S48" s="10">
        <f t="shared" si="2"/>
        <v>14.8</v>
      </c>
    </row>
    <row r="49" spans="1:19" x14ac:dyDescent="0.35">
      <c r="A49" t="s">
        <v>191</v>
      </c>
      <c r="B49">
        <v>61</v>
      </c>
      <c r="C49">
        <v>-1661</v>
      </c>
      <c r="D49">
        <v>-157.1</v>
      </c>
      <c r="F49" s="12" t="s">
        <v>191</v>
      </c>
      <c r="G49" s="10">
        <v>4667.7104884088931</v>
      </c>
      <c r="H49" s="10">
        <v>1073.8498127967318</v>
      </c>
      <c r="I49" s="10">
        <v>13791.263998068112</v>
      </c>
      <c r="J49" s="10"/>
      <c r="K49" s="10" t="str">
        <f>regions!A108</f>
        <v>Mali</v>
      </c>
      <c r="L49" s="10">
        <f>regions!X108</f>
        <v>28.2</v>
      </c>
      <c r="N49">
        <v>-1.7</v>
      </c>
      <c r="O49" s="10">
        <v>14884.614392214289</v>
      </c>
      <c r="P49" s="10">
        <v>18.399999999999999</v>
      </c>
      <c r="Q49">
        <f t="shared" si="0"/>
        <v>0.53062825106217038</v>
      </c>
      <c r="R49">
        <f t="shared" si="1"/>
        <v>9.6080833673174926</v>
      </c>
      <c r="S49" s="10">
        <f t="shared" si="2"/>
        <v>18.399999999999999</v>
      </c>
    </row>
    <row r="50" spans="1:19" x14ac:dyDescent="0.35">
      <c r="A50" t="s">
        <v>193</v>
      </c>
      <c r="B50">
        <v>28</v>
      </c>
      <c r="C50">
        <v>-4790</v>
      </c>
      <c r="D50">
        <v>-35.6</v>
      </c>
      <c r="F50" s="12" t="s">
        <v>193</v>
      </c>
      <c r="G50" s="10">
        <v>383138.87288288889</v>
      </c>
      <c r="H50" s="10">
        <v>8681.8113641495875</v>
      </c>
      <c r="I50" s="10">
        <v>106629.37178983702</v>
      </c>
      <c r="J50" s="10"/>
      <c r="K50" s="10" t="str">
        <f>regions!A113</f>
        <v>Mexico</v>
      </c>
      <c r="L50" s="10">
        <f>regions!X113</f>
        <v>21</v>
      </c>
      <c r="N50">
        <v>-1.3</v>
      </c>
      <c r="O50" s="10">
        <v>22896.596643237899</v>
      </c>
      <c r="P50" s="10">
        <v>13.4</v>
      </c>
      <c r="Q50">
        <f t="shared" si="0"/>
        <v>0.26236426446749106</v>
      </c>
      <c r="R50">
        <f t="shared" si="1"/>
        <v>10.038743560298334</v>
      </c>
      <c r="S50" s="10">
        <f t="shared" si="2"/>
        <v>13.4</v>
      </c>
    </row>
    <row r="51" spans="1:19" x14ac:dyDescent="0.35">
      <c r="A51" t="s">
        <v>257</v>
      </c>
      <c r="B51">
        <v>-11</v>
      </c>
      <c r="C51">
        <v>449</v>
      </c>
      <c r="D51">
        <v>16.2</v>
      </c>
      <c r="F51" s="12" t="s">
        <v>287</v>
      </c>
      <c r="G51" s="10">
        <v>3822.429486001176</v>
      </c>
      <c r="H51" s="10">
        <v>3527.5515108517134</v>
      </c>
      <c r="I51" s="10">
        <v>4252.0504672621355</v>
      </c>
      <c r="J51" s="10"/>
      <c r="K51" s="10" t="str">
        <f>regions!A115</f>
        <v>Moldova</v>
      </c>
      <c r="L51" s="10">
        <f>regions!X115</f>
        <v>9.4</v>
      </c>
      <c r="N51">
        <v>0.3</v>
      </c>
      <c r="O51" s="10">
        <v>37744.449870580458</v>
      </c>
      <c r="P51" s="10">
        <v>8.5</v>
      </c>
      <c r="Q51">
        <f>LN(N51)</f>
        <v>-1.2039728043259361</v>
      </c>
      <c r="R51">
        <f t="shared" si="1"/>
        <v>10.538593720572305</v>
      </c>
      <c r="S51" s="10">
        <f t="shared" si="2"/>
        <v>8.5</v>
      </c>
    </row>
    <row r="52" spans="1:19" x14ac:dyDescent="0.35">
      <c r="A52" t="s">
        <v>194</v>
      </c>
      <c r="B52">
        <v>15</v>
      </c>
      <c r="C52">
        <v>-1315</v>
      </c>
      <c r="D52">
        <v>-33.299999999999997</v>
      </c>
      <c r="F52" s="12" t="s">
        <v>194</v>
      </c>
      <c r="G52" s="10">
        <v>49997.906441749146</v>
      </c>
      <c r="H52" s="10">
        <v>4102.0690647477741</v>
      </c>
      <c r="I52" s="10">
        <v>31581.629185821679</v>
      </c>
      <c r="J52" s="10"/>
      <c r="K52" s="10" t="str">
        <f>regions!A118</f>
        <v>Morocco</v>
      </c>
      <c r="L52" s="10">
        <f>regions!X118</f>
        <v>17.100000000000001</v>
      </c>
      <c r="N52">
        <v>1</v>
      </c>
      <c r="O52" s="10">
        <v>23869.433648270769</v>
      </c>
      <c r="P52" s="10">
        <v>11.1</v>
      </c>
      <c r="Q52">
        <f t="shared" ref="Q52:Q83" si="3">LN(N52)</f>
        <v>0</v>
      </c>
      <c r="R52">
        <f t="shared" si="1"/>
        <v>10.080353992544099</v>
      </c>
      <c r="S52" s="10">
        <f t="shared" si="2"/>
        <v>11.1</v>
      </c>
    </row>
    <row r="53" spans="1:19" x14ac:dyDescent="0.35">
      <c r="A53" t="s">
        <v>196</v>
      </c>
      <c r="B53">
        <v>-31</v>
      </c>
      <c r="C53">
        <v>2847</v>
      </c>
      <c r="D53">
        <v>7.4</v>
      </c>
      <c r="F53" s="12" t="s">
        <v>196</v>
      </c>
      <c r="G53" s="10">
        <v>504556.51674917707</v>
      </c>
      <c r="H53" s="10">
        <v>24126.004025494876</v>
      </c>
      <c r="I53" s="10">
        <v>16324.722056597135</v>
      </c>
      <c r="J53" s="10"/>
      <c r="K53" s="10" t="str">
        <f>regions!A122</f>
        <v>Netherlands</v>
      </c>
      <c r="L53" s="10">
        <f>regions!X122</f>
        <v>9.1999999999999993</v>
      </c>
      <c r="N53">
        <v>3.1</v>
      </c>
      <c r="O53" s="10">
        <v>7420.8999783228855</v>
      </c>
      <c r="P53" s="10">
        <v>10.9</v>
      </c>
      <c r="Q53">
        <f t="shared" si="3"/>
        <v>1.1314021114911006</v>
      </c>
      <c r="R53">
        <f t="shared" si="1"/>
        <v>8.9120556196853773</v>
      </c>
      <c r="S53" s="10">
        <f t="shared" si="2"/>
        <v>10.9</v>
      </c>
    </row>
    <row r="54" spans="1:19" x14ac:dyDescent="0.35">
      <c r="A54" t="s">
        <v>197</v>
      </c>
      <c r="B54">
        <v>-8</v>
      </c>
      <c r="C54">
        <v>1281</v>
      </c>
      <c r="D54">
        <v>5</v>
      </c>
      <c r="F54" s="12" t="s">
        <v>197</v>
      </c>
      <c r="G54" s="10">
        <v>82328.250097803771</v>
      </c>
      <c r="H54" s="10">
        <v>20362.907803625607</v>
      </c>
      <c r="I54" s="10">
        <v>3940.5196065799641</v>
      </c>
      <c r="J54" s="10"/>
      <c r="K54" s="10" t="str">
        <f>regions!A123</f>
        <v>New Zealand</v>
      </c>
      <c r="L54" s="10">
        <f>regions!X123</f>
        <v>10.5</v>
      </c>
      <c r="N54">
        <v>3.2</v>
      </c>
      <c r="O54" s="10">
        <v>29728.336328588353</v>
      </c>
      <c r="P54" s="10">
        <v>1.5</v>
      </c>
      <c r="Q54">
        <f t="shared" si="3"/>
        <v>1.1631508098056809</v>
      </c>
      <c r="R54">
        <f t="shared" si="1"/>
        <v>10.299855955078508</v>
      </c>
      <c r="S54" s="10">
        <f t="shared" si="2"/>
        <v>1.5</v>
      </c>
    </row>
    <row r="55" spans="1:19" x14ac:dyDescent="0.35">
      <c r="A55" t="s">
        <v>198</v>
      </c>
      <c r="B55">
        <v>47</v>
      </c>
      <c r="C55">
        <v>-1936</v>
      </c>
      <c r="D55">
        <v>-99.8</v>
      </c>
      <c r="F55" s="12" t="s">
        <v>198</v>
      </c>
      <c r="G55" s="10">
        <v>32070.67776238174</v>
      </c>
      <c r="H55" s="10">
        <v>827.92457113279204</v>
      </c>
      <c r="I55" s="10">
        <v>130669.13693358886</v>
      </c>
      <c r="J55" s="10"/>
      <c r="K55" s="10" t="str">
        <f>regions!A126</f>
        <v>Nigeria</v>
      </c>
      <c r="L55" s="10">
        <f>regions!X126</f>
        <v>26.8</v>
      </c>
      <c r="N55">
        <v>3.3</v>
      </c>
      <c r="O55" s="10">
        <v>13539.077615629838</v>
      </c>
      <c r="P55" s="10">
        <v>9.8000000000000007</v>
      </c>
      <c r="Q55">
        <f t="shared" si="3"/>
        <v>1.1939224684724346</v>
      </c>
      <c r="R55">
        <f t="shared" si="1"/>
        <v>9.5133354212233296</v>
      </c>
      <c r="S55" s="10">
        <f t="shared" si="2"/>
        <v>9.8000000000000007</v>
      </c>
    </row>
    <row r="56" spans="1:19" x14ac:dyDescent="0.35">
      <c r="A56" t="s">
        <v>199</v>
      </c>
      <c r="B56">
        <v>-47</v>
      </c>
      <c r="C56">
        <v>1583</v>
      </c>
      <c r="D56">
        <v>3.2</v>
      </c>
      <c r="F56" s="12" t="s">
        <v>199</v>
      </c>
      <c r="G56" s="10">
        <v>187085.67921696423</v>
      </c>
      <c r="H56" s="10">
        <v>29728.336328588353</v>
      </c>
      <c r="I56" s="10">
        <v>4574.5356316260786</v>
      </c>
      <c r="J56" s="10"/>
      <c r="K56" s="10" t="str">
        <f>regions!A127</f>
        <v>Norway</v>
      </c>
      <c r="L56" s="10">
        <f>regions!X127</f>
        <v>1.5</v>
      </c>
      <c r="N56">
        <v>3.4</v>
      </c>
      <c r="O56" s="10">
        <v>7432.3343372459258</v>
      </c>
      <c r="P56" s="10">
        <v>8.8000000000000007</v>
      </c>
      <c r="Q56">
        <f t="shared" si="3"/>
        <v>1.2237754316221157</v>
      </c>
      <c r="R56">
        <f t="shared" si="1"/>
        <v>8.9135952656559283</v>
      </c>
      <c r="S56" s="10">
        <f t="shared" si="2"/>
        <v>8.8000000000000007</v>
      </c>
    </row>
    <row r="57" spans="1:19" x14ac:dyDescent="0.35">
      <c r="A57" t="s">
        <v>200</v>
      </c>
      <c r="B57">
        <v>47</v>
      </c>
      <c r="C57">
        <v>-2265</v>
      </c>
      <c r="D57">
        <v>-96.6</v>
      </c>
      <c r="F57" s="12" t="s">
        <v>200</v>
      </c>
      <c r="G57" s="10">
        <v>86944.023805183941</v>
      </c>
      <c r="H57" s="10">
        <v>2158.7813553015694</v>
      </c>
      <c r="I57" s="10">
        <v>161363.70997794578</v>
      </c>
      <c r="J57" s="10"/>
      <c r="K57" s="10" t="str">
        <f>regions!A129</f>
        <v>Pakistan</v>
      </c>
      <c r="L57" s="10">
        <f>regions!X129</f>
        <v>20.2</v>
      </c>
      <c r="N57">
        <v>3.7</v>
      </c>
      <c r="O57" s="10">
        <v>25251.675599250215</v>
      </c>
      <c r="P57" s="10">
        <v>10.7</v>
      </c>
      <c r="Q57">
        <f t="shared" si="3"/>
        <v>1.3083328196501789</v>
      </c>
      <c r="R57">
        <f t="shared" si="1"/>
        <v>10.1366477928681</v>
      </c>
      <c r="S57" s="10">
        <f t="shared" si="2"/>
        <v>10.7</v>
      </c>
    </row>
    <row r="58" spans="1:19" x14ac:dyDescent="0.35">
      <c r="A58" t="s">
        <v>203</v>
      </c>
      <c r="B58">
        <v>46</v>
      </c>
      <c r="C58">
        <v>-6522</v>
      </c>
      <c r="D58">
        <v>-83</v>
      </c>
      <c r="F58" s="12" t="s">
        <v>203</v>
      </c>
      <c r="G58" s="10">
        <v>74953.700202795007</v>
      </c>
      <c r="H58" s="10">
        <v>5198.2096053597807</v>
      </c>
      <c r="I58" s="10">
        <v>28019.715969678615</v>
      </c>
      <c r="J58" s="10"/>
      <c r="K58" s="10" t="str">
        <f>regions!A135</f>
        <v>Peru</v>
      </c>
      <c r="L58" s="10">
        <f>regions!X135</f>
        <v>19.600000000000001</v>
      </c>
      <c r="N58">
        <v>4</v>
      </c>
      <c r="O58" s="10">
        <v>13920.206305022033</v>
      </c>
      <c r="P58" s="10">
        <v>8.9</v>
      </c>
      <c r="Q58">
        <f t="shared" si="3"/>
        <v>1.3862943611198906</v>
      </c>
      <c r="R58">
        <f t="shared" si="1"/>
        <v>9.5410967545416607</v>
      </c>
      <c r="S58" s="10">
        <f t="shared" si="2"/>
        <v>8.9</v>
      </c>
    </row>
    <row r="59" spans="1:19" x14ac:dyDescent="0.35">
      <c r="A59" t="s">
        <v>204</v>
      </c>
      <c r="B59">
        <v>37</v>
      </c>
      <c r="C59">
        <v>-1892</v>
      </c>
      <c r="D59">
        <v>-58.3</v>
      </c>
      <c r="F59" s="12" t="s">
        <v>204</v>
      </c>
      <c r="G59" s="10">
        <v>109253.25677153621</v>
      </c>
      <c r="H59" s="10">
        <v>4275.274508995446</v>
      </c>
      <c r="I59" s="10">
        <v>83027.778710140483</v>
      </c>
      <c r="J59" s="10"/>
      <c r="K59" s="10" t="str">
        <f>regions!A136</f>
        <v>Philippines</v>
      </c>
      <c r="L59" s="10">
        <f>regions!X136</f>
        <v>25.8</v>
      </c>
      <c r="N59">
        <v>4.5</v>
      </c>
      <c r="O59" s="10">
        <v>5060.8254435133804</v>
      </c>
      <c r="P59" s="10">
        <v>6.9</v>
      </c>
      <c r="Q59">
        <f t="shared" si="3"/>
        <v>1.5040773967762742</v>
      </c>
      <c r="R59">
        <f t="shared" si="1"/>
        <v>8.5292848801062018</v>
      </c>
      <c r="S59" s="10">
        <f t="shared" si="2"/>
        <v>6.9</v>
      </c>
    </row>
    <row r="60" spans="1:19" x14ac:dyDescent="0.35">
      <c r="A60" t="s">
        <v>205</v>
      </c>
      <c r="B60">
        <v>-29</v>
      </c>
      <c r="C60">
        <v>3011</v>
      </c>
      <c r="D60">
        <v>18.3</v>
      </c>
      <c r="F60" s="12" t="s">
        <v>205</v>
      </c>
      <c r="G60" s="10">
        <v>150599.25242028959</v>
      </c>
      <c r="H60" s="10">
        <v>9036.3087788727662</v>
      </c>
      <c r="I60" s="10">
        <v>38535.130487605777</v>
      </c>
      <c r="J60" s="10"/>
      <c r="K60" s="10" t="str">
        <f>regions!A137</f>
        <v>Poland</v>
      </c>
      <c r="L60" s="10">
        <f>regions!X137</f>
        <v>7.8</v>
      </c>
      <c r="N60">
        <v>4.9000000000000004</v>
      </c>
      <c r="O60" s="10">
        <v>10596.672076418698</v>
      </c>
      <c r="P60" s="10">
        <v>8.5</v>
      </c>
      <c r="Q60">
        <f t="shared" si="3"/>
        <v>1.589235205116581</v>
      </c>
      <c r="R60">
        <f t="shared" si="1"/>
        <v>9.2682952757511128</v>
      </c>
      <c r="S60" s="10">
        <f t="shared" si="2"/>
        <v>8.5</v>
      </c>
    </row>
    <row r="61" spans="1:19" x14ac:dyDescent="0.35">
      <c r="A61" t="s">
        <v>207</v>
      </c>
      <c r="B61">
        <v>-4</v>
      </c>
      <c r="C61">
        <v>405</v>
      </c>
      <c r="D61">
        <v>3.4</v>
      </c>
      <c r="F61" s="12" t="s">
        <v>207</v>
      </c>
      <c r="G61" s="10">
        <v>40858.124719267907</v>
      </c>
      <c r="H61" s="10">
        <v>7432.3343372459258</v>
      </c>
      <c r="I61" s="10">
        <v>22237.66754591951</v>
      </c>
      <c r="J61" s="10"/>
      <c r="K61" s="10" t="str">
        <f>regions!A141</f>
        <v>Romania</v>
      </c>
      <c r="L61" s="10">
        <f>regions!X141</f>
        <v>8.8000000000000007</v>
      </c>
      <c r="N61">
        <v>5</v>
      </c>
      <c r="O61" s="10">
        <v>20362.907803625607</v>
      </c>
      <c r="P61" s="10">
        <v>10.5</v>
      </c>
      <c r="Q61">
        <f t="shared" si="3"/>
        <v>1.6094379124341003</v>
      </c>
      <c r="R61">
        <f t="shared" si="1"/>
        <v>9.9214702798982479</v>
      </c>
      <c r="S61" s="10">
        <f t="shared" si="2"/>
        <v>10.5</v>
      </c>
    </row>
    <row r="62" spans="1:19" x14ac:dyDescent="0.35">
      <c r="A62" t="s">
        <v>288</v>
      </c>
      <c r="B62">
        <v>-45</v>
      </c>
      <c r="C62">
        <v>3783</v>
      </c>
      <c r="D62">
        <v>25.7</v>
      </c>
      <c r="F62" s="12" t="s">
        <v>288</v>
      </c>
      <c r="G62" s="10">
        <v>446873.63849549781</v>
      </c>
      <c r="H62" s="10">
        <v>9830.4627385235508</v>
      </c>
      <c r="I62" s="10">
        <v>141723.07933834477</v>
      </c>
      <c r="J62" s="10"/>
      <c r="K62" s="10" t="str">
        <f>regions!A142</f>
        <v>Russia</v>
      </c>
      <c r="L62" s="10">
        <f>regions!X142</f>
        <v>-5.0999999999999996</v>
      </c>
      <c r="N62">
        <v>5.0999999999999996</v>
      </c>
      <c r="O62" s="10">
        <v>20585.433864148898</v>
      </c>
      <c r="P62" s="10">
        <v>11.5</v>
      </c>
      <c r="Q62">
        <f t="shared" si="3"/>
        <v>1.62924053973028</v>
      </c>
      <c r="R62">
        <f t="shared" si="1"/>
        <v>9.9323390106954665</v>
      </c>
      <c r="S62" s="10">
        <f t="shared" si="2"/>
        <v>11.5</v>
      </c>
    </row>
    <row r="63" spans="1:19" x14ac:dyDescent="0.35">
      <c r="A63" t="s">
        <v>208</v>
      </c>
      <c r="B63">
        <v>52</v>
      </c>
      <c r="C63">
        <v>-3078</v>
      </c>
      <c r="D63">
        <v>-324.39999999999998</v>
      </c>
      <c r="F63" s="12" t="s">
        <v>208</v>
      </c>
      <c r="G63" s="10">
        <v>3147.7578599248923</v>
      </c>
      <c r="H63" s="10">
        <v>1190.2714665937431</v>
      </c>
      <c r="I63" s="10">
        <v>8922.1074661790681</v>
      </c>
      <c r="J63" s="10"/>
      <c r="K63" s="10" t="str">
        <f>regions!A143</f>
        <v>Rwanda</v>
      </c>
      <c r="L63" s="10">
        <f>regions!X143</f>
        <v>17.899999999999999</v>
      </c>
      <c r="N63">
        <v>6</v>
      </c>
      <c r="O63" s="10">
        <v>28781.377502097293</v>
      </c>
      <c r="P63" s="10">
        <v>5.5</v>
      </c>
      <c r="Q63">
        <f t="shared" si="3"/>
        <v>1.791759469228055</v>
      </c>
      <c r="R63">
        <f t="shared" si="1"/>
        <v>10.267483842468202</v>
      </c>
      <c r="S63" s="10">
        <f t="shared" si="2"/>
        <v>5.5</v>
      </c>
    </row>
    <row r="64" spans="1:19" x14ac:dyDescent="0.35">
      <c r="A64" t="s">
        <v>281</v>
      </c>
      <c r="B64">
        <v>56</v>
      </c>
      <c r="C64">
        <v>-5504</v>
      </c>
      <c r="D64">
        <v>-25.3</v>
      </c>
      <c r="F64" s="12" t="s">
        <v>281</v>
      </c>
      <c r="G64" s="10">
        <v>191900.0864893173</v>
      </c>
      <c r="H64" s="10">
        <v>12400.349982995878</v>
      </c>
      <c r="I64" s="10">
        <v>25721.044768901545</v>
      </c>
      <c r="J64" s="10"/>
      <c r="K64" s="10" t="str">
        <f>regions!A149</f>
        <v>Saudi Arabia</v>
      </c>
      <c r="L64" s="10">
        <f>regions!X149</f>
        <v>24.6</v>
      </c>
      <c r="N64">
        <v>6.5</v>
      </c>
      <c r="O64" s="10">
        <v>7959.4682200183106</v>
      </c>
      <c r="P64" s="10">
        <v>10.5</v>
      </c>
      <c r="Q64">
        <f t="shared" si="3"/>
        <v>1.8718021769015913</v>
      </c>
      <c r="R64">
        <f t="shared" si="1"/>
        <v>8.9821174700764104</v>
      </c>
      <c r="S64" s="10">
        <f t="shared" si="2"/>
        <v>10.5</v>
      </c>
    </row>
    <row r="65" spans="1:19" x14ac:dyDescent="0.35">
      <c r="A65" t="s">
        <v>233</v>
      </c>
      <c r="B65">
        <v>35</v>
      </c>
      <c r="C65">
        <v>-1144</v>
      </c>
      <c r="D65">
        <v>-2.2999999999999998</v>
      </c>
      <c r="F65" s="12" t="s">
        <v>233</v>
      </c>
      <c r="G65" s="10">
        <v>121309.37848741094</v>
      </c>
      <c r="H65" s="10">
        <v>25656.500749856674</v>
      </c>
      <c r="I65" s="10">
        <v>4426.0057515828266</v>
      </c>
      <c r="J65" s="10"/>
      <c r="K65" s="10" t="str">
        <f>regions!A154</f>
        <v>Singapore</v>
      </c>
      <c r="L65" s="10">
        <f>regions!X154</f>
        <v>26.4</v>
      </c>
      <c r="N65">
        <v>7.4</v>
      </c>
      <c r="O65" s="10">
        <v>24341.798424606382</v>
      </c>
      <c r="P65" s="10">
        <v>8.4</v>
      </c>
      <c r="Q65">
        <f t="shared" si="3"/>
        <v>2.0014800002101243</v>
      </c>
      <c r="R65">
        <f t="shared" si="1"/>
        <v>10.099950251429316</v>
      </c>
      <c r="S65" s="10">
        <f t="shared" si="2"/>
        <v>8.4</v>
      </c>
    </row>
    <row r="66" spans="1:19" x14ac:dyDescent="0.35">
      <c r="A66" t="s">
        <v>263</v>
      </c>
      <c r="B66">
        <v>-16</v>
      </c>
      <c r="C66">
        <v>1893</v>
      </c>
      <c r="D66">
        <v>9.1999999999999993</v>
      </c>
      <c r="F66" s="12" t="s">
        <v>263</v>
      </c>
      <c r="G66" s="10">
        <v>28280.536352148727</v>
      </c>
      <c r="H66" s="10">
        <v>12472.119986063211</v>
      </c>
      <c r="I66" s="10">
        <v>5410.0178063531584</v>
      </c>
      <c r="J66" s="10"/>
      <c r="K66" s="10" t="str">
        <f>regions!A155</f>
        <v>Slovakia</v>
      </c>
      <c r="L66" s="10">
        <f>regions!X155</f>
        <v>6.8</v>
      </c>
      <c r="N66">
        <v>7.4</v>
      </c>
      <c r="O66" s="10">
        <v>24126.004025494876</v>
      </c>
      <c r="P66" s="10">
        <v>9.1999999999999993</v>
      </c>
      <c r="Q66">
        <f t="shared" si="3"/>
        <v>2.0014800002101243</v>
      </c>
      <c r="R66">
        <f t="shared" si="1"/>
        <v>10.091045542978291</v>
      </c>
      <c r="S66" s="10">
        <f t="shared" si="2"/>
        <v>9.1999999999999993</v>
      </c>
    </row>
    <row r="67" spans="1:19" x14ac:dyDescent="0.35">
      <c r="A67" t="s">
        <v>264</v>
      </c>
      <c r="B67">
        <v>-10</v>
      </c>
      <c r="C67">
        <v>1112</v>
      </c>
      <c r="D67">
        <v>4</v>
      </c>
      <c r="F67" s="12" t="s">
        <v>264</v>
      </c>
      <c r="G67" s="10">
        <v>26751.123600778843</v>
      </c>
      <c r="H67" s="10">
        <v>13920.206305022033</v>
      </c>
      <c r="I67" s="10">
        <v>1980.0120643397734</v>
      </c>
      <c r="J67" s="10"/>
      <c r="K67" s="10" t="str">
        <f>regions!A156</f>
        <v>Slovenia</v>
      </c>
      <c r="L67" s="10">
        <f>regions!X156</f>
        <v>8.9</v>
      </c>
      <c r="N67">
        <v>7.5</v>
      </c>
      <c r="O67" s="10">
        <v>27529.022015146173</v>
      </c>
      <c r="P67" s="10">
        <v>-5.4</v>
      </c>
      <c r="Q67">
        <f t="shared" si="3"/>
        <v>2.0149030205422647</v>
      </c>
      <c r="R67">
        <f t="shared" si="1"/>
        <v>10.222996073173872</v>
      </c>
      <c r="S67" s="10">
        <f t="shared" si="2"/>
        <v>-5.4</v>
      </c>
    </row>
    <row r="68" spans="1:19" x14ac:dyDescent="0.35">
      <c r="A68" t="s">
        <v>265</v>
      </c>
      <c r="B68">
        <v>13</v>
      </c>
      <c r="C68">
        <v>-1884</v>
      </c>
      <c r="D68">
        <v>-19.600000000000001</v>
      </c>
      <c r="F68" s="12" t="s">
        <v>265</v>
      </c>
      <c r="G68" s="10">
        <v>199045.22547948066</v>
      </c>
      <c r="H68" s="10">
        <v>9441.2625690508721</v>
      </c>
      <c r="I68" s="10">
        <v>45803.974765098515</v>
      </c>
      <c r="J68" s="10"/>
      <c r="K68" s="10" t="str">
        <f>regions!A158</f>
        <v>South Africa</v>
      </c>
      <c r="L68" s="10">
        <f>regions!X158</f>
        <v>17.8</v>
      </c>
      <c r="N68">
        <v>7.6</v>
      </c>
      <c r="O68" s="10">
        <v>23604.821599691179</v>
      </c>
      <c r="P68" s="10">
        <v>8.4</v>
      </c>
      <c r="Q68">
        <f t="shared" si="3"/>
        <v>2.0281482472922852</v>
      </c>
      <c r="R68">
        <f t="shared" ref="R68:R83" si="4">LN(O68)</f>
        <v>10.069206275217923</v>
      </c>
      <c r="S68" s="10">
        <f t="shared" ref="S68:S83" si="5">P68</f>
        <v>8.4</v>
      </c>
    </row>
    <row r="69" spans="1:19" x14ac:dyDescent="0.35">
      <c r="A69" t="s">
        <v>212</v>
      </c>
      <c r="B69">
        <v>-12</v>
      </c>
      <c r="C69">
        <v>1315</v>
      </c>
      <c r="D69">
        <v>5.0999999999999996</v>
      </c>
      <c r="F69" s="14" t="s">
        <v>297</v>
      </c>
      <c r="G69" s="15"/>
      <c r="H69" s="10">
        <v>20585.433864148898</v>
      </c>
      <c r="I69" s="10">
        <v>48304.599762043654</v>
      </c>
      <c r="J69" s="10"/>
      <c r="K69" s="10" t="str">
        <f>regions!A159</f>
        <v>South Korea</v>
      </c>
      <c r="L69" s="10">
        <f>regions!X159</f>
        <v>11.5</v>
      </c>
      <c r="N69">
        <v>9.1999999999999993</v>
      </c>
      <c r="O69" s="10">
        <v>12472.119986063211</v>
      </c>
      <c r="P69" s="10">
        <v>6.8</v>
      </c>
      <c r="Q69">
        <f t="shared" si="3"/>
        <v>2.2192034840549946</v>
      </c>
      <c r="R69">
        <f t="shared" si="4"/>
        <v>9.4312510311261679</v>
      </c>
      <c r="S69" s="10">
        <f t="shared" si="5"/>
        <v>6.8</v>
      </c>
    </row>
    <row r="70" spans="1:19" x14ac:dyDescent="0.35">
      <c r="A70" t="s">
        <v>213</v>
      </c>
      <c r="B70">
        <v>7</v>
      </c>
      <c r="C70">
        <v>-836</v>
      </c>
      <c r="D70">
        <v>-2.9</v>
      </c>
      <c r="F70" s="12" t="s">
        <v>213</v>
      </c>
      <c r="G70" s="10">
        <v>776985.38354965823</v>
      </c>
      <c r="H70" s="10">
        <v>19608.429907928083</v>
      </c>
      <c r="I70" s="10">
        <v>41284.529734896321</v>
      </c>
      <c r="J70" s="10"/>
      <c r="K70" s="10" t="str">
        <f>regions!A160</f>
        <v>Spain</v>
      </c>
      <c r="L70" s="10">
        <f>regions!X160</f>
        <v>13.3</v>
      </c>
      <c r="N70">
        <v>9.6</v>
      </c>
      <c r="O70" s="10">
        <v>5490.6880840749373</v>
      </c>
      <c r="P70" s="10">
        <v>17.5</v>
      </c>
      <c r="Q70">
        <f t="shared" si="3"/>
        <v>2.2617630984737906</v>
      </c>
      <c r="R70">
        <f t="shared" si="4"/>
        <v>8.6108088607254984</v>
      </c>
      <c r="S70" s="10">
        <f t="shared" si="5"/>
        <v>17.5</v>
      </c>
    </row>
    <row r="71" spans="1:19" x14ac:dyDescent="0.35">
      <c r="A71" t="s">
        <v>217</v>
      </c>
      <c r="B71">
        <v>-41</v>
      </c>
      <c r="C71">
        <v>3722</v>
      </c>
      <c r="D71">
        <v>10.8</v>
      </c>
      <c r="F71" s="12" t="s">
        <v>217</v>
      </c>
      <c r="G71" s="10">
        <v>303188.69492912933</v>
      </c>
      <c r="H71" s="10">
        <v>24129.436345419417</v>
      </c>
      <c r="I71" s="10">
        <v>8888.033200325488</v>
      </c>
      <c r="J71" s="10"/>
      <c r="K71" s="10" t="str">
        <f>regions!A165</f>
        <v>Sweden</v>
      </c>
      <c r="L71" s="10">
        <f>regions!X165</f>
        <v>2.1</v>
      </c>
      <c r="N71">
        <v>10.3</v>
      </c>
      <c r="O71" s="10">
        <v>2594.8978139785836</v>
      </c>
      <c r="P71" s="10">
        <v>1.6</v>
      </c>
      <c r="Q71">
        <f t="shared" si="3"/>
        <v>2.33214389523559</v>
      </c>
      <c r="R71">
        <f t="shared" si="4"/>
        <v>7.8613024167817187</v>
      </c>
      <c r="S71" s="10">
        <f t="shared" si="5"/>
        <v>1.6</v>
      </c>
    </row>
    <row r="72" spans="1:19" x14ac:dyDescent="0.35">
      <c r="A72" t="s">
        <v>218</v>
      </c>
      <c r="B72">
        <v>-28</v>
      </c>
      <c r="C72">
        <v>2284</v>
      </c>
      <c r="D72">
        <v>6</v>
      </c>
      <c r="F72" s="12" t="s">
        <v>218</v>
      </c>
      <c r="G72" s="10">
        <v>337608.45577253244</v>
      </c>
      <c r="H72" s="10">
        <v>28781.377502097293</v>
      </c>
      <c r="I72" s="10">
        <v>7165.0033452584903</v>
      </c>
      <c r="J72" s="10"/>
      <c r="K72" s="10" t="str">
        <f>regions!A166</f>
        <v>Switzerland</v>
      </c>
      <c r="L72" s="10">
        <f>regions!X166</f>
        <v>5.5</v>
      </c>
      <c r="N72">
        <v>10.8</v>
      </c>
      <c r="O72" s="10">
        <v>24129.436345419417</v>
      </c>
      <c r="P72" s="10">
        <v>2.1</v>
      </c>
      <c r="Q72">
        <f t="shared" si="3"/>
        <v>2.379546134130174</v>
      </c>
      <c r="R72">
        <f t="shared" si="4"/>
        <v>10.091187799267072</v>
      </c>
      <c r="S72" s="10">
        <f t="shared" si="5"/>
        <v>2.1</v>
      </c>
    </row>
    <row r="73" spans="1:19" x14ac:dyDescent="0.35">
      <c r="A73" t="s">
        <v>220</v>
      </c>
      <c r="B73">
        <v>48</v>
      </c>
      <c r="C73">
        <v>-1613</v>
      </c>
      <c r="D73">
        <v>-134.30000000000001</v>
      </c>
      <c r="F73" s="12" t="s">
        <v>239</v>
      </c>
      <c r="G73" s="10">
        <v>8507.0520591085296</v>
      </c>
      <c r="H73" s="10">
        <v>851.58644922447445</v>
      </c>
      <c r="I73" s="10">
        <v>38495.426336596778</v>
      </c>
      <c r="J73" s="10"/>
      <c r="K73" s="10" t="str">
        <f>regions!A168</f>
        <v>Tanzania</v>
      </c>
      <c r="L73" s="10">
        <f>regions!X168</f>
        <v>22.3</v>
      </c>
      <c r="N73">
        <v>11.7</v>
      </c>
      <c r="O73" s="10">
        <v>1911.1775248268789</v>
      </c>
      <c r="P73" s="10">
        <v>9.8000000000000007</v>
      </c>
      <c r="Q73">
        <f t="shared" si="3"/>
        <v>2.4595888418037104</v>
      </c>
      <c r="R73">
        <f t="shared" si="4"/>
        <v>7.5554748362244117</v>
      </c>
      <c r="S73" s="10">
        <f t="shared" si="5"/>
        <v>9.8000000000000007</v>
      </c>
    </row>
    <row r="74" spans="1:19" x14ac:dyDescent="0.35">
      <c r="A74" t="s">
        <v>221</v>
      </c>
      <c r="B74">
        <v>48</v>
      </c>
      <c r="C74">
        <v>-3573</v>
      </c>
      <c r="D74">
        <v>-47.8</v>
      </c>
      <c r="F74" s="12" t="s">
        <v>221</v>
      </c>
      <c r="G74" s="10">
        <v>214308.79712347392</v>
      </c>
      <c r="H74" s="10">
        <v>7950.5425287906155</v>
      </c>
      <c r="I74" s="10">
        <v>64146.950991909805</v>
      </c>
      <c r="J74" s="10"/>
      <c r="K74" s="10" t="str">
        <f>regions!A169</f>
        <v>Thailand</v>
      </c>
      <c r="L74" s="10">
        <f>regions!X169</f>
        <v>26.3</v>
      </c>
      <c r="N74">
        <v>13.9</v>
      </c>
      <c r="O74" s="10">
        <v>14448.82513887697</v>
      </c>
      <c r="P74" s="10">
        <v>7.5</v>
      </c>
      <c r="Q74">
        <f t="shared" si="3"/>
        <v>2.631888840136646</v>
      </c>
      <c r="R74">
        <f t="shared" si="4"/>
        <v>9.5783683849670957</v>
      </c>
      <c r="S74" s="10">
        <f t="shared" si="5"/>
        <v>7.5</v>
      </c>
    </row>
    <row r="75" spans="1:19" x14ac:dyDescent="0.35">
      <c r="A75" t="s">
        <v>222</v>
      </c>
      <c r="B75">
        <v>25</v>
      </c>
      <c r="C75">
        <v>-2629</v>
      </c>
      <c r="D75">
        <v>-10.7</v>
      </c>
      <c r="F75" s="12" t="s">
        <v>222</v>
      </c>
      <c r="G75" s="10">
        <v>7805.7000366512539</v>
      </c>
      <c r="H75" s="10">
        <v>10740.498328165604</v>
      </c>
      <c r="I75" s="10">
        <v>1310.0743415680483</v>
      </c>
      <c r="J75" s="10"/>
      <c r="K75" s="10" t="str">
        <f>regions!A173</f>
        <v>Trinidad and Tobago</v>
      </c>
      <c r="L75" s="10">
        <f>regions!X173</f>
        <v>25.7</v>
      </c>
      <c r="N75">
        <v>14</v>
      </c>
      <c r="O75" s="10">
        <v>24387.060935619571</v>
      </c>
      <c r="P75" s="10">
        <v>1.7</v>
      </c>
      <c r="Q75">
        <f t="shared" si="3"/>
        <v>2.6390573296152584</v>
      </c>
      <c r="R75">
        <f t="shared" si="4"/>
        <v>10.101807981104288</v>
      </c>
      <c r="S75" s="10">
        <f t="shared" si="5"/>
        <v>1.7</v>
      </c>
    </row>
    <row r="76" spans="1:19" x14ac:dyDescent="0.35">
      <c r="A76" t="s">
        <v>224</v>
      </c>
      <c r="B76">
        <v>2</v>
      </c>
      <c r="C76">
        <v>-244</v>
      </c>
      <c r="D76">
        <v>-2</v>
      </c>
      <c r="F76" s="12" t="s">
        <v>224</v>
      </c>
      <c r="G76" s="10">
        <v>256530.32171723363</v>
      </c>
      <c r="H76" s="10">
        <v>7891.9260228141757</v>
      </c>
      <c r="I76" s="10">
        <v>73453.067168622743</v>
      </c>
      <c r="J76" s="10"/>
      <c r="K76" s="10" t="str">
        <f>regions!A175</f>
        <v>Turkey</v>
      </c>
      <c r="L76" s="10">
        <f>regions!X175</f>
        <v>11.1</v>
      </c>
      <c r="N76">
        <v>16.2</v>
      </c>
      <c r="O76" s="10">
        <v>3527.5515108517134</v>
      </c>
      <c r="P76" s="10">
        <v>9.4</v>
      </c>
      <c r="Q76">
        <f t="shared" si="3"/>
        <v>2.7850112422383382</v>
      </c>
      <c r="R76">
        <f t="shared" si="4"/>
        <v>8.1683592862714391</v>
      </c>
      <c r="S76" s="10">
        <f t="shared" si="5"/>
        <v>9.4</v>
      </c>
    </row>
    <row r="77" spans="1:19" x14ac:dyDescent="0.35">
      <c r="A77" t="s">
        <v>282</v>
      </c>
      <c r="B77">
        <v>53</v>
      </c>
      <c r="C77">
        <v>-2633</v>
      </c>
      <c r="D77">
        <v>-246.8</v>
      </c>
      <c r="F77" s="12" t="s">
        <v>282</v>
      </c>
      <c r="G77" s="10">
        <v>10334.064206966383</v>
      </c>
      <c r="H77" s="10">
        <v>1256.5439148907253</v>
      </c>
      <c r="I77" s="10">
        <v>27494.5492228402</v>
      </c>
      <c r="J77" s="10"/>
      <c r="K77" s="10" t="str">
        <f>regions!A178</f>
        <v>Uganda</v>
      </c>
      <c r="L77" s="10">
        <f>regions!X178</f>
        <v>22.8</v>
      </c>
      <c r="N77">
        <v>17.100000000000001</v>
      </c>
      <c r="O77" s="10">
        <v>5211.6232411700557</v>
      </c>
      <c r="P77" s="10">
        <v>8.3000000000000007</v>
      </c>
      <c r="Q77">
        <f t="shared" si="3"/>
        <v>2.8390784635086144</v>
      </c>
      <c r="R77">
        <f t="shared" si="4"/>
        <v>8.5586466488264801</v>
      </c>
      <c r="S77" s="10">
        <f t="shared" si="5"/>
        <v>8.3000000000000007</v>
      </c>
    </row>
    <row r="78" spans="1:19" x14ac:dyDescent="0.35">
      <c r="A78" t="s">
        <v>266</v>
      </c>
      <c r="B78">
        <v>-17</v>
      </c>
      <c r="C78">
        <v>1155</v>
      </c>
      <c r="D78">
        <v>17.100000000000001</v>
      </c>
      <c r="F78" s="12" t="s">
        <v>266</v>
      </c>
      <c r="G78" s="10">
        <v>57704.26618801304</v>
      </c>
      <c r="H78" s="10">
        <v>5211.6232411700557</v>
      </c>
      <c r="I78" s="10">
        <v>47756.22952184813</v>
      </c>
      <c r="J78" s="10"/>
      <c r="K78" s="10" t="str">
        <f>regions!A179</f>
        <v>Ukraine</v>
      </c>
      <c r="L78" s="10">
        <f>regions!X179</f>
        <v>8.3000000000000007</v>
      </c>
      <c r="N78">
        <v>18.3</v>
      </c>
      <c r="O78" s="10">
        <v>9036.3087788727662</v>
      </c>
      <c r="P78" s="10">
        <v>7.8</v>
      </c>
      <c r="Q78">
        <f t="shared" si="3"/>
        <v>2.9069010598473755</v>
      </c>
      <c r="R78">
        <f t="shared" si="4"/>
        <v>9.1090060490793814</v>
      </c>
      <c r="S78" s="10">
        <f t="shared" si="5"/>
        <v>7.8</v>
      </c>
    </row>
    <row r="79" spans="1:19" x14ac:dyDescent="0.35">
      <c r="A79" t="s">
        <v>293</v>
      </c>
      <c r="B79">
        <v>-2</v>
      </c>
      <c r="C79">
        <v>135</v>
      </c>
      <c r="D79">
        <v>0.3</v>
      </c>
      <c r="F79" s="12" t="s">
        <v>226</v>
      </c>
      <c r="G79" s="10">
        <v>9872183.977084944</v>
      </c>
      <c r="H79" s="10">
        <v>37744.449870580458</v>
      </c>
      <c r="I79" s="10">
        <v>300267.43440884893</v>
      </c>
      <c r="J79" s="10"/>
      <c r="K79" s="10" t="str">
        <f>regions!A182</f>
        <v>United States</v>
      </c>
      <c r="L79" s="10">
        <f>regions!X182</f>
        <v>8.5</v>
      </c>
      <c r="N79">
        <v>23.1</v>
      </c>
      <c r="O79" s="10">
        <v>10355.586430942756</v>
      </c>
      <c r="P79" s="10">
        <v>6.2</v>
      </c>
      <c r="Q79">
        <f t="shared" si="3"/>
        <v>3.1398326175277478</v>
      </c>
      <c r="R79">
        <f t="shared" si="4"/>
        <v>9.2452814048618261</v>
      </c>
      <c r="S79" s="10">
        <f t="shared" si="5"/>
        <v>6.2</v>
      </c>
    </row>
    <row r="80" spans="1:19" x14ac:dyDescent="0.35">
      <c r="A80" t="s">
        <v>227</v>
      </c>
      <c r="B80">
        <v>-8</v>
      </c>
      <c r="C80">
        <v>1132</v>
      </c>
      <c r="D80">
        <v>9.6</v>
      </c>
      <c r="F80" s="12" t="s">
        <v>227</v>
      </c>
      <c r="G80" s="10">
        <v>13121.835823004341</v>
      </c>
      <c r="H80" s="10">
        <v>5490.6880840749373</v>
      </c>
      <c r="I80" s="10">
        <v>3467.119608588966</v>
      </c>
      <c r="J80" s="10"/>
      <c r="K80" s="10" t="str">
        <f>regions!A183</f>
        <v>Uruguay</v>
      </c>
      <c r="L80" s="10">
        <f>regions!X183</f>
        <v>17.5</v>
      </c>
      <c r="N80">
        <v>24.9</v>
      </c>
      <c r="O80" s="10">
        <v>10308.332219281841</v>
      </c>
      <c r="P80" s="10">
        <v>5.6</v>
      </c>
      <c r="Q80">
        <f t="shared" si="3"/>
        <v>3.2148678034706619</v>
      </c>
      <c r="R80">
        <f t="shared" si="4"/>
        <v>9.2407078005196723</v>
      </c>
      <c r="S80" s="10">
        <f t="shared" si="5"/>
        <v>5.6</v>
      </c>
    </row>
    <row r="81" spans="1:19" x14ac:dyDescent="0.35">
      <c r="A81" t="s">
        <v>228</v>
      </c>
      <c r="B81">
        <v>62</v>
      </c>
      <c r="C81">
        <v>-7423</v>
      </c>
      <c r="D81">
        <v>-63.1</v>
      </c>
      <c r="F81" s="12" t="s">
        <v>228</v>
      </c>
      <c r="G81" s="10">
        <v>56542.29633492318</v>
      </c>
      <c r="H81" s="10">
        <v>3994.4617034508947</v>
      </c>
      <c r="I81" s="10">
        <v>26703.161140353091</v>
      </c>
      <c r="J81" s="10"/>
      <c r="K81" s="10" t="str">
        <f>regions!A186</f>
        <v>Venezuela</v>
      </c>
      <c r="L81" s="10">
        <f>regions!X186</f>
        <v>25.3</v>
      </c>
      <c r="N81">
        <v>25.2</v>
      </c>
      <c r="O81" s="10">
        <v>13879.17274362533</v>
      </c>
      <c r="P81" s="10">
        <v>5.0999999999999996</v>
      </c>
      <c r="Q81">
        <f t="shared" si="3"/>
        <v>3.2268439945173775</v>
      </c>
      <c r="R81">
        <f t="shared" si="4"/>
        <v>9.5381446316812468</v>
      </c>
      <c r="S81" s="10">
        <f t="shared" si="5"/>
        <v>5.0999999999999996</v>
      </c>
    </row>
    <row r="82" spans="1:19" x14ac:dyDescent="0.35">
      <c r="A82" t="s">
        <v>289</v>
      </c>
      <c r="B82">
        <v>48</v>
      </c>
      <c r="C82">
        <v>-2523</v>
      </c>
      <c r="D82">
        <v>-98</v>
      </c>
      <c r="F82" s="12" t="s">
        <v>289</v>
      </c>
      <c r="G82" s="10">
        <v>40788.534995795344</v>
      </c>
      <c r="H82" s="10">
        <v>2561.5538307434826</v>
      </c>
      <c r="I82" s="10">
        <v>83610.339051218209</v>
      </c>
      <c r="J82" s="10"/>
      <c r="K82" s="10" t="str">
        <f>regions!A187</f>
        <v>Vietnam</v>
      </c>
      <c r="L82" s="10">
        <f>regions!X187</f>
        <v>24.4</v>
      </c>
      <c r="N82">
        <v>25.7</v>
      </c>
      <c r="O82" s="10">
        <v>9830.4627385235508</v>
      </c>
      <c r="P82" s="10">
        <v>-5.0999999999999996</v>
      </c>
      <c r="Q82">
        <f t="shared" si="3"/>
        <v>3.2464909919011742</v>
      </c>
      <c r="R82">
        <f t="shared" si="4"/>
        <v>9.1932412861455237</v>
      </c>
      <c r="S82" s="10">
        <f t="shared" si="5"/>
        <v>-5.0999999999999996</v>
      </c>
    </row>
    <row r="83" spans="1:19" x14ac:dyDescent="0.35">
      <c r="A83" t="s">
        <v>230</v>
      </c>
      <c r="B83">
        <v>48</v>
      </c>
      <c r="C83">
        <v>-2595</v>
      </c>
      <c r="D83">
        <v>-207.4</v>
      </c>
      <c r="F83" s="12" t="s">
        <v>230</v>
      </c>
      <c r="G83" s="10">
        <v>4693.6676085755289</v>
      </c>
      <c r="H83" s="10">
        <v>977.19107223573053</v>
      </c>
      <c r="I83" s="10">
        <v>11091.375593837854</v>
      </c>
      <c r="J83" s="10"/>
      <c r="K83" s="10" t="str">
        <f>regions!A189</f>
        <v>Zambia</v>
      </c>
      <c r="L83" s="10">
        <f>regions!X189</f>
        <v>21.4</v>
      </c>
      <c r="N83">
        <v>29.3</v>
      </c>
      <c r="O83" s="10">
        <v>9662.2845402804032</v>
      </c>
      <c r="P83" s="10">
        <v>6.2</v>
      </c>
      <c r="Q83">
        <f t="shared" si="3"/>
        <v>3.3775875160230218</v>
      </c>
      <c r="R83">
        <f t="shared" si="4"/>
        <v>9.1759853940991079</v>
      </c>
      <c r="S83" s="10">
        <f t="shared" si="5"/>
        <v>6.2</v>
      </c>
    </row>
    <row r="84" spans="1:19" x14ac:dyDescent="0.35">
      <c r="F84" s="12"/>
      <c r="K84" s="10"/>
      <c r="L84" s="10"/>
    </row>
    <row r="85" spans="1:19" x14ac:dyDescent="0.35">
      <c r="G85" s="7">
        <f>SUMPRODUCT(D3:D83,G3:G83)/SUM(G3:G83)</f>
        <v>-5.1135252093739076</v>
      </c>
      <c r="H85" s="7">
        <f>SUMPRODUCT($D3:$D83,H3:H83,I3:I83)/SUMPRODUCT(H3:H83,I3:I83)</f>
        <v>-12.4297787133381</v>
      </c>
      <c r="K85" s="10"/>
      <c r="L85" s="10"/>
    </row>
    <row r="86" spans="1:19" x14ac:dyDescent="0.35">
      <c r="F86" s="12"/>
    </row>
    <row r="87" spans="1:19" x14ac:dyDescent="0.35">
      <c r="F87" s="12"/>
    </row>
  </sheetData>
  <sortState xmlns:xlrd2="http://schemas.microsoft.com/office/spreadsheetml/2017/richdata2" ref="N3:P83">
    <sortCondition ref="N3:N8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38"/>
  <sheetViews>
    <sheetView topLeftCell="I1" workbookViewId="0">
      <selection activeCell="U2" sqref="U2"/>
    </sheetView>
  </sheetViews>
  <sheetFormatPr defaultRowHeight="14.5" x14ac:dyDescent="0.35"/>
  <cols>
    <col min="22" max="22" width="12" bestFit="1" customWidth="1"/>
    <col min="23" max="23" width="10" bestFit="1" customWidth="1"/>
    <col min="26" max="26" width="11" bestFit="1" customWidth="1"/>
  </cols>
  <sheetData>
    <row r="1" spans="1:40" x14ac:dyDescent="0.35">
      <c r="B1" t="s">
        <v>113</v>
      </c>
      <c r="C1" t="s">
        <v>313</v>
      </c>
      <c r="D1" t="s">
        <v>98</v>
      </c>
      <c r="E1" t="s">
        <v>319</v>
      </c>
      <c r="J1" t="s">
        <v>22</v>
      </c>
      <c r="V1" t="s">
        <v>98</v>
      </c>
      <c r="W1" t="s">
        <v>323</v>
      </c>
      <c r="Y1" t="s">
        <v>618</v>
      </c>
      <c r="AF1" t="s">
        <v>22</v>
      </c>
    </row>
    <row r="2" spans="1:40" ht="15" thickBot="1" x14ac:dyDescent="0.4">
      <c r="A2" t="s">
        <v>92</v>
      </c>
      <c r="B2">
        <v>1.4</v>
      </c>
      <c r="C2" s="10">
        <f>C12</f>
        <v>378.62175100000002</v>
      </c>
      <c r="D2" s="10">
        <f>D12</f>
        <v>9889.9597636472754</v>
      </c>
      <c r="E2" s="10">
        <f>D2/C2*1000</f>
        <v>26120.949833247363</v>
      </c>
      <c r="G2">
        <f>LN(B2)</f>
        <v>0.33647223662121289</v>
      </c>
      <c r="H2">
        <f>LN(E2)</f>
        <v>10.170492946942352</v>
      </c>
      <c r="T2" t="s">
        <v>92</v>
      </c>
      <c r="U2">
        <f>B2</f>
        <v>1.4</v>
      </c>
      <c r="V2">
        <f>SUMPRODUCT(regions!$C3:$C190,regions!DR3:DR190)</f>
        <v>13422321693333.385</v>
      </c>
      <c r="W2">
        <f>SUMPRODUCT(regions!$B3:$B190,regions!DR3:DR190)</f>
        <v>399165762</v>
      </c>
      <c r="X2" s="10">
        <f t="shared" ref="X2:X7" si="0">V2/W2</f>
        <v>33625.93431380867</v>
      </c>
      <c r="Y2" s="1">
        <f t="shared" ref="Y2:Y7" si="1">Z2/W2</f>
        <v>10.267820367569501</v>
      </c>
      <c r="Z2">
        <f>SUMPRODUCT(regions!$X3:$X190,regions!DR3:DR190,regions!$B3:$B190)</f>
        <v>4098562341.0999999</v>
      </c>
      <c r="AB2">
        <f>LN(U2)</f>
        <v>0.33647223662121289</v>
      </c>
      <c r="AC2">
        <f>LN(X2)</f>
        <v>10.423052902802381</v>
      </c>
      <c r="AD2" s="1">
        <f>Y2</f>
        <v>10.267820367569501</v>
      </c>
    </row>
    <row r="3" spans="1:40" x14ac:dyDescent="0.35">
      <c r="A3" t="s">
        <v>89</v>
      </c>
      <c r="B3">
        <v>1.3</v>
      </c>
      <c r="C3" s="10">
        <f>C10</f>
        <v>249.62299999999999</v>
      </c>
      <c r="D3" s="10">
        <f>D10</f>
        <v>8228.9184270420574</v>
      </c>
      <c r="E3" s="10">
        <f t="shared" ref="E3:E7" si="2">D3/C3*1000</f>
        <v>32965.385509516578</v>
      </c>
      <c r="G3">
        <f t="shared" ref="G3:G7" si="3">LN(B3)</f>
        <v>0.26236426446749106</v>
      </c>
      <c r="H3">
        <f t="shared" ref="H3:H7" si="4">LN(E3)</f>
        <v>10.403213365988851</v>
      </c>
      <c r="J3" s="5" t="s">
        <v>23</v>
      </c>
      <c r="K3" s="5"/>
      <c r="T3" t="s">
        <v>89</v>
      </c>
      <c r="U3">
        <f t="shared" ref="U3:U7" si="5">B3</f>
        <v>1.3</v>
      </c>
      <c r="V3">
        <f>SUMPRODUCT(regions!$C3:$C190,regions!DS3:DS190)</f>
        <v>13595644353592.4</v>
      </c>
      <c r="W3">
        <f>SUMPRODUCT(regions!$B3:$B190,regions!DS3:DS190)</f>
        <v>309326225</v>
      </c>
      <c r="X3" s="10">
        <f t="shared" si="0"/>
        <v>43952.446494287382</v>
      </c>
      <c r="Y3" s="1">
        <f t="shared" si="1"/>
        <v>8.5</v>
      </c>
      <c r="Z3">
        <f>SUMPRODUCT(regions!$X3:$X190,regions!DS3:DS190,regions!$B3:$B190)</f>
        <v>2629272912.5</v>
      </c>
      <c r="AB3">
        <f t="shared" ref="AB3:AB7" si="6">LN(U3)</f>
        <v>0.26236426446749106</v>
      </c>
      <c r="AC3">
        <f t="shared" ref="AC3:AC7" si="7">LN(X3)</f>
        <v>10.690863566963092</v>
      </c>
      <c r="AD3" s="1">
        <f t="shared" ref="AD3:AD7" si="8">Y3</f>
        <v>8.5</v>
      </c>
      <c r="AF3" s="5" t="s">
        <v>23</v>
      </c>
      <c r="AG3" s="5"/>
    </row>
    <row r="4" spans="1:40" x14ac:dyDescent="0.35">
      <c r="A4" t="s">
        <v>321</v>
      </c>
      <c r="B4">
        <v>1.4</v>
      </c>
      <c r="C4" s="10">
        <f>SUM(C10:C15)-C2-C3</f>
        <v>337.45320100000009</v>
      </c>
      <c r="D4" s="10">
        <f>SUM(D10:D15)-D2-D3</f>
        <v>6086.5278717509773</v>
      </c>
      <c r="E4" s="10">
        <f t="shared" si="2"/>
        <v>18036.657686797218</v>
      </c>
      <c r="G4">
        <f t="shared" si="3"/>
        <v>0.33647223662121289</v>
      </c>
      <c r="H4">
        <f t="shared" si="4"/>
        <v>9.8001615041010854</v>
      </c>
      <c r="J4" s="2" t="s">
        <v>24</v>
      </c>
      <c r="K4" s="2">
        <v>0.6165812047835042</v>
      </c>
      <c r="T4" t="s">
        <v>321</v>
      </c>
      <c r="U4">
        <f t="shared" si="5"/>
        <v>1.4</v>
      </c>
      <c r="V4">
        <f>SUMPRODUCT(regions!$C3:$C190,regions!DT3:DT190)</f>
        <v>7584984327892.3086</v>
      </c>
      <c r="W4">
        <f>SUMPRODUCT(regions!$B3:$B190,regions!DT3:DT190)</f>
        <v>202145993</v>
      </c>
      <c r="X4" s="10">
        <f t="shared" si="0"/>
        <v>37522.30858166112</v>
      </c>
      <c r="Y4" s="1">
        <f t="shared" si="1"/>
        <v>9.0237181812453731</v>
      </c>
      <c r="Z4">
        <f>SUMPRODUCT(regions!$X3:$X190,regions!DT3:DT190,regions!$B3:$B190)</f>
        <v>1824108472.3</v>
      </c>
      <c r="AB4">
        <f t="shared" si="6"/>
        <v>0.33647223662121289</v>
      </c>
      <c r="AC4">
        <f t="shared" si="7"/>
        <v>10.532690930589277</v>
      </c>
      <c r="AD4" s="1">
        <f t="shared" si="8"/>
        <v>9.0237181812453731</v>
      </c>
      <c r="AF4" s="2" t="s">
        <v>24</v>
      </c>
      <c r="AG4" s="2">
        <v>0.44757209029986578</v>
      </c>
    </row>
    <row r="5" spans="1:40" x14ac:dyDescent="0.35">
      <c r="A5" t="s">
        <v>122</v>
      </c>
      <c r="B5">
        <v>0.7</v>
      </c>
      <c r="C5" s="10">
        <f>C16</f>
        <v>287.71934399999998</v>
      </c>
      <c r="D5" s="10">
        <f>D16</f>
        <v>1153.3017619693453</v>
      </c>
      <c r="E5" s="10">
        <f t="shared" si="2"/>
        <v>4008.4262181876288</v>
      </c>
      <c r="G5">
        <f t="shared" si="3"/>
        <v>-0.35667494393873245</v>
      </c>
      <c r="H5">
        <f t="shared" si="4"/>
        <v>8.2961539789739867</v>
      </c>
      <c r="J5" s="2" t="s">
        <v>25</v>
      </c>
      <c r="K5" s="2">
        <v>0.38017238209227761</v>
      </c>
      <c r="T5" t="s">
        <v>122</v>
      </c>
      <c r="U5">
        <f t="shared" si="5"/>
        <v>0.7</v>
      </c>
      <c r="V5">
        <f>SUMPRODUCT(regions!$C3:$C190,regions!DU3:DU190)</f>
        <v>1263738819385.8857</v>
      </c>
      <c r="W5">
        <f>SUMPRODUCT(regions!$B3:$B190,regions!DU3:DU190)</f>
        <v>287651287</v>
      </c>
      <c r="X5" s="10">
        <f t="shared" si="0"/>
        <v>4393.3014608270669</v>
      </c>
      <c r="Y5" s="1">
        <f t="shared" si="1"/>
        <v>1.7083495558982151</v>
      </c>
      <c r="Z5">
        <f>SUMPRODUCT(regions!$X3:$X190,regions!DU3:DU190,regions!$B3:$B190)</f>
        <v>491408948.40000004</v>
      </c>
      <c r="AB5">
        <f t="shared" si="6"/>
        <v>-0.35667494393873245</v>
      </c>
      <c r="AC5">
        <f t="shared" si="7"/>
        <v>8.3878362646186133</v>
      </c>
      <c r="AD5" s="1">
        <f t="shared" si="8"/>
        <v>1.7083495558982151</v>
      </c>
      <c r="AF5" s="2" t="s">
        <v>25</v>
      </c>
      <c r="AG5" s="2">
        <v>0.20032077601539119</v>
      </c>
    </row>
    <row r="6" spans="1:40" x14ac:dyDescent="0.35">
      <c r="A6" t="s">
        <v>91</v>
      </c>
      <c r="B6">
        <v>4.7</v>
      </c>
      <c r="C6" s="10">
        <f>C22</f>
        <v>1163.627755</v>
      </c>
      <c r="D6" s="10">
        <f>D22</f>
        <v>632.9501938226208</v>
      </c>
      <c r="E6" s="10">
        <f t="shared" si="2"/>
        <v>543.94559695133853</v>
      </c>
      <c r="G6">
        <f t="shared" si="3"/>
        <v>1.547562508716013</v>
      </c>
      <c r="H6">
        <f t="shared" si="4"/>
        <v>6.2988492362508914</v>
      </c>
      <c r="J6" s="2" t="s">
        <v>26</v>
      </c>
      <c r="K6" s="2">
        <v>0.22521547761534699</v>
      </c>
      <c r="T6" t="s">
        <v>91</v>
      </c>
      <c r="U6">
        <f t="shared" si="5"/>
        <v>4.7</v>
      </c>
      <c r="V6">
        <f>SUMPRODUCT(regions!$C3:$C190,regions!DV3:DV190)</f>
        <v>3839284159376.0742</v>
      </c>
      <c r="W6">
        <f>SUMPRODUCT(regions!$B3:$B190,regions!DV3:DV190)</f>
        <v>1337705000</v>
      </c>
      <c r="X6" s="10">
        <f t="shared" si="0"/>
        <v>2870.0529334764196</v>
      </c>
      <c r="Y6" s="1">
        <f t="shared" si="1"/>
        <v>6.9</v>
      </c>
      <c r="Z6">
        <f>SUMPRODUCT(regions!$X3:$X190,regions!DV3:DV190,regions!$B3:$B190)</f>
        <v>9230164500</v>
      </c>
      <c r="AB6">
        <f t="shared" si="6"/>
        <v>1.547562508716013</v>
      </c>
      <c r="AC6">
        <f t="shared" si="7"/>
        <v>7.9620857523035902</v>
      </c>
      <c r="AD6" s="1">
        <f t="shared" si="8"/>
        <v>6.9</v>
      </c>
      <c r="AF6" s="2" t="s">
        <v>26</v>
      </c>
      <c r="AG6" s="2">
        <v>-0.33279870664101469</v>
      </c>
    </row>
    <row r="7" spans="1:40" x14ac:dyDescent="0.35">
      <c r="A7" t="s">
        <v>322</v>
      </c>
      <c r="B7">
        <v>2</v>
      </c>
      <c r="C7" s="10">
        <f>C27-SUM(C2:C6)</f>
        <v>2835.7071809999998</v>
      </c>
      <c r="D7" s="10">
        <f>D27-SUM(D2:D6)</f>
        <v>4056.0047072243251</v>
      </c>
      <c r="E7" s="10">
        <f t="shared" si="2"/>
        <v>1430.3326995116586</v>
      </c>
      <c r="G7">
        <f t="shared" si="3"/>
        <v>0.69314718055994529</v>
      </c>
      <c r="H7">
        <f t="shared" si="4"/>
        <v>7.2656623531946698</v>
      </c>
      <c r="J7" s="2" t="s">
        <v>27</v>
      </c>
      <c r="K7" s="2">
        <v>0.55294240584036669</v>
      </c>
      <c r="T7" t="s">
        <v>322</v>
      </c>
      <c r="U7">
        <f t="shared" si="5"/>
        <v>2</v>
      </c>
      <c r="V7">
        <f>SUMPRODUCT(regions!$C3:$C190,regions!DW3:DW190)</f>
        <v>11707269244647.877</v>
      </c>
      <c r="W7">
        <f>SUMPRODUCT(regions!$B3:$B190,regions!DW3:DW190)</f>
        <v>4204017803</v>
      </c>
      <c r="X7" s="10">
        <f t="shared" si="0"/>
        <v>2784.7810816342248</v>
      </c>
      <c r="Y7" s="1">
        <f t="shared" si="1"/>
        <v>22.571123808368899</v>
      </c>
      <c r="Z7">
        <f>SUMPRODUCT(regions!$X3:$X190,regions!DW3:DW190,regions!$B3:$B190)</f>
        <v>94889406324.100006</v>
      </c>
      <c r="AB7">
        <f t="shared" si="6"/>
        <v>0.69314718055994529</v>
      </c>
      <c r="AC7">
        <f t="shared" si="7"/>
        <v>7.9319245430362857</v>
      </c>
      <c r="AD7" s="1">
        <f t="shared" si="8"/>
        <v>22.571123808368899</v>
      </c>
      <c r="AF7" s="2" t="s">
        <v>27</v>
      </c>
      <c r="AG7" s="2">
        <v>0.72522323695408353</v>
      </c>
    </row>
    <row r="8" spans="1:40" ht="15" thickBot="1" x14ac:dyDescent="0.4">
      <c r="J8" s="3" t="s">
        <v>28</v>
      </c>
      <c r="K8" s="3">
        <v>6</v>
      </c>
      <c r="AF8" s="3" t="s">
        <v>28</v>
      </c>
      <c r="AG8" s="3">
        <v>6</v>
      </c>
    </row>
    <row r="9" spans="1:40" x14ac:dyDescent="0.35">
      <c r="C9">
        <v>1990</v>
      </c>
      <c r="D9">
        <v>1990</v>
      </c>
    </row>
    <row r="10" spans="1:40" ht="15" thickBot="1" x14ac:dyDescent="0.4">
      <c r="A10" t="s">
        <v>89</v>
      </c>
      <c r="C10">
        <v>249.62299999999999</v>
      </c>
      <c r="D10" s="10">
        <v>8228.9184270420574</v>
      </c>
      <c r="J10" t="s">
        <v>29</v>
      </c>
      <c r="AF10" t="s">
        <v>29</v>
      </c>
    </row>
    <row r="11" spans="1:40" x14ac:dyDescent="0.35">
      <c r="A11" t="s">
        <v>117</v>
      </c>
      <c r="C11">
        <v>27.791</v>
      </c>
      <c r="D11" s="10">
        <v>749.88561828296326</v>
      </c>
      <c r="J11" s="4"/>
      <c r="K11" s="4" t="s">
        <v>34</v>
      </c>
      <c r="L11" s="4" t="s">
        <v>35</v>
      </c>
      <c r="M11" s="4" t="s">
        <v>36</v>
      </c>
      <c r="N11" s="4" t="s">
        <v>37</v>
      </c>
      <c r="O11" s="4" t="s">
        <v>38</v>
      </c>
      <c r="AF11" s="4"/>
      <c r="AG11" s="4" t="s">
        <v>34</v>
      </c>
      <c r="AH11" s="4" t="s">
        <v>35</v>
      </c>
      <c r="AI11" s="4" t="s">
        <v>36</v>
      </c>
      <c r="AJ11" s="4" t="s">
        <v>37</v>
      </c>
      <c r="AK11" s="4" t="s">
        <v>38</v>
      </c>
    </row>
    <row r="12" spans="1:40" x14ac:dyDescent="0.35">
      <c r="A12" t="s">
        <v>118</v>
      </c>
      <c r="C12">
        <v>378.62175100000002</v>
      </c>
      <c r="D12" s="10">
        <v>9889.9597636472754</v>
      </c>
      <c r="J12" s="2" t="s">
        <v>30</v>
      </c>
      <c r="K12" s="2">
        <v>1</v>
      </c>
      <c r="L12" s="2">
        <v>0.75011772463243309</v>
      </c>
      <c r="M12" s="2">
        <v>0.75011772463243309</v>
      </c>
      <c r="N12" s="2">
        <v>2.45340718037431</v>
      </c>
      <c r="O12" s="2">
        <v>0.19233176551267911</v>
      </c>
      <c r="AF12" s="2" t="s">
        <v>30</v>
      </c>
      <c r="AG12" s="2">
        <v>2</v>
      </c>
      <c r="AH12" s="2">
        <v>0.39525271108408799</v>
      </c>
      <c r="AI12" s="2">
        <v>0.197626355542044</v>
      </c>
      <c r="AJ12" s="2">
        <v>0.3757521203637898</v>
      </c>
      <c r="AK12" s="2">
        <v>0.71511142975822095</v>
      </c>
    </row>
    <row r="13" spans="1:40" x14ac:dyDescent="0.35">
      <c r="A13" t="s">
        <v>119</v>
      </c>
      <c r="C13">
        <v>166.40600000000001</v>
      </c>
      <c r="D13" s="10">
        <v>4227.165129541745</v>
      </c>
      <c r="J13" s="2" t="s">
        <v>31</v>
      </c>
      <c r="K13" s="2">
        <v>4</v>
      </c>
      <c r="L13" s="2">
        <v>1.2229812167061311</v>
      </c>
      <c r="M13" s="2">
        <v>0.30574530417653278</v>
      </c>
      <c r="N13" s="2"/>
      <c r="O13" s="2"/>
      <c r="AF13" s="2" t="s">
        <v>31</v>
      </c>
      <c r="AG13" s="2">
        <v>3</v>
      </c>
      <c r="AH13" s="2">
        <v>1.5778462302544762</v>
      </c>
      <c r="AI13" s="2">
        <v>0.52594874341815878</v>
      </c>
      <c r="AJ13" s="2"/>
      <c r="AK13" s="2"/>
    </row>
    <row r="14" spans="1:40" ht="15" thickBot="1" x14ac:dyDescent="0.4">
      <c r="A14" t="s">
        <v>120</v>
      </c>
      <c r="C14">
        <v>20.3949</v>
      </c>
      <c r="D14" s="10">
        <v>496.11520531775324</v>
      </c>
      <c r="J14" s="3" t="s">
        <v>32</v>
      </c>
      <c r="K14" s="3">
        <v>5</v>
      </c>
      <c r="L14" s="3">
        <v>1.9730989413385642</v>
      </c>
      <c r="M14" s="3"/>
      <c r="N14" s="3"/>
      <c r="O14" s="3"/>
      <c r="AF14" s="3" t="s">
        <v>32</v>
      </c>
      <c r="AG14" s="3">
        <v>5</v>
      </c>
      <c r="AH14" s="3">
        <v>1.9730989413385642</v>
      </c>
      <c r="AI14" s="3"/>
      <c r="AJ14" s="3"/>
      <c r="AK14" s="3"/>
    </row>
    <row r="15" spans="1:40" ht="15" thickBot="1" x14ac:dyDescent="0.4">
      <c r="A15" t="s">
        <v>121</v>
      </c>
      <c r="C15">
        <v>122.861301</v>
      </c>
      <c r="D15" s="10">
        <v>613.36191860851113</v>
      </c>
    </row>
    <row r="16" spans="1:40" x14ac:dyDescent="0.35">
      <c r="A16" t="s">
        <v>122</v>
      </c>
      <c r="C16">
        <v>287.71934399999998</v>
      </c>
      <c r="D16" s="10">
        <v>1153.3017619693453</v>
      </c>
      <c r="J16" s="4"/>
      <c r="K16" s="4" t="s">
        <v>39</v>
      </c>
      <c r="L16" s="4" t="s">
        <v>27</v>
      </c>
      <c r="M16" s="4" t="s">
        <v>40</v>
      </c>
      <c r="N16" s="4" t="s">
        <v>41</v>
      </c>
      <c r="O16" s="4" t="s">
        <v>42</v>
      </c>
      <c r="P16" s="4" t="s">
        <v>43</v>
      </c>
      <c r="Q16" s="4" t="s">
        <v>44</v>
      </c>
      <c r="R16" s="4" t="s">
        <v>45</v>
      </c>
      <c r="AF16" s="4"/>
      <c r="AG16" s="4" t="s">
        <v>39</v>
      </c>
      <c r="AH16" s="4" t="s">
        <v>27</v>
      </c>
      <c r="AI16" s="4" t="s">
        <v>40</v>
      </c>
      <c r="AJ16" s="4" t="s">
        <v>41</v>
      </c>
      <c r="AK16" s="4" t="s">
        <v>42</v>
      </c>
      <c r="AL16" s="4" t="s">
        <v>43</v>
      </c>
      <c r="AM16" s="4" t="s">
        <v>44</v>
      </c>
      <c r="AN16" s="4" t="s">
        <v>45</v>
      </c>
    </row>
    <row r="17" spans="1:40" x14ac:dyDescent="0.35">
      <c r="A17" t="s">
        <v>123</v>
      </c>
      <c r="C17">
        <v>187.48196300000001</v>
      </c>
      <c r="D17" s="10">
        <v>786.3614076767243</v>
      </c>
      <c r="J17" s="2" t="s">
        <v>33</v>
      </c>
      <c r="K17" s="2">
        <v>2.466627356167713</v>
      </c>
      <c r="L17" s="2">
        <v>1.2946147239941757</v>
      </c>
      <c r="M17" s="2">
        <v>1.9052983953076144</v>
      </c>
      <c r="N17" s="2">
        <v>0.12944551468359322</v>
      </c>
      <c r="O17" s="2">
        <v>-1.1277993573829082</v>
      </c>
      <c r="P17" s="2">
        <v>6.0610540697183346</v>
      </c>
      <c r="Q17" s="2">
        <v>-1.1277993573829082</v>
      </c>
      <c r="R17" s="2">
        <v>6.0610540697183346</v>
      </c>
      <c r="AF17" s="2" t="s">
        <v>33</v>
      </c>
      <c r="AG17" s="2">
        <v>1.6575019222323899</v>
      </c>
      <c r="AH17" s="2">
        <v>2.407300885624525</v>
      </c>
      <c r="AI17" s="2">
        <v>0.68853126425963362</v>
      </c>
      <c r="AJ17" s="2">
        <v>0.54058518277355505</v>
      </c>
      <c r="AK17" s="2">
        <v>-6.0036038869295805</v>
      </c>
      <c r="AL17" s="2">
        <v>9.3186077313943603</v>
      </c>
      <c r="AM17" s="2">
        <v>-6.0036038869295805</v>
      </c>
      <c r="AN17" s="2">
        <v>9.3186077313943603</v>
      </c>
    </row>
    <row r="18" spans="1:40" ht="15" thickBot="1" x14ac:dyDescent="0.4">
      <c r="A18" t="s">
        <v>124</v>
      </c>
      <c r="C18">
        <v>118.64292</v>
      </c>
      <c r="D18" s="10">
        <v>668.55336952256607</v>
      </c>
      <c r="J18" s="3" t="s">
        <v>46</v>
      </c>
      <c r="K18" s="3">
        <v>-0.22935824018092751</v>
      </c>
      <c r="L18" s="3">
        <v>0.14642982107482658</v>
      </c>
      <c r="M18" s="3">
        <v>-1.5663355899596707</v>
      </c>
      <c r="N18" s="3">
        <v>0.19233176551267916</v>
      </c>
      <c r="O18" s="3">
        <v>-0.63591260015911844</v>
      </c>
      <c r="P18" s="3">
        <v>0.17719611979726343</v>
      </c>
      <c r="Q18" s="3">
        <v>-0.63591260015911844</v>
      </c>
      <c r="R18" s="3">
        <v>0.17719611979726343</v>
      </c>
      <c r="AF18" s="2" t="s">
        <v>46</v>
      </c>
      <c r="AG18" s="2">
        <v>-0.1514467702793271</v>
      </c>
      <c r="AH18" s="2">
        <v>0.24225781889646228</v>
      </c>
      <c r="AI18" s="2">
        <v>-0.62514708903597205</v>
      </c>
      <c r="AJ18" s="2">
        <v>0.57619746265754468</v>
      </c>
      <c r="AK18" s="2">
        <v>-0.92241927095246334</v>
      </c>
      <c r="AL18" s="2">
        <v>0.6195257303938092</v>
      </c>
      <c r="AM18" s="2">
        <v>-0.92241927095246334</v>
      </c>
      <c r="AN18" s="2">
        <v>0.6195257303938092</v>
      </c>
    </row>
    <row r="19" spans="1:40" ht="15" thickBot="1" x14ac:dyDescent="0.4">
      <c r="A19" t="s">
        <v>125</v>
      </c>
      <c r="C19">
        <v>295.71604100000002</v>
      </c>
      <c r="D19" s="10">
        <v>1054.6511436298779</v>
      </c>
      <c r="AF19" s="3" t="s">
        <v>47</v>
      </c>
      <c r="AG19" s="3">
        <v>2.2773367192211125E-2</v>
      </c>
      <c r="AH19" s="3">
        <v>4.7949783519939733E-2</v>
      </c>
      <c r="AI19" s="3">
        <v>0.47494202310091571</v>
      </c>
      <c r="AJ19" s="3">
        <v>0.6672632220097352</v>
      </c>
      <c r="AK19" s="3">
        <v>-0.12982424420997477</v>
      </c>
      <c r="AL19" s="3">
        <v>0.17537097859439701</v>
      </c>
      <c r="AM19" s="3">
        <v>-0.12982424420997477</v>
      </c>
      <c r="AN19" s="3">
        <v>0.17537097859439701</v>
      </c>
    </row>
    <row r="20" spans="1:40" x14ac:dyDescent="0.35">
      <c r="A20" t="s">
        <v>126</v>
      </c>
      <c r="C20">
        <v>1134.7605570000001</v>
      </c>
      <c r="D20" s="10">
        <v>454.16563330480011</v>
      </c>
    </row>
    <row r="21" spans="1:40" x14ac:dyDescent="0.35">
      <c r="A21" t="s">
        <v>127</v>
      </c>
      <c r="C21">
        <v>445.03063200000003</v>
      </c>
      <c r="D21" s="10">
        <v>438.40959091568544</v>
      </c>
      <c r="AF21" t="s">
        <v>22</v>
      </c>
    </row>
    <row r="22" spans="1:40" ht="15" thickBot="1" x14ac:dyDescent="0.4">
      <c r="A22" t="s">
        <v>128</v>
      </c>
      <c r="C22">
        <v>1163.627755</v>
      </c>
      <c r="D22" s="10">
        <v>632.9501938226208</v>
      </c>
    </row>
    <row r="23" spans="1:40" x14ac:dyDescent="0.35">
      <c r="A23" t="s">
        <v>129</v>
      </c>
      <c r="C23">
        <v>119.66550700000001</v>
      </c>
      <c r="D23" s="10">
        <v>169.58741093153526</v>
      </c>
      <c r="AF23" s="5" t="s">
        <v>23</v>
      </c>
      <c r="AG23" s="5"/>
    </row>
    <row r="24" spans="1:40" x14ac:dyDescent="0.35">
      <c r="A24" t="s">
        <v>130</v>
      </c>
      <c r="C24">
        <v>500.40195899999998</v>
      </c>
      <c r="D24" s="10">
        <v>399.50179324370919</v>
      </c>
      <c r="AF24" s="2" t="s">
        <v>24</v>
      </c>
      <c r="AG24" s="2">
        <v>0.37442344354231383</v>
      </c>
    </row>
    <row r="25" spans="1:40" x14ac:dyDescent="0.35">
      <c r="A25" t="s">
        <v>131</v>
      </c>
      <c r="C25">
        <v>34.007601999999999</v>
      </c>
      <c r="D25" s="10">
        <v>84.774357999431743</v>
      </c>
      <c r="AF25" s="2" t="s">
        <v>25</v>
      </c>
      <c r="AG25" s="2">
        <v>0.14019291507408427</v>
      </c>
    </row>
    <row r="26" spans="1:40" x14ac:dyDescent="0.35">
      <c r="AF26" s="2" t="s">
        <v>26</v>
      </c>
      <c r="AG26" s="2">
        <v>-7.4758856157394665E-2</v>
      </c>
    </row>
    <row r="27" spans="1:40" x14ac:dyDescent="0.35">
      <c r="A27" t="s">
        <v>32</v>
      </c>
      <c r="C27" s="10">
        <f>SUM(C10:C25)</f>
        <v>5252.7522319999998</v>
      </c>
      <c r="D27" s="10">
        <f>SUM(D10:D25)</f>
        <v>30047.662725456605</v>
      </c>
      <c r="AF27" s="2" t="s">
        <v>27</v>
      </c>
      <c r="AG27" s="2">
        <v>0.65124581553794292</v>
      </c>
    </row>
    <row r="28" spans="1:40" ht="15" thickBot="1" x14ac:dyDescent="0.4">
      <c r="AF28" s="3" t="s">
        <v>28</v>
      </c>
      <c r="AG28" s="3">
        <v>6</v>
      </c>
    </row>
    <row r="30" spans="1:40" ht="15" thickBot="1" x14ac:dyDescent="0.4">
      <c r="AF30" t="s">
        <v>29</v>
      </c>
    </row>
    <row r="31" spans="1:40" x14ac:dyDescent="0.35">
      <c r="AF31" s="4"/>
      <c r="AG31" s="4" t="s">
        <v>34</v>
      </c>
      <c r="AH31" s="4" t="s">
        <v>35</v>
      </c>
      <c r="AI31" s="4" t="s">
        <v>36</v>
      </c>
      <c r="AJ31" s="4" t="s">
        <v>37</v>
      </c>
      <c r="AK31" s="4" t="s">
        <v>38</v>
      </c>
    </row>
    <row r="32" spans="1:40" x14ac:dyDescent="0.35">
      <c r="AF32" s="2" t="s">
        <v>30</v>
      </c>
      <c r="AG32" s="2">
        <v>1</v>
      </c>
      <c r="AH32" s="2">
        <v>0.2766144923158429</v>
      </c>
      <c r="AI32" s="2">
        <v>0.2766144923158429</v>
      </c>
      <c r="AJ32" s="2">
        <v>0.65220637295010808</v>
      </c>
      <c r="AK32" s="2">
        <v>0.46461059169766628</v>
      </c>
    </row>
    <row r="33" spans="32:40" x14ac:dyDescent="0.35">
      <c r="AF33" s="2" t="s">
        <v>31</v>
      </c>
      <c r="AG33" s="2">
        <v>4</v>
      </c>
      <c r="AH33" s="2">
        <v>1.6964844490227213</v>
      </c>
      <c r="AI33" s="2">
        <v>0.42412111225568033</v>
      </c>
      <c r="AJ33" s="2"/>
      <c r="AK33" s="2"/>
    </row>
    <row r="34" spans="32:40" ht="15" thickBot="1" x14ac:dyDescent="0.4">
      <c r="AF34" s="3" t="s">
        <v>32</v>
      </c>
      <c r="AG34" s="3">
        <v>5</v>
      </c>
      <c r="AH34" s="3">
        <v>1.9730989413385642</v>
      </c>
      <c r="AI34" s="3"/>
      <c r="AJ34" s="3"/>
      <c r="AK34" s="3"/>
    </row>
    <row r="35" spans="32:40" ht="15" thickBot="1" x14ac:dyDescent="0.4"/>
    <row r="36" spans="32:40" x14ac:dyDescent="0.35">
      <c r="AF36" s="4"/>
      <c r="AG36" s="4" t="s">
        <v>39</v>
      </c>
      <c r="AH36" s="4" t="s">
        <v>27</v>
      </c>
      <c r="AI36" s="4" t="s">
        <v>40</v>
      </c>
      <c r="AJ36" s="4" t="s">
        <v>41</v>
      </c>
      <c r="AK36" s="4" t="s">
        <v>42</v>
      </c>
      <c r="AL36" s="4" t="s">
        <v>43</v>
      </c>
      <c r="AM36" s="4" t="s">
        <v>44</v>
      </c>
      <c r="AN36" s="4" t="s">
        <v>45</v>
      </c>
    </row>
    <row r="37" spans="32:40" x14ac:dyDescent="0.35">
      <c r="AF37" s="2" t="s">
        <v>33</v>
      </c>
      <c r="AG37" s="2">
        <v>2.0786671885148502</v>
      </c>
      <c r="AH37" s="2">
        <v>2.0097275127947345</v>
      </c>
      <c r="AI37" s="2">
        <v>1.0343029964416659</v>
      </c>
      <c r="AJ37" s="2">
        <v>0.35942522703051422</v>
      </c>
      <c r="AK37" s="2">
        <v>-3.5012309271654258</v>
      </c>
      <c r="AL37" s="2">
        <v>7.6585653041951263</v>
      </c>
      <c r="AM37" s="2">
        <v>-3.5012309271654258</v>
      </c>
      <c r="AN37" s="2">
        <v>7.6585653041951263</v>
      </c>
    </row>
    <row r="38" spans="32:40" ht="15" thickBot="1" x14ac:dyDescent="0.4">
      <c r="AF38" s="3" t="s">
        <v>46</v>
      </c>
      <c r="AG38" s="3">
        <v>-0.17267303534989328</v>
      </c>
      <c r="AH38" s="3">
        <v>0.21381196473037198</v>
      </c>
      <c r="AI38" s="3">
        <v>-0.80759295003739839</v>
      </c>
      <c r="AJ38" s="3">
        <v>0.46461059169766644</v>
      </c>
      <c r="AK38" s="3">
        <v>-0.76631021825825785</v>
      </c>
      <c r="AL38" s="3">
        <v>0.42096414755847122</v>
      </c>
      <c r="AM38" s="3">
        <v>-0.76631021825825785</v>
      </c>
      <c r="AN38" s="3">
        <v>0.42096414755847122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38"/>
  <sheetViews>
    <sheetView workbookViewId="0">
      <selection activeCell="AF43" sqref="AF43"/>
    </sheetView>
  </sheetViews>
  <sheetFormatPr defaultRowHeight="14.5" x14ac:dyDescent="0.35"/>
  <cols>
    <col min="22" max="22" width="12" bestFit="1" customWidth="1"/>
  </cols>
  <sheetData>
    <row r="1" spans="1:40" x14ac:dyDescent="0.35">
      <c r="B1" t="s">
        <v>113</v>
      </c>
      <c r="D1" t="s">
        <v>313</v>
      </c>
      <c r="E1" t="s">
        <v>98</v>
      </c>
      <c r="F1" t="s">
        <v>319</v>
      </c>
      <c r="K1" t="s">
        <v>22</v>
      </c>
      <c r="V1" t="s">
        <v>98</v>
      </c>
      <c r="W1" t="s">
        <v>323</v>
      </c>
      <c r="Y1" t="s">
        <v>618</v>
      </c>
      <c r="AF1" t="s">
        <v>22</v>
      </c>
    </row>
    <row r="2" spans="1:40" ht="15" thickBot="1" x14ac:dyDescent="0.4">
      <c r="A2" t="s">
        <v>92</v>
      </c>
      <c r="B2">
        <v>1.6</v>
      </c>
      <c r="C2">
        <v>72.400000000000006</v>
      </c>
      <c r="D2" s="10">
        <f>D14</f>
        <v>378.62175100000002</v>
      </c>
      <c r="E2" s="10">
        <f>E14</f>
        <v>9889.9597636472754</v>
      </c>
      <c r="F2" s="10">
        <f>E2/D2*1000</f>
        <v>26120.949833247363</v>
      </c>
      <c r="H2">
        <f>LN(B2)</f>
        <v>0.47000362924573563</v>
      </c>
      <c r="I2">
        <f>LN(F2)</f>
        <v>10.170492946942352</v>
      </c>
      <c r="T2" t="s">
        <v>92</v>
      </c>
      <c r="U2">
        <f>B2</f>
        <v>1.6</v>
      </c>
      <c r="V2">
        <f>Fankhauser!V2</f>
        <v>13422321693333.385</v>
      </c>
      <c r="W2">
        <f>Fankhauser!W2</f>
        <v>399165762</v>
      </c>
      <c r="X2">
        <f>Fankhauser!X2</f>
        <v>33625.93431380867</v>
      </c>
      <c r="Y2">
        <f>Fankhauser!Y2</f>
        <v>10.267820367569501</v>
      </c>
      <c r="Z2">
        <f>Fankhauser!Z2</f>
        <v>4098562341.0999999</v>
      </c>
      <c r="AB2">
        <f>LN(U2)</f>
        <v>0.47000362924573563</v>
      </c>
      <c r="AC2">
        <f>LN(X2)</f>
        <v>10.423052902802381</v>
      </c>
      <c r="AD2" s="1">
        <f>Y2</f>
        <v>10.267820367569501</v>
      </c>
    </row>
    <row r="3" spans="1:40" x14ac:dyDescent="0.35">
      <c r="A3" t="s">
        <v>89</v>
      </c>
      <c r="B3">
        <v>1.4</v>
      </c>
      <c r="C3">
        <v>68</v>
      </c>
      <c r="D3" s="10">
        <f>D12</f>
        <v>249.62299999999999</v>
      </c>
      <c r="E3" s="10">
        <f>E12</f>
        <v>8228.9184270420574</v>
      </c>
      <c r="F3" s="10">
        <f t="shared" ref="F3:F7" si="0">E3/D3*1000</f>
        <v>32965.385509516578</v>
      </c>
      <c r="H3">
        <f t="shared" ref="H3:H7" si="1">LN(B3)</f>
        <v>0.33647223662121289</v>
      </c>
      <c r="I3">
        <f t="shared" ref="I3:I7" si="2">LN(F3)</f>
        <v>10.403213365988851</v>
      </c>
      <c r="K3" s="5" t="s">
        <v>23</v>
      </c>
      <c r="L3" s="5"/>
      <c r="T3" t="s">
        <v>89</v>
      </c>
      <c r="U3">
        <f t="shared" ref="U3:U7" si="3">B3</f>
        <v>1.4</v>
      </c>
      <c r="V3">
        <f>Fankhauser!V3</f>
        <v>13595644353592.4</v>
      </c>
      <c r="W3">
        <f>Fankhauser!W3</f>
        <v>309326225</v>
      </c>
      <c r="X3">
        <f>Fankhauser!X3</f>
        <v>43952.446494287382</v>
      </c>
      <c r="Y3">
        <f>Fankhauser!Y3</f>
        <v>8.5</v>
      </c>
      <c r="Z3">
        <f>Fankhauser!Z3</f>
        <v>2629272912.5</v>
      </c>
      <c r="AB3">
        <f t="shared" ref="AB3:AB7" si="4">LN(U3)</f>
        <v>0.33647223662121289</v>
      </c>
      <c r="AC3">
        <f t="shared" ref="AC3:AC7" si="5">LN(X3)</f>
        <v>10.690863566963092</v>
      </c>
      <c r="AD3" s="1">
        <f t="shared" ref="AD3:AD7" si="6">Y3</f>
        <v>8.5</v>
      </c>
      <c r="AF3" s="5" t="s">
        <v>23</v>
      </c>
      <c r="AG3" s="5"/>
    </row>
    <row r="4" spans="1:40" x14ac:dyDescent="0.35">
      <c r="A4" t="s">
        <v>321</v>
      </c>
      <c r="B4" s="1">
        <f>C4/E4*100</f>
        <v>1.056431537895876</v>
      </c>
      <c r="C4">
        <f>C10-C2-C3</f>
        <v>64.299999999999983</v>
      </c>
      <c r="D4" s="10">
        <f>SUM(D12:D17)-D2-D3</f>
        <v>337.45320100000009</v>
      </c>
      <c r="E4" s="10">
        <f>SUM(E12:E17)-E2-E3</f>
        <v>6086.5278717509773</v>
      </c>
      <c r="F4" s="10">
        <f t="shared" si="0"/>
        <v>18036.657686797218</v>
      </c>
      <c r="H4">
        <f t="shared" si="1"/>
        <v>5.4896755118535305E-2</v>
      </c>
      <c r="I4">
        <f t="shared" si="2"/>
        <v>9.8001615041010854</v>
      </c>
      <c r="K4" s="2" t="s">
        <v>24</v>
      </c>
      <c r="L4" s="2">
        <v>0.59436176704444887</v>
      </c>
      <c r="T4" t="s">
        <v>321</v>
      </c>
      <c r="U4">
        <f t="shared" si="3"/>
        <v>1.056431537895876</v>
      </c>
      <c r="V4">
        <f>Fankhauser!V4</f>
        <v>7584984327892.3086</v>
      </c>
      <c r="W4">
        <f>Fankhauser!W4</f>
        <v>202145993</v>
      </c>
      <c r="X4">
        <f>Fankhauser!X4</f>
        <v>37522.30858166112</v>
      </c>
      <c r="Y4">
        <f>Fankhauser!Y4</f>
        <v>9.0237181812453731</v>
      </c>
      <c r="Z4">
        <f>Fankhauser!Z4</f>
        <v>1824108472.3</v>
      </c>
      <c r="AB4">
        <f t="shared" si="4"/>
        <v>5.4896755118535305E-2</v>
      </c>
      <c r="AC4">
        <f t="shared" si="5"/>
        <v>10.532690930589277</v>
      </c>
      <c r="AD4" s="1">
        <f t="shared" si="6"/>
        <v>9.0237181812453731</v>
      </c>
      <c r="AF4" s="2" t="s">
        <v>24</v>
      </c>
      <c r="AG4" s="2">
        <v>0.36924064260899259</v>
      </c>
    </row>
    <row r="5" spans="1:40" x14ac:dyDescent="0.35">
      <c r="A5" t="s">
        <v>122</v>
      </c>
      <c r="B5">
        <v>0.8</v>
      </c>
      <c r="C5">
        <v>20</v>
      </c>
      <c r="D5" s="10">
        <f>D18</f>
        <v>287.71934399999998</v>
      </c>
      <c r="E5" s="10">
        <f>E18</f>
        <v>1153.3017619693453</v>
      </c>
      <c r="F5" s="10">
        <f t="shared" si="0"/>
        <v>4008.4262181876288</v>
      </c>
      <c r="H5">
        <f t="shared" si="1"/>
        <v>-0.22314355131420971</v>
      </c>
      <c r="I5">
        <f t="shared" si="2"/>
        <v>8.2961539789739867</v>
      </c>
      <c r="K5" s="2" t="s">
        <v>25</v>
      </c>
      <c r="L5" s="2">
        <v>0.35326591012419972</v>
      </c>
      <c r="T5" t="s">
        <v>122</v>
      </c>
      <c r="U5">
        <f t="shared" si="3"/>
        <v>0.8</v>
      </c>
      <c r="V5">
        <f>Fankhauser!V5</f>
        <v>1263738819385.8857</v>
      </c>
      <c r="W5">
        <f>Fankhauser!W5</f>
        <v>287651287</v>
      </c>
      <c r="X5">
        <f>Fankhauser!X5</f>
        <v>4393.3014608270669</v>
      </c>
      <c r="Y5">
        <f>Fankhauser!Y5</f>
        <v>1.7083495558982151</v>
      </c>
      <c r="Z5">
        <f>Fankhauser!Z5</f>
        <v>491408948.40000004</v>
      </c>
      <c r="AB5">
        <f t="shared" si="4"/>
        <v>-0.22314355131420971</v>
      </c>
      <c r="AC5">
        <f t="shared" si="5"/>
        <v>8.3878362646186133</v>
      </c>
      <c r="AD5" s="1">
        <f t="shared" si="6"/>
        <v>1.7083495558982151</v>
      </c>
      <c r="AF5" s="2" t="s">
        <v>25</v>
      </c>
      <c r="AG5" s="2">
        <v>0.1363386521543018</v>
      </c>
    </row>
    <row r="6" spans="1:40" x14ac:dyDescent="0.35">
      <c r="A6" t="s">
        <v>91</v>
      </c>
      <c r="B6">
        <v>6.1</v>
      </c>
      <c r="C6">
        <v>18.7</v>
      </c>
      <c r="D6" s="10">
        <f>D24</f>
        <v>1163.627755</v>
      </c>
      <c r="E6" s="10">
        <f>E24</f>
        <v>632.9501938226208</v>
      </c>
      <c r="F6" s="10">
        <f t="shared" si="0"/>
        <v>543.94559695133853</v>
      </c>
      <c r="H6">
        <f t="shared" si="1"/>
        <v>1.8082887711792655</v>
      </c>
      <c r="I6">
        <f t="shared" si="2"/>
        <v>6.2988492362508914</v>
      </c>
      <c r="K6" s="2" t="s">
        <v>26</v>
      </c>
      <c r="L6" s="2">
        <v>0.19158238765524965</v>
      </c>
      <c r="T6" t="s">
        <v>91</v>
      </c>
      <c r="U6">
        <f t="shared" si="3"/>
        <v>6.1</v>
      </c>
      <c r="V6">
        <f>Fankhauser!V6</f>
        <v>3839284159376.0742</v>
      </c>
      <c r="W6">
        <f>Fankhauser!W6</f>
        <v>1337705000</v>
      </c>
      <c r="X6">
        <f>Fankhauser!X6</f>
        <v>2870.0529334764196</v>
      </c>
      <c r="Y6">
        <f>Fankhauser!Y6</f>
        <v>6.9</v>
      </c>
      <c r="Z6">
        <f>Fankhauser!Z6</f>
        <v>9230164500</v>
      </c>
      <c r="AB6">
        <f t="shared" si="4"/>
        <v>1.8082887711792655</v>
      </c>
      <c r="AC6">
        <f t="shared" si="5"/>
        <v>7.9620857523035902</v>
      </c>
      <c r="AD6" s="1">
        <f t="shared" si="6"/>
        <v>6.9</v>
      </c>
      <c r="AF6" s="2" t="s">
        <v>26</v>
      </c>
      <c r="AG6" s="2">
        <v>-0.43943557974283037</v>
      </c>
    </row>
    <row r="7" spans="1:40" x14ac:dyDescent="0.35">
      <c r="A7" t="s">
        <v>322</v>
      </c>
      <c r="B7" s="1">
        <f>C7/E7*100</f>
        <v>1.4990120670152702</v>
      </c>
      <c r="C7">
        <f>C9-SUM(C2:C6)</f>
        <v>60.800000000000011</v>
      </c>
      <c r="D7" s="10">
        <f>D29-SUM(D2:D6)</f>
        <v>2835.7071809999998</v>
      </c>
      <c r="E7" s="10">
        <f>E29-SUM(E2:E6)</f>
        <v>4056.0047072243251</v>
      </c>
      <c r="F7" s="10">
        <f t="shared" si="0"/>
        <v>1430.3326995116586</v>
      </c>
      <c r="H7">
        <f t="shared" si="1"/>
        <v>0.40480626913160173</v>
      </c>
      <c r="I7">
        <f t="shared" si="2"/>
        <v>7.2656623531946698</v>
      </c>
      <c r="K7" s="2" t="s">
        <v>27</v>
      </c>
      <c r="L7" s="2">
        <v>0.63139666422883378</v>
      </c>
      <c r="T7" t="s">
        <v>322</v>
      </c>
      <c r="U7">
        <f t="shared" si="3"/>
        <v>1.4990120670152702</v>
      </c>
      <c r="V7">
        <f>Fankhauser!V7</f>
        <v>11707269244647.877</v>
      </c>
      <c r="W7">
        <f>Fankhauser!W7</f>
        <v>4204017803</v>
      </c>
      <c r="X7">
        <f>Fankhauser!X7</f>
        <v>2784.7810816342248</v>
      </c>
      <c r="Y7">
        <f>Fankhauser!Y7</f>
        <v>22.571123808368899</v>
      </c>
      <c r="Z7">
        <f>Fankhauser!Z7</f>
        <v>94889406324.100006</v>
      </c>
      <c r="AB7">
        <f t="shared" si="4"/>
        <v>0.40480626913160173</v>
      </c>
      <c r="AC7">
        <f t="shared" si="5"/>
        <v>7.9319245430362857</v>
      </c>
      <c r="AD7" s="1">
        <f t="shared" si="6"/>
        <v>22.571123808368899</v>
      </c>
      <c r="AF7" s="2" t="s">
        <v>27</v>
      </c>
      <c r="AG7" s="2">
        <v>0.84252057694765392</v>
      </c>
    </row>
    <row r="8" spans="1:40" ht="15" thickBot="1" x14ac:dyDescent="0.4">
      <c r="K8" s="3" t="s">
        <v>28</v>
      </c>
      <c r="L8" s="3">
        <v>6</v>
      </c>
      <c r="AF8" s="3" t="s">
        <v>28</v>
      </c>
      <c r="AG8" s="3">
        <v>6</v>
      </c>
    </row>
    <row r="9" spans="1:40" x14ac:dyDescent="0.35">
      <c r="A9" t="s">
        <v>326</v>
      </c>
      <c r="B9">
        <v>1.5</v>
      </c>
      <c r="C9">
        <v>304.2</v>
      </c>
    </row>
    <row r="10" spans="1:40" ht="15" thickBot="1" x14ac:dyDescent="0.4">
      <c r="A10" t="s">
        <v>327</v>
      </c>
      <c r="B10">
        <v>1.4</v>
      </c>
      <c r="C10">
        <v>204.7</v>
      </c>
      <c r="K10" t="s">
        <v>29</v>
      </c>
      <c r="AF10" t="s">
        <v>29</v>
      </c>
    </row>
    <row r="11" spans="1:40" x14ac:dyDescent="0.35">
      <c r="D11">
        <v>1990</v>
      </c>
      <c r="E11">
        <v>1990</v>
      </c>
      <c r="K11" s="4"/>
      <c r="L11" s="4" t="s">
        <v>34</v>
      </c>
      <c r="M11" s="4" t="s">
        <v>35</v>
      </c>
      <c r="N11" s="4" t="s">
        <v>36</v>
      </c>
      <c r="O11" s="4" t="s">
        <v>37</v>
      </c>
      <c r="P11" s="4" t="s">
        <v>38</v>
      </c>
      <c r="AF11" s="4"/>
      <c r="AG11" s="4" t="s">
        <v>34</v>
      </c>
      <c r="AH11" s="4" t="s">
        <v>35</v>
      </c>
      <c r="AI11" s="4" t="s">
        <v>36</v>
      </c>
      <c r="AJ11" s="4" t="s">
        <v>37</v>
      </c>
      <c r="AK11" s="4" t="s">
        <v>38</v>
      </c>
    </row>
    <row r="12" spans="1:40" x14ac:dyDescent="0.35">
      <c r="A12" t="s">
        <v>89</v>
      </c>
      <c r="D12">
        <v>249.62299999999999</v>
      </c>
      <c r="E12" s="10">
        <v>8228.9184270420574</v>
      </c>
      <c r="K12" s="2" t="s">
        <v>30</v>
      </c>
      <c r="L12" s="2">
        <v>1</v>
      </c>
      <c r="M12" s="2">
        <v>0.87104488414653458</v>
      </c>
      <c r="N12" s="2">
        <v>0.87104488414653458</v>
      </c>
      <c r="O12" s="2">
        <v>2.1849221536600392</v>
      </c>
      <c r="P12" s="2">
        <v>0.21344122472231905</v>
      </c>
      <c r="AF12" s="2" t="s">
        <v>30</v>
      </c>
      <c r="AG12" s="2">
        <v>2</v>
      </c>
      <c r="AH12" s="2">
        <v>0.33616910680310585</v>
      </c>
      <c r="AI12" s="2">
        <v>0.16808455340155293</v>
      </c>
      <c r="AJ12" s="2">
        <v>0.23679186146465148</v>
      </c>
      <c r="AK12" s="2">
        <v>0.80262969904538073</v>
      </c>
    </row>
    <row r="13" spans="1:40" x14ac:dyDescent="0.35">
      <c r="A13" t="s">
        <v>117</v>
      </c>
      <c r="D13">
        <v>27.791</v>
      </c>
      <c r="E13" s="10">
        <v>749.88561828296326</v>
      </c>
      <c r="K13" s="2" t="s">
        <v>31</v>
      </c>
      <c r="L13" s="2">
        <v>4</v>
      </c>
      <c r="M13" s="2">
        <v>1.5946469903971945</v>
      </c>
      <c r="N13" s="2">
        <v>0.39866174759929862</v>
      </c>
      <c r="O13" s="2"/>
      <c r="P13" s="2"/>
      <c r="AF13" s="2" t="s">
        <v>31</v>
      </c>
      <c r="AG13" s="2">
        <v>3</v>
      </c>
      <c r="AH13" s="2">
        <v>2.1295227677406232</v>
      </c>
      <c r="AI13" s="2">
        <v>0.7098409225802077</v>
      </c>
      <c r="AJ13" s="2"/>
      <c r="AK13" s="2"/>
    </row>
    <row r="14" spans="1:40" ht="15" thickBot="1" x14ac:dyDescent="0.4">
      <c r="A14" t="s">
        <v>118</v>
      </c>
      <c r="D14">
        <v>378.62175100000002</v>
      </c>
      <c r="E14" s="10">
        <v>9889.9597636472754</v>
      </c>
      <c r="K14" s="3" t="s">
        <v>32</v>
      </c>
      <c r="L14" s="3">
        <v>5</v>
      </c>
      <c r="M14" s="3">
        <v>2.4656918745437291</v>
      </c>
      <c r="N14" s="3"/>
      <c r="O14" s="3"/>
      <c r="P14" s="3"/>
      <c r="AF14" s="3" t="s">
        <v>32</v>
      </c>
      <c r="AG14" s="3">
        <v>5</v>
      </c>
      <c r="AH14" s="3">
        <v>2.4656918745437291</v>
      </c>
      <c r="AI14" s="3"/>
      <c r="AJ14" s="3"/>
      <c r="AK14" s="3"/>
    </row>
    <row r="15" spans="1:40" ht="15" thickBot="1" x14ac:dyDescent="0.4">
      <c r="A15" t="s">
        <v>119</v>
      </c>
      <c r="D15">
        <v>166.40600000000001</v>
      </c>
      <c r="E15" s="10">
        <v>4227.165129541745</v>
      </c>
    </row>
    <row r="16" spans="1:40" x14ac:dyDescent="0.35">
      <c r="A16" t="s">
        <v>120</v>
      </c>
      <c r="D16">
        <v>20.3949</v>
      </c>
      <c r="E16" s="10">
        <v>496.11520531775324</v>
      </c>
      <c r="K16" s="4"/>
      <c r="L16" s="4" t="s">
        <v>39</v>
      </c>
      <c r="M16" s="4" t="s">
        <v>27</v>
      </c>
      <c r="N16" s="4" t="s">
        <v>40</v>
      </c>
      <c r="O16" s="4" t="s">
        <v>41</v>
      </c>
      <c r="P16" s="4" t="s">
        <v>42</v>
      </c>
      <c r="Q16" s="4" t="s">
        <v>43</v>
      </c>
      <c r="R16" s="4" t="s">
        <v>44</v>
      </c>
      <c r="S16" s="4" t="s">
        <v>45</v>
      </c>
      <c r="AF16" s="4"/>
      <c r="AG16" s="4" t="s">
        <v>39</v>
      </c>
      <c r="AH16" s="4" t="s">
        <v>27</v>
      </c>
      <c r="AI16" s="4" t="s">
        <v>40</v>
      </c>
      <c r="AJ16" s="4" t="s">
        <v>41</v>
      </c>
      <c r="AK16" s="4" t="s">
        <v>42</v>
      </c>
      <c r="AL16" s="4" t="s">
        <v>43</v>
      </c>
      <c r="AM16" s="4" t="s">
        <v>44</v>
      </c>
      <c r="AN16" s="4" t="s">
        <v>45</v>
      </c>
    </row>
    <row r="17" spans="1:40" x14ac:dyDescent="0.35">
      <c r="A17" t="s">
        <v>121</v>
      </c>
      <c r="D17">
        <v>122.861301</v>
      </c>
      <c r="E17" s="10">
        <v>613.36191860851113</v>
      </c>
      <c r="K17" s="2" t="s">
        <v>33</v>
      </c>
      <c r="L17" s="2">
        <v>2.6268941803524219</v>
      </c>
      <c r="M17" s="2">
        <v>1.4783011929590382</v>
      </c>
      <c r="N17" s="2">
        <v>1.7769681800055273</v>
      </c>
      <c r="O17" s="2">
        <v>0.15021415896036322</v>
      </c>
      <c r="P17" s="2">
        <v>-1.4775279308467582</v>
      </c>
      <c r="Q17" s="2">
        <v>6.731316291551602</v>
      </c>
      <c r="R17" s="2">
        <v>-1.4775279308467582</v>
      </c>
      <c r="S17" s="2">
        <v>6.731316291551602</v>
      </c>
      <c r="AF17" s="2" t="s">
        <v>33</v>
      </c>
      <c r="AG17" s="2">
        <v>2.2680820872671976</v>
      </c>
      <c r="AH17" s="2">
        <v>2.7966568467405382</v>
      </c>
      <c r="AI17" s="2">
        <v>0.81099763451873386</v>
      </c>
      <c r="AJ17" s="2">
        <v>0.47673402206879478</v>
      </c>
      <c r="AK17" s="2">
        <v>-6.6321281617886161</v>
      </c>
      <c r="AL17" s="2">
        <v>11.168292336323011</v>
      </c>
      <c r="AM17" s="2">
        <v>-6.6321281617886161</v>
      </c>
      <c r="AN17" s="2">
        <v>11.168292336323011</v>
      </c>
    </row>
    <row r="18" spans="1:40" ht="15" thickBot="1" x14ac:dyDescent="0.4">
      <c r="A18" t="s">
        <v>122</v>
      </c>
      <c r="D18">
        <v>287.71934399999998</v>
      </c>
      <c r="E18" s="10">
        <v>1153.3017619693453</v>
      </c>
      <c r="K18" s="3" t="s">
        <v>46</v>
      </c>
      <c r="L18" s="3">
        <v>-0.24715528473980877</v>
      </c>
      <c r="M18" s="3">
        <v>0.16720602289447509</v>
      </c>
      <c r="N18" s="3">
        <v>-1.4781482177576237</v>
      </c>
      <c r="O18" s="3">
        <v>0.21344122472231905</v>
      </c>
      <c r="P18" s="3">
        <v>-0.71139362856476429</v>
      </c>
      <c r="Q18" s="3">
        <v>0.21708305908514677</v>
      </c>
      <c r="R18" s="3">
        <v>-0.71139362856476429</v>
      </c>
      <c r="S18" s="3">
        <v>0.21708305908514677</v>
      </c>
      <c r="AF18" s="2" t="s">
        <v>46</v>
      </c>
      <c r="AG18" s="2">
        <v>-0.19128992154713492</v>
      </c>
      <c r="AH18" s="2">
        <v>0.28144050955119965</v>
      </c>
      <c r="AI18" s="2">
        <v>-0.6796815492274948</v>
      </c>
      <c r="AJ18" s="2">
        <v>0.54545331542357967</v>
      </c>
      <c r="AK18" s="2">
        <v>-1.0869592313255148</v>
      </c>
      <c r="AL18" s="2">
        <v>0.7043793882312448</v>
      </c>
      <c r="AM18" s="2">
        <v>-1.0869592313255148</v>
      </c>
      <c r="AN18" s="2">
        <v>0.7043793882312448</v>
      </c>
    </row>
    <row r="19" spans="1:40" ht="15" thickBot="1" x14ac:dyDescent="0.4">
      <c r="A19" t="s">
        <v>123</v>
      </c>
      <c r="D19">
        <v>187.48196300000001</v>
      </c>
      <c r="E19" s="10">
        <v>786.3614076767243</v>
      </c>
      <c r="AF19" s="3" t="s">
        <v>47</v>
      </c>
      <c r="AG19" s="3">
        <v>-1.0839368356400422E-3</v>
      </c>
      <c r="AH19" s="3">
        <v>5.57051638960274E-2</v>
      </c>
      <c r="AI19" s="3">
        <v>-1.9458462372773717E-2</v>
      </c>
      <c r="AJ19" s="3">
        <v>0.98569718665341344</v>
      </c>
      <c r="AK19" s="3">
        <v>-0.1783626298617759</v>
      </c>
      <c r="AL19" s="3">
        <v>0.17619475619049582</v>
      </c>
      <c r="AM19" s="3">
        <v>-0.1783626298617759</v>
      </c>
      <c r="AN19" s="3">
        <v>0.17619475619049582</v>
      </c>
    </row>
    <row r="20" spans="1:40" x14ac:dyDescent="0.35">
      <c r="A20" t="s">
        <v>124</v>
      </c>
      <c r="D20">
        <v>118.64292</v>
      </c>
      <c r="E20" s="10">
        <v>668.55336952256607</v>
      </c>
    </row>
    <row r="21" spans="1:40" x14ac:dyDescent="0.35">
      <c r="A21" t="s">
        <v>125</v>
      </c>
      <c r="D21">
        <v>295.71604100000002</v>
      </c>
      <c r="E21" s="10">
        <v>1054.6511436298779</v>
      </c>
    </row>
    <row r="22" spans="1:40" ht="15" thickBot="1" x14ac:dyDescent="0.4">
      <c r="A22" t="s">
        <v>126</v>
      </c>
      <c r="D22">
        <v>1134.7605570000001</v>
      </c>
      <c r="E22" s="10">
        <v>454.16563330480011</v>
      </c>
    </row>
    <row r="23" spans="1:40" x14ac:dyDescent="0.35">
      <c r="A23" t="s">
        <v>127</v>
      </c>
      <c r="D23">
        <v>445.03063200000003</v>
      </c>
      <c r="E23" s="10">
        <v>438.40959091568544</v>
      </c>
      <c r="AF23" s="5" t="s">
        <v>23</v>
      </c>
      <c r="AG23" s="5"/>
    </row>
    <row r="24" spans="1:40" x14ac:dyDescent="0.35">
      <c r="A24" t="s">
        <v>128</v>
      </c>
      <c r="D24">
        <v>1163.627755</v>
      </c>
      <c r="E24" s="10">
        <v>632.9501938226208</v>
      </c>
      <c r="AF24" s="2" t="s">
        <v>24</v>
      </c>
      <c r="AG24" s="2">
        <v>0.369093008535125</v>
      </c>
    </row>
    <row r="25" spans="1:40" x14ac:dyDescent="0.35">
      <c r="A25" t="s">
        <v>129</v>
      </c>
      <c r="D25">
        <v>119.66550700000001</v>
      </c>
      <c r="E25" s="10">
        <v>169.58741093153526</v>
      </c>
      <c r="AF25" s="2" t="s">
        <v>25</v>
      </c>
      <c r="AG25" s="2">
        <v>0.13622964894950987</v>
      </c>
    </row>
    <row r="26" spans="1:40" x14ac:dyDescent="0.35">
      <c r="A26" t="s">
        <v>130</v>
      </c>
      <c r="D26">
        <v>500.40195899999998</v>
      </c>
      <c r="E26" s="10">
        <v>399.50179324370919</v>
      </c>
      <c r="AF26" s="2" t="s">
        <v>26</v>
      </c>
      <c r="AG26" s="2">
        <v>-7.9712938813112671E-2</v>
      </c>
    </row>
    <row r="27" spans="1:40" x14ac:dyDescent="0.35">
      <c r="A27" t="s">
        <v>131</v>
      </c>
      <c r="D27">
        <v>34.007601999999999</v>
      </c>
      <c r="E27" s="10">
        <v>84.774357999431743</v>
      </c>
      <c r="AF27" s="2" t="s">
        <v>27</v>
      </c>
      <c r="AG27" s="2">
        <v>0.72969026580751672</v>
      </c>
    </row>
    <row r="28" spans="1:40" ht="15" thickBot="1" x14ac:dyDescent="0.4">
      <c r="AF28" s="3" t="s">
        <v>28</v>
      </c>
      <c r="AG28" s="3">
        <v>6</v>
      </c>
    </row>
    <row r="29" spans="1:40" x14ac:dyDescent="0.35">
      <c r="A29" t="s">
        <v>32</v>
      </c>
      <c r="D29" s="10">
        <f>SUM(D12:D27)</f>
        <v>5252.7522319999998</v>
      </c>
      <c r="E29" s="10">
        <f>SUM(E12:E27)</f>
        <v>30047.662725456605</v>
      </c>
    </row>
    <row r="30" spans="1:40" ht="15" thickBot="1" x14ac:dyDescent="0.4">
      <c r="AF30" t="s">
        <v>29</v>
      </c>
    </row>
    <row r="31" spans="1:40" x14ac:dyDescent="0.35">
      <c r="AF31" s="4"/>
      <c r="AG31" s="4" t="s">
        <v>34</v>
      </c>
      <c r="AH31" s="4" t="s">
        <v>35</v>
      </c>
      <c r="AI31" s="4" t="s">
        <v>36</v>
      </c>
      <c r="AJ31" s="4" t="s">
        <v>37</v>
      </c>
      <c r="AK31" s="4" t="s">
        <v>38</v>
      </c>
    </row>
    <row r="32" spans="1:40" x14ac:dyDescent="0.35">
      <c r="AF32" s="2" t="s">
        <v>30</v>
      </c>
      <c r="AG32" s="2">
        <v>1</v>
      </c>
      <c r="AH32" s="2">
        <v>0.33590033848675116</v>
      </c>
      <c r="AI32" s="2">
        <v>0.33590033848675116</v>
      </c>
      <c r="AJ32" s="2">
        <v>0.63086050028844676</v>
      </c>
      <c r="AK32" s="2">
        <v>0.4715011926885419</v>
      </c>
    </row>
    <row r="33" spans="32:40" x14ac:dyDescent="0.35">
      <c r="AF33" s="2" t="s">
        <v>31</v>
      </c>
      <c r="AG33" s="2">
        <v>4</v>
      </c>
      <c r="AH33" s="2">
        <v>2.1297915360569779</v>
      </c>
      <c r="AI33" s="2">
        <v>0.53244788401424448</v>
      </c>
      <c r="AJ33" s="2"/>
      <c r="AK33" s="2"/>
    </row>
    <row r="34" spans="32:40" ht="15" thickBot="1" x14ac:dyDescent="0.4">
      <c r="AF34" s="3" t="s">
        <v>32</v>
      </c>
      <c r="AG34" s="3">
        <v>5</v>
      </c>
      <c r="AH34" s="3">
        <v>2.4656918745437291</v>
      </c>
      <c r="AI34" s="3"/>
      <c r="AJ34" s="3"/>
      <c r="AK34" s="3"/>
    </row>
    <row r="35" spans="32:40" ht="15" thickBot="1" x14ac:dyDescent="0.4"/>
    <row r="36" spans="32:40" x14ac:dyDescent="0.35">
      <c r="AF36" s="4"/>
      <c r="AG36" s="4" t="s">
        <v>39</v>
      </c>
      <c r="AH36" s="4" t="s">
        <v>27</v>
      </c>
      <c r="AI36" s="4" t="s">
        <v>40</v>
      </c>
      <c r="AJ36" s="4" t="s">
        <v>41</v>
      </c>
      <c r="AK36" s="4" t="s">
        <v>42</v>
      </c>
      <c r="AL36" s="4" t="s">
        <v>43</v>
      </c>
      <c r="AM36" s="4" t="s">
        <v>44</v>
      </c>
      <c r="AN36" s="4" t="s">
        <v>45</v>
      </c>
    </row>
    <row r="37" spans="32:40" x14ac:dyDescent="0.35">
      <c r="AF37" s="2" t="s">
        <v>33</v>
      </c>
      <c r="AG37" s="2">
        <v>2.2480360158117731</v>
      </c>
      <c r="AH37" s="2">
        <v>2.2518050297191192</v>
      </c>
      <c r="AI37" s="2">
        <v>0.9983262254690779</v>
      </c>
      <c r="AJ37" s="2">
        <v>0.37462016115263497</v>
      </c>
      <c r="AK37" s="2">
        <v>-4.003977036811647</v>
      </c>
      <c r="AL37" s="2">
        <v>8.5000490684351924</v>
      </c>
      <c r="AM37" s="2">
        <v>-4.003977036811647</v>
      </c>
      <c r="AN37" s="2">
        <v>8.5000490684351924</v>
      </c>
    </row>
    <row r="38" spans="32:40" ht="15" thickBot="1" x14ac:dyDescent="0.4">
      <c r="AF38" s="3" t="s">
        <v>46</v>
      </c>
      <c r="AG38" s="3">
        <v>-0.19027962164730661</v>
      </c>
      <c r="AH38" s="3">
        <v>0.23956623697928803</v>
      </c>
      <c r="AI38" s="3">
        <v>-0.79426727257796947</v>
      </c>
      <c r="AJ38" s="3">
        <v>0.47150119268854174</v>
      </c>
      <c r="AK38" s="3">
        <v>-0.85542212767910542</v>
      </c>
      <c r="AL38" s="3">
        <v>0.4748628843844922</v>
      </c>
      <c r="AM38" s="3">
        <v>-0.85542212767910542</v>
      </c>
      <c r="AN38" s="3">
        <v>0.4748628843844922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35"/>
  <sheetViews>
    <sheetView topLeftCell="A19" workbookViewId="0">
      <selection activeCell="A29" sqref="A29"/>
    </sheetView>
  </sheetViews>
  <sheetFormatPr defaultRowHeight="14.5" x14ac:dyDescent="0.35"/>
  <cols>
    <col min="3" max="3" width="12" bestFit="1" customWidth="1"/>
  </cols>
  <sheetData>
    <row r="1" spans="1:19" x14ac:dyDescent="0.35">
      <c r="A1" t="s">
        <v>58</v>
      </c>
      <c r="D1">
        <v>-1</v>
      </c>
      <c r="E1">
        <v>-1</v>
      </c>
      <c r="F1">
        <v>-1</v>
      </c>
      <c r="G1">
        <v>0.5</v>
      </c>
      <c r="H1">
        <v>0.5</v>
      </c>
      <c r="I1">
        <v>0.5</v>
      </c>
      <c r="J1" t="s">
        <v>637</v>
      </c>
      <c r="K1">
        <f>D1</f>
        <v>-1</v>
      </c>
      <c r="L1">
        <f t="shared" ref="L1:P2" si="0">E1</f>
        <v>-1</v>
      </c>
      <c r="M1">
        <f t="shared" si="0"/>
        <v>-1</v>
      </c>
      <c r="N1">
        <f t="shared" si="0"/>
        <v>0.5</v>
      </c>
      <c r="O1">
        <f t="shared" si="0"/>
        <v>0.5</v>
      </c>
      <c r="P1">
        <f t="shared" si="0"/>
        <v>0.5</v>
      </c>
      <c r="S1">
        <f>SUM(S2:S35)</f>
        <v>16.141073578226969</v>
      </c>
    </row>
    <row r="2" spans="1:19" x14ac:dyDescent="0.35">
      <c r="A2" t="s">
        <v>638</v>
      </c>
      <c r="D2">
        <v>0</v>
      </c>
      <c r="E2">
        <v>12.5</v>
      </c>
      <c r="F2">
        <v>-12.5</v>
      </c>
      <c r="G2">
        <v>0</v>
      </c>
      <c r="H2">
        <v>6.25</v>
      </c>
      <c r="I2">
        <v>-6.25</v>
      </c>
      <c r="K2">
        <f t="shared" ref="K2" si="1">D2</f>
        <v>0</v>
      </c>
      <c r="L2">
        <f t="shared" si="0"/>
        <v>12.5</v>
      </c>
      <c r="M2">
        <f t="shared" si="0"/>
        <v>-12.5</v>
      </c>
      <c r="N2">
        <f t="shared" si="0"/>
        <v>0</v>
      </c>
      <c r="O2">
        <f t="shared" si="0"/>
        <v>6.25</v>
      </c>
      <c r="P2">
        <f t="shared" si="0"/>
        <v>-6.25</v>
      </c>
      <c r="S2">
        <v>1</v>
      </c>
    </row>
    <row r="3" spans="1:19" x14ac:dyDescent="0.35">
      <c r="A3" t="s">
        <v>639</v>
      </c>
      <c r="B3" t="s">
        <v>640</v>
      </c>
      <c r="C3">
        <v>0.6</v>
      </c>
      <c r="D3">
        <v>-420</v>
      </c>
      <c r="G3">
        <v>280</v>
      </c>
      <c r="K3" s="10">
        <f>D3/$C3</f>
        <v>-700</v>
      </c>
      <c r="N3" s="10">
        <f>G3/$C3</f>
        <v>466.66666666666669</v>
      </c>
      <c r="S3">
        <f>S2/1.05</f>
        <v>0.95238095238095233</v>
      </c>
    </row>
    <row r="4" spans="1:19" x14ac:dyDescent="0.35">
      <c r="A4" t="s">
        <v>641</v>
      </c>
      <c r="B4" t="s">
        <v>640</v>
      </c>
      <c r="C4">
        <v>0.65</v>
      </c>
      <c r="D4">
        <v>220</v>
      </c>
      <c r="G4">
        <v>-60</v>
      </c>
      <c r="K4" s="10">
        <f>D4/$C4</f>
        <v>338.46153846153845</v>
      </c>
      <c r="N4" s="10">
        <f>G4/$C4</f>
        <v>-92.307692307692307</v>
      </c>
      <c r="S4">
        <f t="shared" ref="S4:S35" si="2">S3/1.05</f>
        <v>0.90702947845804982</v>
      </c>
    </row>
    <row r="5" spans="1:19" x14ac:dyDescent="0.35">
      <c r="A5" t="s">
        <v>642</v>
      </c>
      <c r="B5" t="s">
        <v>640</v>
      </c>
      <c r="C5">
        <v>0.55000000000000004</v>
      </c>
      <c r="D5">
        <v>1840</v>
      </c>
      <c r="G5" s="25">
        <f>-D5/2</f>
        <v>-920</v>
      </c>
      <c r="K5" s="10">
        <f>D5/$C5</f>
        <v>3345.454545454545</v>
      </c>
      <c r="N5" s="10">
        <f>G5/$C5</f>
        <v>-1672.7272727272725</v>
      </c>
      <c r="S5">
        <f t="shared" si="2"/>
        <v>0.86383759853147601</v>
      </c>
    </row>
    <row r="6" spans="1:19" x14ac:dyDescent="0.35">
      <c r="A6" t="s">
        <v>643</v>
      </c>
      <c r="B6" t="s">
        <v>640</v>
      </c>
      <c r="C6">
        <v>0.85</v>
      </c>
      <c r="D6">
        <v>19120</v>
      </c>
      <c r="G6" s="25">
        <f>-D6/2</f>
        <v>-9560</v>
      </c>
      <c r="K6" s="10">
        <f>D6/$C6</f>
        <v>22494.117647058825</v>
      </c>
      <c r="N6" s="10">
        <f>G6/$C6</f>
        <v>-11247.058823529413</v>
      </c>
      <c r="S6">
        <f t="shared" si="2"/>
        <v>0.82270247479188185</v>
      </c>
    </row>
    <row r="7" spans="1:19" x14ac:dyDescent="0.35">
      <c r="A7" t="s">
        <v>644</v>
      </c>
      <c r="B7" t="s">
        <v>89</v>
      </c>
      <c r="C7">
        <f>[2]RealGDP!$R$236/[2]RealGDP!$R$255</f>
        <v>0.27299696716411598</v>
      </c>
      <c r="D7">
        <v>13220</v>
      </c>
      <c r="G7" s="25">
        <f>-D7/2</f>
        <v>-6610</v>
      </c>
      <c r="K7" s="10">
        <f>D7/$C7</f>
        <v>48425.4463971851</v>
      </c>
      <c r="N7" s="10">
        <f>G7/$C7</f>
        <v>-24212.72319859255</v>
      </c>
      <c r="S7">
        <f t="shared" si="2"/>
        <v>0.78352616646845885</v>
      </c>
    </row>
    <row r="8" spans="1:19" x14ac:dyDescent="0.35">
      <c r="B8" t="s">
        <v>157</v>
      </c>
      <c r="D8">
        <v>5360</v>
      </c>
      <c r="G8">
        <v>-3620</v>
      </c>
      <c r="S8">
        <f t="shared" si="2"/>
        <v>0.74621539663662739</v>
      </c>
    </row>
    <row r="9" spans="1:19" x14ac:dyDescent="0.35">
      <c r="B9" t="s">
        <v>645</v>
      </c>
      <c r="D9">
        <v>27660</v>
      </c>
      <c r="G9">
        <v>-12660</v>
      </c>
      <c r="S9">
        <f t="shared" si="2"/>
        <v>0.71068133013012125</v>
      </c>
    </row>
    <row r="10" spans="1:19" x14ac:dyDescent="0.35">
      <c r="A10" t="s">
        <v>646</v>
      </c>
      <c r="B10" t="s">
        <v>89</v>
      </c>
      <c r="C10">
        <f>C$7</f>
        <v>0.27299696716411598</v>
      </c>
      <c r="D10">
        <v>9500</v>
      </c>
      <c r="G10" s="25">
        <f>-D10/2</f>
        <v>-4750</v>
      </c>
      <c r="K10" s="10">
        <f t="shared" ref="K10:K18" si="3">D10/$C10</f>
        <v>34798.921389807751</v>
      </c>
      <c r="N10" s="10">
        <f t="shared" ref="N10:N18" si="4">G10/$C10</f>
        <v>-17399.460694903875</v>
      </c>
      <c r="S10">
        <f t="shared" si="2"/>
        <v>0.67683936202868689</v>
      </c>
    </row>
    <row r="11" spans="1:19" x14ac:dyDescent="0.35">
      <c r="A11" t="s">
        <v>647</v>
      </c>
      <c r="B11" t="s">
        <v>640</v>
      </c>
      <c r="C11">
        <v>1</v>
      </c>
      <c r="D11">
        <v>28620</v>
      </c>
      <c r="G11">
        <v>-12260</v>
      </c>
      <c r="K11" s="10">
        <f t="shared" si="3"/>
        <v>28620</v>
      </c>
      <c r="N11" s="10">
        <f t="shared" si="4"/>
        <v>-12260</v>
      </c>
      <c r="S11">
        <f t="shared" si="2"/>
        <v>0.64460891621779703</v>
      </c>
    </row>
    <row r="12" spans="1:19" x14ac:dyDescent="0.35">
      <c r="A12" t="s">
        <v>648</v>
      </c>
      <c r="B12" t="s">
        <v>89</v>
      </c>
      <c r="C12">
        <f t="shared" ref="C12:C18" si="5">C$7</f>
        <v>0.27299696716411598</v>
      </c>
      <c r="D12">
        <v>-40</v>
      </c>
      <c r="G12">
        <v>100</v>
      </c>
      <c r="K12" s="10">
        <f t="shared" si="3"/>
        <v>-146.52177427287475</v>
      </c>
      <c r="N12" s="10">
        <f t="shared" si="4"/>
        <v>366.30443568218686</v>
      </c>
      <c r="S12">
        <f t="shared" si="2"/>
        <v>0.6139132535407591</v>
      </c>
    </row>
    <row r="13" spans="1:19" x14ac:dyDescent="0.35">
      <c r="A13" t="s">
        <v>649</v>
      </c>
      <c r="B13" t="s">
        <v>89</v>
      </c>
      <c r="C13">
        <f t="shared" si="5"/>
        <v>0.27299696716411598</v>
      </c>
      <c r="D13">
        <v>47720</v>
      </c>
      <c r="G13" s="25">
        <f>-D13/2</f>
        <v>-23860</v>
      </c>
      <c r="K13" s="10">
        <f t="shared" si="3"/>
        <v>174800.47670753958</v>
      </c>
      <c r="N13" s="10">
        <f t="shared" si="4"/>
        <v>-87400.23835376979</v>
      </c>
      <c r="S13">
        <f t="shared" si="2"/>
        <v>0.58467928908643718</v>
      </c>
    </row>
    <row r="14" spans="1:19" x14ac:dyDescent="0.35">
      <c r="A14" t="s">
        <v>650</v>
      </c>
      <c r="B14" t="s">
        <v>89</v>
      </c>
      <c r="C14">
        <f t="shared" si="5"/>
        <v>0.27299696716411598</v>
      </c>
      <c r="D14">
        <v>73340</v>
      </c>
      <c r="G14">
        <v>-31020</v>
      </c>
      <c r="K14" s="10">
        <f t="shared" si="3"/>
        <v>268647.67312931584</v>
      </c>
      <c r="N14" s="10">
        <f t="shared" si="4"/>
        <v>-113627.63594861436</v>
      </c>
      <c r="S14">
        <f t="shared" si="2"/>
        <v>0.55683741817755916</v>
      </c>
    </row>
    <row r="15" spans="1:19" x14ac:dyDescent="0.35">
      <c r="A15" t="s">
        <v>651</v>
      </c>
      <c r="B15" t="s">
        <v>89</v>
      </c>
      <c r="C15">
        <f t="shared" si="5"/>
        <v>0.27299696716411598</v>
      </c>
      <c r="D15">
        <v>3520</v>
      </c>
      <c r="G15">
        <v>-1760</v>
      </c>
      <c r="K15" s="10">
        <f t="shared" si="3"/>
        <v>12893.916136012978</v>
      </c>
      <c r="N15" s="10">
        <f t="shared" si="4"/>
        <v>-6446.9580680064892</v>
      </c>
      <c r="S15">
        <f t="shared" si="2"/>
        <v>0.5303213506452944</v>
      </c>
    </row>
    <row r="16" spans="1:19" x14ac:dyDescent="0.35">
      <c r="A16" t="s">
        <v>652</v>
      </c>
      <c r="B16" t="s">
        <v>89</v>
      </c>
      <c r="C16">
        <f t="shared" si="5"/>
        <v>0.27299696716411598</v>
      </c>
      <c r="D16">
        <v>-14960</v>
      </c>
      <c r="G16">
        <v>7100</v>
      </c>
      <c r="K16" s="10">
        <f t="shared" si="3"/>
        <v>-54799.143578055155</v>
      </c>
      <c r="N16" s="10">
        <f t="shared" si="4"/>
        <v>26007.614933435267</v>
      </c>
      <c r="S16">
        <f t="shared" si="2"/>
        <v>0.50506795299551843</v>
      </c>
    </row>
    <row r="17" spans="1:19" x14ac:dyDescent="0.35">
      <c r="A17" t="s">
        <v>653</v>
      </c>
      <c r="B17" t="s">
        <v>89</v>
      </c>
      <c r="C17">
        <f t="shared" si="5"/>
        <v>0.27299696716411598</v>
      </c>
      <c r="D17">
        <v>10140</v>
      </c>
      <c r="G17">
        <v>-5060</v>
      </c>
      <c r="K17" s="10">
        <f t="shared" si="3"/>
        <v>37143.269778173744</v>
      </c>
      <c r="N17" s="10">
        <f t="shared" si="4"/>
        <v>-18535.004445518654</v>
      </c>
      <c r="S17">
        <f t="shared" si="2"/>
        <v>0.48101709809096993</v>
      </c>
    </row>
    <row r="18" spans="1:19" x14ac:dyDescent="0.35">
      <c r="A18" t="s">
        <v>654</v>
      </c>
      <c r="B18" t="s">
        <v>89</v>
      </c>
      <c r="C18">
        <f t="shared" si="5"/>
        <v>0.27299696716411598</v>
      </c>
      <c r="D18">
        <v>480</v>
      </c>
      <c r="G18">
        <v>-220</v>
      </c>
      <c r="K18" s="10">
        <f t="shared" si="3"/>
        <v>1758.2612912744969</v>
      </c>
      <c r="N18" s="10">
        <f t="shared" si="4"/>
        <v>-805.86975850081114</v>
      </c>
      <c r="S18">
        <f t="shared" si="2"/>
        <v>0.45811152199139993</v>
      </c>
    </row>
    <row r="19" spans="1:19" x14ac:dyDescent="0.35">
      <c r="S19">
        <f t="shared" si="2"/>
        <v>0.43629668761085705</v>
      </c>
    </row>
    <row r="20" spans="1:19" x14ac:dyDescent="0.35">
      <c r="A20" t="s">
        <v>655</v>
      </c>
      <c r="D20" s="10">
        <f>SUM(D3:D18)</f>
        <v>225320</v>
      </c>
      <c r="E20" s="10">
        <f t="shared" ref="E20:P20" si="6">SUM(E3:E18)</f>
        <v>0</v>
      </c>
      <c r="F20" s="10">
        <f t="shared" si="6"/>
        <v>0</v>
      </c>
      <c r="G20" s="10">
        <f t="shared" si="6"/>
        <v>-104880</v>
      </c>
      <c r="H20" s="10">
        <f t="shared" si="6"/>
        <v>0</v>
      </c>
      <c r="I20" s="10">
        <f t="shared" si="6"/>
        <v>0</v>
      </c>
      <c r="J20" s="10"/>
      <c r="K20" s="10">
        <f t="shared" si="6"/>
        <v>577620.33320795628</v>
      </c>
      <c r="L20" s="10">
        <f t="shared" si="6"/>
        <v>0</v>
      </c>
      <c r="M20" s="10">
        <f t="shared" si="6"/>
        <v>0</v>
      </c>
      <c r="N20" s="10">
        <f t="shared" si="6"/>
        <v>-266859.39822068677</v>
      </c>
      <c r="O20" s="10">
        <f t="shared" si="6"/>
        <v>0</v>
      </c>
      <c r="P20" s="10">
        <f t="shared" si="6"/>
        <v>0</v>
      </c>
      <c r="S20">
        <f t="shared" si="2"/>
        <v>0.41552065486748291</v>
      </c>
    </row>
    <row r="21" spans="1:19" x14ac:dyDescent="0.35">
      <c r="A21" t="s">
        <v>656</v>
      </c>
      <c r="D21" s="10">
        <f>D20/30</f>
        <v>7510.666666666667</v>
      </c>
      <c r="G21" s="10">
        <f>G20/30</f>
        <v>-3496</v>
      </c>
      <c r="K21" s="10">
        <f>K20/30</f>
        <v>19254.011106931877</v>
      </c>
      <c r="N21" s="10">
        <f>N20/30</f>
        <v>-8895.3132740228921</v>
      </c>
      <c r="S21">
        <f t="shared" si="2"/>
        <v>0.39573395701665037</v>
      </c>
    </row>
    <row r="22" spans="1:19" x14ac:dyDescent="0.35">
      <c r="A22" t="s">
        <v>657</v>
      </c>
      <c r="D22" s="10">
        <f>D20/$S$1</f>
        <v>13959.418430750409</v>
      </c>
      <c r="G22" s="10">
        <f>G20/$S$1</f>
        <v>-6497.7090583042027</v>
      </c>
      <c r="K22" s="10">
        <f>K20/$S$1</f>
        <v>35785.744387357256</v>
      </c>
      <c r="N22" s="10">
        <f>N20/$S$1</f>
        <v>-16532.939827537801</v>
      </c>
      <c r="S22">
        <f t="shared" si="2"/>
        <v>0.37688948287300034</v>
      </c>
    </row>
    <row r="23" spans="1:19" x14ac:dyDescent="0.35">
      <c r="S23">
        <f t="shared" si="2"/>
        <v>0.35894236464095269</v>
      </c>
    </row>
    <row r="24" spans="1:19" x14ac:dyDescent="0.35">
      <c r="A24" t="s">
        <v>659</v>
      </c>
      <c r="D24" s="10">
        <f>SUM(D3:D7,D10,D11)</f>
        <v>72100</v>
      </c>
      <c r="G24" s="10">
        <f>SUM(G3:G7,G10,G11)</f>
        <v>-33880</v>
      </c>
      <c r="K24" s="10">
        <f>SUM(K3:K7,K10,K11)</f>
        <v>137322.40151796775</v>
      </c>
      <c r="N24" s="10">
        <f>SUM(N3:N7,N10,N11)</f>
        <v>-66417.611015394141</v>
      </c>
      <c r="S24">
        <f t="shared" si="2"/>
        <v>0.34184987108662163</v>
      </c>
    </row>
    <row r="25" spans="1:19" x14ac:dyDescent="0.35">
      <c r="A25" t="s">
        <v>656</v>
      </c>
      <c r="D25" s="10">
        <f>D24/30</f>
        <v>2403.3333333333335</v>
      </c>
      <c r="G25" s="10">
        <f>G24/30</f>
        <v>-1129.3333333333333</v>
      </c>
      <c r="K25" s="10">
        <f>K24/30</f>
        <v>4577.4133839322585</v>
      </c>
      <c r="N25" s="10">
        <f>N24/30</f>
        <v>-2213.9203671798045</v>
      </c>
      <c r="S25">
        <f t="shared" si="2"/>
        <v>0.32557130579678251</v>
      </c>
    </row>
    <row r="26" spans="1:19" x14ac:dyDescent="0.35">
      <c r="A26" t="s">
        <v>657</v>
      </c>
      <c r="D26" s="10">
        <f>D24/$S$1</f>
        <v>4466.865208845662</v>
      </c>
      <c r="G26" s="10">
        <f>G24/$S$1</f>
        <v>-2098.9929719235924</v>
      </c>
      <c r="K26" s="10">
        <f>K24/$S$1</f>
        <v>8507.6374165845336</v>
      </c>
      <c r="N26" s="10">
        <f>N24/$S$1</f>
        <v>-4114.8199153856931</v>
      </c>
      <c r="S26">
        <f t="shared" si="2"/>
        <v>0.31006791028265002</v>
      </c>
    </row>
    <row r="27" spans="1:19" x14ac:dyDescent="0.35">
      <c r="D27" s="10"/>
      <c r="G27" s="10"/>
      <c r="K27" s="10"/>
      <c r="N27" s="10"/>
    </row>
    <row r="28" spans="1:19" x14ac:dyDescent="0.35">
      <c r="A28" t="s">
        <v>660</v>
      </c>
      <c r="D28" s="10">
        <f>SUM(D3:D6)</f>
        <v>20760</v>
      </c>
      <c r="G28" s="10">
        <f>SUM(G3:G6)</f>
        <v>-10260</v>
      </c>
      <c r="K28" s="10">
        <f>SUM(K3:K6)</f>
        <v>25478.033730974908</v>
      </c>
      <c r="N28" s="10">
        <f>SUM(N3:N6)</f>
        <v>-12545.42712189771</v>
      </c>
    </row>
    <row r="29" spans="1:19" x14ac:dyDescent="0.35">
      <c r="A29" t="s">
        <v>656</v>
      </c>
      <c r="D29" s="10">
        <f>D28/30</f>
        <v>692</v>
      </c>
      <c r="G29" s="10">
        <f>G28/30</f>
        <v>-342</v>
      </c>
      <c r="K29" s="10">
        <f>K28/30</f>
        <v>849.26779103249692</v>
      </c>
      <c r="N29" s="10">
        <f>N28/30</f>
        <v>-418.180904063257</v>
      </c>
    </row>
    <row r="30" spans="1:19" x14ac:dyDescent="0.35">
      <c r="A30" t="s">
        <v>657</v>
      </c>
      <c r="D30" s="10">
        <f>D28/$S$1</f>
        <v>1286.1598021586121</v>
      </c>
      <c r="G30" s="10">
        <f>G28/$S$1</f>
        <v>-635.64545135584592</v>
      </c>
      <c r="K30" s="10">
        <f>K28/$S$1</f>
        <v>1578.4596735462974</v>
      </c>
      <c r="N30" s="10">
        <f>N28/$S$1</f>
        <v>-777.2362266423529</v>
      </c>
      <c r="S30">
        <f>S26/1.05</f>
        <v>0.29530277169776192</v>
      </c>
    </row>
    <row r="32" spans="1:19" x14ac:dyDescent="0.35">
      <c r="A32" t="s">
        <v>658</v>
      </c>
      <c r="C32">
        <v>6000000</v>
      </c>
      <c r="D32" s="24">
        <f>D22/$C32</f>
        <v>2.3265697384584018E-3</v>
      </c>
      <c r="G32" s="24">
        <f>G22/$C32</f>
        <v>-1.082951509717367E-3</v>
      </c>
      <c r="K32" s="24">
        <f>K22/$C32</f>
        <v>5.9642907312262095E-3</v>
      </c>
      <c r="N32" s="24">
        <f>N22/$C32</f>
        <v>-2.7554899712563001E-3</v>
      </c>
      <c r="S32">
        <f>S30/1.05</f>
        <v>0.28124073495024943</v>
      </c>
    </row>
    <row r="33" spans="19:19" x14ac:dyDescent="0.35">
      <c r="S33">
        <f t="shared" si="2"/>
        <v>0.26784831900023753</v>
      </c>
    </row>
    <row r="34" spans="19:19" x14ac:dyDescent="0.35">
      <c r="S34">
        <f t="shared" si="2"/>
        <v>0.25509363714308336</v>
      </c>
    </row>
    <row r="35" spans="19:19" x14ac:dyDescent="0.35">
      <c r="S35">
        <f t="shared" si="2"/>
        <v>0.2429463210886508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3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B43" sqref="B43"/>
    </sheetView>
  </sheetViews>
  <sheetFormatPr defaultRowHeight="14.5" x14ac:dyDescent="0.35"/>
  <sheetData>
    <row r="1" spans="1:17" x14ac:dyDescent="0.35">
      <c r="B1" t="s">
        <v>357</v>
      </c>
      <c r="I1" t="s">
        <v>356</v>
      </c>
      <c r="N1" t="s">
        <v>691</v>
      </c>
      <c r="O1" t="s">
        <v>692</v>
      </c>
      <c r="Q1" t="s">
        <v>57</v>
      </c>
    </row>
    <row r="2" spans="1:17" x14ac:dyDescent="0.35">
      <c r="B2" t="s">
        <v>52</v>
      </c>
      <c r="C2" t="s">
        <v>53</v>
      </c>
      <c r="D2" t="s">
        <v>54</v>
      </c>
      <c r="E2" t="s">
        <v>55</v>
      </c>
      <c r="F2" t="s">
        <v>56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693</v>
      </c>
    </row>
    <row r="3" spans="1:17" x14ac:dyDescent="0.35">
      <c r="A3">
        <v>-1.5</v>
      </c>
      <c r="B3">
        <f>IF(A3&lt;=regressions!T$2,A3*regressions!T$1,regressions!T$1*regressions!T$2+regressions!T$3*(A3-regressions!T$2))</f>
        <v>-1.1067831960920334</v>
      </c>
      <c r="C3">
        <f t="shared" ref="C3" si="0">J3</f>
        <v>-0.68804426139358421</v>
      </c>
      <c r="D3">
        <f t="shared" ref="D3" si="1">K3</f>
        <v>-1.7461045890182969</v>
      </c>
      <c r="E3">
        <f t="shared" ref="E3" si="2">B3+2*C3</f>
        <v>-2.4828717188792018</v>
      </c>
      <c r="F3">
        <f t="shared" ref="F3" si="3">B3-2*D3</f>
        <v>2.3854259819445605</v>
      </c>
      <c r="G3">
        <f>B3+2*regressions!U$7</f>
        <v>1.1431624292198932</v>
      </c>
      <c r="H3">
        <f>B3-2*regressions!U$7</f>
        <v>-3.3567288214039599</v>
      </c>
      <c r="I3">
        <f>regressions!I$20*A3+regressions!I$21*A3^2</f>
        <v>-0.18196181526299365</v>
      </c>
      <c r="J3">
        <f>regressions!S$55*A3</f>
        <v>-0.68804426139358421</v>
      </c>
      <c r="K3">
        <f>regressions!I$55*A3</f>
        <v>-1.7461045890182969</v>
      </c>
      <c r="L3">
        <f t="shared" ref="L3" si="4">I3+2*J3</f>
        <v>-1.558050338050162</v>
      </c>
      <c r="M3">
        <f t="shared" ref="M3" si="5">I3-2*K3</f>
        <v>3.3102473627736</v>
      </c>
      <c r="N3">
        <f>IF(A3&lt;=regressions2!T$2,A3*regressions2!T$1,regressions2!T$1*regressions2!T$2+regressions2!T$3*(A3-regressions2!T$2))</f>
        <v>-1.1068010760630578</v>
      </c>
      <c r="O3">
        <f>regressions2!I$20*A3+regressions2!I$21*A3^2</f>
        <v>-2.2509871342019827</v>
      </c>
      <c r="P3">
        <f>A3*regressions2!T$1</f>
        <v>-1.1068010760630578</v>
      </c>
    </row>
    <row r="4" spans="1:17" x14ac:dyDescent="0.35">
      <c r="A4">
        <f t="shared" ref="A4:A8" si="6">0.1+A3</f>
        <v>-1.4</v>
      </c>
      <c r="B4">
        <f>IF(A4&lt;=regressions!T$2,A4*regressions!T$1,regressions!T$1*regressions!T$2+regressions!T$3*(A4-regressions!T$2))</f>
        <v>-1.0329976496858977</v>
      </c>
      <c r="C4">
        <f t="shared" ref="C4" si="7">J4</f>
        <v>-0.64217464396734525</v>
      </c>
      <c r="D4">
        <f t="shared" ref="D4" si="8">K4</f>
        <v>-1.6296976164170771</v>
      </c>
      <c r="E4">
        <f t="shared" ref="E4" si="9">B4+2*C4</f>
        <v>-2.317346937620588</v>
      </c>
      <c r="F4">
        <f t="shared" ref="F4" si="10">B4-2*D4</f>
        <v>2.2263975831482563</v>
      </c>
      <c r="G4">
        <f>B4+2*regressions!U$7</f>
        <v>1.2169479756260289</v>
      </c>
      <c r="H4">
        <f>B4-2*regressions!U$7</f>
        <v>-3.282943274997824</v>
      </c>
      <c r="I4">
        <f>regressions!I$20*A4+regressions!I$21*A4^2</f>
        <v>-0.14687689930533535</v>
      </c>
      <c r="J4">
        <f>regressions!S$55*A4</f>
        <v>-0.64217464396734525</v>
      </c>
      <c r="K4">
        <f>regressions!I$55*A4</f>
        <v>-1.6296976164170771</v>
      </c>
      <c r="L4">
        <f t="shared" ref="L4" si="11">I4+2*J4</f>
        <v>-1.4312261872400258</v>
      </c>
      <c r="M4">
        <f t="shared" ref="M4" si="12">I4-2*K4</f>
        <v>3.1125183335288189</v>
      </c>
      <c r="N4">
        <f>IF(A4&lt;=regressions2!T$2,A4*regressions2!T$1,regressions2!T$1*regressions2!T$2+regressions2!T$3*(A4-regressions2!T$2))</f>
        <v>-1.0330143376588539</v>
      </c>
      <c r="O4">
        <f>regressions2!I$20*A4+regressions2!I$21*A4^2</f>
        <v>-2.0310858762539268</v>
      </c>
      <c r="P4">
        <f>A4*regressions2!T$1</f>
        <v>-1.0330143376588539</v>
      </c>
    </row>
    <row r="5" spans="1:17" x14ac:dyDescent="0.35">
      <c r="A5">
        <f t="shared" si="6"/>
        <v>-1.2999999999999998</v>
      </c>
      <c r="B5">
        <f>IF(A5&lt;=regressions!T$2,A5*regressions!T$1,regressions!T$1*regressions!T$2+regressions!T$3*(A5-regressions!T$2))</f>
        <v>-0.95921210327976203</v>
      </c>
      <c r="C5">
        <f t="shared" ref="C5" si="13">J5</f>
        <v>-0.59630502654110618</v>
      </c>
      <c r="D5">
        <f t="shared" ref="D5" si="14">K5</f>
        <v>-1.5132906438158571</v>
      </c>
      <c r="E5">
        <f t="shared" ref="E5" si="15">B5+2*C5</f>
        <v>-2.1518221563619742</v>
      </c>
      <c r="F5">
        <f t="shared" ref="F5" si="16">B5-2*D5</f>
        <v>2.0673691843519522</v>
      </c>
      <c r="G5">
        <f>B5+2*regressions!U$7</f>
        <v>1.2907335220321645</v>
      </c>
      <c r="H5">
        <f>B5-2*regressions!U$7</f>
        <v>-3.2091577285916886</v>
      </c>
      <c r="I5">
        <f>regressions!I$20*A5+regressions!I$21*A5^2</f>
        <v>-0.11507114452959977</v>
      </c>
      <c r="J5">
        <f>regressions!S$55*A5</f>
        <v>-0.59630502654110618</v>
      </c>
      <c r="K5">
        <f>regressions!I$55*A5</f>
        <v>-1.5132906438158571</v>
      </c>
      <c r="L5">
        <f t="shared" ref="L5" si="17">I5+2*J5</f>
        <v>-1.3076811976118121</v>
      </c>
      <c r="M5">
        <f t="shared" ref="M5" si="18">I5-2*K5</f>
        <v>2.9115101431021144</v>
      </c>
      <c r="N5">
        <f>IF(A5&lt;=regressions2!T$2,A5*regressions2!T$1,regressions2!T$1*regressions2!T$2+regressions2!T$3*(A5-regressions2!T$2))</f>
        <v>-0.95922759925464995</v>
      </c>
      <c r="O5">
        <f>regressions2!I$20*A5+regressions2!I$21*A5^2</f>
        <v>-1.8211611110203361</v>
      </c>
      <c r="P5">
        <f>A5*regressions2!T$1</f>
        <v>-0.95922759925464995</v>
      </c>
    </row>
    <row r="6" spans="1:17" x14ac:dyDescent="0.35">
      <c r="A6">
        <f t="shared" si="6"/>
        <v>-1.1999999999999997</v>
      </c>
      <c r="B6">
        <f>IF(A6&lt;=regressions!T$2,A6*regressions!T$1,regressions!T$1*regressions!T$2+regressions!T$3*(A6-regressions!T$2))</f>
        <v>-0.88542655687362637</v>
      </c>
      <c r="C6">
        <f t="shared" ref="C6" si="19">J6</f>
        <v>-0.55043540911486721</v>
      </c>
      <c r="D6">
        <f t="shared" ref="D6" si="20">K6</f>
        <v>-1.3968836712146373</v>
      </c>
      <c r="E6">
        <f t="shared" ref="E6" si="21">B6+2*C6</f>
        <v>-1.9862973751033608</v>
      </c>
      <c r="F6">
        <f t="shared" ref="F6" si="22">B6-2*D6</f>
        <v>1.9083407855556482</v>
      </c>
      <c r="G6">
        <f>B6+2*regressions!U$7</f>
        <v>1.3645190684383002</v>
      </c>
      <c r="H6">
        <f>B6-2*regressions!U$7</f>
        <v>-3.1353721821855531</v>
      </c>
      <c r="I6">
        <f>regressions!I$20*A6+regressions!I$21*A6^2</f>
        <v>-8.6544550935786835E-2</v>
      </c>
      <c r="J6">
        <f>regressions!S$55*A6</f>
        <v>-0.55043540911486721</v>
      </c>
      <c r="K6">
        <f>regressions!I$55*A6</f>
        <v>-1.3968836712146373</v>
      </c>
      <c r="L6">
        <f t="shared" ref="L6" si="23">I6+2*J6</f>
        <v>-1.1874153691655214</v>
      </c>
      <c r="M6">
        <f t="shared" ref="M6" si="24">I6-2*K6</f>
        <v>2.7072227914934879</v>
      </c>
      <c r="N6">
        <f>IF(A6&lt;=regressions2!T$2,A6*regressions2!T$1,regressions2!T$1*regressions2!T$2+regressions2!T$3*(A6-regressions2!T$2))</f>
        <v>-0.88544086085044604</v>
      </c>
      <c r="O6">
        <f>regressions2!I$20*A6+regressions2!I$21*A6^2</f>
        <v>-1.621212838501211</v>
      </c>
      <c r="P6">
        <f>A6*regressions2!T$1</f>
        <v>-0.88544086085044604</v>
      </c>
    </row>
    <row r="7" spans="1:17" x14ac:dyDescent="0.35">
      <c r="A7">
        <f t="shared" si="6"/>
        <v>-1.0999999999999996</v>
      </c>
      <c r="B7">
        <f>IF(A7&lt;=regressions!T$2,A7*regressions!T$1,regressions!T$1*regressions!T$2+regressions!T$3*(A7-regressions!T$2))</f>
        <v>-0.81164101046749082</v>
      </c>
      <c r="C7">
        <f t="shared" ref="C7" si="25">J7</f>
        <v>-0.50456579168862825</v>
      </c>
      <c r="D7">
        <f t="shared" ref="D7" si="26">K7</f>
        <v>-1.2804766986134173</v>
      </c>
      <c r="E7">
        <f t="shared" ref="E7" si="27">B7+2*C7</f>
        <v>-1.8207725938447474</v>
      </c>
      <c r="F7">
        <f t="shared" ref="F7" si="28">B7-2*D7</f>
        <v>1.7493123867593439</v>
      </c>
      <c r="G7">
        <f>B7+2*regressions!U$7</f>
        <v>1.4383046148444358</v>
      </c>
      <c r="H7">
        <f>B7-2*regressions!U$7</f>
        <v>-3.0615866357794173</v>
      </c>
      <c r="I7">
        <f>regressions!I$20*A7+regressions!I$21*A7^2</f>
        <v>-6.1297118523896604E-2</v>
      </c>
      <c r="J7">
        <f>regressions!S$55*A7</f>
        <v>-0.50456579168862825</v>
      </c>
      <c r="K7">
        <f>regressions!I$55*A7</f>
        <v>-1.2804766986134173</v>
      </c>
      <c r="L7">
        <f t="shared" ref="L7" si="29">I7+2*J7</f>
        <v>-1.0704287019011531</v>
      </c>
      <c r="M7">
        <f t="shared" ref="M7" si="30">I7-2*K7</f>
        <v>2.4996562787029379</v>
      </c>
      <c r="N7">
        <f>IF(A7&lt;=regressions2!T$2,A7*regressions2!T$1,regressions2!T$1*regressions2!T$2+regressions2!T$3*(A7-regressions2!T$2))</f>
        <v>-0.81165412244624213</v>
      </c>
      <c r="O7">
        <f>regressions2!I$20*A7+regressions2!I$21*A7^2</f>
        <v>-1.4312410586965509</v>
      </c>
      <c r="P7">
        <f>A7*regressions2!T$1</f>
        <v>-0.81165412244624213</v>
      </c>
    </row>
    <row r="8" spans="1:17" x14ac:dyDescent="0.35">
      <c r="A8">
        <f t="shared" si="6"/>
        <v>-0.99999999999999967</v>
      </c>
      <c r="B8">
        <f>IF(A8&lt;=regressions!T$2,A8*regressions!T$1,regressions!T$1*regressions!T$2+regressions!T$3*(A8-regressions!T$2))</f>
        <v>-0.73785546406135527</v>
      </c>
      <c r="C8">
        <f t="shared" ref="C8:C19" si="31">J8</f>
        <v>-0.45869617426238929</v>
      </c>
      <c r="D8">
        <f t="shared" ref="D8" si="32">K8</f>
        <v>-1.1640697260121975</v>
      </c>
      <c r="E8">
        <f t="shared" ref="E8:E19" si="33">B8+2*C8</f>
        <v>-1.6552478125861338</v>
      </c>
      <c r="F8">
        <f t="shared" ref="F8:F19" si="34">B8-2*D8</f>
        <v>1.5902839879630397</v>
      </c>
      <c r="G8">
        <f>B8+2*regressions!U$7</f>
        <v>1.5120901612505713</v>
      </c>
      <c r="H8">
        <f>B8-2*regressions!U$7</f>
        <v>-2.9878010893732818</v>
      </c>
      <c r="I8">
        <f>regressions!I$20*A8+regressions!I$21*A8^2</f>
        <v>-3.9328847293929034E-2</v>
      </c>
      <c r="J8">
        <f>regressions!S$55*A8</f>
        <v>-0.45869617426238929</v>
      </c>
      <c r="K8">
        <f>regressions!I$55*A8</f>
        <v>-1.1640697260121975</v>
      </c>
      <c r="L8">
        <f t="shared" ref="L8:L19" si="35">I8+2*J8</f>
        <v>-0.95672119581870763</v>
      </c>
      <c r="M8">
        <f t="shared" ref="M8:M19" si="36">I8-2*K8</f>
        <v>2.2888106047304659</v>
      </c>
      <c r="N8">
        <f>IF(A8&lt;=regressions2!T$2,A8*regressions2!T$1,regressions2!T$1*regressions2!T$2+regressions2!T$3*(A8-regressions2!T$2))</f>
        <v>-0.73786738404203833</v>
      </c>
      <c r="O8">
        <f>regressions2!I$20*A8+regressions2!I$21*A8^2</f>
        <v>-1.2512457716063563</v>
      </c>
      <c r="P8">
        <f>A8*regressions2!T$1</f>
        <v>-0.73786738404203833</v>
      </c>
      <c r="Q8">
        <f>Table1!C3</f>
        <v>-0.59642907312262095</v>
      </c>
    </row>
    <row r="9" spans="1:17" x14ac:dyDescent="0.35">
      <c r="A9">
        <f t="shared" ref="A9:A51" si="37">0.1+A8</f>
        <v>-0.89999999999999969</v>
      </c>
      <c r="B9">
        <f>IF(A9&lt;=regressions!T$2,A9*regressions!T$1,regressions!T$1*regressions!T$2+regressions!T$3*(A9-regressions!T$2))</f>
        <v>-0.66406991765521972</v>
      </c>
      <c r="C9">
        <f t="shared" si="31"/>
        <v>-0.41282655683615038</v>
      </c>
      <c r="D9">
        <f t="shared" ref="D9" si="38">K9</f>
        <v>-1.0476627534109777</v>
      </c>
      <c r="E9">
        <f t="shared" si="33"/>
        <v>-1.4897230313275205</v>
      </c>
      <c r="F9">
        <f t="shared" si="34"/>
        <v>1.4312555891667356</v>
      </c>
      <c r="G9">
        <f>B9+2*regressions!U$7</f>
        <v>1.5858757076567067</v>
      </c>
      <c r="H9">
        <f>B9-2*regressions!U$7</f>
        <v>-2.9140155429671464</v>
      </c>
      <c r="I9">
        <f>regressions!I$20*A9+regressions!I$21*A9^2</f>
        <v>-2.0639737245884138E-2</v>
      </c>
      <c r="J9">
        <f>regressions!S$55*A9</f>
        <v>-0.41282655683615038</v>
      </c>
      <c r="K9">
        <f>regressions!I$55*A9</f>
        <v>-1.0476627534109777</v>
      </c>
      <c r="L9">
        <f t="shared" si="35"/>
        <v>-0.84629285091818485</v>
      </c>
      <c r="M9">
        <f t="shared" si="36"/>
        <v>2.0746857695760714</v>
      </c>
      <c r="N9">
        <f>IF(A9&lt;=regressions2!T$2,A9*regressions2!T$1,regressions2!T$1*regressions2!T$2+regressions2!T$3*(A9-regressions2!T$2))</f>
        <v>-0.66408064563783442</v>
      </c>
      <c r="O9">
        <f>regressions2!I$20*A9+regressions2!I$21*A9^2</f>
        <v>-1.0812269772306271</v>
      </c>
      <c r="P9">
        <f>A9*regressions2!T$1</f>
        <v>-0.66408064563783442</v>
      </c>
    </row>
    <row r="10" spans="1:17" x14ac:dyDescent="0.35">
      <c r="A10">
        <f t="shared" si="37"/>
        <v>-0.79999999999999971</v>
      </c>
      <c r="B10">
        <f>IF(A10&lt;=regressions!T$2,A10*regressions!T$1,regressions!T$1*regressions!T$2+regressions!T$3*(A10-regressions!T$2))</f>
        <v>-0.59028437124908417</v>
      </c>
      <c r="C10">
        <f t="shared" si="31"/>
        <v>-0.36695693940991142</v>
      </c>
      <c r="D10">
        <f t="shared" ref="D10" si="39">K10</f>
        <v>-0.93125578080975802</v>
      </c>
      <c r="E10">
        <f t="shared" si="33"/>
        <v>-1.3241982500689069</v>
      </c>
      <c r="F10">
        <f t="shared" si="34"/>
        <v>1.2722271903704319</v>
      </c>
      <c r="G10">
        <f>B10+2*regressions!U$7</f>
        <v>1.6596612540628424</v>
      </c>
      <c r="H10">
        <f>B10-2*regressions!U$7</f>
        <v>-2.8402299965610105</v>
      </c>
      <c r="I10">
        <f>regressions!I$20*A10+regressions!I$21*A10^2</f>
        <v>-5.2297883797619155E-3</v>
      </c>
      <c r="J10">
        <f>regressions!S$55*A10</f>
        <v>-0.36695693940991142</v>
      </c>
      <c r="K10">
        <f>regressions!I$55*A10</f>
        <v>-0.93125578080975802</v>
      </c>
      <c r="L10">
        <f t="shared" si="35"/>
        <v>-0.7391436671995848</v>
      </c>
      <c r="M10">
        <f t="shared" si="36"/>
        <v>1.8572817732397542</v>
      </c>
      <c r="N10">
        <f>IF(A10&lt;=regressions2!T$2,A10*regressions2!T$1,regressions2!T$1*regressions2!T$2+regressions2!T$3*(A10-regressions2!T$2))</f>
        <v>-0.59029390723363062</v>
      </c>
      <c r="O10">
        <f>regressions2!I$20*A10+regressions2!I$21*A10^2</f>
        <v>-0.92118467556936301</v>
      </c>
      <c r="P10">
        <f>A10*regressions2!T$1</f>
        <v>-0.59029390723363062</v>
      </c>
    </row>
    <row r="11" spans="1:17" x14ac:dyDescent="0.35">
      <c r="A11">
        <f t="shared" si="37"/>
        <v>-0.69999999999999973</v>
      </c>
      <c r="B11">
        <f>IF(A11&lt;=regressions!T$2,A11*regressions!T$1,regressions!T$1*regressions!T$2+regressions!T$3*(A11-regressions!T$2))</f>
        <v>-0.51649882484294862</v>
      </c>
      <c r="C11">
        <f t="shared" si="31"/>
        <v>-0.32108732198367251</v>
      </c>
      <c r="D11">
        <f t="shared" ref="D11" si="40">K11</f>
        <v>-0.81484880820853822</v>
      </c>
      <c r="E11">
        <f t="shared" si="33"/>
        <v>-1.1586734688102935</v>
      </c>
      <c r="F11">
        <f t="shared" si="34"/>
        <v>1.1131987915741277</v>
      </c>
      <c r="G11">
        <f>B11+2*regressions!U$7</f>
        <v>1.733446800468978</v>
      </c>
      <c r="H11">
        <f>B11-2*regressions!U$7</f>
        <v>-2.7664444501548751</v>
      </c>
      <c r="I11">
        <f>regressions!I$20*A11+regressions!I$21*A11^2</f>
        <v>6.9009993044376605E-3</v>
      </c>
      <c r="J11">
        <f>regressions!S$55*A11</f>
        <v>-0.32108732198367251</v>
      </c>
      <c r="K11">
        <f>regressions!I$55*A11</f>
        <v>-0.81484880820853822</v>
      </c>
      <c r="L11">
        <f t="shared" si="35"/>
        <v>-0.63527364466290737</v>
      </c>
      <c r="M11">
        <f t="shared" si="36"/>
        <v>1.636598615721514</v>
      </c>
      <c r="N11">
        <f>IF(A11&lt;=regressions2!T$2,A11*regressions2!T$1,regressions2!T$1*regressions2!T$2+regressions2!T$3*(A11-regressions2!T$2))</f>
        <v>-0.51650716882942682</v>
      </c>
      <c r="O11">
        <f>regressions2!I$20*A11+regressions2!I$21*A11^2</f>
        <v>-0.77111886662256424</v>
      </c>
      <c r="P11">
        <f>A11*regressions2!T$1</f>
        <v>-0.51650716882942682</v>
      </c>
    </row>
    <row r="12" spans="1:17" x14ac:dyDescent="0.35">
      <c r="A12">
        <f t="shared" si="37"/>
        <v>-0.59999999999999976</v>
      </c>
      <c r="B12">
        <f>IF(A12&lt;=regressions!T$2,A12*regressions!T$1,regressions!T$1*regressions!T$2+regressions!T$3*(A12-regressions!T$2))</f>
        <v>-0.44271327843681313</v>
      </c>
      <c r="C12">
        <f t="shared" si="31"/>
        <v>-0.27521770455743355</v>
      </c>
      <c r="D12">
        <f t="shared" ref="D12" si="41">K12</f>
        <v>-0.69844183560731843</v>
      </c>
      <c r="E12">
        <f t="shared" si="33"/>
        <v>-0.99314868755168018</v>
      </c>
      <c r="F12">
        <f t="shared" si="34"/>
        <v>0.95417039277782378</v>
      </c>
      <c r="G12">
        <f>B12+2*regressions!U$7</f>
        <v>1.8072323468751135</v>
      </c>
      <c r="H12">
        <f>B12-2*regressions!U$7</f>
        <v>-2.6926589037487396</v>
      </c>
      <c r="I12">
        <f>regressions!I$20*A12+regressions!I$21*A12^2</f>
        <v>1.5752625806714562E-2</v>
      </c>
      <c r="J12">
        <f>regressions!S$55*A12</f>
        <v>-0.27521770455743355</v>
      </c>
      <c r="K12">
        <f>regressions!I$55*A12</f>
        <v>-0.69844183560731843</v>
      </c>
      <c r="L12">
        <f t="shared" si="35"/>
        <v>-0.53468278330815255</v>
      </c>
      <c r="M12">
        <f t="shared" si="36"/>
        <v>1.4126362970213515</v>
      </c>
      <c r="N12">
        <f>IF(A12&lt;=regressions2!T$2,A12*regressions2!T$1,regressions2!T$1*regressions2!T$2+regressions2!T$3*(A12-regressions2!T$2))</f>
        <v>-0.44272043042522297</v>
      </c>
      <c r="O12">
        <f>regressions2!I$20*A12+regressions2!I$21*A12^2</f>
        <v>-0.63102955039023068</v>
      </c>
      <c r="P12">
        <f>A12*regressions2!T$1</f>
        <v>-0.44272043042522297</v>
      </c>
    </row>
    <row r="13" spans="1:17" x14ac:dyDescent="0.35">
      <c r="A13">
        <f t="shared" si="37"/>
        <v>-0.49999999999999978</v>
      </c>
      <c r="B13">
        <f>IF(A13&lt;=regressions!T$2,A13*regressions!T$1,regressions!T$1*regressions!T$2+regressions!T$3*(A13-regressions!T$2))</f>
        <v>-0.36892773203067758</v>
      </c>
      <c r="C13">
        <f t="shared" si="31"/>
        <v>-0.22934808713119462</v>
      </c>
      <c r="D13">
        <f t="shared" ref="D13" si="42">K13</f>
        <v>-0.58203486300609875</v>
      </c>
      <c r="E13">
        <f t="shared" si="33"/>
        <v>-0.82762390629306681</v>
      </c>
      <c r="F13">
        <f t="shared" si="34"/>
        <v>0.79514199398151986</v>
      </c>
      <c r="G13">
        <f>B13+2*regressions!U$7</f>
        <v>1.8810178932812489</v>
      </c>
      <c r="H13">
        <f>B13-2*regressions!U$7</f>
        <v>-2.6188733573426042</v>
      </c>
      <c r="I13">
        <f>regressions!I$20*A13+regressions!I$21*A13^2</f>
        <v>2.132509112706879E-2</v>
      </c>
      <c r="J13">
        <f>regressions!S$55*A13</f>
        <v>-0.22934808713119462</v>
      </c>
      <c r="K13">
        <f>regressions!I$55*A13</f>
        <v>-0.58203486300609875</v>
      </c>
      <c r="L13">
        <f t="shared" si="35"/>
        <v>-0.43737108313532047</v>
      </c>
      <c r="M13">
        <f t="shared" si="36"/>
        <v>1.1853948171392663</v>
      </c>
      <c r="N13">
        <f>IF(A13&lt;=regressions2!T$2,A13*regressions2!T$1,regressions2!T$1*regressions2!T$2+regressions2!T$3*(A13-regressions2!T$2))</f>
        <v>-0.36893369202101911</v>
      </c>
      <c r="O13">
        <f>regressions2!I$20*A13+regressions2!I$21*A13^2</f>
        <v>-0.50091672687236233</v>
      </c>
      <c r="P13">
        <f>A13*regressions2!T$1</f>
        <v>-0.36893369202101911</v>
      </c>
    </row>
    <row r="14" spans="1:17" x14ac:dyDescent="0.35">
      <c r="A14">
        <f t="shared" si="37"/>
        <v>-0.3999999999999998</v>
      </c>
      <c r="B14">
        <f>IF(A14&lt;=regressions!T$2,A14*regressions!T$1,regressions!T$1*regressions!T$2+regressions!T$3*(A14-regressions!T$2))</f>
        <v>-0.29514218562454203</v>
      </c>
      <c r="C14">
        <f t="shared" si="31"/>
        <v>-0.18347846970495568</v>
      </c>
      <c r="D14">
        <f t="shared" ref="D14" si="43">K14</f>
        <v>-0.46562789040487895</v>
      </c>
      <c r="E14">
        <f t="shared" si="33"/>
        <v>-0.66209912503445345</v>
      </c>
      <c r="F14">
        <f t="shared" si="34"/>
        <v>0.63611359518521593</v>
      </c>
      <c r="G14">
        <f>B14+2*regressions!U$7</f>
        <v>1.9548034396873846</v>
      </c>
      <c r="H14">
        <f>B14-2*regressions!U$7</f>
        <v>-2.5450878109364687</v>
      </c>
      <c r="I14">
        <f>regressions!I$20*A14+regressions!I$21*A14^2</f>
        <v>2.3618395265500358E-2</v>
      </c>
      <c r="J14">
        <f>regressions!S$55*A14</f>
        <v>-0.18347846970495568</v>
      </c>
      <c r="K14">
        <f>regressions!I$55*A14</f>
        <v>-0.46562789040487895</v>
      </c>
      <c r="L14">
        <f t="shared" si="35"/>
        <v>-0.34333854414441101</v>
      </c>
      <c r="M14">
        <f t="shared" si="36"/>
        <v>0.95487417607525826</v>
      </c>
      <c r="N14">
        <f>IF(A14&lt;=regressions2!T$2,A14*regressions2!T$1,regressions2!T$1*regressions2!T$2+regressions2!T$3*(A14-regressions2!T$2))</f>
        <v>-0.29514695361681526</v>
      </c>
      <c r="O14">
        <f>regressions2!I$20*A14+regressions2!I$21*A14^2</f>
        <v>-0.38078039606895936</v>
      </c>
      <c r="P14">
        <f>A14*regressions2!T$1</f>
        <v>-0.29514695361681526</v>
      </c>
    </row>
    <row r="15" spans="1:17" x14ac:dyDescent="0.35">
      <c r="A15">
        <f t="shared" si="37"/>
        <v>-0.29999999999999982</v>
      </c>
      <c r="B15">
        <f>IF(A15&lt;=regressions!T$2,A15*regressions!T$1,regressions!T$1*regressions!T$2+regressions!T$3*(A15-regressions!T$2))</f>
        <v>-0.22135663921840651</v>
      </c>
      <c r="C15">
        <f t="shared" si="31"/>
        <v>-0.13760885227871675</v>
      </c>
      <c r="D15">
        <f t="shared" ref="D15" si="44">K15</f>
        <v>-0.34922091780365916</v>
      </c>
      <c r="E15">
        <f t="shared" si="33"/>
        <v>-0.49657434377583998</v>
      </c>
      <c r="F15">
        <f t="shared" si="34"/>
        <v>0.47708519638891178</v>
      </c>
      <c r="G15">
        <f>B15+2*regressions!U$7</f>
        <v>2.0285889860935202</v>
      </c>
      <c r="H15">
        <f>B15-2*regressions!U$7</f>
        <v>-2.4713022645303329</v>
      </c>
      <c r="I15">
        <f>regressions!I$20*A15+regressions!I$21*A15^2</f>
        <v>2.2632538222009266E-2</v>
      </c>
      <c r="J15">
        <f>regressions!S$55*A15</f>
        <v>-0.13760885227871675</v>
      </c>
      <c r="K15">
        <f>regressions!I$55*A15</f>
        <v>-0.34922091780365916</v>
      </c>
      <c r="L15">
        <f t="shared" si="35"/>
        <v>-0.25258516633542422</v>
      </c>
      <c r="M15">
        <f t="shared" si="36"/>
        <v>0.7210743738293276</v>
      </c>
      <c r="N15">
        <f>IF(A15&lt;=regressions2!T$2,A15*regressions2!T$1,regressions2!T$1*regressions2!T$2+regressions2!T$3*(A15-regressions2!T$2))</f>
        <v>-0.22136021521261143</v>
      </c>
      <c r="O15">
        <f>regressions2!I$20*A15+regressions2!I$21*A15^2</f>
        <v>-0.2706205579800216</v>
      </c>
      <c r="P15">
        <f>A15*regressions2!T$1</f>
        <v>-0.22136021521261143</v>
      </c>
    </row>
    <row r="16" spans="1:17" x14ac:dyDescent="0.35">
      <c r="A16">
        <f t="shared" si="37"/>
        <v>-0.19999999999999982</v>
      </c>
      <c r="B16">
        <f>IF(A16&lt;=regressions!T$2,A16*regressions!T$1,regressions!T$1*regressions!T$2+regressions!T$3*(A16-regressions!T$2))</f>
        <v>-0.14757109281227096</v>
      </c>
      <c r="C16">
        <f t="shared" si="31"/>
        <v>-9.1739234852477813E-2</v>
      </c>
      <c r="D16">
        <f t="shared" ref="D16" si="45">K16</f>
        <v>-0.23281394520243937</v>
      </c>
      <c r="E16">
        <f t="shared" si="33"/>
        <v>-0.33104956251722661</v>
      </c>
      <c r="F16">
        <f t="shared" si="34"/>
        <v>0.31805679759260774</v>
      </c>
      <c r="G16">
        <f>B16+2*regressions!U$7</f>
        <v>2.1023745324996557</v>
      </c>
      <c r="H16">
        <f>B16-2*regressions!U$7</f>
        <v>-2.3975167181241974</v>
      </c>
      <c r="I16">
        <f>regressions!I$20*A16+regressions!I$21*A16^2</f>
        <v>1.8367519996595503E-2</v>
      </c>
      <c r="J16">
        <f>regressions!S$55*A16</f>
        <v>-9.1739234852477813E-2</v>
      </c>
      <c r="K16">
        <f>regressions!I$55*A16</f>
        <v>-0.23281394520243937</v>
      </c>
      <c r="L16">
        <f t="shared" si="35"/>
        <v>-0.16511094970836013</v>
      </c>
      <c r="M16">
        <f t="shared" si="36"/>
        <v>0.48399541040147426</v>
      </c>
      <c r="N16">
        <f>IF(A16&lt;=regressions2!T$2,A16*regressions2!T$1,regressions2!T$1*regressions2!T$2+regressions2!T$3*(A16-regressions2!T$2))</f>
        <v>-0.14757347680840757</v>
      </c>
      <c r="O16">
        <f>regressions2!I$20*A16+regressions2!I$21*A16^2</f>
        <v>-0.17043721260554909</v>
      </c>
      <c r="P16">
        <f>A16*regressions2!T$1</f>
        <v>-0.14757347680840757</v>
      </c>
    </row>
    <row r="17" spans="1:18" x14ac:dyDescent="0.35">
      <c r="A17">
        <f t="shared" si="37"/>
        <v>-9.9999999999999811E-2</v>
      </c>
      <c r="B17">
        <f>IF(A17&lt;=regressions!T$2,A17*regressions!T$1,regressions!T$1*regressions!T$2+regressions!T$3*(A17-regressions!T$2))</f>
        <v>-7.378554640613541E-2</v>
      </c>
      <c r="C17">
        <f t="shared" si="31"/>
        <v>-4.5869617426238858E-2</v>
      </c>
      <c r="D17">
        <f t="shared" ref="D17" si="46">K17</f>
        <v>-0.11640697260121957</v>
      </c>
      <c r="E17">
        <f t="shared" si="33"/>
        <v>-0.16552478125861314</v>
      </c>
      <c r="F17">
        <f t="shared" si="34"/>
        <v>0.15902839879630373</v>
      </c>
      <c r="G17">
        <f>B17+2*regressions!U$7</f>
        <v>2.1761600789057911</v>
      </c>
      <c r="H17">
        <f>B17-2*regressions!U$7</f>
        <v>-2.323731171718062</v>
      </c>
      <c r="I17">
        <f>regressions!I$20*A17+regressions!I$21*A17^2</f>
        <v>1.0823340589259073E-2</v>
      </c>
      <c r="J17">
        <f>regressions!S$55*A17</f>
        <v>-4.5869617426238858E-2</v>
      </c>
      <c r="K17">
        <f>regressions!I$55*A17</f>
        <v>-0.11640697260121957</v>
      </c>
      <c r="L17">
        <f t="shared" si="35"/>
        <v>-8.0915894263218643E-2</v>
      </c>
      <c r="M17">
        <f t="shared" si="36"/>
        <v>0.24363728579169822</v>
      </c>
      <c r="N17">
        <f>IF(A17&lt;=regressions2!T$2,A17*regressions2!T$1,regressions2!T$1*regressions2!T$2+regressions2!T$3*(A17-regressions2!T$2))</f>
        <v>-7.3786738404203717E-2</v>
      </c>
      <c r="O17">
        <f>regressions2!I$20*A17+regressions2!I$21*A17^2</f>
        <v>-8.023035994554184E-2</v>
      </c>
      <c r="P17">
        <f>A17*regressions2!T$1</f>
        <v>-7.3786738404203717E-2</v>
      </c>
    </row>
    <row r="18" spans="1:18" x14ac:dyDescent="0.35">
      <c r="A18">
        <v>0</v>
      </c>
      <c r="B18">
        <f>IF(A18&lt;=regressions!T$2,A18*regressions!T$1,regressions!T$1*regressions!T$2+regressions!T$3*(A18-regressions!T$2))</f>
        <v>0</v>
      </c>
      <c r="C18">
        <f t="shared" si="31"/>
        <v>0</v>
      </c>
      <c r="D18">
        <f t="shared" ref="D18" si="47">K18</f>
        <v>0</v>
      </c>
      <c r="E18">
        <f t="shared" si="33"/>
        <v>0</v>
      </c>
      <c r="F18">
        <f t="shared" si="34"/>
        <v>0</v>
      </c>
      <c r="G18">
        <f>B18+2*regressions!U$7</f>
        <v>2.2499456253119265</v>
      </c>
      <c r="H18">
        <f>B18-2*regressions!U$7</f>
        <v>-2.2499456253119265</v>
      </c>
      <c r="I18">
        <f>regressions!I$20*A18+regressions!I$21*A18^2</f>
        <v>0</v>
      </c>
      <c r="J18">
        <f>regressions!S$55*A18</f>
        <v>0</v>
      </c>
      <c r="K18">
        <f>regressions!I$55*A18</f>
        <v>0</v>
      </c>
      <c r="L18">
        <f t="shared" si="35"/>
        <v>0</v>
      </c>
      <c r="M18">
        <f t="shared" si="36"/>
        <v>0</v>
      </c>
      <c r="N18">
        <f>IF(A18&lt;=regressions2!T$2,A18*regressions2!T$1,regressions2!T$1*regressions2!T$2+regressions2!T$3*(A18-regressions2!T$2))</f>
        <v>0</v>
      </c>
      <c r="O18">
        <f>regressions2!I$20*A18+regressions2!I$21*A18^2</f>
        <v>0</v>
      </c>
      <c r="P18">
        <f>A18*regressions2!T$1</f>
        <v>0</v>
      </c>
    </row>
    <row r="19" spans="1:18" x14ac:dyDescent="0.35">
      <c r="A19">
        <f t="shared" si="37"/>
        <v>0.1</v>
      </c>
      <c r="B19">
        <f>IF(A19&lt;=regressions!T$2,A19*regressions!T$1,regressions!T$1*regressions!T$2+regressions!T$3*(A19-regressions!T$2))</f>
        <v>7.3785546406135549E-2</v>
      </c>
      <c r="C19">
        <f t="shared" si="31"/>
        <v>4.5869617426238948E-2</v>
      </c>
      <c r="D19">
        <f t="shared" ref="D19:D79" si="48">K19</f>
        <v>0.11640697260121979</v>
      </c>
      <c r="E19">
        <f t="shared" si="33"/>
        <v>0.16552478125861345</v>
      </c>
      <c r="F19">
        <f t="shared" si="34"/>
        <v>-0.15902839879630404</v>
      </c>
      <c r="G19">
        <f>B19+2*regressions!U$7</f>
        <v>2.323731171718062</v>
      </c>
      <c r="H19">
        <f>B19-2*regressions!U$7</f>
        <v>-2.1761600789057911</v>
      </c>
      <c r="I19">
        <f>regressions!I$20*A19+regressions!I$21*A19^2</f>
        <v>-1.4102501771181757E-2</v>
      </c>
      <c r="J19">
        <f>regressions!S$55*A19</f>
        <v>4.5869617426238948E-2</v>
      </c>
      <c r="K19">
        <f>regressions!I$55*A19</f>
        <v>0.11640697260121979</v>
      </c>
      <c r="L19">
        <f t="shared" si="35"/>
        <v>7.7636733081296136E-2</v>
      </c>
      <c r="M19">
        <f t="shared" si="36"/>
        <v>-0.24691644697362133</v>
      </c>
      <c r="N19">
        <f>IF(A19&lt;=regressions2!T$2,A19*regressions2!T$1,regressions2!T$1*regressions2!T$2+regressions2!T$3*(A19-regressions2!T$2))</f>
        <v>7.3786738404203855E-2</v>
      </c>
      <c r="O19">
        <f>regressions2!I$20*A19+regressions2!I$21*A19^2</f>
        <v>7.0253867231076739E-2</v>
      </c>
      <c r="P19">
        <f>A19*regressions2!T$1</f>
        <v>7.3786738404203855E-2</v>
      </c>
    </row>
    <row r="20" spans="1:18" x14ac:dyDescent="0.35">
      <c r="A20">
        <f t="shared" si="37"/>
        <v>0.2</v>
      </c>
      <c r="B20">
        <f>IF(A20&lt;=regressions!T$2,A20*regressions!T$1,regressions!T$1*regressions!T$2+regressions!T$3*(A20-regressions!T$2))</f>
        <v>0.1475710928122711</v>
      </c>
      <c r="C20">
        <f t="shared" ref="C20:C79" si="49">J20</f>
        <v>9.1739234852477897E-2</v>
      </c>
      <c r="D20">
        <f t="shared" si="48"/>
        <v>0.23281394520243959</v>
      </c>
      <c r="E20">
        <f t="shared" ref="E20:E49" si="50">B20+2*C20</f>
        <v>0.33104956251722689</v>
      </c>
      <c r="F20">
        <f t="shared" ref="F20:F49" si="51">B20-2*D20</f>
        <v>-0.31805679759260808</v>
      </c>
      <c r="G20">
        <f>B20+2*regressions!U$7</f>
        <v>2.3975167181241979</v>
      </c>
      <c r="H20">
        <f>B20-2*regressions!U$7</f>
        <v>-2.1023745324996552</v>
      </c>
      <c r="I20">
        <f>regressions!I$20*A20+regressions!I$21*A20^2</f>
        <v>-3.1484164724286182E-2</v>
      </c>
      <c r="J20">
        <f>regressions!S$55*A20</f>
        <v>9.1739234852477897E-2</v>
      </c>
      <c r="K20">
        <f>regressions!I$55*A20</f>
        <v>0.23281394520243959</v>
      </c>
      <c r="L20">
        <f t="shared" ref="L20:L69" si="52">I20+2*J20</f>
        <v>0.15199430498066963</v>
      </c>
      <c r="M20">
        <f t="shared" ref="M20:M69" si="53">I20-2*K20</f>
        <v>-0.49711205512916534</v>
      </c>
      <c r="N20">
        <f>IF(A20&lt;=regressions2!T$2,A20*regressions2!T$1,regressions2!T$1*regressions2!T$2+regressions2!T$3*(A20-regressions2!T$2))</f>
        <v>0.14757347680840771</v>
      </c>
      <c r="O20">
        <f>regressions2!I$20*A20+regressions2!I$21*A20^2</f>
        <v>0.13053124174768821</v>
      </c>
      <c r="P20" s="1" t="b">
        <f>A19&lt;regressions2!T2</f>
        <v>1</v>
      </c>
    </row>
    <row r="21" spans="1:18" x14ac:dyDescent="0.35">
      <c r="A21">
        <f t="shared" si="37"/>
        <v>0.30000000000000004</v>
      </c>
      <c r="B21">
        <f>IF(A21&lt;=regressions!T$2,A21*regressions!T$1,regressions!T$1*regressions!T$2+regressions!T$3*(A21-regressions!T$2))</f>
        <v>0.22135663921840668</v>
      </c>
      <c r="C21">
        <f t="shared" si="49"/>
        <v>0.13760885227871686</v>
      </c>
      <c r="D21">
        <f t="shared" si="48"/>
        <v>0.34922091780365944</v>
      </c>
      <c r="E21">
        <f t="shared" si="50"/>
        <v>0.49657434377584042</v>
      </c>
      <c r="F21">
        <f t="shared" si="51"/>
        <v>-0.47708519638891222</v>
      </c>
      <c r="G21">
        <f>B21+2*regressions!U$7</f>
        <v>2.4713022645303333</v>
      </c>
      <c r="H21">
        <f>B21-2*regressions!U$7</f>
        <v>-2.0285889860935198</v>
      </c>
      <c r="I21">
        <f>regressions!I$20*A21+regressions!I$21*A21^2</f>
        <v>-5.2144988859313283E-2</v>
      </c>
      <c r="J21">
        <f>regressions!S$55*A21</f>
        <v>0.13760885227871686</v>
      </c>
      <c r="K21">
        <f>regressions!I$55*A21</f>
        <v>0.34922091780365944</v>
      </c>
      <c r="L21">
        <f t="shared" si="52"/>
        <v>0.22307271569812043</v>
      </c>
      <c r="M21">
        <f t="shared" si="53"/>
        <v>-0.75058682446663216</v>
      </c>
      <c r="N21">
        <f>IF(A21&lt;=regressions2!T$2,A21*regressions2!T$1,regressions2!T$1*regressions2!T$2+regressions2!T$3*(A21-regressions2!T$2))</f>
        <v>0.22136021521261159</v>
      </c>
      <c r="O21">
        <f>regressions2!I$20*A21+regressions2!I$21*A21^2</f>
        <v>0.18083212354983444</v>
      </c>
      <c r="P21" s="1"/>
    </row>
    <row r="22" spans="1:18" x14ac:dyDescent="0.35">
      <c r="A22">
        <f t="shared" si="37"/>
        <v>0.4</v>
      </c>
      <c r="B22">
        <f>IF(A22&lt;=regressions!T$2,A22*regressions!T$1,regressions!T$1*regressions!T$2+regressions!T$3*(A22-regressions!T$2))</f>
        <v>0.2951421856245422</v>
      </c>
      <c r="C22">
        <f t="shared" si="49"/>
        <v>0.18347846970495579</v>
      </c>
      <c r="D22">
        <f t="shared" si="48"/>
        <v>0.46562789040487917</v>
      </c>
      <c r="E22">
        <f t="shared" si="50"/>
        <v>0.66209912503445378</v>
      </c>
      <c r="F22">
        <f t="shared" si="51"/>
        <v>-0.63611359518521615</v>
      </c>
      <c r="G22">
        <f>B22+2*regressions!U$7</f>
        <v>2.5450878109364687</v>
      </c>
      <c r="H22">
        <f>B22-2*regressions!U$7</f>
        <v>-1.9548034396873843</v>
      </c>
      <c r="I22">
        <f>regressions!I$20*A22+regressions!I$21*A22^2</f>
        <v>-7.6084974176263032E-2</v>
      </c>
      <c r="J22">
        <f>regressions!S$55*A22</f>
        <v>0.18347846970495579</v>
      </c>
      <c r="K22">
        <f>regressions!I$55*A22</f>
        <v>0.46562789040487917</v>
      </c>
      <c r="L22">
        <f t="shared" si="52"/>
        <v>0.29087196523364856</v>
      </c>
      <c r="M22">
        <f t="shared" si="53"/>
        <v>-1.0073407549860214</v>
      </c>
      <c r="N22">
        <f>IF(A22&lt;=regressions2!T$2,A22*regressions2!T$1,regressions2!T$1*regressions2!T$2+regressions2!T$3*(A22-regressions2!T$2))</f>
        <v>0.29514695361681542</v>
      </c>
      <c r="O22">
        <f>regressions2!I$20*A22+regressions2!I$21*A22^2</f>
        <v>0.22115651263751535</v>
      </c>
      <c r="P22" s="1"/>
    </row>
    <row r="23" spans="1:18" x14ac:dyDescent="0.35">
      <c r="A23">
        <f t="shared" si="37"/>
        <v>0.5</v>
      </c>
      <c r="B23">
        <f>IF(A23&lt;=regressions!T$2,A23*regressions!T$1,regressions!T$1*regressions!T$2+regressions!T$3*(A23-regressions!T$2))</f>
        <v>0.36892773203067775</v>
      </c>
      <c r="C23">
        <f t="shared" si="49"/>
        <v>0.22934808713119473</v>
      </c>
      <c r="D23">
        <f t="shared" si="48"/>
        <v>0.58203486300609897</v>
      </c>
      <c r="E23">
        <f t="shared" si="50"/>
        <v>0.82762390629306726</v>
      </c>
      <c r="F23">
        <f t="shared" si="51"/>
        <v>-0.79514199398152019</v>
      </c>
      <c r="G23">
        <f>B23+2*regressions!U$7</f>
        <v>2.6188733573426042</v>
      </c>
      <c r="H23">
        <f>B23-2*regressions!U$7</f>
        <v>-1.8810178932812489</v>
      </c>
      <c r="I23">
        <f>regressions!I$20*A23+regressions!I$21*A23^2</f>
        <v>-0.10330412067513545</v>
      </c>
      <c r="J23">
        <f>regressions!S$55*A23</f>
        <v>0.22934808713119473</v>
      </c>
      <c r="K23">
        <f>regressions!I$55*A23</f>
        <v>0.58203486300609897</v>
      </c>
      <c r="L23">
        <f t="shared" si="52"/>
        <v>0.35539205358725401</v>
      </c>
      <c r="M23">
        <f t="shared" si="53"/>
        <v>-1.2673738466873334</v>
      </c>
      <c r="N23">
        <f>IF(A23&lt;=regressions2!T$2,A23*regressions2!T$1,regressions2!T$1*regressions2!T$2+regressions2!T$3*(A23-regressions2!T$2))</f>
        <v>0.36893369202101928</v>
      </c>
      <c r="O23">
        <f>regressions2!I$20*A23+regressions2!I$21*A23^2</f>
        <v>0.25150440901073101</v>
      </c>
      <c r="P23" s="1"/>
    </row>
    <row r="24" spans="1:18" x14ac:dyDescent="0.35">
      <c r="A24">
        <f t="shared" si="37"/>
        <v>0.6</v>
      </c>
      <c r="B24">
        <f>IF(A24&lt;=regressions!T$2,A24*regressions!T$1,regressions!T$1*regressions!T$2+regressions!T$3*(A24-regressions!T$2))</f>
        <v>0.4427132784368133</v>
      </c>
      <c r="C24">
        <f t="shared" si="49"/>
        <v>0.27521770455743366</v>
      </c>
      <c r="D24">
        <f t="shared" si="48"/>
        <v>0.69844183560731876</v>
      </c>
      <c r="E24">
        <f t="shared" si="50"/>
        <v>0.99314868755168062</v>
      </c>
      <c r="F24">
        <f t="shared" si="51"/>
        <v>-0.95417039277782423</v>
      </c>
      <c r="G24">
        <f>B24+2*regressions!U$7</f>
        <v>2.6926589037487396</v>
      </c>
      <c r="H24">
        <f>B24-2*regressions!U$7</f>
        <v>-1.8072323468751132</v>
      </c>
      <c r="I24">
        <f>regressions!I$20*A24+regressions!I$21*A24^2</f>
        <v>-0.13380242835593054</v>
      </c>
      <c r="J24">
        <f>regressions!S$55*A24</f>
        <v>0.27521770455743366</v>
      </c>
      <c r="K24">
        <f>regressions!I$55*A24</f>
        <v>0.69844183560731876</v>
      </c>
      <c r="L24">
        <f t="shared" si="52"/>
        <v>0.41663298075893679</v>
      </c>
      <c r="M24">
        <f t="shared" si="53"/>
        <v>-1.530686099570568</v>
      </c>
      <c r="N24">
        <f>IF(A24&lt;=regressions2!T$2,A24*regressions2!T$1,regressions2!T$1*regressions2!T$2+regressions2!T$3*(A24-regressions2!T$2))</f>
        <v>0.44272043042522313</v>
      </c>
      <c r="O24">
        <f>regressions2!I$20*A24+regressions2!I$21*A24^2</f>
        <v>0.27187581266948141</v>
      </c>
      <c r="P24" s="1"/>
    </row>
    <row r="25" spans="1:18" x14ac:dyDescent="0.35">
      <c r="A25">
        <f t="shared" si="37"/>
        <v>0.7</v>
      </c>
      <c r="B25">
        <f>IF(A25&lt;=regressions!T$2,A25*regressions!T$1,regressions!T$1*regressions!T$2+regressions!T$3*(A25-regressions!T$2))</f>
        <v>0.51649882484294884</v>
      </c>
      <c r="C25">
        <f t="shared" si="49"/>
        <v>0.32108732198367262</v>
      </c>
      <c r="D25">
        <f t="shared" si="48"/>
        <v>0.81484880820853856</v>
      </c>
      <c r="E25">
        <f t="shared" si="50"/>
        <v>1.158673468810294</v>
      </c>
      <c r="F25">
        <f t="shared" si="51"/>
        <v>-1.1131987915741282</v>
      </c>
      <c r="G25">
        <f>B25+2*regressions!U$7</f>
        <v>2.7664444501548755</v>
      </c>
      <c r="H25">
        <f>B25-2*regressions!U$7</f>
        <v>-1.7334468004689776</v>
      </c>
      <c r="I25">
        <f>regressions!I$20*A25+regressions!I$21*A25^2</f>
        <v>-0.1675798972186483</v>
      </c>
      <c r="J25">
        <f>regressions!S$55*A25</f>
        <v>0.32108732198367262</v>
      </c>
      <c r="K25">
        <f>regressions!I$55*A25</f>
        <v>0.81484880820853856</v>
      </c>
      <c r="L25">
        <f t="shared" si="52"/>
        <v>0.47459474674869695</v>
      </c>
      <c r="M25">
        <f t="shared" si="53"/>
        <v>-1.7972775136357253</v>
      </c>
      <c r="N25">
        <f>IF(A25&lt;=regressions2!T$2,A25*regressions2!T$1,regressions2!T$1*regressions2!T$2+regressions2!T$3*(A25-regressions2!T$2))</f>
        <v>0.51650716882942693</v>
      </c>
      <c r="O25">
        <f>regressions2!I$20*A25+regressions2!I$21*A25^2</f>
        <v>0.28227072361376659</v>
      </c>
      <c r="P25" s="1"/>
      <c r="Q25" s="1">
        <f>Table1!C19</f>
        <v>-0.17962065483383896</v>
      </c>
    </row>
    <row r="26" spans="1:18" x14ac:dyDescent="0.35">
      <c r="A26">
        <f t="shared" si="37"/>
        <v>0.79999999999999993</v>
      </c>
      <c r="B26">
        <f>IF(A26&lt;=regressions!T$2,A26*regressions!T$1,regressions!T$1*regressions!T$2+regressions!T$3*(A26-regressions!T$2))</f>
        <v>0.59028437124908439</v>
      </c>
      <c r="C26">
        <f t="shared" si="49"/>
        <v>0.36695693940991153</v>
      </c>
      <c r="D26">
        <f t="shared" si="48"/>
        <v>0.93125578080975824</v>
      </c>
      <c r="E26">
        <f t="shared" si="50"/>
        <v>1.3241982500689073</v>
      </c>
      <c r="F26">
        <f t="shared" si="51"/>
        <v>-1.2722271903704321</v>
      </c>
      <c r="G26">
        <f>B26+2*regressions!U$7</f>
        <v>2.8402299965610109</v>
      </c>
      <c r="H26">
        <f>B26-2*regressions!U$7</f>
        <v>-1.6596612540628422</v>
      </c>
      <c r="I26">
        <f>regressions!I$20*A26+regressions!I$21*A26^2</f>
        <v>-0.20463652726328868</v>
      </c>
      <c r="J26">
        <f>regressions!S$55*A26</f>
        <v>0.36695693940991153</v>
      </c>
      <c r="K26">
        <f>regressions!I$55*A26</f>
        <v>0.93125578080975824</v>
      </c>
      <c r="L26">
        <f t="shared" si="52"/>
        <v>0.52927735155653433</v>
      </c>
      <c r="M26">
        <f t="shared" si="53"/>
        <v>-2.0671480888828051</v>
      </c>
      <c r="N26">
        <f>IF(A26&lt;=regressions2!T$2,A26*regressions2!T$1,regressions2!T$1*regressions2!T$2+regressions2!T$3*(A26-regressions2!T$2))</f>
        <v>0.59029390723363084</v>
      </c>
      <c r="O26">
        <f>regressions2!I$20*A26+regressions2!I$21*A26^2</f>
        <v>0.28268914184358646</v>
      </c>
      <c r="P26" s="1"/>
    </row>
    <row r="27" spans="1:18" x14ac:dyDescent="0.35">
      <c r="A27">
        <f t="shared" si="37"/>
        <v>0.89999999999999991</v>
      </c>
      <c r="B27">
        <f>IF(A27&lt;=regressions!T$2,A27*regressions!T$1,regressions!T$1*regressions!T$2+regressions!T$3*(A27-regressions!T$2))</f>
        <v>0.66406991765521983</v>
      </c>
      <c r="C27">
        <f t="shared" si="49"/>
        <v>0.41282655683615049</v>
      </c>
      <c r="D27">
        <f t="shared" si="48"/>
        <v>1.0476627534109781</v>
      </c>
      <c r="E27">
        <f t="shared" si="50"/>
        <v>1.4897230313275207</v>
      </c>
      <c r="F27">
        <f t="shared" si="51"/>
        <v>-1.4312555891667365</v>
      </c>
      <c r="G27">
        <f>B27+2*regressions!U$7</f>
        <v>2.9140155429671464</v>
      </c>
      <c r="H27">
        <f>B27-2*regressions!U$7</f>
        <v>-1.5858757076567067</v>
      </c>
      <c r="I27">
        <f>regressions!I$20*A27+regressions!I$21*A27^2</f>
        <v>-0.24497231848985176</v>
      </c>
      <c r="J27">
        <f>regressions!S$55*A27</f>
        <v>0.41282655683615049</v>
      </c>
      <c r="K27">
        <f>regressions!I$55*A27</f>
        <v>1.0476627534109781</v>
      </c>
      <c r="L27">
        <f t="shared" si="52"/>
        <v>0.58068079518244919</v>
      </c>
      <c r="M27">
        <f t="shared" si="53"/>
        <v>-2.3402978253118079</v>
      </c>
      <c r="N27">
        <f>IF(A27&lt;=regressions2!T$2,A27*regressions2!T$1,regressions2!T$1*regressions2!T$2+regressions2!T$3*(A27-regressions2!T$2))</f>
        <v>0.66408064563783464</v>
      </c>
      <c r="O27">
        <f>regressions2!I$20*A27+regressions2!I$21*A27^2</f>
        <v>0.27313106735894105</v>
      </c>
      <c r="P27" s="1"/>
    </row>
    <row r="28" spans="1:18" x14ac:dyDescent="0.35">
      <c r="A28">
        <f t="shared" si="37"/>
        <v>0.99999999999999989</v>
      </c>
      <c r="B28">
        <f>IF(A28&lt;=regressions!T$2,A28*regressions!T$1,regressions!T$1*regressions!T$2+regressions!T$3*(A28-regressions!T$2))</f>
        <v>0.73785546406135538</v>
      </c>
      <c r="C28">
        <f t="shared" si="49"/>
        <v>0.4586961742623894</v>
      </c>
      <c r="D28">
        <f t="shared" si="48"/>
        <v>1.1640697260121977</v>
      </c>
      <c r="E28">
        <f t="shared" si="50"/>
        <v>1.6552478125861341</v>
      </c>
      <c r="F28">
        <f t="shared" si="51"/>
        <v>-1.5902839879630402</v>
      </c>
      <c r="G28">
        <f>B28+2*regressions!U$7</f>
        <v>2.9878010893732818</v>
      </c>
      <c r="H28">
        <f>B28-2*regressions!U$7</f>
        <v>-1.5120901612505713</v>
      </c>
      <c r="I28">
        <f>regressions!I$20*A28+regressions!I$21*A28^2</f>
        <v>-0.28858727089833752</v>
      </c>
      <c r="J28">
        <f>regressions!S$55*A28</f>
        <v>0.4586961742623894</v>
      </c>
      <c r="K28">
        <f>regressions!I$55*A28</f>
        <v>1.1640697260121977</v>
      </c>
      <c r="L28">
        <f t="shared" si="52"/>
        <v>0.62880507762644133</v>
      </c>
      <c r="M28">
        <f t="shared" si="53"/>
        <v>-2.6167267229227331</v>
      </c>
      <c r="N28">
        <f>IF(A28&lt;=regressions2!T$2,A28*regressions2!T$1,regressions2!T$1*regressions2!T$2+regressions2!T$3*(A28-regressions2!T$2))</f>
        <v>0.73786738404203844</v>
      </c>
      <c r="O28">
        <f>regressions2!I$20*A28+regressions2!I$21*A28^2</f>
        <v>0.25359650015983043</v>
      </c>
      <c r="P28" s="1"/>
      <c r="Q28" s="1">
        <f>Table1!C17</f>
        <v>2.2999999999999998</v>
      </c>
      <c r="R28" s="1">
        <f>Table1!C20</f>
        <v>-0.30947656699459297</v>
      </c>
    </row>
    <row r="29" spans="1:18" x14ac:dyDescent="0.35">
      <c r="A29">
        <f t="shared" si="37"/>
        <v>1.0999999999999999</v>
      </c>
      <c r="B29">
        <f>IF(A29&lt;=regressions!T$2,A29*regressions!T$1,regressions!T$1*regressions!T$2+regressions!T$3*(A29-regressions!T$2))</f>
        <v>0.62579711076673172</v>
      </c>
      <c r="C29">
        <f t="shared" si="49"/>
        <v>0.50456579168862836</v>
      </c>
      <c r="D29">
        <f t="shared" si="48"/>
        <v>1.2804766986134175</v>
      </c>
      <c r="E29">
        <f t="shared" si="50"/>
        <v>1.6349286941439884</v>
      </c>
      <c r="F29">
        <f t="shared" si="51"/>
        <v>-1.9351562864601033</v>
      </c>
      <c r="G29">
        <f>B29+2*regressions!U$7</f>
        <v>2.8757427360786583</v>
      </c>
      <c r="H29">
        <f>B29-2*regressions!U$7</f>
        <v>-1.6241485145451948</v>
      </c>
      <c r="I29">
        <f>regressions!I$20*A29+regressions!I$21*A29^2</f>
        <v>-0.33548138448874598</v>
      </c>
      <c r="J29">
        <f>regressions!S$55*A29</f>
        <v>0.50456579168862836</v>
      </c>
      <c r="K29">
        <f>regressions!I$55*A29</f>
        <v>1.2804766986134175</v>
      </c>
      <c r="L29">
        <f t="shared" si="52"/>
        <v>0.67365019888851074</v>
      </c>
      <c r="M29">
        <f t="shared" si="53"/>
        <v>-2.8964347817155809</v>
      </c>
      <c r="N29">
        <f>IF(A29&lt;=regressions2!T$2,A29*regressions2!T$1,regressions2!T$1*regressions2!T$2+regressions2!T$3*(A29-regressions2!T$2))</f>
        <v>0.81165412244624235</v>
      </c>
      <c r="O29">
        <f>regressions2!I$20*A29+regressions2!I$21*A29^2</f>
        <v>0.22408544024625454</v>
      </c>
      <c r="P29" s="1"/>
    </row>
    <row r="30" spans="1:18" x14ac:dyDescent="0.35">
      <c r="A30">
        <f t="shared" si="37"/>
        <v>1.2</v>
      </c>
      <c r="B30">
        <f>IF(A30&lt;=regressions!T$2,A30*regressions!T$1,regressions!T$1*regressions!T$2+regressions!T$3*(A30-regressions!T$2))</f>
        <v>0.48466522342834428</v>
      </c>
      <c r="C30">
        <f t="shared" si="49"/>
        <v>0.55043540911486732</v>
      </c>
      <c r="D30">
        <f t="shared" si="48"/>
        <v>1.3968836712146375</v>
      </c>
      <c r="E30">
        <f t="shared" si="50"/>
        <v>1.585536041658079</v>
      </c>
      <c r="F30">
        <f t="shared" si="51"/>
        <v>-2.3091021190009307</v>
      </c>
      <c r="G30">
        <f>B30+2*regressions!U$7</f>
        <v>2.7346108487402709</v>
      </c>
      <c r="H30">
        <f>B30-2*regressions!U$7</f>
        <v>-1.7652804018835822</v>
      </c>
      <c r="I30">
        <f>regressions!I$20*A30+regressions!I$21*A30^2</f>
        <v>-0.38565465926107712</v>
      </c>
      <c r="J30">
        <f>regressions!S$55*A30</f>
        <v>0.55043540911486732</v>
      </c>
      <c r="K30">
        <f>regressions!I$55*A30</f>
        <v>1.3968836712146375</v>
      </c>
      <c r="L30">
        <f t="shared" si="52"/>
        <v>0.71521615896865753</v>
      </c>
      <c r="M30">
        <f t="shared" si="53"/>
        <v>-3.1794220016903521</v>
      </c>
      <c r="N30">
        <f>IF(A30&lt;=regressions2!T$2,A30*regressions2!T$1,regressions2!T$1*regressions2!T$2+regressions2!T$3*(A30-regressions2!T$2))</f>
        <v>0.88544086085044627</v>
      </c>
      <c r="O30">
        <f>regressions2!I$20*A30+regressions2!I$21*A30^2</f>
        <v>0.18459788761821327</v>
      </c>
      <c r="P30" s="1"/>
    </row>
    <row r="31" spans="1:18" x14ac:dyDescent="0.35">
      <c r="A31">
        <f t="shared" si="37"/>
        <v>1.3</v>
      </c>
      <c r="B31">
        <f>IF(A31&lt;=regressions!T$2,A31*regressions!T$1,regressions!T$1*regressions!T$2+regressions!T$3*(A31-regressions!T$2))</f>
        <v>0.3435333360899569</v>
      </c>
      <c r="C31">
        <f t="shared" si="49"/>
        <v>0.59630502654110629</v>
      </c>
      <c r="D31">
        <f t="shared" si="48"/>
        <v>1.5132906438158573</v>
      </c>
      <c r="E31">
        <f t="shared" si="50"/>
        <v>1.5361433891721694</v>
      </c>
      <c r="F31">
        <f t="shared" si="51"/>
        <v>-2.6830479515417576</v>
      </c>
      <c r="G31">
        <f>B31+2*regressions!U$7</f>
        <v>2.5934789614018836</v>
      </c>
      <c r="H31">
        <f>B31-2*regressions!U$7</f>
        <v>-1.9064122892219697</v>
      </c>
      <c r="I31">
        <f>regressions!I$20*A31+regressions!I$21*A31^2</f>
        <v>-0.43910709521533087</v>
      </c>
      <c r="J31">
        <f>regressions!S$55*A31</f>
        <v>0.59630502654110629</v>
      </c>
      <c r="K31">
        <f>regressions!I$55*A31</f>
        <v>1.5132906438158573</v>
      </c>
      <c r="L31">
        <f t="shared" si="52"/>
        <v>0.75350295786688171</v>
      </c>
      <c r="M31">
        <f t="shared" si="53"/>
        <v>-3.4656883828470457</v>
      </c>
      <c r="N31">
        <f>IF(A31&lt;=regressions2!T$2,A31*regressions2!T$1,regressions2!T$1*regressions2!T$2+regressions2!T$3*(A31-regressions2!T$2))</f>
        <v>0.95922759925465018</v>
      </c>
      <c r="O31">
        <f>regressions2!I$20*A31+regressions2!I$21*A31^2</f>
        <v>0.13513384227570691</v>
      </c>
    </row>
    <row r="32" spans="1:18" x14ac:dyDescent="0.35">
      <c r="A32">
        <f t="shared" si="37"/>
        <v>1.4000000000000001</v>
      </c>
      <c r="B32">
        <f>IF(A32&lt;=regressions!T$2,A32*regressions!T$1,regressions!T$1*regressions!T$2+regressions!T$3*(A32-regressions!T$2))</f>
        <v>0.20240144875156951</v>
      </c>
      <c r="C32">
        <f t="shared" si="49"/>
        <v>0.64217464396734525</v>
      </c>
      <c r="D32">
        <f t="shared" si="48"/>
        <v>1.6296976164170773</v>
      </c>
      <c r="E32">
        <f t="shared" si="50"/>
        <v>1.48675073668626</v>
      </c>
      <c r="F32">
        <f t="shared" si="51"/>
        <v>-3.0569937840825849</v>
      </c>
      <c r="G32">
        <f>B32+2*regressions!U$7</f>
        <v>2.4523470740634963</v>
      </c>
      <c r="H32">
        <f>B32-2*regressions!U$7</f>
        <v>-2.0475441765603568</v>
      </c>
      <c r="I32">
        <f>regressions!I$20*A32+regressions!I$21*A32^2</f>
        <v>-0.49583869235150735</v>
      </c>
      <c r="J32">
        <f>regressions!S$55*A32</f>
        <v>0.64217464396734525</v>
      </c>
      <c r="K32">
        <f>regressions!I$55*A32</f>
        <v>1.6296976164170773</v>
      </c>
      <c r="L32">
        <f t="shared" si="52"/>
        <v>0.78851059558318315</v>
      </c>
      <c r="M32">
        <f t="shared" si="53"/>
        <v>-3.7552339251856619</v>
      </c>
      <c r="N32">
        <f>IF(A32&lt;=regressions2!T$2,A32*regressions2!T$1,regressions2!T$1*regressions2!T$2+regressions2!T$3*(A32-regressions2!T$2))</f>
        <v>0.80099888841012579</v>
      </c>
      <c r="O32">
        <f>regressions2!I$20*A32+regressions2!I$21*A32^2</f>
        <v>7.5693304218735102E-2</v>
      </c>
    </row>
    <row r="33" spans="1:28" x14ac:dyDescent="0.35">
      <c r="A33">
        <f t="shared" si="37"/>
        <v>1.5000000000000002</v>
      </c>
      <c r="B33">
        <f>IF(A33&lt;=regressions!T$2,A33*regressions!T$1,regressions!T$1*regressions!T$2+regressions!T$3*(A33-regressions!T$2))</f>
        <v>6.1269561413182183E-2</v>
      </c>
      <c r="C33">
        <f t="shared" si="49"/>
        <v>0.68804426139358432</v>
      </c>
      <c r="D33">
        <f t="shared" si="48"/>
        <v>1.7461045890182971</v>
      </c>
      <c r="E33">
        <f t="shared" si="50"/>
        <v>1.4373580842003508</v>
      </c>
      <c r="F33">
        <f t="shared" si="51"/>
        <v>-3.4309396166234123</v>
      </c>
      <c r="G33">
        <f>B33+2*regressions!U$7</f>
        <v>2.3112151867251089</v>
      </c>
      <c r="H33">
        <f>B33-2*regressions!U$7</f>
        <v>-2.1886760638987441</v>
      </c>
      <c r="I33">
        <f>regressions!I$20*A33+regressions!I$21*A33^2</f>
        <v>-0.55584945066960656</v>
      </c>
      <c r="J33">
        <f>regressions!S$55*A33</f>
        <v>0.68804426139358432</v>
      </c>
      <c r="K33">
        <f>regressions!I$55*A33</f>
        <v>1.7461045890182971</v>
      </c>
      <c r="L33">
        <f t="shared" si="52"/>
        <v>0.82023907211756208</v>
      </c>
      <c r="M33">
        <f t="shared" si="53"/>
        <v>-4.048058628706201</v>
      </c>
      <c r="N33">
        <f>IF(A33&lt;=regressions2!T$2,A33*regressions2!T$1,regressions2!T$1*regressions2!T$2+regressions2!T$3*(A33-regressions2!T$2))</f>
        <v>0.61172533611253965</v>
      </c>
      <c r="O33">
        <f>regressions2!I$20*A33+regressions2!I$21*A33^2</f>
        <v>6.2762734472980863E-3</v>
      </c>
    </row>
    <row r="34" spans="1:28" x14ac:dyDescent="0.35">
      <c r="A34">
        <f t="shared" si="37"/>
        <v>1.6000000000000003</v>
      </c>
      <c r="B34">
        <f>IF(A34&lt;=regressions!T$2,A34*regressions!T$1,regressions!T$1*regressions!T$2+regressions!T$3*(A34-regressions!T$2))</f>
        <v>-7.9862325925205258E-2</v>
      </c>
      <c r="C34">
        <f t="shared" si="49"/>
        <v>0.73391387881982328</v>
      </c>
      <c r="D34">
        <f t="shared" si="48"/>
        <v>1.8625115616195171</v>
      </c>
      <c r="E34">
        <f t="shared" si="50"/>
        <v>1.3879654317144414</v>
      </c>
      <c r="F34">
        <f t="shared" si="51"/>
        <v>-3.8048854491642397</v>
      </c>
      <c r="G34">
        <f>B34+2*regressions!U$7</f>
        <v>2.1700832993867212</v>
      </c>
      <c r="H34">
        <f>B34-2*regressions!U$7</f>
        <v>-2.3298079512371319</v>
      </c>
      <c r="I34">
        <f>regressions!I$20*A34+regressions!I$21*A34^2</f>
        <v>-0.61913937016962828</v>
      </c>
      <c r="J34">
        <f>regressions!S$55*A34</f>
        <v>0.73391387881982328</v>
      </c>
      <c r="K34">
        <f>regressions!I$55*A34</f>
        <v>1.8625115616195171</v>
      </c>
      <c r="L34">
        <f t="shared" si="52"/>
        <v>0.84868838747001829</v>
      </c>
      <c r="M34">
        <f t="shared" si="53"/>
        <v>-4.3441624934086622</v>
      </c>
      <c r="N34">
        <f>IF(A34&lt;=regressions2!T$2,A34*regressions2!T$1,regressions2!T$1*regressions2!T$2+regressions2!T$3*(A34-regressions2!T$2))</f>
        <v>0.42245178381495341</v>
      </c>
      <c r="O34">
        <f>regressions2!I$20*A34+regressions2!I$21*A34^2</f>
        <v>-7.3117250038604142E-2</v>
      </c>
    </row>
    <row r="35" spans="1:28" x14ac:dyDescent="0.35">
      <c r="A35">
        <f t="shared" si="37"/>
        <v>1.7000000000000004</v>
      </c>
      <c r="B35">
        <f>IF(A35&lt;=regressions!T$2,A35*regressions!T$1,regressions!T$1*regressions!T$2+regressions!T$3*(A35-regressions!T$2))</f>
        <v>-0.22099421326359259</v>
      </c>
      <c r="C35">
        <f t="shared" si="49"/>
        <v>0.77978349624606225</v>
      </c>
      <c r="D35">
        <f t="shared" si="48"/>
        <v>1.9789185342207369</v>
      </c>
      <c r="E35">
        <f t="shared" si="50"/>
        <v>1.338572779228532</v>
      </c>
      <c r="F35">
        <f t="shared" si="51"/>
        <v>-4.1788312817050661</v>
      </c>
      <c r="G35">
        <f>B35+2*regressions!U$7</f>
        <v>2.0289514120483338</v>
      </c>
      <c r="H35">
        <f>B35-2*regressions!U$7</f>
        <v>-2.4709398385755192</v>
      </c>
      <c r="I35">
        <f>regressions!I$20*A35+regressions!I$21*A35^2</f>
        <v>-0.68570845085157284</v>
      </c>
      <c r="J35">
        <f>regressions!S$55*A35</f>
        <v>0.77978349624606225</v>
      </c>
      <c r="K35">
        <f>regressions!I$55*A35</f>
        <v>1.9789185342207369</v>
      </c>
      <c r="L35">
        <f t="shared" si="52"/>
        <v>0.87385854164055166</v>
      </c>
      <c r="M35">
        <f t="shared" si="53"/>
        <v>-4.6435455192930464</v>
      </c>
      <c r="N35">
        <f>IF(A35&lt;=regressions2!T$2,A35*regressions2!T$1,regressions2!T$1*regressions2!T$2+regressions2!T$3*(A35-regressions2!T$2))</f>
        <v>0.23317823151736727</v>
      </c>
      <c r="O35">
        <f>regressions2!I$20*A35+regressions2!I$21*A35^2</f>
        <v>-0.16248726623897181</v>
      </c>
    </row>
    <row r="36" spans="1:28" x14ac:dyDescent="0.35">
      <c r="A36">
        <f t="shared" si="37"/>
        <v>1.8000000000000005</v>
      </c>
      <c r="B36">
        <f>IF(A36&lt;=regressions!T$2,A36*regressions!T$1,regressions!T$1*regressions!T$2+regressions!T$3*(A36-regressions!T$2))</f>
        <v>-0.36212610060197992</v>
      </c>
      <c r="C36">
        <f t="shared" si="49"/>
        <v>0.82565311367230121</v>
      </c>
      <c r="D36">
        <f t="shared" si="48"/>
        <v>2.0953255068219567</v>
      </c>
      <c r="E36">
        <f t="shared" si="50"/>
        <v>1.2891801267426226</v>
      </c>
      <c r="F36">
        <f t="shared" si="51"/>
        <v>-4.5527771142458935</v>
      </c>
      <c r="G36">
        <f>B36+2*regressions!U$7</f>
        <v>1.8878195247099465</v>
      </c>
      <c r="H36">
        <f>B36-2*regressions!U$7</f>
        <v>-2.6120717259139066</v>
      </c>
      <c r="I36">
        <f>regressions!I$20*A36+regressions!I$21*A36^2</f>
        <v>-0.75555669271544001</v>
      </c>
      <c r="J36">
        <f>regressions!S$55*A36</f>
        <v>0.82565311367230121</v>
      </c>
      <c r="K36">
        <f>regressions!I$55*A36</f>
        <v>2.0953255068219567</v>
      </c>
      <c r="L36">
        <f t="shared" si="52"/>
        <v>0.8957495346291624</v>
      </c>
      <c r="M36">
        <f t="shared" si="53"/>
        <v>-4.9462077063593535</v>
      </c>
      <c r="N36">
        <f>IF(A36&lt;=regressions2!T$2,A36*regressions2!T$1,regressions2!T$1*regressions2!T$2+regressions2!T$3*(A36-regressions2!T$2))</f>
        <v>4.390467921978114E-2</v>
      </c>
      <c r="O36">
        <f>regressions2!I$20*A36+regressions2!I$21*A36^2</f>
        <v>-0.2618337751538049</v>
      </c>
    </row>
    <row r="37" spans="1:28" x14ac:dyDescent="0.35">
      <c r="A37">
        <f t="shared" si="37"/>
        <v>1.9000000000000006</v>
      </c>
      <c r="B37">
        <f>IF(A37&lt;=regressions!T$2,A37*regressions!T$1,regressions!T$1*regressions!T$2+regressions!T$3*(A37-regressions!T$2))</f>
        <v>-0.50325798794036747</v>
      </c>
      <c r="C37">
        <f t="shared" si="49"/>
        <v>0.87152273109854028</v>
      </c>
      <c r="D37">
        <f t="shared" si="48"/>
        <v>2.2117324794231767</v>
      </c>
      <c r="E37">
        <f t="shared" si="50"/>
        <v>1.2397874742567132</v>
      </c>
      <c r="F37">
        <f t="shared" si="51"/>
        <v>-4.9267229467867208</v>
      </c>
      <c r="G37">
        <f>B37+2*regressions!U$7</f>
        <v>1.7466876373715592</v>
      </c>
      <c r="H37">
        <f>B37-2*regressions!U$7</f>
        <v>-2.7532036132522939</v>
      </c>
      <c r="I37">
        <f>regressions!I$20*A37+regressions!I$21*A37^2</f>
        <v>-0.82868409576122981</v>
      </c>
      <c r="J37">
        <f>regressions!S$55*A37</f>
        <v>0.87152273109854028</v>
      </c>
      <c r="K37">
        <f>regressions!I$55*A37</f>
        <v>2.2117324794231767</v>
      </c>
      <c r="L37">
        <f t="shared" si="52"/>
        <v>0.91436136643585075</v>
      </c>
      <c r="M37">
        <f t="shared" si="53"/>
        <v>-5.2521490546075835</v>
      </c>
      <c r="N37">
        <f>IF(A37&lt;=regressions2!T$2,A37*regressions2!T$1,regressions2!T$1*regressions2!T$2+regressions2!T$3*(A37-regressions2!T$2))</f>
        <v>-0.14536887307780511</v>
      </c>
      <c r="O37">
        <f>regressions2!I$20*A37+regressions2!I$21*A37^2</f>
        <v>-0.37115677678310299</v>
      </c>
      <c r="Q37" s="1">
        <f>Table1!C26</f>
        <v>-0.5</v>
      </c>
    </row>
    <row r="38" spans="1:28" x14ac:dyDescent="0.35">
      <c r="A38">
        <f t="shared" si="37"/>
        <v>2.0000000000000004</v>
      </c>
      <c r="B38">
        <f>IF(A38&lt;=regressions!T$2,A38*regressions!T$1,regressions!T$1*regressions!T$2+regressions!T$3*(A38-regressions!T$2))</f>
        <v>-0.64438987527875458</v>
      </c>
      <c r="C38">
        <f t="shared" si="49"/>
        <v>0.91739234852477913</v>
      </c>
      <c r="D38">
        <f t="shared" si="48"/>
        <v>2.3281394520243963</v>
      </c>
      <c r="E38">
        <f t="shared" si="50"/>
        <v>1.1903948217708038</v>
      </c>
      <c r="F38">
        <f t="shared" si="51"/>
        <v>-5.3006687793275473</v>
      </c>
      <c r="G38">
        <f>B38+2*regressions!U$7</f>
        <v>1.6055557500331719</v>
      </c>
      <c r="H38">
        <f>B38-2*regressions!U$7</f>
        <v>-2.8943355005906812</v>
      </c>
      <c r="I38">
        <f>regressions!I$20*A38+regressions!I$21*A38^2</f>
        <v>-0.90509065998894223</v>
      </c>
      <c r="J38">
        <f>regressions!S$55*A38</f>
        <v>0.91739234852477913</v>
      </c>
      <c r="K38">
        <f>regressions!I$55*A38</f>
        <v>2.3281394520243963</v>
      </c>
      <c r="L38">
        <f t="shared" si="52"/>
        <v>0.92969403706061604</v>
      </c>
      <c r="M38">
        <f t="shared" si="53"/>
        <v>-5.5613695640377347</v>
      </c>
      <c r="N38">
        <f>IF(A38&lt;=regressions2!T$2,A38*regressions2!T$1,regressions2!T$1*regressions2!T$2+regressions2!T$3*(A38-regressions2!T$2))</f>
        <v>-0.3346424253753908</v>
      </c>
      <c r="O38">
        <f>regressions2!I$20*A38+regressions2!I$21*A38^2</f>
        <v>-0.49045627112686607</v>
      </c>
      <c r="AA38" s="1"/>
    </row>
    <row r="39" spans="1:28" x14ac:dyDescent="0.35">
      <c r="A39">
        <f t="shared" si="37"/>
        <v>2.1000000000000005</v>
      </c>
      <c r="B39">
        <f>IF(A39&lt;=regressions!T$2,A39*regressions!T$1,regressions!T$1*regressions!T$2+regressions!T$3*(A39-regressions!T$2))</f>
        <v>-0.78552176261714191</v>
      </c>
      <c r="C39">
        <f t="shared" si="49"/>
        <v>0.9632619659510181</v>
      </c>
      <c r="D39">
        <f t="shared" si="48"/>
        <v>2.4445464246256163</v>
      </c>
      <c r="E39">
        <f t="shared" si="50"/>
        <v>1.1410021692848944</v>
      </c>
      <c r="F39">
        <f t="shared" si="51"/>
        <v>-5.6746146118683747</v>
      </c>
      <c r="G39">
        <f>B39+2*regressions!U$7</f>
        <v>1.4644238626947845</v>
      </c>
      <c r="H39">
        <f>B39-2*regressions!U$7</f>
        <v>-3.0354673879290686</v>
      </c>
      <c r="I39">
        <f>regressions!I$20*A39+regressions!I$21*A39^2</f>
        <v>-0.98477638539857726</v>
      </c>
      <c r="J39">
        <f>regressions!S$55*A39</f>
        <v>0.9632619659510181</v>
      </c>
      <c r="K39">
        <f>regressions!I$55*A39</f>
        <v>2.4445464246256163</v>
      </c>
      <c r="L39">
        <f t="shared" si="52"/>
        <v>0.94174754650345893</v>
      </c>
      <c r="M39">
        <f t="shared" si="53"/>
        <v>-5.8738692346498098</v>
      </c>
      <c r="N39">
        <f>IF(A39&lt;=regressions2!T$2,A39*regressions2!T$1,regressions2!T$1*regressions2!T$2+regressions2!T$3*(A39-regressions2!T$2))</f>
        <v>-0.52391597767297693</v>
      </c>
      <c r="O39">
        <f>regressions2!I$20*A39+regressions2!I$21*A39^2</f>
        <v>-0.61973225818509503</v>
      </c>
    </row>
    <row r="40" spans="1:28" x14ac:dyDescent="0.35">
      <c r="A40">
        <f t="shared" si="37"/>
        <v>2.2000000000000006</v>
      </c>
      <c r="B40">
        <f>IF(A40&lt;=regressions!T$2,A40*regressions!T$1,regressions!T$1*regressions!T$2+regressions!T$3*(A40-regressions!T$2))</f>
        <v>-0.92665364995552923</v>
      </c>
      <c r="C40">
        <f t="shared" si="49"/>
        <v>1.0091315833772572</v>
      </c>
      <c r="D40">
        <f t="shared" si="48"/>
        <v>2.5609533972268363</v>
      </c>
      <c r="E40">
        <f t="shared" si="50"/>
        <v>1.091609516798985</v>
      </c>
      <c r="F40">
        <f t="shared" si="51"/>
        <v>-6.048560444409202</v>
      </c>
      <c r="G40">
        <f>B40+2*regressions!U$7</f>
        <v>1.3232919753563972</v>
      </c>
      <c r="H40">
        <f>B40-2*regressions!U$7</f>
        <v>-3.1765992752674559</v>
      </c>
      <c r="I40">
        <f>regressions!I$20*A40+regressions!I$21*A40^2</f>
        <v>-1.0677412719901351</v>
      </c>
      <c r="J40">
        <f>regressions!S$55*A40</f>
        <v>1.0091315833772572</v>
      </c>
      <c r="K40">
        <f>regressions!I$55*A40</f>
        <v>2.5609533972268363</v>
      </c>
      <c r="L40">
        <f t="shared" si="52"/>
        <v>0.9505218947643792</v>
      </c>
      <c r="M40">
        <f t="shared" si="53"/>
        <v>-6.1896480664438078</v>
      </c>
      <c r="N40">
        <f>IF(A40&lt;=regressions2!T$2,A40*regressions2!T$1,regressions2!T$1*regressions2!T$2+regressions2!T$3*(A40-regressions2!T$2))</f>
        <v>-0.71318952997056306</v>
      </c>
      <c r="O40">
        <f>regressions2!I$20*A40+regressions2!I$21*A40^2</f>
        <v>-0.75898473795778876</v>
      </c>
    </row>
    <row r="41" spans="1:28" x14ac:dyDescent="0.35">
      <c r="A41">
        <f t="shared" si="37"/>
        <v>2.3000000000000007</v>
      </c>
      <c r="B41">
        <f>IF(A41&lt;=regressions!T$2,A41*regressions!T$1,regressions!T$1*regressions!T$2+regressions!T$3*(A41-regressions!T$2))</f>
        <v>-1.0677855372939167</v>
      </c>
      <c r="C41">
        <f t="shared" si="49"/>
        <v>1.0550012008034961</v>
      </c>
      <c r="D41">
        <f t="shared" si="48"/>
        <v>2.6773603698280559</v>
      </c>
      <c r="E41">
        <f t="shared" si="50"/>
        <v>1.0422168643130756</v>
      </c>
      <c r="F41">
        <f t="shared" si="51"/>
        <v>-6.4225062769500285</v>
      </c>
      <c r="G41">
        <f>B41+2*regressions!U$7</f>
        <v>1.1821600880180099</v>
      </c>
      <c r="H41">
        <f>B41-2*regressions!U$7</f>
        <v>-3.3177311626058432</v>
      </c>
      <c r="I41">
        <f>regressions!I$20*A41+regressions!I$21*A41^2</f>
        <v>-1.1539853197636158</v>
      </c>
      <c r="J41">
        <f>regressions!S$55*A41</f>
        <v>1.0550012008034961</v>
      </c>
      <c r="K41">
        <f>regressions!I$55*A41</f>
        <v>2.6773603698280559</v>
      </c>
      <c r="L41">
        <f t="shared" si="52"/>
        <v>0.95601708184337642</v>
      </c>
      <c r="M41">
        <f t="shared" si="53"/>
        <v>-6.5087060594197279</v>
      </c>
      <c r="N41">
        <f>IF(A41&lt;=regressions2!T$2,A41*regressions2!T$1,regressions2!T$1*regressions2!T$2+regressions2!T$3*(A41-regressions2!T$2))</f>
        <v>-0.9024630822681492</v>
      </c>
      <c r="O41">
        <f>regressions2!I$20*A41+regressions2!I$21*A41^2</f>
        <v>-0.90821371044494859</v>
      </c>
    </row>
    <row r="42" spans="1:28" x14ac:dyDescent="0.35">
      <c r="A42">
        <f t="shared" si="37"/>
        <v>2.4000000000000008</v>
      </c>
      <c r="B42">
        <f>IF(A42&lt;=regressions!T$2,A42*regressions!T$1,regressions!T$1*regressions!T$2+regressions!T$3*(A42-regressions!T$2))</f>
        <v>-1.208917424632304</v>
      </c>
      <c r="C42">
        <f t="shared" si="49"/>
        <v>1.1008708182297351</v>
      </c>
      <c r="D42">
        <f t="shared" si="48"/>
        <v>2.7937673424292759</v>
      </c>
      <c r="E42">
        <f t="shared" si="50"/>
        <v>0.99282421182716618</v>
      </c>
      <c r="F42">
        <f t="shared" si="51"/>
        <v>-6.7964521094908559</v>
      </c>
      <c r="G42">
        <f>B42+2*regressions!U$7</f>
        <v>1.0410282006796225</v>
      </c>
      <c r="H42">
        <f>B42-2*regressions!U$7</f>
        <v>-3.4588630499442305</v>
      </c>
      <c r="I42">
        <f>regressions!I$20*A42+regressions!I$21*A42^2</f>
        <v>-1.2435085287190191</v>
      </c>
      <c r="J42">
        <f>regressions!S$55*A42</f>
        <v>1.1008708182297351</v>
      </c>
      <c r="K42">
        <f>regressions!I$55*A42</f>
        <v>2.7937673424292759</v>
      </c>
      <c r="L42">
        <f t="shared" si="52"/>
        <v>0.95823310774045112</v>
      </c>
      <c r="M42">
        <f t="shared" si="53"/>
        <v>-6.8310432135775709</v>
      </c>
      <c r="N42">
        <f>IF(A42&lt;=regressions2!T$2,A42*regressions2!T$1,regressions2!T$1*regressions2!T$2+regressions2!T$3*(A42-regressions2!T$2))</f>
        <v>-1.0917366345657351</v>
      </c>
      <c r="O42">
        <f>regressions2!I$20*A42+regressions2!I$21*A42^2</f>
        <v>-1.0674191756465732</v>
      </c>
    </row>
    <row r="43" spans="1:28" x14ac:dyDescent="0.35">
      <c r="A43">
        <f t="shared" si="37"/>
        <v>2.5000000000000009</v>
      </c>
      <c r="B43">
        <f>IF(A43&lt;=regressions!T$2,A43*regressions!T$1,regressions!T$1*regressions!T$2+regressions!T$3*(A43-regressions!T$2))</f>
        <v>-1.3500493119706913</v>
      </c>
      <c r="C43">
        <f t="shared" si="49"/>
        <v>1.1467404356559741</v>
      </c>
      <c r="D43">
        <f t="shared" si="48"/>
        <v>2.910174315030496</v>
      </c>
      <c r="E43">
        <f t="shared" si="50"/>
        <v>0.94343155934125678</v>
      </c>
      <c r="F43">
        <f t="shared" si="51"/>
        <v>-7.1703979420316832</v>
      </c>
      <c r="G43">
        <f>B43+2*regressions!U$7</f>
        <v>0.89989631334123521</v>
      </c>
      <c r="H43">
        <f>B43-2*regressions!U$7</f>
        <v>-3.5999949372826179</v>
      </c>
      <c r="I43">
        <f>regressions!I$20*A43+regressions!I$21*A43^2</f>
        <v>-1.3363108988563446</v>
      </c>
      <c r="J43">
        <f>regressions!S$55*A43</f>
        <v>1.1467404356559741</v>
      </c>
      <c r="K43">
        <f>regressions!I$55*A43</f>
        <v>2.910174315030496</v>
      </c>
      <c r="L43">
        <f t="shared" si="52"/>
        <v>0.95716997245560353</v>
      </c>
      <c r="M43">
        <f t="shared" si="53"/>
        <v>-7.156659528917336</v>
      </c>
      <c r="N43">
        <f>IF(A43&lt;=regressions2!T$2,A43*regressions2!T$1,regressions2!T$1*regressions2!T$2+regressions2!T$3*(A43-regressions2!T$2))</f>
        <v>-1.2810101868633215</v>
      </c>
      <c r="O43">
        <f>regressions2!I$20*A43+regressions2!I$21*A43^2</f>
        <v>-1.2366011335626625</v>
      </c>
      <c r="Q43" s="7">
        <f>Table1!C9</f>
        <v>-1.4</v>
      </c>
      <c r="R43" s="7">
        <f>Table1!C10</f>
        <v>-1.5</v>
      </c>
      <c r="S43" s="7">
        <f>Table1!C11</f>
        <v>-1.9</v>
      </c>
      <c r="T43" s="7">
        <f>Table1!C12</f>
        <v>-1.4351033687575427</v>
      </c>
      <c r="U43" s="7">
        <f>Table1!C13</f>
        <v>-2.8891788330145758</v>
      </c>
      <c r="V43" s="7">
        <f>Table1!C14</f>
        <v>2.5345622119815666E-2</v>
      </c>
      <c r="W43" s="7">
        <f>Table1!C15</f>
        <v>6.6820276497695855E-2</v>
      </c>
      <c r="X43" s="7">
        <f>Table1!C16</f>
        <v>-1.5</v>
      </c>
      <c r="Y43" s="7">
        <f>Table1!C18</f>
        <v>3.3000365094043249E-2</v>
      </c>
      <c r="Z43" s="7">
        <f>Table1!C21</f>
        <v>-0.97915753272366335</v>
      </c>
      <c r="AA43" s="7">
        <f>Table1!C4</f>
        <v>-3</v>
      </c>
    </row>
    <row r="44" spans="1:28" x14ac:dyDescent="0.35">
      <c r="A44">
        <f t="shared" si="37"/>
        <v>2.600000000000001</v>
      </c>
      <c r="B44">
        <f>IF(A44&lt;=regressions!T$2,A44*regressions!T$1,regressions!T$1*regressions!T$2+regressions!T$3*(A44-regressions!T$2))</f>
        <v>-1.4911811993090791</v>
      </c>
      <c r="C44">
        <f t="shared" si="49"/>
        <v>1.192610053082213</v>
      </c>
      <c r="D44">
        <f t="shared" si="48"/>
        <v>3.026581287631716</v>
      </c>
      <c r="E44">
        <f t="shared" si="50"/>
        <v>0.89403890685534693</v>
      </c>
      <c r="F44">
        <f t="shared" si="51"/>
        <v>-7.5443437745725106</v>
      </c>
      <c r="G44">
        <f>B44+2*regressions!U$7</f>
        <v>0.75876442600284744</v>
      </c>
      <c r="H44">
        <f>B44-2*regressions!U$7</f>
        <v>-3.7411268246210057</v>
      </c>
      <c r="I44">
        <f>regressions!I$20*A44+regressions!I$21*A44^2</f>
        <v>-1.4323924301755933</v>
      </c>
      <c r="J44">
        <f>regressions!S$55*A44</f>
        <v>1.192610053082213</v>
      </c>
      <c r="K44">
        <f>regressions!I$55*A44</f>
        <v>3.026581287631716</v>
      </c>
      <c r="L44">
        <f t="shared" si="52"/>
        <v>0.95282767598883278</v>
      </c>
      <c r="M44">
        <f t="shared" si="53"/>
        <v>-7.485555005439025</v>
      </c>
      <c r="N44">
        <f>IF(A44&lt;=regressions2!T$2,A44*regressions2!T$1,regressions2!T$1*regressions2!T$2+regressions2!T$3*(A44-regressions2!T$2))</f>
        <v>-1.4702837391609078</v>
      </c>
      <c r="O44">
        <f>regressions2!I$20*A44+regressions2!I$21*A44^2</f>
        <v>-1.4157595841932176</v>
      </c>
    </row>
    <row r="45" spans="1:28" x14ac:dyDescent="0.35">
      <c r="A45">
        <f t="shared" si="37"/>
        <v>2.7000000000000011</v>
      </c>
      <c r="B45">
        <f>IF(A45&lt;=regressions!T$2,A45*regressions!T$1,regressions!T$1*regressions!T$2+regressions!T$3*(A45-regressions!T$2))</f>
        <v>-1.6323130866474664</v>
      </c>
      <c r="C45">
        <f t="shared" si="49"/>
        <v>1.238479670508452</v>
      </c>
      <c r="D45">
        <f t="shared" si="48"/>
        <v>3.1429882602329355</v>
      </c>
      <c r="E45">
        <f t="shared" si="50"/>
        <v>0.84464625436943752</v>
      </c>
      <c r="F45">
        <f t="shared" si="51"/>
        <v>-7.9182896071133371</v>
      </c>
      <c r="G45">
        <f>B45+2*regressions!U$7</f>
        <v>0.61763253866446011</v>
      </c>
      <c r="H45">
        <f>B45-2*regressions!U$7</f>
        <v>-3.882258711959393</v>
      </c>
      <c r="I45">
        <f>regressions!I$20*A45+regressions!I$21*A45^2</f>
        <v>-1.5317531226767644</v>
      </c>
      <c r="J45">
        <f>regressions!S$55*A45</f>
        <v>1.238479670508452</v>
      </c>
      <c r="K45">
        <f>regressions!I$55*A45</f>
        <v>3.1429882602329355</v>
      </c>
      <c r="L45">
        <f t="shared" si="52"/>
        <v>0.94520621834013951</v>
      </c>
      <c r="M45">
        <f t="shared" si="53"/>
        <v>-7.817729643142636</v>
      </c>
      <c r="N45">
        <f>IF(A45&lt;=regressions2!T$2,A45*regressions2!T$1,regressions2!T$1*regressions2!T$2+regressions2!T$3*(A45-regressions2!T$2))</f>
        <v>-1.6595572914584937</v>
      </c>
      <c r="O45">
        <f>regressions2!I$20*A45+regressions2!I$21*A45^2</f>
        <v>-1.6048945275382378</v>
      </c>
    </row>
    <row r="46" spans="1:28" x14ac:dyDescent="0.35">
      <c r="A46">
        <f t="shared" si="37"/>
        <v>2.8000000000000012</v>
      </c>
      <c r="B46">
        <f>IF(A46&lt;=regressions!T$2,A46*regressions!T$1,regressions!T$1*regressions!T$2+regressions!T$3*(A46-regressions!T$2))</f>
        <v>-1.7734449739858538</v>
      </c>
      <c r="C46">
        <f t="shared" si="49"/>
        <v>1.2843492879346909</v>
      </c>
      <c r="D46">
        <f t="shared" si="48"/>
        <v>3.2593952328341556</v>
      </c>
      <c r="E46">
        <f t="shared" si="50"/>
        <v>0.79525360188352812</v>
      </c>
      <c r="F46">
        <f t="shared" si="51"/>
        <v>-8.2922354396541653</v>
      </c>
      <c r="G46">
        <f>B46+2*regressions!U$7</f>
        <v>0.47650065132607278</v>
      </c>
      <c r="H46">
        <f>B46-2*regressions!U$7</f>
        <v>-4.0233905992977803</v>
      </c>
      <c r="I46">
        <f>regressions!I$20*A46+regressions!I$21*A46^2</f>
        <v>-1.6343929763598584</v>
      </c>
      <c r="J46">
        <f>regressions!S$55*A46</f>
        <v>1.2843492879346909</v>
      </c>
      <c r="K46">
        <f>regressions!I$55*A46</f>
        <v>3.2593952328341556</v>
      </c>
      <c r="L46">
        <f t="shared" si="52"/>
        <v>0.93430559950952352</v>
      </c>
      <c r="M46">
        <f t="shared" si="53"/>
        <v>-8.153183442028169</v>
      </c>
      <c r="N46">
        <f>IF(A46&lt;=regressions2!T$2,A46*regressions2!T$1,regressions2!T$1*regressions2!T$2+regressions2!T$3*(A46-regressions2!T$2))</f>
        <v>-1.8488308437560801</v>
      </c>
      <c r="O46">
        <f>regressions2!I$20*A46+regressions2!I$21*A46^2</f>
        <v>-1.8040059635977239</v>
      </c>
    </row>
    <row r="47" spans="1:28" x14ac:dyDescent="0.35">
      <c r="A47">
        <f t="shared" si="37"/>
        <v>2.9000000000000012</v>
      </c>
      <c r="B47">
        <f>IF(A47&lt;=regressions!T$2,A47*regressions!T$1,regressions!T$1*regressions!T$2+regressions!T$3*(A47-regressions!T$2))</f>
        <v>-1.9145768613242411</v>
      </c>
      <c r="C47">
        <f t="shared" si="49"/>
        <v>1.3302189053609299</v>
      </c>
      <c r="D47">
        <f t="shared" si="48"/>
        <v>3.3758022054353756</v>
      </c>
      <c r="E47">
        <f t="shared" si="50"/>
        <v>0.74586094939761871</v>
      </c>
      <c r="F47">
        <f t="shared" si="51"/>
        <v>-8.6661812721949918</v>
      </c>
      <c r="G47">
        <f>B47+2*regressions!U$7</f>
        <v>0.33536876398768545</v>
      </c>
      <c r="H47">
        <f>B47-2*regressions!U$7</f>
        <v>-4.1645224866361676</v>
      </c>
      <c r="I47">
        <f>regressions!I$20*A47+regressions!I$21*A47^2</f>
        <v>-1.740311991224875</v>
      </c>
      <c r="J47">
        <f>regressions!S$55*A47</f>
        <v>1.3302189053609299</v>
      </c>
      <c r="K47">
        <f>regressions!I$55*A47</f>
        <v>3.3758022054353756</v>
      </c>
      <c r="L47">
        <f t="shared" si="52"/>
        <v>0.9201258194969848</v>
      </c>
      <c r="M47">
        <f t="shared" si="53"/>
        <v>-8.4919164020956259</v>
      </c>
      <c r="N47">
        <f>IF(A47&lt;=regressions2!T$2,A47*regressions2!T$1,regressions2!T$1*regressions2!T$2+regressions2!T$3*(A47-regressions2!T$2))</f>
        <v>-2.038104396053666</v>
      </c>
      <c r="O47">
        <f>regressions2!I$20*A47+regressions2!I$21*A47^2</f>
        <v>-2.0130938923716748</v>
      </c>
      <c r="Q47" s="1">
        <f>Table1!C27</f>
        <v>-1.8</v>
      </c>
      <c r="R47" s="1">
        <f>Table1!C29</f>
        <v>-2</v>
      </c>
    </row>
    <row r="48" spans="1:28" x14ac:dyDescent="0.35">
      <c r="A48">
        <f t="shared" si="37"/>
        <v>3.0000000000000013</v>
      </c>
      <c r="B48">
        <f>IF(A48&lt;=regressions!T$2,A48*regressions!T$1,regressions!T$1*regressions!T$2+regressions!T$3*(A48-regressions!T$2))</f>
        <v>-2.0557087486626284</v>
      </c>
      <c r="C48">
        <f t="shared" si="49"/>
        <v>1.3760885227871691</v>
      </c>
      <c r="D48">
        <f t="shared" si="48"/>
        <v>3.4922091780365951</v>
      </c>
      <c r="E48">
        <f t="shared" si="50"/>
        <v>0.69646829691170975</v>
      </c>
      <c r="F48">
        <f t="shared" si="51"/>
        <v>-9.0401271047358183</v>
      </c>
      <c r="G48">
        <f>B48+2*regressions!U$7</f>
        <v>0.19423687664929812</v>
      </c>
      <c r="H48">
        <f>B48-2*regressions!U$7</f>
        <v>-4.305654373974555</v>
      </c>
      <c r="I48">
        <f>regressions!I$20*A48+regressions!I$21*A48^2</f>
        <v>-1.8495101672718142</v>
      </c>
      <c r="J48">
        <f>regressions!S$55*A48</f>
        <v>1.3760885227871691</v>
      </c>
      <c r="K48">
        <f>regressions!I$55*A48</f>
        <v>3.4922091780365951</v>
      </c>
      <c r="L48">
        <f t="shared" si="52"/>
        <v>0.90266687830252401</v>
      </c>
      <c r="M48">
        <f t="shared" si="53"/>
        <v>-8.8339285233450049</v>
      </c>
      <c r="N48">
        <f>IF(A48&lt;=regressions2!T$2,A48*regressions2!T$1,regressions2!T$1*regressions2!T$2+regressions2!T$3*(A48-regressions2!T$2))</f>
        <v>-2.2273779483512524</v>
      </c>
      <c r="O48">
        <f>regressions2!I$20*A48+regressions2!I$21*A48^2</f>
        <v>-2.2321583138600904</v>
      </c>
      <c r="Q48" s="1">
        <f>Table1!C5</f>
        <v>-1</v>
      </c>
      <c r="R48" s="1">
        <f>Table1!C6</f>
        <v>-1.33</v>
      </c>
      <c r="S48" s="1">
        <f>Table1!C7</f>
        <v>-3.6</v>
      </c>
      <c r="T48" s="1">
        <f>Table1!C22</f>
        <v>-0.93</v>
      </c>
      <c r="U48" s="1">
        <f>Table1!C23</f>
        <v>-1.05</v>
      </c>
      <c r="V48" s="1">
        <f>Table1!C24</f>
        <v>-2.5</v>
      </c>
      <c r="AB48" s="1"/>
    </row>
    <row r="49" spans="1:28" x14ac:dyDescent="0.35">
      <c r="A49">
        <f t="shared" si="37"/>
        <v>3.1000000000000014</v>
      </c>
      <c r="B49">
        <f>IF(A49&lt;=regressions!T$2,A49*regressions!T$1,regressions!T$1*regressions!T$2+regressions!T$3*(A49-regressions!T$2))</f>
        <v>-2.1968406360010162</v>
      </c>
      <c r="C49">
        <f t="shared" si="49"/>
        <v>1.4219581402134081</v>
      </c>
      <c r="D49">
        <f t="shared" si="48"/>
        <v>3.6086161506378152</v>
      </c>
      <c r="E49">
        <f t="shared" si="50"/>
        <v>0.6470756444257999</v>
      </c>
      <c r="F49">
        <f t="shared" si="51"/>
        <v>-9.4140729372766465</v>
      </c>
      <c r="G49">
        <f>B49+2*regressions!U$7</f>
        <v>5.3104989310910344E-2</v>
      </c>
      <c r="H49">
        <f>B49-2*regressions!U$7</f>
        <v>-4.4467862613129423</v>
      </c>
      <c r="I49">
        <f>regressions!I$20*A49+regressions!I$21*A49^2</f>
        <v>-1.961987504500676</v>
      </c>
      <c r="J49">
        <f>regressions!S$55*A49</f>
        <v>1.4219581402134081</v>
      </c>
      <c r="K49">
        <f>regressions!I$55*A49</f>
        <v>3.6086161506378152</v>
      </c>
      <c r="L49">
        <f t="shared" si="52"/>
        <v>0.88192877592614005</v>
      </c>
      <c r="M49">
        <f t="shared" si="53"/>
        <v>-9.1792198057763059</v>
      </c>
      <c r="N49">
        <f>IF(A49&lt;=regressions2!T$2,A49*regressions2!T$1,regressions2!T$1*regressions2!T$2+regressions2!T$3*(A49-regressions2!T$2))</f>
        <v>-2.4166515006488383</v>
      </c>
      <c r="O49">
        <f>regressions2!I$20*A49+regressions2!I$21*A49^2</f>
        <v>-2.4611992280629722</v>
      </c>
      <c r="AA49" s="1"/>
      <c r="AB49" s="1"/>
    </row>
    <row r="50" spans="1:28" x14ac:dyDescent="0.35">
      <c r="A50">
        <f t="shared" si="37"/>
        <v>3.2000000000000015</v>
      </c>
      <c r="B50">
        <f>IF(A50&lt;=regressions!T$2,A50*regressions!T$1,regressions!T$1*regressions!T$2+regressions!T$3*(A50-regressions!T$2))</f>
        <v>-2.3379725233394031</v>
      </c>
      <c r="C50">
        <f t="shared" si="49"/>
        <v>1.467827757639647</v>
      </c>
      <c r="D50">
        <f t="shared" si="48"/>
        <v>3.7250231232390352</v>
      </c>
      <c r="E50">
        <f t="shared" ref="E50:E69" si="54">B50+2*C50</f>
        <v>0.59768299193989094</v>
      </c>
      <c r="F50">
        <f t="shared" ref="F50:F69" si="55">B50-2*D50</f>
        <v>-9.788018769817473</v>
      </c>
      <c r="G50">
        <f>B50+2*regressions!U$7</f>
        <v>-8.8026898027476541E-2</v>
      </c>
      <c r="H50">
        <f>B50-2*regressions!U$7</f>
        <v>-4.5879181486513296</v>
      </c>
      <c r="I50">
        <f>regressions!I$20*A50+regressions!I$21*A50^2</f>
        <v>-2.0777440029114604</v>
      </c>
      <c r="J50">
        <f>regressions!S$55*A50</f>
        <v>1.467827757639647</v>
      </c>
      <c r="K50">
        <f>regressions!I$55*A50</f>
        <v>3.7250231232390352</v>
      </c>
      <c r="L50">
        <f t="shared" si="52"/>
        <v>0.85791151236783358</v>
      </c>
      <c r="M50">
        <f t="shared" si="53"/>
        <v>-9.5277902493895308</v>
      </c>
      <c r="N50">
        <f>IF(A50&lt;=regressions2!T$2,A50*regressions2!T$1,regressions2!T$1*regressions2!T$2+regressions2!T$3*(A50-regressions2!T$2))</f>
        <v>-2.6059250529464246</v>
      </c>
      <c r="O50">
        <f>regressions2!I$20*A50+regressions2!I$21*A50^2</f>
        <v>-2.7002166349803192</v>
      </c>
      <c r="Q50" s="1">
        <f>Table1!C25</f>
        <v>-5.1135252093739076</v>
      </c>
    </row>
    <row r="51" spans="1:28" x14ac:dyDescent="0.35">
      <c r="A51">
        <f t="shared" si="37"/>
        <v>3.3000000000000016</v>
      </c>
      <c r="B51">
        <f>IF(A51&lt;=regressions!T$2,A51*regressions!T$1,regressions!T$1*regressions!T$2+regressions!T$3*(A51-regressions!T$2))</f>
        <v>-2.4791044106777909</v>
      </c>
      <c r="C51">
        <f t="shared" si="49"/>
        <v>1.513697375065886</v>
      </c>
      <c r="D51">
        <f t="shared" si="48"/>
        <v>3.8414300958402552</v>
      </c>
      <c r="E51">
        <f t="shared" si="54"/>
        <v>0.54829033945398109</v>
      </c>
      <c r="F51">
        <f t="shared" si="55"/>
        <v>-10.161964602358301</v>
      </c>
      <c r="G51">
        <f>B51+2*regressions!U$7</f>
        <v>-0.22915878536586431</v>
      </c>
      <c r="H51">
        <f>B51-2*regressions!U$7</f>
        <v>-4.729050035989717</v>
      </c>
      <c r="I51">
        <f>regressions!I$20*A51+regressions!I$21*A51^2</f>
        <v>-2.1967796625041682</v>
      </c>
      <c r="J51">
        <f>regressions!S$55*A51</f>
        <v>1.513697375065886</v>
      </c>
      <c r="K51">
        <f>regressions!I$55*A51</f>
        <v>3.8414300958402552</v>
      </c>
      <c r="L51">
        <f t="shared" si="52"/>
        <v>0.83061508762760372</v>
      </c>
      <c r="M51">
        <f t="shared" si="53"/>
        <v>-9.8796398541846777</v>
      </c>
      <c r="N51">
        <f>IF(A51&lt;=regressions2!T$2,A51*regressions2!T$1,regressions2!T$1*regressions2!T$2+regressions2!T$3*(A51-regressions2!T$2))</f>
        <v>-2.7951986052440105</v>
      </c>
      <c r="O51">
        <f>regressions2!I$20*A51+regressions2!I$21*A51^2</f>
        <v>-2.9492105346121322</v>
      </c>
      <c r="AA51" s="1"/>
    </row>
    <row r="52" spans="1:28" x14ac:dyDescent="0.35">
      <c r="A52">
        <f t="shared" ref="A52:A83" si="56">0.1+A51</f>
        <v>3.4000000000000017</v>
      </c>
      <c r="B52">
        <f>IF(A52&lt;=regressions!T$2,A52*regressions!T$1,regressions!T$1*regressions!T$2+regressions!T$3*(A52-regressions!T$2))</f>
        <v>-2.6202362980161777</v>
      </c>
      <c r="C52">
        <f t="shared" si="49"/>
        <v>1.5595669924921249</v>
      </c>
      <c r="D52">
        <f t="shared" si="48"/>
        <v>3.9578370684414748</v>
      </c>
      <c r="E52">
        <f t="shared" si="54"/>
        <v>0.49889768696807213</v>
      </c>
      <c r="F52">
        <f t="shared" si="55"/>
        <v>-10.535910434899128</v>
      </c>
      <c r="G52">
        <f>B52+2*regressions!U$7</f>
        <v>-0.3702906727042512</v>
      </c>
      <c r="H52">
        <f>B52-2*regressions!U$7</f>
        <v>-4.8701819233281043</v>
      </c>
      <c r="I52">
        <f>regressions!I$20*A52+regressions!I$21*A52^2</f>
        <v>-2.3190944832787981</v>
      </c>
      <c r="J52">
        <f>regressions!S$55*A52</f>
        <v>1.5595669924921249</v>
      </c>
      <c r="K52">
        <f>regressions!I$55*A52</f>
        <v>3.9578370684414748</v>
      </c>
      <c r="L52">
        <f t="shared" si="52"/>
        <v>0.80003950170545179</v>
      </c>
      <c r="M52">
        <f t="shared" si="53"/>
        <v>-10.234768620161748</v>
      </c>
      <c r="N52">
        <f>IF(A52&lt;=regressions2!T$2,A52*regressions2!T$1,regressions2!T$1*regressions2!T$2+regressions2!T$3*(A52-regressions2!T$2))</f>
        <v>-2.9844721575415969</v>
      </c>
      <c r="O52">
        <f>regressions2!I$20*A52+regressions2!I$21*A52^2</f>
        <v>-3.2081809269584087</v>
      </c>
    </row>
    <row r="53" spans="1:28" x14ac:dyDescent="0.35">
      <c r="A53">
        <f t="shared" si="56"/>
        <v>3.5000000000000018</v>
      </c>
      <c r="B53">
        <f>IF(A53&lt;=regressions!T$2,A53*regressions!T$1,regressions!T$1*regressions!T$2+regressions!T$3*(A53-regressions!T$2))</f>
        <v>-2.7613681853545655</v>
      </c>
      <c r="C53">
        <f t="shared" si="49"/>
        <v>1.6054366099183639</v>
      </c>
      <c r="D53">
        <f t="shared" si="48"/>
        <v>4.0742440410426948</v>
      </c>
      <c r="E53">
        <f t="shared" si="54"/>
        <v>0.44950503448216228</v>
      </c>
      <c r="F53">
        <f t="shared" si="55"/>
        <v>-10.909856267439956</v>
      </c>
      <c r="G53">
        <f>B53+2*regressions!U$7</f>
        <v>-0.51142256004263897</v>
      </c>
      <c r="H53">
        <f>B53-2*regressions!U$7</f>
        <v>-5.0113138106664916</v>
      </c>
      <c r="I53">
        <f>regressions!I$20*A53+regressions!I$21*A53^2</f>
        <v>-2.4446884652353504</v>
      </c>
      <c r="J53">
        <f>regressions!S$55*A53</f>
        <v>1.6054366099183639</v>
      </c>
      <c r="K53">
        <f>regressions!I$55*A53</f>
        <v>4.0742440410426948</v>
      </c>
      <c r="L53">
        <f t="shared" si="52"/>
        <v>0.76618475460137736</v>
      </c>
      <c r="M53">
        <f t="shared" si="53"/>
        <v>-10.59317654732074</v>
      </c>
      <c r="N53">
        <f>IF(A53&lt;=regressions2!T$2,A53*regressions2!T$1,regressions2!T$1*regressions2!T$2+regressions2!T$3*(A53-regressions2!T$2))</f>
        <v>-3.1737457098391828</v>
      </c>
      <c r="O53">
        <f>regressions2!I$20*A53+regressions2!I$21*A53^2</f>
        <v>-3.4771278120191513</v>
      </c>
    </row>
    <row r="54" spans="1:28" x14ac:dyDescent="0.35">
      <c r="A54">
        <f t="shared" si="56"/>
        <v>3.6000000000000019</v>
      </c>
      <c r="B54">
        <f>IF(A54&lt;=regressions!T$2,A54*regressions!T$1,regressions!T$1*regressions!T$2+regressions!T$3*(A54-regressions!T$2))</f>
        <v>-2.9025000726929524</v>
      </c>
      <c r="C54">
        <f t="shared" si="49"/>
        <v>1.6513062273446029</v>
      </c>
      <c r="D54">
        <f t="shared" si="48"/>
        <v>4.1906510136439143</v>
      </c>
      <c r="E54">
        <f t="shared" si="54"/>
        <v>0.40011238199625332</v>
      </c>
      <c r="F54">
        <f t="shared" si="55"/>
        <v>-11.283802099980781</v>
      </c>
      <c r="G54">
        <f>B54+2*regressions!U$7</f>
        <v>-0.65255444738102586</v>
      </c>
      <c r="H54">
        <f>B54-2*regressions!U$7</f>
        <v>-5.1524456980048789</v>
      </c>
      <c r="I54">
        <f>regressions!I$20*A54+regressions!I$21*A54^2</f>
        <v>-2.5735616083738257</v>
      </c>
      <c r="J54">
        <f>regressions!S$55*A54</f>
        <v>1.6513062273446029</v>
      </c>
      <c r="K54">
        <f>regressions!I$55*A54</f>
        <v>4.1906510136439143</v>
      </c>
      <c r="L54">
        <f t="shared" si="52"/>
        <v>0.72905084631537997</v>
      </c>
      <c r="M54">
        <f t="shared" si="53"/>
        <v>-10.954863635661654</v>
      </c>
      <c r="N54">
        <f>IF(A54&lt;=regressions2!T$2,A54*regressions2!T$1,regressions2!T$1*regressions2!T$2+regressions2!T$3*(A54-regressions2!T$2))</f>
        <v>-3.3630192621367692</v>
      </c>
      <c r="O54">
        <f>regressions2!I$20*A54+regressions2!I$21*A54^2</f>
        <v>-3.75605118979436</v>
      </c>
    </row>
    <row r="55" spans="1:28" x14ac:dyDescent="0.35">
      <c r="A55">
        <f t="shared" si="56"/>
        <v>3.700000000000002</v>
      </c>
      <c r="B55">
        <f>IF(A55&lt;=regressions!T$2,A55*regressions!T$1,regressions!T$1*regressions!T$2+regressions!T$3*(A55-regressions!T$2))</f>
        <v>-3.0436319600313406</v>
      </c>
      <c r="C55">
        <f t="shared" si="49"/>
        <v>1.6971758447708418</v>
      </c>
      <c r="D55">
        <f t="shared" si="48"/>
        <v>4.3070579862451348</v>
      </c>
      <c r="E55">
        <f t="shared" si="54"/>
        <v>0.35071972951034303</v>
      </c>
      <c r="F55">
        <f t="shared" si="55"/>
        <v>-11.657747932521611</v>
      </c>
      <c r="G55">
        <f>B55+2*regressions!U$7</f>
        <v>-0.79368633471941408</v>
      </c>
      <c r="H55">
        <f>B55-2*regressions!U$7</f>
        <v>-5.2935775853432672</v>
      </c>
      <c r="I55">
        <f>regressions!I$20*A55+regressions!I$21*A55^2</f>
        <v>-2.7057139126942236</v>
      </c>
      <c r="J55">
        <f>regressions!S$55*A55</f>
        <v>1.6971758447708418</v>
      </c>
      <c r="K55">
        <f>regressions!I$55*A55</f>
        <v>4.3070579862451348</v>
      </c>
      <c r="L55">
        <f t="shared" si="52"/>
        <v>0.68863777684746008</v>
      </c>
      <c r="M55">
        <f t="shared" si="53"/>
        <v>-11.319829885184493</v>
      </c>
      <c r="N55">
        <f>IF(A55&lt;=regressions2!T$2,A55*regressions2!T$1,regressions2!T$1*regressions2!T$2+regressions2!T$3*(A55-regressions2!T$2))</f>
        <v>-3.5522928144343555</v>
      </c>
      <c r="O55">
        <f>regressions2!I$20*A55+regressions2!I$21*A55^2</f>
        <v>-4.0449510602840331</v>
      </c>
    </row>
    <row r="56" spans="1:28" x14ac:dyDescent="0.35">
      <c r="A56">
        <f t="shared" si="56"/>
        <v>3.800000000000002</v>
      </c>
      <c r="B56">
        <f>IF(A56&lt;=regressions!T$2,A56*regressions!T$1,regressions!T$1*regressions!T$2+regressions!T$3*(A56-regressions!T$2))</f>
        <v>-3.1847638473697271</v>
      </c>
      <c r="C56">
        <f t="shared" si="49"/>
        <v>1.7430454621970808</v>
      </c>
      <c r="D56">
        <f t="shared" si="48"/>
        <v>4.4234649588463544</v>
      </c>
      <c r="E56">
        <f t="shared" si="54"/>
        <v>0.30132707702443451</v>
      </c>
      <c r="F56">
        <f t="shared" si="55"/>
        <v>-12.031693765062435</v>
      </c>
      <c r="G56">
        <f>B56+2*regressions!U$7</f>
        <v>-0.93481822205780052</v>
      </c>
      <c r="H56">
        <f>B56-2*regressions!U$7</f>
        <v>-5.4347094726816536</v>
      </c>
      <c r="I56">
        <f>regressions!I$20*A56+regressions!I$21*A56^2</f>
        <v>-2.8411453781965443</v>
      </c>
      <c r="J56">
        <f>regressions!S$55*A56</f>
        <v>1.7430454621970808</v>
      </c>
      <c r="K56">
        <f>regressions!I$55*A56</f>
        <v>4.4234649588463544</v>
      </c>
      <c r="L56">
        <f t="shared" si="52"/>
        <v>0.64494554619761724</v>
      </c>
      <c r="M56">
        <f t="shared" si="53"/>
        <v>-11.688075295889252</v>
      </c>
      <c r="N56">
        <f>IF(A56&lt;=regressions2!T$2,A56*regressions2!T$1,regressions2!T$1*regressions2!T$2+regressions2!T$3*(A56-regressions2!T$2))</f>
        <v>-3.741566366731941</v>
      </c>
      <c r="O56">
        <f>regressions2!I$20*A56+regressions2!I$21*A56^2</f>
        <v>-4.3438274234881717</v>
      </c>
    </row>
    <row r="57" spans="1:28" x14ac:dyDescent="0.35">
      <c r="A57">
        <f t="shared" si="56"/>
        <v>3.9000000000000021</v>
      </c>
      <c r="B57">
        <f>IF(A57&lt;=regressions!T$2,A57*regressions!T$1,regressions!T$1*regressions!T$2+regressions!T$3*(A57-regressions!T$2))</f>
        <v>-3.3258957347081153</v>
      </c>
      <c r="C57">
        <f t="shared" si="49"/>
        <v>1.7889150796233197</v>
      </c>
      <c r="D57">
        <f t="shared" si="48"/>
        <v>4.5398719314475748</v>
      </c>
      <c r="E57">
        <f t="shared" si="54"/>
        <v>0.25193442453852422</v>
      </c>
      <c r="F57">
        <f t="shared" si="55"/>
        <v>-12.405639597603265</v>
      </c>
      <c r="G57">
        <f>B57+2*regressions!U$7</f>
        <v>-1.0759501093961887</v>
      </c>
      <c r="H57">
        <f>B57-2*regressions!U$7</f>
        <v>-5.5758413600200418</v>
      </c>
      <c r="I57">
        <f>regressions!I$20*A57+regressions!I$21*A57^2</f>
        <v>-2.9798560048807881</v>
      </c>
      <c r="J57">
        <f>regressions!S$55*A57</f>
        <v>1.7889150796233197</v>
      </c>
      <c r="K57">
        <f>regressions!I$55*A57</f>
        <v>4.5398719314475748</v>
      </c>
      <c r="L57">
        <f t="shared" si="52"/>
        <v>0.59797415436585144</v>
      </c>
      <c r="M57">
        <f t="shared" si="53"/>
        <v>-12.059599867775937</v>
      </c>
      <c r="N57">
        <f>IF(A57&lt;=regressions2!T$2,A57*regressions2!T$1,regressions2!T$1*regressions2!T$2+regressions2!T$3*(A57-regressions2!T$2))</f>
        <v>-3.9308399190295273</v>
      </c>
      <c r="O57">
        <f>regressions2!I$20*A57+regressions2!I$21*A57^2</f>
        <v>-4.6526802794067752</v>
      </c>
    </row>
    <row r="58" spans="1:28" x14ac:dyDescent="0.35">
      <c r="A58">
        <f t="shared" si="56"/>
        <v>4.0000000000000018</v>
      </c>
      <c r="B58">
        <f>IF(A58&lt;=regressions!T$2,A58*regressions!T$1,regressions!T$1*regressions!T$2+regressions!T$3*(A58-regressions!T$2))</f>
        <v>-3.4670276220465017</v>
      </c>
      <c r="C58">
        <f t="shared" si="49"/>
        <v>1.8347846970495587</v>
      </c>
      <c r="D58">
        <f t="shared" si="48"/>
        <v>4.6562789040487935</v>
      </c>
      <c r="E58">
        <f t="shared" si="54"/>
        <v>0.2025417720526157</v>
      </c>
      <c r="F58">
        <f t="shared" si="55"/>
        <v>-12.779585430144088</v>
      </c>
      <c r="G58">
        <f>B58+2*regressions!U$7</f>
        <v>-1.2170819967345752</v>
      </c>
      <c r="H58">
        <f>B58-2*regressions!U$7</f>
        <v>-5.7169732473584283</v>
      </c>
      <c r="I58">
        <f>regressions!I$20*A58+regressions!I$21*A58^2</f>
        <v>-3.121845792746953</v>
      </c>
      <c r="J58">
        <f>regressions!S$55*A58</f>
        <v>1.8347846970495587</v>
      </c>
      <c r="K58">
        <f>regressions!I$55*A58</f>
        <v>4.6562789040487935</v>
      </c>
      <c r="L58">
        <f t="shared" si="52"/>
        <v>0.54772360135216447</v>
      </c>
      <c r="M58">
        <f t="shared" si="53"/>
        <v>-12.43440360084454</v>
      </c>
      <c r="N58">
        <f>IF(A58&lt;=regressions2!T$2,A58*regressions2!T$1,regressions2!T$1*regressions2!T$2+regressions2!T$3*(A58-regressions2!T$2))</f>
        <v>-4.1201134713271124</v>
      </c>
      <c r="O58">
        <f>regressions2!I$20*A58+regressions2!I$21*A58^2</f>
        <v>-4.9715096280398434</v>
      </c>
    </row>
    <row r="59" spans="1:28" x14ac:dyDescent="0.35">
      <c r="A59">
        <f t="shared" si="56"/>
        <v>4.1000000000000014</v>
      </c>
      <c r="B59">
        <f>IF(A59&lt;=regressions!T$2,A59*regressions!T$1,regressions!T$1*regressions!T$2+regressions!T$3*(A59-regressions!T$2))</f>
        <v>-3.6081595093848891</v>
      </c>
      <c r="C59">
        <f t="shared" si="49"/>
        <v>1.8806543144757975</v>
      </c>
      <c r="D59">
        <f t="shared" si="48"/>
        <v>4.7726858766500131</v>
      </c>
      <c r="E59">
        <f t="shared" si="54"/>
        <v>0.15314911956670585</v>
      </c>
      <c r="F59">
        <f t="shared" si="55"/>
        <v>-13.153531262684915</v>
      </c>
      <c r="G59">
        <f>B59+2*regressions!U$7</f>
        <v>-1.3582138840729625</v>
      </c>
      <c r="H59">
        <f>B59-2*regressions!U$7</f>
        <v>-5.8581051346968156</v>
      </c>
      <c r="I59">
        <f>regressions!I$20*A59+regressions!I$21*A59^2</f>
        <v>-3.2671147417950412</v>
      </c>
      <c r="J59">
        <f>regressions!S$55*A59</f>
        <v>1.8806543144757975</v>
      </c>
      <c r="K59">
        <f>regressions!I$55*A59</f>
        <v>4.7726858766500131</v>
      </c>
      <c r="L59">
        <f t="shared" si="52"/>
        <v>0.49419388715655366</v>
      </c>
      <c r="M59">
        <f t="shared" si="53"/>
        <v>-12.812486495095067</v>
      </c>
      <c r="N59">
        <f>IF(A59&lt;=regressions2!T$2,A59*regressions2!T$1,regressions2!T$1*regressions2!T$2+regressions2!T$3*(A59-regressions2!T$2))</f>
        <v>-4.3093870236246978</v>
      </c>
      <c r="O59">
        <f>regressions2!I$20*A59+regressions2!I$21*A59^2</f>
        <v>-5.3003154693873755</v>
      </c>
    </row>
    <row r="60" spans="1:28" x14ac:dyDescent="0.35">
      <c r="A60">
        <f t="shared" si="56"/>
        <v>4.2000000000000011</v>
      </c>
      <c r="B60">
        <f>IF(A60&lt;=regressions!T$2,A60*regressions!T$1,regressions!T$1*regressions!T$2+regressions!T$3*(A60-regressions!T$2))</f>
        <v>-3.7492913967232755</v>
      </c>
      <c r="C60">
        <f t="shared" si="49"/>
        <v>1.9265239319020362</v>
      </c>
      <c r="D60">
        <f t="shared" si="48"/>
        <v>4.8890928492512327</v>
      </c>
      <c r="E60">
        <f t="shared" si="54"/>
        <v>0.10375646708079689</v>
      </c>
      <c r="F60">
        <f t="shared" si="55"/>
        <v>-13.527477095225741</v>
      </c>
      <c r="G60">
        <f>B60+2*regressions!U$7</f>
        <v>-1.4993457714113489</v>
      </c>
      <c r="H60">
        <f>B60-2*regressions!U$7</f>
        <v>-5.999237022035202</v>
      </c>
      <c r="I60">
        <f>regressions!I$20*A60+regressions!I$21*A60^2</f>
        <v>-3.4156628520250512</v>
      </c>
      <c r="J60">
        <f>regressions!S$55*A60</f>
        <v>1.9265239319020362</v>
      </c>
      <c r="K60">
        <f>regressions!I$55*A60</f>
        <v>4.8890928492512327</v>
      </c>
      <c r="L60">
        <f t="shared" si="52"/>
        <v>0.43738501177902123</v>
      </c>
      <c r="M60">
        <f t="shared" si="53"/>
        <v>-13.193848550527516</v>
      </c>
      <c r="N60">
        <f>IF(A60&lt;=regressions2!T$2,A60*regressions2!T$1,regressions2!T$1*regressions2!T$2+regressions2!T$3*(A60-regressions2!T$2))</f>
        <v>-4.4986605759222833</v>
      </c>
      <c r="O60">
        <f>regressions2!I$20*A60+regressions2!I$21*A60^2</f>
        <v>-5.6390978034493742</v>
      </c>
    </row>
    <row r="61" spans="1:28" x14ac:dyDescent="0.35">
      <c r="A61">
        <f t="shared" si="56"/>
        <v>4.3000000000000007</v>
      </c>
      <c r="B61">
        <f>IF(A61&lt;=regressions!T$2,A61*regressions!T$1,regressions!T$1*regressions!T$2+regressions!T$3*(A61-regressions!T$2))</f>
        <v>-3.8904232840616619</v>
      </c>
      <c r="C61">
        <f t="shared" si="49"/>
        <v>1.9723935493282749</v>
      </c>
      <c r="D61">
        <f t="shared" si="48"/>
        <v>5.0054998218524522</v>
      </c>
      <c r="E61">
        <f t="shared" si="54"/>
        <v>5.4363814594887927E-2</v>
      </c>
      <c r="F61">
        <f t="shared" si="55"/>
        <v>-13.901422927766566</v>
      </c>
      <c r="G61">
        <f>B61+2*regressions!U$7</f>
        <v>-1.6404776587497354</v>
      </c>
      <c r="H61">
        <f>B61-2*regressions!U$7</f>
        <v>-6.1403689093735885</v>
      </c>
      <c r="I61">
        <f>regressions!I$20*A61+regressions!I$21*A61^2</f>
        <v>-3.5674901234369845</v>
      </c>
      <c r="J61">
        <f>regressions!S$55*A61</f>
        <v>1.9723935493282749</v>
      </c>
      <c r="K61">
        <f>regressions!I$55*A61</f>
        <v>5.0054998218524522</v>
      </c>
      <c r="L61">
        <f t="shared" si="52"/>
        <v>0.3772969752195654</v>
      </c>
      <c r="M61">
        <f t="shared" si="53"/>
        <v>-13.578489767141889</v>
      </c>
      <c r="N61">
        <f>IF(A61&lt;=regressions2!T$2,A61*regressions2!T$1,regressions2!T$1*regressions2!T$2+regressions2!T$3*(A61-regressions2!T$2))</f>
        <v>-4.6879341282198688</v>
      </c>
      <c r="O61">
        <f>regressions2!I$20*A61+regressions2!I$21*A61^2</f>
        <v>-5.9878566302258367</v>
      </c>
    </row>
    <row r="62" spans="1:28" x14ac:dyDescent="0.35">
      <c r="A62">
        <f t="shared" si="56"/>
        <v>4.4000000000000004</v>
      </c>
      <c r="B62">
        <f>IF(A62&lt;=regressions!T$2,A62*regressions!T$1,regressions!T$1*regressions!T$2+regressions!T$3*(A62-regressions!T$2))</f>
        <v>-4.0315551714000488</v>
      </c>
      <c r="C62">
        <f t="shared" si="49"/>
        <v>2.0182631667545139</v>
      </c>
      <c r="D62">
        <f t="shared" si="48"/>
        <v>5.1219067944536709</v>
      </c>
      <c r="E62">
        <f t="shared" si="54"/>
        <v>4.9711621089789659E-3</v>
      </c>
      <c r="F62">
        <f t="shared" si="55"/>
        <v>-14.275368760307391</v>
      </c>
      <c r="G62">
        <f>B62+2*regressions!U$7</f>
        <v>-1.7816095460881223</v>
      </c>
      <c r="H62">
        <f>B62-2*regressions!U$7</f>
        <v>-6.2815007967119758</v>
      </c>
      <c r="I62">
        <f>regressions!I$20*A62+regressions!I$21*A62^2</f>
        <v>-3.7225965560308403</v>
      </c>
      <c r="J62">
        <f>regressions!S$55*A62</f>
        <v>2.0182631667545139</v>
      </c>
      <c r="K62">
        <f>regressions!I$55*A62</f>
        <v>5.1219067944536709</v>
      </c>
      <c r="L62">
        <f t="shared" si="52"/>
        <v>0.31392977747818751</v>
      </c>
      <c r="M62">
        <f t="shared" si="53"/>
        <v>-13.966410144938182</v>
      </c>
      <c r="N62">
        <f>IF(A62&lt;=regressions2!T$2,A62*regressions2!T$1,regressions2!T$1*regressions2!T$2+regressions2!T$3*(A62-regressions2!T$2))</f>
        <v>-4.8772076805174542</v>
      </c>
      <c r="O62">
        <f>regressions2!I$20*A62+regressions2!I$21*A62^2</f>
        <v>-6.3465919497167649</v>
      </c>
    </row>
    <row r="63" spans="1:28" x14ac:dyDescent="0.35">
      <c r="A63">
        <f t="shared" si="56"/>
        <v>4.5</v>
      </c>
      <c r="B63">
        <f>IF(A63&lt;=regressions!T$2,A63*regressions!T$1,regressions!T$1*regressions!T$2+regressions!T$3*(A63-regressions!T$2))</f>
        <v>-4.1726870587384353</v>
      </c>
      <c r="C63">
        <f t="shared" si="49"/>
        <v>2.0641327841807526</v>
      </c>
      <c r="D63">
        <f t="shared" si="48"/>
        <v>5.2383137670548905</v>
      </c>
      <c r="E63">
        <f t="shared" si="54"/>
        <v>-4.4421490376929995E-2</v>
      </c>
      <c r="F63">
        <f t="shared" si="55"/>
        <v>-14.649314592848217</v>
      </c>
      <c r="G63">
        <f>B63+2*regressions!U$7</f>
        <v>-1.9227414334265087</v>
      </c>
      <c r="H63">
        <f>B63-2*regressions!U$7</f>
        <v>-6.4226326840503614</v>
      </c>
      <c r="I63">
        <f>regressions!I$20*A63+regressions!I$21*A63^2</f>
        <v>-3.8809821498066195</v>
      </c>
      <c r="J63">
        <f>regressions!S$55*A63</f>
        <v>2.0641327841807526</v>
      </c>
      <c r="K63">
        <f>regressions!I$55*A63</f>
        <v>5.2383137670548905</v>
      </c>
      <c r="L63">
        <f t="shared" si="52"/>
        <v>0.24728341855488578</v>
      </c>
      <c r="M63">
        <f t="shared" si="53"/>
        <v>-14.357609683916401</v>
      </c>
      <c r="N63">
        <f>IF(A63&lt;=regressions2!T$2,A63*regressions2!T$1,regressions2!T$1*regressions2!T$2+regressions2!T$3*(A63-regressions2!T$2))</f>
        <v>-5.0664812328150397</v>
      </c>
      <c r="O63">
        <f>regressions2!I$20*A63+regressions2!I$21*A63^2</f>
        <v>-6.7153037619221596</v>
      </c>
    </row>
    <row r="64" spans="1:28" x14ac:dyDescent="0.35">
      <c r="A64">
        <f t="shared" si="56"/>
        <v>4.5999999999999996</v>
      </c>
      <c r="B64">
        <f>IF(A64&lt;=regressions!T$2,A64*regressions!T$1,regressions!T$1*regressions!T$2+regressions!T$3*(A64-regressions!T$2))</f>
        <v>-4.3138189460768226</v>
      </c>
      <c r="C64">
        <f t="shared" si="49"/>
        <v>2.1100024016069914</v>
      </c>
      <c r="D64">
        <f t="shared" si="48"/>
        <v>5.3547207396561101</v>
      </c>
      <c r="E64">
        <f t="shared" si="54"/>
        <v>-9.3814142862839844E-2</v>
      </c>
      <c r="F64">
        <f t="shared" si="55"/>
        <v>-15.023260425389044</v>
      </c>
      <c r="G64">
        <f>B64+2*regressions!U$7</f>
        <v>-2.063873320764896</v>
      </c>
      <c r="H64">
        <f>B64-2*regressions!U$7</f>
        <v>-6.5637645713887487</v>
      </c>
      <c r="I64">
        <f>regressions!I$20*A64+regressions!I$21*A64^2</f>
        <v>-4.0426469047643199</v>
      </c>
      <c r="J64">
        <f>regressions!S$55*A64</f>
        <v>2.1100024016069914</v>
      </c>
      <c r="K64">
        <f>regressions!I$55*A64</f>
        <v>5.3547207396561101</v>
      </c>
      <c r="L64">
        <f t="shared" si="52"/>
        <v>0.17735789844966288</v>
      </c>
      <c r="M64">
        <f t="shared" si="53"/>
        <v>-14.75208838407654</v>
      </c>
      <c r="N64">
        <f>IF(A64&lt;=regressions2!T$2,A64*regressions2!T$1,regressions2!T$1*regressions2!T$2+regressions2!T$3*(A64-regressions2!T$2))</f>
        <v>-5.2557547851126252</v>
      </c>
      <c r="O64">
        <f>regressions2!I$20*A64+regressions2!I$21*A64^2</f>
        <v>-7.0939920668420182</v>
      </c>
    </row>
    <row r="65" spans="1:27" x14ac:dyDescent="0.35">
      <c r="A65">
        <f t="shared" si="56"/>
        <v>4.6999999999999993</v>
      </c>
      <c r="B65">
        <f>IF(A65&lt;=regressions!T$2,A65*regressions!T$1,regressions!T$1*regressions!T$2+regressions!T$3*(A65-regressions!T$2))</f>
        <v>-4.454950833415209</v>
      </c>
      <c r="C65">
        <f t="shared" si="49"/>
        <v>2.1558720190332301</v>
      </c>
      <c r="D65">
        <f t="shared" si="48"/>
        <v>5.4711277122573296</v>
      </c>
      <c r="E65">
        <f t="shared" si="54"/>
        <v>-0.14320679534874881</v>
      </c>
      <c r="F65">
        <f t="shared" si="55"/>
        <v>-15.397206257929868</v>
      </c>
      <c r="G65">
        <f>B65+2*regressions!U$7</f>
        <v>-2.2050052081032825</v>
      </c>
      <c r="H65">
        <f>B65-2*regressions!U$7</f>
        <v>-6.704896458727136</v>
      </c>
      <c r="I65">
        <f>regressions!I$20*A65+regressions!I$21*A65^2</f>
        <v>-4.2075908209039437</v>
      </c>
      <c r="J65">
        <f>regressions!S$55*A65</f>
        <v>2.1558720190332301</v>
      </c>
      <c r="K65">
        <f>regressions!I$55*A65</f>
        <v>5.4711277122573296</v>
      </c>
      <c r="L65">
        <f t="shared" si="52"/>
        <v>0.10415321716251658</v>
      </c>
      <c r="M65">
        <f t="shared" si="53"/>
        <v>-15.149846245418603</v>
      </c>
      <c r="N65">
        <f>IF(A65&lt;=regressions2!T$2,A65*regressions2!T$1,regressions2!T$1*regressions2!T$2+regressions2!T$3*(A65-regressions2!T$2))</f>
        <v>-5.4450283374102106</v>
      </c>
      <c r="O65">
        <f>regressions2!I$20*A65+regressions2!I$21*A65^2</f>
        <v>-7.4826568644763425</v>
      </c>
    </row>
    <row r="66" spans="1:27" x14ac:dyDescent="0.35">
      <c r="A66">
        <f t="shared" si="56"/>
        <v>4.7999999999999989</v>
      </c>
      <c r="B66">
        <f>IF(A66&lt;=regressions!T$2,A66*regressions!T$1,regressions!T$1*regressions!T$2+regressions!T$3*(A66-regressions!T$2))</f>
        <v>-4.5960827207535955</v>
      </c>
      <c r="C66">
        <f t="shared" si="49"/>
        <v>2.2017416364594689</v>
      </c>
      <c r="D66">
        <f t="shared" si="48"/>
        <v>5.5875346848585492</v>
      </c>
      <c r="E66">
        <f t="shared" si="54"/>
        <v>-0.19259944783465777</v>
      </c>
      <c r="F66">
        <f t="shared" si="55"/>
        <v>-15.771152090470693</v>
      </c>
      <c r="G66">
        <f>B66+2*regressions!U$7</f>
        <v>-2.3461370954416689</v>
      </c>
      <c r="H66">
        <f>B66-2*regressions!U$7</f>
        <v>-6.8460283460655216</v>
      </c>
      <c r="I66">
        <f>regressions!I$20*A66+regressions!I$21*A66^2</f>
        <v>-4.3758138982254904</v>
      </c>
      <c r="J66">
        <f>regressions!S$55*A66</f>
        <v>2.2017416364594689</v>
      </c>
      <c r="K66">
        <f>regressions!I$55*A66</f>
        <v>5.5875346848585492</v>
      </c>
      <c r="L66">
        <f t="shared" si="52"/>
        <v>2.7669374693447324E-2</v>
      </c>
      <c r="M66">
        <f t="shared" si="53"/>
        <v>-15.550883267942588</v>
      </c>
      <c r="N66">
        <f>IF(A66&lt;=regressions2!T$2,A66*regressions2!T$1,regressions2!T$1*regressions2!T$2+regressions2!T$3*(A66-regressions2!T$2))</f>
        <v>-5.6343018897077961</v>
      </c>
      <c r="O66">
        <f>regressions2!I$20*A66+regressions2!I$21*A66^2</f>
        <v>-7.8812981548251315</v>
      </c>
    </row>
    <row r="67" spans="1:27" x14ac:dyDescent="0.35">
      <c r="A67">
        <f t="shared" si="56"/>
        <v>4.8999999999999986</v>
      </c>
      <c r="B67">
        <f>IF(A67&lt;=regressions!T$2,A67*regressions!T$1,regressions!T$1*regressions!T$2+regressions!T$3*(A67-regressions!T$2))</f>
        <v>-4.7372146080919828</v>
      </c>
      <c r="C67">
        <f t="shared" si="49"/>
        <v>2.2476112538857076</v>
      </c>
      <c r="D67">
        <f t="shared" si="48"/>
        <v>5.7039416574597679</v>
      </c>
      <c r="E67">
        <f t="shared" si="54"/>
        <v>-0.24199210032056762</v>
      </c>
      <c r="F67">
        <f t="shared" si="55"/>
        <v>-16.145097923011519</v>
      </c>
      <c r="G67">
        <f>B67+2*regressions!U$7</f>
        <v>-2.4872689827800563</v>
      </c>
      <c r="H67">
        <f>B67-2*regressions!U$7</f>
        <v>-6.9871602334039089</v>
      </c>
      <c r="I67">
        <f>regressions!I$20*A67+regressions!I$21*A67^2</f>
        <v>-4.5473161367289601</v>
      </c>
      <c r="J67">
        <f>regressions!S$55*A67</f>
        <v>2.2476112538857076</v>
      </c>
      <c r="K67">
        <f>regressions!I$55*A67</f>
        <v>5.7039416574597679</v>
      </c>
      <c r="L67">
        <f t="shared" si="52"/>
        <v>-5.209362895754488E-2</v>
      </c>
      <c r="M67">
        <f t="shared" si="53"/>
        <v>-15.955199451648497</v>
      </c>
      <c r="N67">
        <f>IF(A67&lt;=regressions2!T$2,A67*regressions2!T$1,regressions2!T$1*regressions2!T$2+regressions2!T$3*(A67-regressions2!T$2))</f>
        <v>-5.8235754420053798</v>
      </c>
      <c r="O67">
        <f>regressions2!I$20*A67+regressions2!I$21*A67^2</f>
        <v>-8.2899159378883862</v>
      </c>
    </row>
    <row r="68" spans="1:27" x14ac:dyDescent="0.35">
      <c r="A68">
        <f t="shared" si="56"/>
        <v>4.9999999999999982</v>
      </c>
      <c r="B68">
        <f>IF(A68&lt;=regressions!T$2,A68*regressions!T$1,regressions!T$1*regressions!T$2+regressions!T$3*(A68-regressions!T$2))</f>
        <v>-4.8783464954303692</v>
      </c>
      <c r="C68">
        <f t="shared" si="49"/>
        <v>2.2934808713119463</v>
      </c>
      <c r="D68">
        <f t="shared" si="48"/>
        <v>5.8203486300609875</v>
      </c>
      <c r="E68">
        <f t="shared" si="54"/>
        <v>-0.29138475280647658</v>
      </c>
      <c r="F68">
        <f t="shared" si="55"/>
        <v>-16.519043755552346</v>
      </c>
      <c r="G68">
        <f>B68+2*regressions!U$7</f>
        <v>-2.6284008701184427</v>
      </c>
      <c r="H68">
        <f>B68-2*regressions!U$7</f>
        <v>-7.1282921207422962</v>
      </c>
      <c r="I68">
        <f>regressions!I$20*A68+regressions!I$21*A68^2</f>
        <v>-4.7220975364143518</v>
      </c>
      <c r="J68">
        <f>regressions!S$55*A68</f>
        <v>2.2934808713119463</v>
      </c>
      <c r="K68">
        <f>regressions!I$55*A68</f>
        <v>5.8203486300609875</v>
      </c>
      <c r="L68">
        <f t="shared" si="52"/>
        <v>-0.13513579379045915</v>
      </c>
      <c r="M68">
        <f t="shared" si="53"/>
        <v>-16.362794796536328</v>
      </c>
      <c r="N68">
        <f>IF(A68&lt;=regressions2!T$2,A68*regressions2!T$1,regressions2!T$1*regressions2!T$2+regressions2!T$3*(A68-regressions2!T$2))</f>
        <v>-6.0128489943029653</v>
      </c>
      <c r="O68">
        <f>regressions2!I$20*A68+regressions2!I$21*A68^2</f>
        <v>-8.7085102136661057</v>
      </c>
    </row>
    <row r="69" spans="1:27" x14ac:dyDescent="0.35">
      <c r="A69">
        <f t="shared" si="56"/>
        <v>5.0999999999999979</v>
      </c>
      <c r="B69">
        <f>IF(A69&lt;=regressions!T$2,A69*regressions!T$1,regressions!T$1*regressions!T$2+regressions!T$3*(A69-regressions!T$2))</f>
        <v>-5.0194783827687557</v>
      </c>
      <c r="C69">
        <f t="shared" si="49"/>
        <v>2.3393504887381851</v>
      </c>
      <c r="D69">
        <f t="shared" si="48"/>
        <v>5.936755602662207</v>
      </c>
      <c r="E69">
        <f t="shared" si="54"/>
        <v>-0.34077740529238554</v>
      </c>
      <c r="F69">
        <f t="shared" si="55"/>
        <v>-16.892989588093169</v>
      </c>
      <c r="G69">
        <f>B69+2*regressions!U$7</f>
        <v>-2.7695327574568291</v>
      </c>
      <c r="H69">
        <f>B69-2*regressions!U$7</f>
        <v>-7.2694240080806818</v>
      </c>
      <c r="I69">
        <f>regressions!I$20*A69+regressions!I$21*A69^2</f>
        <v>-4.9001580972816656</v>
      </c>
      <c r="J69">
        <f>regressions!S$55*A69</f>
        <v>2.3393504887381851</v>
      </c>
      <c r="K69">
        <f>regressions!I$55*A69</f>
        <v>5.936755602662207</v>
      </c>
      <c r="L69">
        <f t="shared" si="52"/>
        <v>-0.22145711980529548</v>
      </c>
      <c r="M69">
        <f t="shared" si="53"/>
        <v>-16.773669302606081</v>
      </c>
      <c r="N69">
        <f>IF(A69&lt;=regressions2!T$2,A69*regressions2!T$1,regressions2!T$1*regressions2!T$2+regressions2!T$3*(A69-regressions2!T$2))</f>
        <v>-6.2021225466005507</v>
      </c>
      <c r="O69">
        <f>regressions2!I$20*A69+regressions2!I$21*A69^2</f>
        <v>-9.1370809821582899</v>
      </c>
    </row>
    <row r="70" spans="1:27" x14ac:dyDescent="0.35">
      <c r="A70">
        <f t="shared" si="56"/>
        <v>5.1999999999999975</v>
      </c>
      <c r="B70">
        <f>IF(A70&lt;=regressions!T$2,A70*regressions!T$1,regressions!T$1*regressions!T$2+regressions!T$3*(A70-regressions!T$2))</f>
        <v>-5.160610270107143</v>
      </c>
      <c r="C70">
        <f t="shared" si="49"/>
        <v>2.3852201061644238</v>
      </c>
      <c r="D70">
        <f t="shared" si="48"/>
        <v>6.0531625752634266</v>
      </c>
      <c r="E70">
        <f t="shared" ref="E70:E74" si="57">B70+2*C70</f>
        <v>-0.39017005777829539</v>
      </c>
      <c r="F70">
        <f t="shared" ref="F70:F74" si="58">B70-2*D70</f>
        <v>-17.266935420633995</v>
      </c>
      <c r="G70">
        <f>B70+2*regressions!U$7</f>
        <v>-2.9106646447952165</v>
      </c>
      <c r="H70">
        <f>B70-2*regressions!U$7</f>
        <v>-7.4105558954190691</v>
      </c>
      <c r="I70">
        <f>regressions!I$20*A70+regressions!I$21*A70^2</f>
        <v>-5.0814978193309033</v>
      </c>
      <c r="J70">
        <f>regressions!S$55*A70</f>
        <v>2.3852201061644238</v>
      </c>
      <c r="K70">
        <f>regressions!I$55*A70</f>
        <v>6.0531625752634266</v>
      </c>
      <c r="L70">
        <f t="shared" ref="L70:L74" si="59">I70+2*J70</f>
        <v>-0.31105760700205565</v>
      </c>
      <c r="M70">
        <f t="shared" ref="M70:M74" si="60">I70-2*K70</f>
        <v>-17.187822969857756</v>
      </c>
      <c r="N70">
        <f>IF(A70&lt;=regressions2!T$2,A70*regressions2!T$1,regressions2!T$1*regressions2!T$2+regressions2!T$3*(A70-regressions2!T$2))</f>
        <v>-6.3913960988981362</v>
      </c>
      <c r="O70">
        <f>regressions2!I$20*A70+regressions2!I$21*A70^2</f>
        <v>-9.5756282433649389</v>
      </c>
    </row>
    <row r="71" spans="1:27" x14ac:dyDescent="0.35">
      <c r="A71">
        <f t="shared" si="56"/>
        <v>5.2999999999999972</v>
      </c>
      <c r="B71">
        <f>IF(A71&lt;=regressions!T$2,A71*regressions!T$1,regressions!T$1*regressions!T$2+regressions!T$3*(A71-regressions!T$2))</f>
        <v>-5.3017421574455295</v>
      </c>
      <c r="C71">
        <f t="shared" si="49"/>
        <v>2.431089723590663</v>
      </c>
      <c r="D71">
        <f t="shared" si="48"/>
        <v>6.1695695478646462</v>
      </c>
      <c r="E71">
        <f t="shared" si="57"/>
        <v>-0.43956271026420346</v>
      </c>
      <c r="F71">
        <f t="shared" si="58"/>
        <v>-17.640881253174822</v>
      </c>
      <c r="G71">
        <f>B71+2*regressions!U$7</f>
        <v>-3.0517965321336029</v>
      </c>
      <c r="H71">
        <f>B71-2*regressions!U$7</f>
        <v>-7.5516877827574564</v>
      </c>
      <c r="I71">
        <f>regressions!I$20*A71+regressions!I$21*A71^2</f>
        <v>-5.266116702562063</v>
      </c>
      <c r="J71">
        <f>regressions!S$55*A71</f>
        <v>2.431089723590663</v>
      </c>
      <c r="K71">
        <f>regressions!I$55*A71</f>
        <v>6.1695695478646462</v>
      </c>
      <c r="L71">
        <f t="shared" si="59"/>
        <v>-0.40393725538073699</v>
      </c>
      <c r="M71">
        <f t="shared" si="60"/>
        <v>-17.605255798291356</v>
      </c>
      <c r="N71">
        <f>IF(A71&lt;=regressions2!T$2,A71*regressions2!T$1,regressions2!T$1*regressions2!T$2+regressions2!T$3*(A71-regressions2!T$2))</f>
        <v>-6.5806696511957217</v>
      </c>
      <c r="O71">
        <f>regressions2!I$20*A71+regressions2!I$21*A71^2</f>
        <v>-10.024151997286054</v>
      </c>
    </row>
    <row r="72" spans="1:27" x14ac:dyDescent="0.35">
      <c r="A72">
        <f t="shared" si="56"/>
        <v>5.3999999999999968</v>
      </c>
      <c r="B72">
        <f>IF(A72&lt;=regressions!T$2,A72*regressions!T$1,regressions!T$1*regressions!T$2+regressions!T$3*(A72-regressions!T$2))</f>
        <v>-5.4428740447839159</v>
      </c>
      <c r="C72">
        <f t="shared" si="49"/>
        <v>2.4769593410169017</v>
      </c>
      <c r="D72">
        <f t="shared" si="48"/>
        <v>6.2859765204658649</v>
      </c>
      <c r="E72">
        <f t="shared" si="57"/>
        <v>-0.48895536275011242</v>
      </c>
      <c r="F72">
        <f t="shared" si="58"/>
        <v>-18.014827085715645</v>
      </c>
      <c r="G72">
        <f>B72+2*regressions!U$7</f>
        <v>-3.1929284194719894</v>
      </c>
      <c r="H72">
        <f>B72-2*regressions!U$7</f>
        <v>-7.692819670095842</v>
      </c>
      <c r="I72">
        <f>regressions!I$20*A72+regressions!I$21*A72^2</f>
        <v>-5.4540147469751448</v>
      </c>
      <c r="J72">
        <f>regressions!S$55*A72</f>
        <v>2.4769593410169017</v>
      </c>
      <c r="K72">
        <f>regressions!I$55*A72</f>
        <v>6.2859765204658649</v>
      </c>
      <c r="L72">
        <f t="shared" si="59"/>
        <v>-0.50009606494134129</v>
      </c>
      <c r="M72">
        <f t="shared" si="60"/>
        <v>-18.025967787906875</v>
      </c>
      <c r="N72">
        <f>IF(A72&lt;=regressions2!T$2,A72*regressions2!T$1,regressions2!T$1*regressions2!T$2+regressions2!T$3*(A72-regressions2!T$2))</f>
        <v>-6.7699432034933071</v>
      </c>
      <c r="O72">
        <f>regressions2!I$20*A72+regressions2!I$21*A72^2</f>
        <v>-10.482652243921635</v>
      </c>
      <c r="Q72" s="1">
        <f>Table1!C28</f>
        <v>-4.5999999999999996</v>
      </c>
    </row>
    <row r="73" spans="1:27" x14ac:dyDescent="0.35">
      <c r="A73">
        <f t="shared" si="56"/>
        <v>5.4999999999999964</v>
      </c>
      <c r="B73">
        <f>IF(A73&lt;=regressions!T$2,A73*regressions!T$1,regressions!T$1*regressions!T$2+regressions!T$3*(A73-regressions!T$2))</f>
        <v>-5.5840059321223032</v>
      </c>
      <c r="C73">
        <f t="shared" si="49"/>
        <v>2.5228289584431405</v>
      </c>
      <c r="D73">
        <f t="shared" si="48"/>
        <v>6.4023834930670844</v>
      </c>
      <c r="E73">
        <f t="shared" si="57"/>
        <v>-0.53834801523602227</v>
      </c>
      <c r="F73">
        <f t="shared" si="58"/>
        <v>-18.388772918256471</v>
      </c>
      <c r="G73">
        <f>B73+2*regressions!U$7</f>
        <v>-3.3340603068103767</v>
      </c>
      <c r="H73">
        <f>B73-2*regressions!U$7</f>
        <v>-7.8339515574342293</v>
      </c>
      <c r="I73">
        <f>regressions!I$20*A73+regressions!I$21*A73^2</f>
        <v>-5.6451919525701495</v>
      </c>
      <c r="J73">
        <f>regressions!S$55*A73</f>
        <v>2.5228289584431405</v>
      </c>
      <c r="K73">
        <f>regressions!I$55*A73</f>
        <v>6.4023834930670844</v>
      </c>
      <c r="L73">
        <f t="shared" si="59"/>
        <v>-0.59953403568386854</v>
      </c>
      <c r="M73">
        <f t="shared" si="60"/>
        <v>-18.44995893870432</v>
      </c>
      <c r="N73">
        <f>IF(A73&lt;=regressions2!T$2,A73*regressions2!T$1,regressions2!T$1*regressions2!T$2+regressions2!T$3*(A73-regressions2!T$2))</f>
        <v>-6.9592167557908926</v>
      </c>
      <c r="O73">
        <f>regressions2!I$20*A73+regressions2!I$21*A73^2</f>
        <v>-10.951128983271682</v>
      </c>
      <c r="AA73" s="1"/>
    </row>
    <row r="74" spans="1:27" x14ac:dyDescent="0.35">
      <c r="A74">
        <f t="shared" si="56"/>
        <v>5.5999999999999961</v>
      </c>
      <c r="B74">
        <f>IF(A74&lt;=regressions!T$2,A74*regressions!T$1,regressions!T$1*regressions!T$2+regressions!T$3*(A74-regressions!T$2))</f>
        <v>-5.7251378194606897</v>
      </c>
      <c r="C74">
        <f t="shared" si="49"/>
        <v>2.5686985758693792</v>
      </c>
      <c r="D74">
        <f t="shared" si="48"/>
        <v>6.518790465668304</v>
      </c>
      <c r="E74">
        <f t="shared" si="57"/>
        <v>-0.58774066772193123</v>
      </c>
      <c r="F74">
        <f t="shared" si="58"/>
        <v>-18.762718750797298</v>
      </c>
      <c r="G74">
        <f>B74+2*regressions!U$7</f>
        <v>-3.4751921941487631</v>
      </c>
      <c r="H74">
        <f>B74-2*regressions!U$7</f>
        <v>-7.9750834447726167</v>
      </c>
      <c r="I74">
        <f>regressions!I$20*A74+regressions!I$21*A74^2</f>
        <v>-5.8396483193470772</v>
      </c>
      <c r="J74">
        <f>regressions!S$55*A74</f>
        <v>2.5686985758693792</v>
      </c>
      <c r="K74">
        <f>regressions!I$55*A74</f>
        <v>6.518790465668304</v>
      </c>
      <c r="L74">
        <f t="shared" si="59"/>
        <v>-0.70225116760831874</v>
      </c>
      <c r="M74">
        <f t="shared" si="60"/>
        <v>-18.877229250683683</v>
      </c>
      <c r="N74">
        <f>IF(A74&lt;=regressions2!T$2,A74*regressions2!T$1,regressions2!T$1*regressions2!T$2+regressions2!T$3*(A74-regressions2!T$2))</f>
        <v>-7.1484903080884781</v>
      </c>
      <c r="O74">
        <f>regressions2!I$20*A74+regressions2!I$21*A74^2</f>
        <v>-11.429582215336193</v>
      </c>
    </row>
    <row r="75" spans="1:27" x14ac:dyDescent="0.35">
      <c r="A75">
        <f t="shared" si="56"/>
        <v>5.6999999999999957</v>
      </c>
      <c r="B75">
        <f>IF(A75&lt;=regressions!T$2,A75*regressions!T$1,regressions!T$1*regressions!T$2+regressions!T$3*(A75-regressions!T$2))</f>
        <v>-5.866269706799077</v>
      </c>
      <c r="C75">
        <f t="shared" si="49"/>
        <v>2.614568193295618</v>
      </c>
      <c r="D75">
        <f t="shared" si="48"/>
        <v>6.6351974382695236</v>
      </c>
      <c r="E75">
        <f t="shared" ref="E75:E79" si="61">B75+2*C75</f>
        <v>-0.63713332020784108</v>
      </c>
      <c r="F75">
        <f t="shared" ref="F75:F79" si="62">B75-2*D75</f>
        <v>-19.136664583338124</v>
      </c>
      <c r="G75">
        <f>B75+2*regressions!U$7</f>
        <v>-3.6163240814871505</v>
      </c>
      <c r="H75">
        <f>B75-2*regressions!U$7</f>
        <v>-8.116215332111004</v>
      </c>
      <c r="I75">
        <f>regressions!I$20*A75+regressions!I$21*A75^2</f>
        <v>-6.0373838473059278</v>
      </c>
      <c r="J75">
        <f>regressions!S$55*A75</f>
        <v>2.614568193295618</v>
      </c>
      <c r="K75">
        <f>regressions!I$55*A75</f>
        <v>6.6351974382695236</v>
      </c>
      <c r="L75">
        <f t="shared" ref="L75:L79" si="63">I75+2*J75</f>
        <v>-0.80824746071469189</v>
      </c>
      <c r="M75">
        <f t="shared" ref="M75:M79" si="64">I75-2*K75</f>
        <v>-19.307778723844976</v>
      </c>
      <c r="N75">
        <f>IF(A75&lt;=regressions2!T$2,A75*regressions2!T$1,regressions2!T$1*regressions2!T$2+regressions2!T$3*(A75-regressions2!T$2))</f>
        <v>-7.3377638603860635</v>
      </c>
      <c r="O75">
        <f>regressions2!I$20*A75+regressions2!I$21*A75^2</f>
        <v>-11.918011940115168</v>
      </c>
    </row>
    <row r="76" spans="1:27" x14ac:dyDescent="0.35">
      <c r="A76">
        <f t="shared" si="56"/>
        <v>5.7999999999999954</v>
      </c>
      <c r="B76">
        <f>IF(A76&lt;=regressions!T$2,A76*regressions!T$1,regressions!T$1*regressions!T$2+regressions!T$3*(A76-regressions!T$2))</f>
        <v>-6.0074015941374634</v>
      </c>
      <c r="C76">
        <f t="shared" si="49"/>
        <v>2.6604378107218567</v>
      </c>
      <c r="D76">
        <f t="shared" si="48"/>
        <v>6.7516044108707423</v>
      </c>
      <c r="E76">
        <f t="shared" si="61"/>
        <v>-0.68652597269375004</v>
      </c>
      <c r="F76">
        <f t="shared" si="62"/>
        <v>-19.510610415878947</v>
      </c>
      <c r="G76">
        <f>B76+2*regressions!U$7</f>
        <v>-3.7574559688255369</v>
      </c>
      <c r="H76">
        <f>B76-2*regressions!U$7</f>
        <v>-8.2573472194493895</v>
      </c>
      <c r="I76">
        <f>regressions!I$20*A76+regressions!I$21*A76^2</f>
        <v>-6.2383985364467005</v>
      </c>
      <c r="J76">
        <f>regressions!S$55*A76</f>
        <v>2.6604378107218567</v>
      </c>
      <c r="K76">
        <f>regressions!I$55*A76</f>
        <v>6.7516044108707423</v>
      </c>
      <c r="L76">
        <f t="shared" si="63"/>
        <v>-0.91752291500298711</v>
      </c>
      <c r="M76">
        <f t="shared" si="64"/>
        <v>-19.741607358188183</v>
      </c>
      <c r="N76">
        <f>IF(A76&lt;=regressions2!T$2,A76*regressions2!T$1,regressions2!T$1*regressions2!T$2+regressions2!T$3*(A76-regressions2!T$2))</f>
        <v>-7.527037412683649</v>
      </c>
      <c r="O76">
        <f>regressions2!I$20*A76+regressions2!I$21*A76^2</f>
        <v>-12.416418157608607</v>
      </c>
    </row>
    <row r="77" spans="1:27" x14ac:dyDescent="0.35">
      <c r="A77">
        <f t="shared" si="56"/>
        <v>5.899999999999995</v>
      </c>
      <c r="B77">
        <f>IF(A77&lt;=regressions!T$2,A77*regressions!T$1,regressions!T$1*regressions!T$2+regressions!T$3*(A77-regressions!T$2))</f>
        <v>-6.1485334814758499</v>
      </c>
      <c r="C77">
        <f t="shared" si="49"/>
        <v>2.7063074281480954</v>
      </c>
      <c r="D77">
        <f t="shared" si="48"/>
        <v>6.8680113834719618</v>
      </c>
      <c r="E77">
        <f t="shared" si="61"/>
        <v>-0.735918625179659</v>
      </c>
      <c r="F77">
        <f t="shared" si="62"/>
        <v>-19.884556248419774</v>
      </c>
      <c r="G77">
        <f>B77+2*regressions!U$7</f>
        <v>-3.8985878561639233</v>
      </c>
      <c r="H77">
        <f>B77-2*regressions!U$7</f>
        <v>-8.3984791067877769</v>
      </c>
      <c r="I77">
        <f>regressions!I$20*A77+regressions!I$21*A77^2</f>
        <v>-6.4426923867693962</v>
      </c>
      <c r="J77">
        <f>regressions!S$55*A77</f>
        <v>2.7063074281480954</v>
      </c>
      <c r="K77">
        <f>regressions!I$55*A77</f>
        <v>6.8680113834719618</v>
      </c>
      <c r="L77">
        <f t="shared" si="63"/>
        <v>-1.0300775304732053</v>
      </c>
      <c r="M77">
        <f t="shared" si="64"/>
        <v>-20.17871515371332</v>
      </c>
      <c r="N77">
        <f>IF(A77&lt;=regressions2!T$2,A77*regressions2!T$1,regressions2!T$1*regressions2!T$2+regressions2!T$3*(A77-regressions2!T$2))</f>
        <v>-7.7163109649812345</v>
      </c>
      <c r="O77">
        <f>regressions2!I$20*A77+regressions2!I$21*A77^2</f>
        <v>-12.924800867816511</v>
      </c>
    </row>
    <row r="78" spans="1:27" x14ac:dyDescent="0.35">
      <c r="A78">
        <f t="shared" si="56"/>
        <v>5.9999999999999947</v>
      </c>
      <c r="B78">
        <f>IF(A78&lt;=regressions!T$2,A78*regressions!T$1,regressions!T$1*regressions!T$2+regressions!T$3*(A78-regressions!T$2))</f>
        <v>-6.2896653688142372</v>
      </c>
      <c r="C78">
        <f t="shared" si="49"/>
        <v>2.7521770455743342</v>
      </c>
      <c r="D78">
        <f t="shared" si="48"/>
        <v>6.9844183560731814</v>
      </c>
      <c r="E78">
        <f t="shared" si="61"/>
        <v>-0.78531127766556885</v>
      </c>
      <c r="F78">
        <f t="shared" si="62"/>
        <v>-20.2585020809606</v>
      </c>
      <c r="G78">
        <f>B78+2*regressions!U$7</f>
        <v>-4.0397197435023102</v>
      </c>
      <c r="H78">
        <f>B78-2*regressions!U$7</f>
        <v>-8.5396109941261642</v>
      </c>
      <c r="I78">
        <f>regressions!I$20*A78+regressions!I$21*A78^2</f>
        <v>-6.6502653982740147</v>
      </c>
      <c r="J78">
        <f>regressions!S$55*A78</f>
        <v>2.7521770455743342</v>
      </c>
      <c r="K78">
        <f>regressions!I$55*A78</f>
        <v>6.9844183560731814</v>
      </c>
      <c r="L78">
        <f t="shared" si="63"/>
        <v>-1.1459113071253464</v>
      </c>
      <c r="M78">
        <f t="shared" si="64"/>
        <v>-20.619102110420378</v>
      </c>
      <c r="N78">
        <f>IF(A78&lt;=regressions2!T$2,A78*regressions2!T$1,regressions2!T$1*regressions2!T$2+regressions2!T$3*(A78-regressions2!T$2))</f>
        <v>-7.9055845172788199</v>
      </c>
      <c r="O78">
        <f>regressions2!I$20*A78+regressions2!I$21*A78^2</f>
        <v>-13.443160070738886</v>
      </c>
      <c r="Q78" s="1">
        <f>Table1!C8</f>
        <v>-6.7</v>
      </c>
    </row>
    <row r="79" spans="1:27" x14ac:dyDescent="0.35">
      <c r="A79">
        <f t="shared" si="56"/>
        <v>6.0999999999999943</v>
      </c>
      <c r="B79">
        <f>IF(A79&lt;=regressions!T$2,A79*regressions!T$1,regressions!T$1*regressions!T$2+regressions!T$3*(A79-regressions!T$2))</f>
        <v>-6.4307972561526237</v>
      </c>
      <c r="C79">
        <f t="shared" si="49"/>
        <v>2.7980466630005729</v>
      </c>
      <c r="D79">
        <f t="shared" si="48"/>
        <v>7.100825328674401</v>
      </c>
      <c r="E79">
        <f t="shared" si="61"/>
        <v>-0.83470393015147781</v>
      </c>
      <c r="F79">
        <f t="shared" si="62"/>
        <v>-20.632447913501426</v>
      </c>
      <c r="G79">
        <f>B79+2*regressions!U$7</f>
        <v>-4.1808516308406976</v>
      </c>
      <c r="H79">
        <f>B79-2*regressions!U$7</f>
        <v>-8.6807428814645498</v>
      </c>
      <c r="I79">
        <f>regressions!I$20*A79+regressions!I$21*A79^2</f>
        <v>-6.8611175709605554</v>
      </c>
      <c r="J79">
        <f>regressions!S$55*A79</f>
        <v>2.7980466630005729</v>
      </c>
      <c r="K79">
        <f>regressions!I$55*A79</f>
        <v>7.100825328674401</v>
      </c>
      <c r="L79">
        <f t="shared" si="63"/>
        <v>-1.2650242449594096</v>
      </c>
      <c r="M79">
        <f t="shared" si="64"/>
        <v>-21.062768228309359</v>
      </c>
      <c r="N79">
        <f>IF(A79&lt;=regressions2!T$2,A79*regressions2!T$1,regressions2!T$1*regressions2!T$2+regressions2!T$3*(A79-regressions2!T$2))</f>
        <v>-8.0948580695764054</v>
      </c>
      <c r="O79">
        <f>regressions2!I$20*A79+regressions2!I$21*A79^2</f>
        <v>-13.971495766375723</v>
      </c>
    </row>
    <row r="80" spans="1:27" x14ac:dyDescent="0.35">
      <c r="A80">
        <f t="shared" si="56"/>
        <v>6.199999999999994</v>
      </c>
      <c r="B80">
        <f>IF(A80&lt;=regressions!T$2,A80*regressions!T$1,regressions!T$1*regressions!T$2+regressions!T$3*(A80-regressions!T$2))</f>
        <v>-6.5719291434910101</v>
      </c>
      <c r="C80">
        <f t="shared" ref="C80:C83" si="65">J80</f>
        <v>2.8439162804268117</v>
      </c>
      <c r="D80">
        <f t="shared" ref="D80:D83" si="66">K80</f>
        <v>7.2172323012756205</v>
      </c>
      <c r="E80">
        <f t="shared" ref="E80:E83" si="67">B80+2*C80</f>
        <v>-0.88409658263738677</v>
      </c>
      <c r="F80">
        <f t="shared" ref="F80:F83" si="68">B80-2*D80</f>
        <v>-21.006393746042249</v>
      </c>
      <c r="G80">
        <f>B80+2*regressions!U$7</f>
        <v>-4.3219835181790831</v>
      </c>
      <c r="H80">
        <f>B80-2*regressions!U$7</f>
        <v>-8.8218747688029371</v>
      </c>
      <c r="I80">
        <f>regressions!I$20*A80+regressions!I$21*A80^2</f>
        <v>-7.075248904829019</v>
      </c>
      <c r="J80">
        <f>regressions!S$55*A80</f>
        <v>2.8439162804268117</v>
      </c>
      <c r="K80">
        <f>regressions!I$55*A80</f>
        <v>7.2172323012756205</v>
      </c>
      <c r="L80">
        <f t="shared" ref="L80:L83" si="69">I80+2*J80</f>
        <v>-1.3874163439753957</v>
      </c>
      <c r="M80">
        <f t="shared" ref="M80:M83" si="70">I80-2*K80</f>
        <v>-21.509713507380262</v>
      </c>
      <c r="N80">
        <f>IF(A80&lt;=regressions2!T$2,A80*regressions2!T$1,regressions2!T$1*regressions2!T$2+regressions2!T$3*(A80-regressions2!T$2))</f>
        <v>-8.2841316218739891</v>
      </c>
      <c r="O80">
        <f>regressions2!I$20*A80+regressions2!I$21*A80^2</f>
        <v>-14.509807954727027</v>
      </c>
    </row>
    <row r="81" spans="1:15" x14ac:dyDescent="0.35">
      <c r="A81">
        <f t="shared" si="56"/>
        <v>6.2999999999999936</v>
      </c>
      <c r="B81">
        <f>IF(A81&lt;=regressions!T$2,A81*regressions!T$1,regressions!T$1*regressions!T$2+regressions!T$3*(A81-regressions!T$2))</f>
        <v>-6.7130610308293974</v>
      </c>
      <c r="C81">
        <f t="shared" si="65"/>
        <v>2.8897858978530508</v>
      </c>
      <c r="D81">
        <f t="shared" si="66"/>
        <v>7.3336392738768392</v>
      </c>
      <c r="E81">
        <f t="shared" si="67"/>
        <v>-0.93348923512329574</v>
      </c>
      <c r="F81">
        <f t="shared" si="68"/>
        <v>-21.380339578583076</v>
      </c>
      <c r="G81">
        <f>B81+2*regressions!U$7</f>
        <v>-4.4631154055174704</v>
      </c>
      <c r="H81">
        <f>B81-2*regressions!U$7</f>
        <v>-8.9630066561413244</v>
      </c>
      <c r="I81">
        <f>regressions!I$20*A81+regressions!I$21*A81^2</f>
        <v>-7.2926593998794047</v>
      </c>
      <c r="J81">
        <f>regressions!S$55*A81</f>
        <v>2.8897858978530508</v>
      </c>
      <c r="K81">
        <f>regressions!I$55*A81</f>
        <v>7.3336392738768392</v>
      </c>
      <c r="L81">
        <f t="shared" si="69"/>
        <v>-1.513087604173303</v>
      </c>
      <c r="M81">
        <f t="shared" si="70"/>
        <v>-21.959937947633083</v>
      </c>
      <c r="N81">
        <f>IF(A81&lt;=regressions2!T$2,A81*regressions2!T$1,regressions2!T$1*regressions2!T$2+regressions2!T$3*(A81-regressions2!T$2))</f>
        <v>-8.4734051741715746</v>
      </c>
      <c r="O81">
        <f>regressions2!I$20*A81+regressions2!I$21*A81^2</f>
        <v>-15.058096635792793</v>
      </c>
    </row>
    <row r="82" spans="1:15" x14ac:dyDescent="0.35">
      <c r="A82">
        <f t="shared" si="56"/>
        <v>6.3999999999999932</v>
      </c>
      <c r="B82">
        <f>IF(A82&lt;=regressions!T$2,A82*regressions!T$1,regressions!T$1*regressions!T$2+regressions!T$3*(A82-regressions!T$2))</f>
        <v>-6.8541929181677839</v>
      </c>
      <c r="C82">
        <f t="shared" si="65"/>
        <v>2.9356555152792896</v>
      </c>
      <c r="D82">
        <f t="shared" si="66"/>
        <v>7.4500462464780588</v>
      </c>
      <c r="E82">
        <f t="shared" si="67"/>
        <v>-0.9828818876092047</v>
      </c>
      <c r="F82">
        <f t="shared" si="68"/>
        <v>-21.754285411123902</v>
      </c>
      <c r="G82">
        <f>B82+2*regressions!U$7</f>
        <v>-4.6042472928558578</v>
      </c>
      <c r="H82">
        <f>B82-2*regressions!U$7</f>
        <v>-9.10413854347971</v>
      </c>
      <c r="I82">
        <f>regressions!I$20*A82+regressions!I$21*A82^2</f>
        <v>-7.5133490561117142</v>
      </c>
      <c r="J82">
        <f>regressions!S$55*A82</f>
        <v>2.9356555152792896</v>
      </c>
      <c r="K82">
        <f>regressions!I$55*A82</f>
        <v>7.4500462464780588</v>
      </c>
      <c r="L82">
        <f t="shared" si="69"/>
        <v>-1.642038025553135</v>
      </c>
      <c r="M82">
        <f t="shared" si="70"/>
        <v>-22.413441549067834</v>
      </c>
      <c r="N82">
        <f>IF(A82&lt;=regressions2!T$2,A82*regressions2!T$1,regressions2!T$1*regressions2!T$2+regressions2!T$3*(A82-regressions2!T$2))</f>
        <v>-8.66267872646916</v>
      </c>
      <c r="O82">
        <f>regressions2!I$20*A82+regressions2!I$21*A82^2</f>
        <v>-15.616361809573025</v>
      </c>
    </row>
    <row r="83" spans="1:15" x14ac:dyDescent="0.35">
      <c r="A83">
        <f t="shared" si="56"/>
        <v>6.4999999999999929</v>
      </c>
      <c r="B83">
        <f>IF(A83&lt;=regressions!T$2,A83*regressions!T$1,regressions!T$1*regressions!T$2+regressions!T$3*(A83-regressions!T$2))</f>
        <v>-6.9953248055061703</v>
      </c>
      <c r="C83">
        <f t="shared" si="65"/>
        <v>2.9815251327055283</v>
      </c>
      <c r="D83">
        <f t="shared" si="66"/>
        <v>7.5664532190792784</v>
      </c>
      <c r="E83">
        <f t="shared" si="67"/>
        <v>-1.0322745400951137</v>
      </c>
      <c r="F83">
        <f t="shared" si="68"/>
        <v>-22.128231243664729</v>
      </c>
      <c r="G83">
        <f>B83+2*regressions!U$7</f>
        <v>-4.7453791801942433</v>
      </c>
      <c r="H83">
        <f>B83-2*regressions!U$7</f>
        <v>-9.2452704308180973</v>
      </c>
      <c r="I83">
        <f>regressions!I$20*A83+regressions!I$21*A83^2</f>
        <v>-7.7373178735259449</v>
      </c>
      <c r="J83">
        <f>regressions!S$55*A83</f>
        <v>2.9815251327055283</v>
      </c>
      <c r="K83">
        <f>regressions!I$55*A83</f>
        <v>7.5664532190792784</v>
      </c>
      <c r="L83">
        <f t="shared" si="69"/>
        <v>-1.7742676081148883</v>
      </c>
      <c r="M83">
        <f t="shared" si="70"/>
        <v>-22.870224311684503</v>
      </c>
      <c r="N83">
        <f>IF(A83&lt;=regressions2!T$2,A83*regressions2!T$1,regressions2!T$1*regressions2!T$2+regressions2!T$3*(A83-regressions2!T$2))</f>
        <v>-8.8519522787667455</v>
      </c>
      <c r="O83">
        <f>regressions2!I$20*A83+regressions2!I$21*A83^2</f>
        <v>-16.184603476067721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53"/>
  <sheetViews>
    <sheetView topLeftCell="M1" zoomScaleNormal="100" workbookViewId="0">
      <selection activeCell="AL1" sqref="AL1"/>
    </sheetView>
  </sheetViews>
  <sheetFormatPr defaultRowHeight="14.5" x14ac:dyDescent="0.35"/>
  <cols>
    <col min="17" max="17" width="11.81640625" customWidth="1"/>
    <col min="30" max="30" width="12" bestFit="1" customWidth="1"/>
    <col min="35" max="35" width="19.81640625" customWidth="1"/>
    <col min="36" max="36" width="10.54296875" customWidth="1"/>
  </cols>
  <sheetData>
    <row r="1" spans="1:37" ht="15.5" x14ac:dyDescent="0.35">
      <c r="A1">
        <f>Table1!B3</f>
        <v>-1</v>
      </c>
      <c r="B1">
        <f>A1^2</f>
        <v>1</v>
      </c>
      <c r="C1">
        <f>A1^7</f>
        <v>-1</v>
      </c>
      <c r="D1">
        <f>EXP(A1)</f>
        <v>0.36787944117144233</v>
      </c>
      <c r="E1">
        <f>EXP(D1)</f>
        <v>1.4446678610097661</v>
      </c>
      <c r="F1">
        <f>Table1!C3</f>
        <v>-0.59642907312262095</v>
      </c>
      <c r="T1">
        <v>0.73785546406135549</v>
      </c>
      <c r="U1">
        <v>0.73786730135717826</v>
      </c>
      <c r="AB1">
        <f>-AB2</f>
        <v>1.9769752663005562E-2</v>
      </c>
      <c r="AD1">
        <f>-AD2*EXP(1)</f>
        <v>1.1310203779667776E-174</v>
      </c>
      <c r="AI1" s="26" t="s">
        <v>684</v>
      </c>
      <c r="AJ1" s="26" t="s">
        <v>685</v>
      </c>
    </row>
    <row r="2" spans="1:37" ht="15.5" x14ac:dyDescent="0.35">
      <c r="A2">
        <f>Table1!B4</f>
        <v>2.5</v>
      </c>
      <c r="B2">
        <f>A2^2</f>
        <v>6.25</v>
      </c>
      <c r="C2">
        <f t="shared" ref="C2:C27" si="0">A2^7</f>
        <v>610.3515625</v>
      </c>
      <c r="D2">
        <f t="shared" ref="D2:D27" si="1">EXP(A2)</f>
        <v>12.182493960703473</v>
      </c>
      <c r="E2">
        <f t="shared" ref="E2:E27" si="2">EXP(D2)</f>
        <v>195339.42408031868</v>
      </c>
      <c r="F2">
        <f>Table1!C4</f>
        <v>-3</v>
      </c>
      <c r="T2">
        <v>1.0135277690307449</v>
      </c>
      <c r="U2">
        <v>1.2407549155987856</v>
      </c>
      <c r="AB2">
        <v>-1.9769752663005562E-2</v>
      </c>
      <c r="AD2" s="23">
        <v>-4.1607914459993165E-175</v>
      </c>
      <c r="AI2" s="26" t="s">
        <v>679</v>
      </c>
      <c r="AJ2" s="27">
        <f>U4</f>
        <v>0.53162037321262023</v>
      </c>
      <c r="AK2" s="29">
        <f t="shared" ref="AK2:AK9" si="3">AJ2</f>
        <v>0.53162037321262023</v>
      </c>
    </row>
    <row r="3" spans="1:37" ht="15.5" x14ac:dyDescent="0.35">
      <c r="A3">
        <f>Table1!B5</f>
        <v>3</v>
      </c>
      <c r="B3">
        <f>A3^2</f>
        <v>9</v>
      </c>
      <c r="C3">
        <f t="shared" si="0"/>
        <v>2187</v>
      </c>
      <c r="D3">
        <f t="shared" si="1"/>
        <v>20.085536923187668</v>
      </c>
      <c r="E3">
        <f t="shared" si="2"/>
        <v>528491311.48549432</v>
      </c>
      <c r="F3">
        <f>Table1!C5</f>
        <v>-1</v>
      </c>
      <c r="H3" t="s">
        <v>22</v>
      </c>
      <c r="T3">
        <v>-1.4113188733838726</v>
      </c>
      <c r="U3">
        <v>-1.6699652187008585</v>
      </c>
      <c r="AI3" s="26" t="s">
        <v>680</v>
      </c>
      <c r="AJ3" s="27">
        <f>S4</f>
        <v>0.10215522361691201</v>
      </c>
      <c r="AK3" s="29">
        <f t="shared" si="3"/>
        <v>0.10215522361691201</v>
      </c>
    </row>
    <row r="4" spans="1:37" ht="16" thickBot="1" x14ac:dyDescent="0.4">
      <c r="A4">
        <f>Table1!B6</f>
        <v>3</v>
      </c>
      <c r="B4">
        <f t="shared" ref="B4:B27" si="4">A4^2</f>
        <v>9</v>
      </c>
      <c r="C4">
        <f t="shared" si="0"/>
        <v>2187</v>
      </c>
      <c r="D4">
        <f t="shared" si="1"/>
        <v>20.085536923187668</v>
      </c>
      <c r="E4">
        <f t="shared" si="2"/>
        <v>528491311.48549432</v>
      </c>
      <c r="F4">
        <f>Table1!C6</f>
        <v>-1.33</v>
      </c>
      <c r="H4" t="s">
        <v>661</v>
      </c>
      <c r="S4">
        <f>EXP(S8)/$Q8</f>
        <v>0.10215522361691201</v>
      </c>
      <c r="T4">
        <f>T1*T2</f>
        <v>0.74783700235725059</v>
      </c>
      <c r="U4">
        <f>EXP(U8)/$Q8</f>
        <v>0.53162037321262023</v>
      </c>
      <c r="W4">
        <f>EXP(W8)/$Q8</f>
        <v>8.729033365449608E-2</v>
      </c>
      <c r="Y4">
        <f>EXP(Y8)/$Q8</f>
        <v>0.13565907443614042</v>
      </c>
      <c r="AA4">
        <f>EXP(AA8)/$Q8</f>
        <v>0.14163289490451625</v>
      </c>
      <c r="AC4">
        <f>EXP(AC8)/$Q8</f>
        <v>2.5444741768023637E-6</v>
      </c>
      <c r="AE4">
        <f>EXP(AE8)/$Q8</f>
        <v>9.0552280323968155E-9</v>
      </c>
      <c r="AG4">
        <f>EXP(AG8)/$Q8</f>
        <v>1.6395466459100229E-3</v>
      </c>
      <c r="AI4" s="26" t="s">
        <v>678</v>
      </c>
      <c r="AJ4" s="27">
        <f>AG4</f>
        <v>1.6395466459100229E-3</v>
      </c>
      <c r="AK4" s="29">
        <f t="shared" si="3"/>
        <v>1.6395466459100229E-3</v>
      </c>
    </row>
    <row r="5" spans="1:37" ht="15.5" x14ac:dyDescent="0.35">
      <c r="A5">
        <f>Table1!B7</f>
        <v>3</v>
      </c>
      <c r="B5">
        <f t="shared" si="4"/>
        <v>9</v>
      </c>
      <c r="C5">
        <f t="shared" si="0"/>
        <v>2187</v>
      </c>
      <c r="D5">
        <f t="shared" si="1"/>
        <v>20.085536923187668</v>
      </c>
      <c r="E5">
        <f t="shared" si="2"/>
        <v>528491311.48549432</v>
      </c>
      <c r="F5">
        <f>Table1!C7</f>
        <v>-3.6</v>
      </c>
      <c r="H5" s="5" t="s">
        <v>23</v>
      </c>
      <c r="I5" s="5"/>
      <c r="S5">
        <f>((S9-$U9)/$U9)/(($U6-S6)/(27-$U6))</f>
        <v>3.2218305903266562</v>
      </c>
      <c r="T5">
        <f>(T1-T3)*T2</f>
        <v>2.1782478714889915</v>
      </c>
      <c r="W5">
        <f>((W9-$U9)/$U9)/(($U6-W6)/(27-$U6))</f>
        <v>1.8004909318260385</v>
      </c>
      <c r="Y5">
        <f>((Y9-$U9)/$U9)/(($U6-Y6)/(27-$U6))</f>
        <v>2.6558336720980971</v>
      </c>
      <c r="AA5">
        <f>((AA9-$U9)/$U9)/(($U6-AA6)/(27-$U6))</f>
        <v>2.5708808914004613</v>
      </c>
      <c r="AC5">
        <f>((AC9-$U9)/$U9)/(($U6-AC6)/(27-$U6))</f>
        <v>17.912156823872266</v>
      </c>
      <c r="AE5">
        <f>((AE9-$U9)/$U9)/(($U6-AE6)/(27-$U6))</f>
        <v>33.418502897118692</v>
      </c>
      <c r="AG5">
        <f>((AG9-$U9)/$U9)/(($U6-AG6)/(27-$U6))</f>
        <v>6.5252612688424616</v>
      </c>
      <c r="AI5" s="26" t="s">
        <v>682</v>
      </c>
      <c r="AJ5" s="27">
        <f>AC4</f>
        <v>2.5444741768023637E-6</v>
      </c>
      <c r="AK5" s="29">
        <f t="shared" si="3"/>
        <v>2.5444741768023637E-6</v>
      </c>
    </row>
    <row r="6" spans="1:37" ht="15.5" x14ac:dyDescent="0.35">
      <c r="A6">
        <f>Table1!B8</f>
        <v>6</v>
      </c>
      <c r="B6">
        <f t="shared" si="4"/>
        <v>36</v>
      </c>
      <c r="C6">
        <f t="shared" si="0"/>
        <v>279936</v>
      </c>
      <c r="D6">
        <f t="shared" si="1"/>
        <v>403.42879349273511</v>
      </c>
      <c r="E6">
        <f t="shared" si="2"/>
        <v>1.6102705667793523E+175</v>
      </c>
      <c r="F6">
        <f>Table1!C8</f>
        <v>-6.7</v>
      </c>
      <c r="H6" s="2" t="s">
        <v>24</v>
      </c>
      <c r="I6" s="2">
        <v>0.88570845226098649</v>
      </c>
      <c r="S6">
        <v>2</v>
      </c>
      <c r="U6">
        <v>3</v>
      </c>
      <c r="W6">
        <v>1</v>
      </c>
      <c r="Y6">
        <v>2</v>
      </c>
      <c r="AA6">
        <v>2</v>
      </c>
      <c r="AC6">
        <v>1</v>
      </c>
      <c r="AE6">
        <v>1</v>
      </c>
      <c r="AG6">
        <v>1</v>
      </c>
      <c r="AI6" s="26" t="s">
        <v>683</v>
      </c>
      <c r="AJ6" s="27">
        <f>AE4</f>
        <v>9.0552280323968155E-9</v>
      </c>
      <c r="AK6" s="29">
        <f t="shared" si="3"/>
        <v>9.0552280323968155E-9</v>
      </c>
    </row>
    <row r="7" spans="1:37" ht="15.5" x14ac:dyDescent="0.35">
      <c r="A7">
        <f>Table1!B9</f>
        <v>2.5</v>
      </c>
      <c r="B7">
        <f t="shared" si="4"/>
        <v>6.25</v>
      </c>
      <c r="C7">
        <f t="shared" si="0"/>
        <v>610.3515625</v>
      </c>
      <c r="D7">
        <f t="shared" si="1"/>
        <v>12.182493960703473</v>
      </c>
      <c r="E7">
        <f t="shared" si="2"/>
        <v>195339.42408031868</v>
      </c>
      <c r="F7">
        <f>Table1!C9</f>
        <v>-1.4</v>
      </c>
      <c r="H7" s="2" t="s">
        <v>25</v>
      </c>
      <c r="I7" s="2">
        <v>0.78447946240655209</v>
      </c>
      <c r="S7" s="7">
        <f>SQRT(S9/(27-S6))</f>
        <v>1.1738988740115175</v>
      </c>
      <c r="T7" s="7"/>
      <c r="U7" s="7">
        <f>SQRT(U9/(27-U6))</f>
        <v>1.1249728126559633</v>
      </c>
      <c r="V7" s="7"/>
      <c r="W7" s="7">
        <f>SQRT(W9/(27-W6))</f>
        <v>1.1590912272031051</v>
      </c>
      <c r="X7" s="7"/>
      <c r="Y7" s="7">
        <f>SQRT(Y9/(27-Y6))</f>
        <v>1.1616309040823671</v>
      </c>
      <c r="Z7" s="7"/>
      <c r="AA7" s="7">
        <f>SQRT(AA9/(27-AA6))</f>
        <v>1.1597783541097544</v>
      </c>
      <c r="AB7" s="7"/>
      <c r="AC7" s="7">
        <f>SQRT(AC9/(27-AC6))</f>
        <v>1.7064525445880059</v>
      </c>
      <c r="AD7" s="7"/>
      <c r="AE7" s="7">
        <f>SQRT(AE9/(27-AE6))</f>
        <v>2.1027457222859325</v>
      </c>
      <c r="AF7" s="7"/>
      <c r="AG7" s="7">
        <f>SQRT(AG9/(27-AG6))</f>
        <v>1.34292735895551</v>
      </c>
      <c r="AI7" s="26" t="s">
        <v>666</v>
      </c>
      <c r="AJ7" s="27">
        <f>AA4</f>
        <v>0.14163289490451625</v>
      </c>
      <c r="AK7" s="29">
        <f t="shared" si="3"/>
        <v>0.14163289490451625</v>
      </c>
    </row>
    <row r="8" spans="1:37" ht="15.5" x14ac:dyDescent="0.35">
      <c r="A8">
        <f>Table1!B10</f>
        <v>2.5</v>
      </c>
      <c r="B8">
        <f t="shared" si="4"/>
        <v>6.25</v>
      </c>
      <c r="C8">
        <f t="shared" si="0"/>
        <v>610.3515625</v>
      </c>
      <c r="D8">
        <f t="shared" si="1"/>
        <v>12.182493960703473</v>
      </c>
      <c r="E8">
        <f t="shared" si="2"/>
        <v>195339.42408031868</v>
      </c>
      <c r="F8">
        <f>Table1!C10</f>
        <v>-1.5</v>
      </c>
      <c r="H8" s="2" t="s">
        <v>26</v>
      </c>
      <c r="I8" s="2">
        <v>0.73585864090281417</v>
      </c>
      <c r="Q8">
        <f>EXP(S8)+EXP(U8)+EXP(W8)+EXP(Y8)+EXP(AA8)+EXP(AC8)+EXP(AE8)+EXP(AG8)</f>
        <v>4.8087242532643808E-7</v>
      </c>
      <c r="R8" t="s">
        <v>661</v>
      </c>
      <c r="S8">
        <f>-S9/2/S7^2-27*LN(S7)</f>
        <v>-16.828925652327889</v>
      </c>
      <c r="T8" t="s">
        <v>357</v>
      </c>
      <c r="U8">
        <f>-U9/2/U7^2-27*LN(U7)</f>
        <v>-15.17948945858106</v>
      </c>
      <c r="V8" t="s">
        <v>662</v>
      </c>
      <c r="W8">
        <f>-W9/2/W7^2-27*LN(W7)</f>
        <v>-16.986179377905643</v>
      </c>
      <c r="X8" t="s">
        <v>665</v>
      </c>
      <c r="Y8">
        <f>-Y9/2/Y7^2-27*LN(Y7)</f>
        <v>-16.545274176192159</v>
      </c>
      <c r="Z8" t="s">
        <v>666</v>
      </c>
      <c r="AA8">
        <f>-AA9/2/AA7^2-27*LN(AA7)</f>
        <v>-16.502180646085662</v>
      </c>
      <c r="AB8" t="s">
        <v>664</v>
      </c>
      <c r="AC8">
        <f>-AC9/2/AC7^2-27*LN(AC7)</f>
        <v>-27.429250369633785</v>
      </c>
      <c r="AD8" t="s">
        <v>663</v>
      </c>
      <c r="AE8">
        <f>-AE9/2/AE7^2-27*LN(AE7)</f>
        <v>-33.06758739292286</v>
      </c>
      <c r="AF8" t="s">
        <v>667</v>
      </c>
      <c r="AG8">
        <f>-AG9/2/AG7^2-27*LN(AG7)</f>
        <v>-20.960999340813444</v>
      </c>
      <c r="AI8" s="26" t="s">
        <v>665</v>
      </c>
      <c r="AJ8" s="27">
        <f>Y4</f>
        <v>0.13565907443614042</v>
      </c>
      <c r="AK8" s="29">
        <f t="shared" si="3"/>
        <v>0.13565907443614042</v>
      </c>
    </row>
    <row r="9" spans="1:37" ht="15.5" x14ac:dyDescent="0.35">
      <c r="A9">
        <f>Table1!B11</f>
        <v>2.5</v>
      </c>
      <c r="B9">
        <f t="shared" si="4"/>
        <v>6.25</v>
      </c>
      <c r="C9">
        <f t="shared" si="0"/>
        <v>610.3515625</v>
      </c>
      <c r="D9">
        <f t="shared" si="1"/>
        <v>12.182493960703473</v>
      </c>
      <c r="E9">
        <f t="shared" si="2"/>
        <v>195339.42408031868</v>
      </c>
      <c r="F9">
        <f>Table1!C11</f>
        <v>-1.9</v>
      </c>
      <c r="H9" s="2" t="s">
        <v>27</v>
      </c>
      <c r="I9" s="2">
        <v>1.1738988740115175</v>
      </c>
      <c r="S9">
        <f>SUM(S10:S36)</f>
        <v>34.450964160137708</v>
      </c>
      <c r="U9">
        <f>SUM(U10:U36)</f>
        <v>30.373531901161659</v>
      </c>
      <c r="W9">
        <f>SUM(W10:W36)</f>
        <v>34.930804297459197</v>
      </c>
      <c r="Y9">
        <f>SUM(Y10:Y36)</f>
        <v>33.734658932980444</v>
      </c>
      <c r="AA9">
        <f>SUM(AA10:AA36)</f>
        <v>33.627145766538277</v>
      </c>
      <c r="AC9">
        <f>SUM(AC10:AC36)</f>
        <v>75.711487460202889</v>
      </c>
      <c r="AE9">
        <f>SUM(AE10:AE36)</f>
        <v>114.96002888738647</v>
      </c>
      <c r="AG9">
        <f>SUM(AG10:AG36)</f>
        <v>46.889801177211751</v>
      </c>
      <c r="AI9" s="26" t="s">
        <v>681</v>
      </c>
      <c r="AJ9" s="27">
        <f>W4</f>
        <v>8.729033365449608E-2</v>
      </c>
      <c r="AK9" s="29">
        <f t="shared" si="3"/>
        <v>8.729033365449608E-2</v>
      </c>
    </row>
    <row r="10" spans="1:37" ht="15" thickBot="1" x14ac:dyDescent="0.4">
      <c r="A10">
        <f>Table1!B12</f>
        <v>2.5</v>
      </c>
      <c r="B10">
        <f t="shared" si="4"/>
        <v>6.25</v>
      </c>
      <c r="C10">
        <f t="shared" si="0"/>
        <v>610.3515625</v>
      </c>
      <c r="D10">
        <f t="shared" si="1"/>
        <v>12.182493960703473</v>
      </c>
      <c r="E10">
        <f t="shared" si="2"/>
        <v>195339.42408031868</v>
      </c>
      <c r="F10">
        <f>Table1!C12</f>
        <v>-1.4351033687575427</v>
      </c>
      <c r="H10" s="3" t="s">
        <v>28</v>
      </c>
      <c r="I10" s="3">
        <v>27</v>
      </c>
      <c r="R10">
        <f t="shared" ref="R10:R36" si="5">I$20*A1+I$21*B1</f>
        <v>-3.9328847293929103E-2</v>
      </c>
      <c r="S10">
        <f t="shared" ref="S10:S36" si="6">(R10-F1)^2</f>
        <v>0.3103606616183795</v>
      </c>
      <c r="T10">
        <f t="shared" ref="T10:T36" si="7">IF(A1&lt;=T$2,A1*T$1,T$1*T$2+T$3*(A1-T$2))</f>
        <v>-0.73785546406135549</v>
      </c>
      <c r="U10">
        <f t="shared" ref="U10:U36" si="8">(T10-F1)^2</f>
        <v>2.0001424053955778E-2</v>
      </c>
      <c r="V10">
        <f>I$75*B1</f>
        <v>-0.19383590169152679</v>
      </c>
      <c r="W10">
        <f>(V10-$F1)^2</f>
        <v>0.1620812616829464</v>
      </c>
      <c r="X10">
        <f>T$94*B1+T$95*A1^7</f>
        <v>-0.21859783461358037</v>
      </c>
      <c r="Y10">
        <f>(X10-$F1)^2</f>
        <v>0.14275644479327548</v>
      </c>
      <c r="Z10" s="29">
        <f>T$114*B1+T$115*A1^6</f>
        <v>-0.22146902128557461</v>
      </c>
      <c r="AA10">
        <f>(Z10-$F1)^2</f>
        <v>0.14059504047364046</v>
      </c>
      <c r="AB10">
        <f>AB$1+AB$2*EXP(A1)</f>
        <v>1.2496867101241441E-2</v>
      </c>
      <c r="AC10">
        <f>(AB10-$F1)^2</f>
        <v>0.3707908006775148</v>
      </c>
      <c r="AD10">
        <f>AD$1+AD$2*EXP(EXP(A1))</f>
        <v>5.2992421012682124E-175</v>
      </c>
      <c r="AE10">
        <f>IF(AD10&gt;1E+150,1E+300,(AD10-$F1)^2)</f>
        <v>0.35572763926590872</v>
      </c>
      <c r="AF10">
        <f>I$134*A1</f>
        <v>0.71336375673766217</v>
      </c>
      <c r="AG10">
        <f>(AF10-$F1)^2</f>
        <v>1.7155572571534083</v>
      </c>
    </row>
    <row r="11" spans="1:37" x14ac:dyDescent="0.35">
      <c r="A11">
        <f>Table1!B13</f>
        <v>2.5</v>
      </c>
      <c r="B11">
        <f t="shared" si="4"/>
        <v>6.25</v>
      </c>
      <c r="C11">
        <f t="shared" si="0"/>
        <v>610.3515625</v>
      </c>
      <c r="D11">
        <f t="shared" si="1"/>
        <v>12.182493960703473</v>
      </c>
      <c r="E11">
        <f t="shared" si="2"/>
        <v>195339.42408031868</v>
      </c>
      <c r="F11">
        <f>Table1!C13</f>
        <v>-2.8891788330145758</v>
      </c>
      <c r="R11">
        <f t="shared" si="5"/>
        <v>-1.3363108988563439</v>
      </c>
      <c r="S11">
        <f t="shared" si="6"/>
        <v>2.7678614252641864</v>
      </c>
      <c r="T11">
        <f t="shared" si="7"/>
        <v>-1.3500493119706904</v>
      </c>
      <c r="U11">
        <f t="shared" si="8"/>
        <v>2.7223372729283919</v>
      </c>
      <c r="V11">
        <f t="shared" ref="V11:V36" si="9">I$75*B2</f>
        <v>-1.2114743855720425</v>
      </c>
      <c r="W11">
        <f t="shared" ref="W11:W36" si="10">(V11-$F2)^2</f>
        <v>3.198823873464903</v>
      </c>
      <c r="X11">
        <f t="shared" ref="X11:X36" si="11">T$94*B2+T$95*A2^7</f>
        <v>-1.362664132365847</v>
      </c>
      <c r="Y11">
        <f t="shared" ref="Y11:Y36" si="12">(X11-$F2)^2</f>
        <v>2.6808687434412843</v>
      </c>
      <c r="Z11" s="29">
        <f t="shared" ref="Z11:Z36" si="13">T$114*B2+T$115*A2^6</f>
        <v>-1.3753567638278714</v>
      </c>
      <c r="AA11">
        <f t="shared" ref="AA11:AA36" si="14">(Z11-$F2)^2</f>
        <v>2.6394656448398468</v>
      </c>
      <c r="AB11">
        <f t="shared" ref="AB11:AB36" si="15">AB$1+AB$2*EXP(A2)</f>
        <v>-0.22107513975866108</v>
      </c>
      <c r="AC11">
        <f t="shared" ref="AC11:AC36" si="16">(AB11-$F2)^2</f>
        <v>7.7224233788673455</v>
      </c>
      <c r="AD11">
        <f t="shared" ref="AD11:AD36" si="17">AD$1+AD$2*EXP(EXP(A2))</f>
        <v>-8.1275529457604317E-170</v>
      </c>
      <c r="AE11">
        <f t="shared" ref="AE11:AE36" si="18">IF(AD11&gt;1E+150,1E+300,(AD11-$F2)^2)</f>
        <v>9</v>
      </c>
      <c r="AF11">
        <f t="shared" ref="AF11:AF36" si="19">I$134*A2</f>
        <v>-1.7834093918441554</v>
      </c>
      <c r="AG11">
        <f t="shared" ref="AG11:AG36" si="20">(AF11-$F2)^2</f>
        <v>1.4800927078530079</v>
      </c>
    </row>
    <row r="12" spans="1:37" ht="15" thickBot="1" x14ac:dyDescent="0.4">
      <c r="A12">
        <f>Table1!B14</f>
        <v>2.4900000000000002</v>
      </c>
      <c r="B12">
        <f t="shared" si="4"/>
        <v>6.2001000000000008</v>
      </c>
      <c r="C12">
        <f t="shared" si="0"/>
        <v>593.46543514314271</v>
      </c>
      <c r="D12">
        <f t="shared" si="1"/>
        <v>12.06127612044472</v>
      </c>
      <c r="E12">
        <f t="shared" si="2"/>
        <v>173039.66427119431</v>
      </c>
      <c r="F12">
        <f>Table1!C14</f>
        <v>2.5345622119815666E-2</v>
      </c>
      <c r="H12" t="s">
        <v>29</v>
      </c>
      <c r="R12">
        <f t="shared" si="5"/>
        <v>-1.8495101672718128</v>
      </c>
      <c r="S12">
        <f t="shared" si="6"/>
        <v>0.72166752429818337</v>
      </c>
      <c r="T12">
        <f t="shared" si="7"/>
        <v>-2.0557087486626267</v>
      </c>
      <c r="U12">
        <f t="shared" si="8"/>
        <v>1.1145209620028089</v>
      </c>
      <c r="V12">
        <f t="shared" si="9"/>
        <v>-1.744523115223741</v>
      </c>
      <c r="W12">
        <f t="shared" si="10"/>
        <v>0.55431466910246396</v>
      </c>
      <c r="X12">
        <f t="shared" si="11"/>
        <v>-1.9546577974178614</v>
      </c>
      <c r="Y12">
        <f t="shared" si="12"/>
        <v>0.91137151017072249</v>
      </c>
      <c r="Z12" s="29">
        <f t="shared" si="13"/>
        <v>-1.9665125903841507</v>
      </c>
      <c r="AA12">
        <f t="shared" si="14"/>
        <v>0.93414658737108114</v>
      </c>
      <c r="AB12">
        <f t="shared" si="15"/>
        <v>-0.37731634441208034</v>
      </c>
      <c r="AC12">
        <f t="shared" si="16"/>
        <v>0.38773493493633487</v>
      </c>
      <c r="AD12">
        <f t="shared" si="17"/>
        <v>-2.1989421168036015E-166</v>
      </c>
      <c r="AE12">
        <f t="shared" si="18"/>
        <v>1</v>
      </c>
      <c r="AF12">
        <f t="shared" si="19"/>
        <v>-2.1400912702129866</v>
      </c>
      <c r="AG12">
        <f t="shared" si="20"/>
        <v>1.2998081044158614</v>
      </c>
    </row>
    <row r="13" spans="1:37" x14ac:dyDescent="0.35">
      <c r="A13">
        <f>Table1!B15</f>
        <v>2.4900000000000002</v>
      </c>
      <c r="B13">
        <f t="shared" si="4"/>
        <v>6.2001000000000008</v>
      </c>
      <c r="C13">
        <f t="shared" si="0"/>
        <v>593.46543514314271</v>
      </c>
      <c r="D13">
        <f t="shared" si="1"/>
        <v>12.06127612044472</v>
      </c>
      <c r="E13">
        <f t="shared" si="2"/>
        <v>173039.66427119431</v>
      </c>
      <c r="F13">
        <f>Table1!C15</f>
        <v>6.6820276497695855E-2</v>
      </c>
      <c r="H13" s="4"/>
      <c r="I13" s="4" t="s">
        <v>34</v>
      </c>
      <c r="J13" s="4" t="s">
        <v>35</v>
      </c>
      <c r="K13" s="4" t="s">
        <v>36</v>
      </c>
      <c r="L13" s="4" t="s">
        <v>37</v>
      </c>
      <c r="M13" s="4" t="s">
        <v>38</v>
      </c>
      <c r="R13">
        <f t="shared" si="5"/>
        <v>-1.8495101672718128</v>
      </c>
      <c r="S13">
        <f t="shared" si="6"/>
        <v>0.26989081389878689</v>
      </c>
      <c r="T13">
        <f t="shared" si="7"/>
        <v>-2.0557087486626267</v>
      </c>
      <c r="U13">
        <f t="shared" si="8"/>
        <v>0.52665318788547533</v>
      </c>
      <c r="V13">
        <f t="shared" si="9"/>
        <v>-1.744523115223741</v>
      </c>
      <c r="W13">
        <f t="shared" si="10"/>
        <v>0.17182941305479482</v>
      </c>
      <c r="X13">
        <f t="shared" si="11"/>
        <v>-1.9546577974178614</v>
      </c>
      <c r="Y13">
        <f t="shared" si="12"/>
        <v>0.39019736387493387</v>
      </c>
      <c r="Z13" s="29">
        <f t="shared" si="13"/>
        <v>-1.9665125903841507</v>
      </c>
      <c r="AA13">
        <f t="shared" si="14"/>
        <v>0.40514827771754153</v>
      </c>
      <c r="AB13">
        <f t="shared" si="15"/>
        <v>-0.37731634441208034</v>
      </c>
      <c r="AC13">
        <f t="shared" si="16"/>
        <v>0.90760614762436198</v>
      </c>
      <c r="AD13">
        <f t="shared" si="17"/>
        <v>-2.1989421168036015E-166</v>
      </c>
      <c r="AE13">
        <f t="shared" si="18"/>
        <v>1.7689000000000001</v>
      </c>
      <c r="AF13">
        <f t="shared" si="19"/>
        <v>-2.1400912702129866</v>
      </c>
      <c r="AG13">
        <f t="shared" si="20"/>
        <v>0.65624786607528995</v>
      </c>
    </row>
    <row r="14" spans="1:37" x14ac:dyDescent="0.35">
      <c r="A14">
        <f>Table1!B16</f>
        <v>2.5</v>
      </c>
      <c r="B14">
        <f t="shared" si="4"/>
        <v>6.25</v>
      </c>
      <c r="C14">
        <f t="shared" si="0"/>
        <v>610.3515625</v>
      </c>
      <c r="D14">
        <f t="shared" si="1"/>
        <v>12.182493960703473</v>
      </c>
      <c r="E14">
        <f t="shared" si="2"/>
        <v>195339.42408031868</v>
      </c>
      <c r="F14">
        <f>Table1!C16</f>
        <v>-1.5</v>
      </c>
      <c r="H14" s="2" t="s">
        <v>30</v>
      </c>
      <c r="I14" s="2">
        <v>2</v>
      </c>
      <c r="J14" s="2">
        <v>125.3990647272488</v>
      </c>
      <c r="K14" s="2">
        <v>62.6995323636244</v>
      </c>
      <c r="L14" s="2">
        <v>45.499112936418435</v>
      </c>
      <c r="M14" s="2">
        <v>6.827177846125841E-9</v>
      </c>
      <c r="R14">
        <f t="shared" si="5"/>
        <v>-1.8495101672718128</v>
      </c>
      <c r="S14">
        <f t="shared" si="6"/>
        <v>3.0642146544847568</v>
      </c>
      <c r="T14">
        <f t="shared" si="7"/>
        <v>-2.0557087486626267</v>
      </c>
      <c r="U14">
        <f t="shared" si="8"/>
        <v>2.3848354689571507</v>
      </c>
      <c r="V14">
        <f t="shared" si="9"/>
        <v>-1.744523115223741</v>
      </c>
      <c r="W14">
        <f t="shared" si="10"/>
        <v>3.4427944699390109</v>
      </c>
      <c r="X14">
        <f t="shared" si="11"/>
        <v>-1.9546577974178614</v>
      </c>
      <c r="Y14">
        <f t="shared" si="12"/>
        <v>2.7071509635978437</v>
      </c>
      <c r="Z14" s="29">
        <f t="shared" si="13"/>
        <v>-1.9665125903841507</v>
      </c>
      <c r="AA14">
        <f t="shared" si="14"/>
        <v>2.6682811173734975</v>
      </c>
      <c r="AB14">
        <f t="shared" si="15"/>
        <v>-0.37731634441208034</v>
      </c>
      <c r="AC14">
        <f t="shared" si="16"/>
        <v>10.385689943993519</v>
      </c>
      <c r="AD14">
        <f t="shared" si="17"/>
        <v>-2.1989421168036015E-166</v>
      </c>
      <c r="AE14">
        <f t="shared" si="18"/>
        <v>12.96</v>
      </c>
      <c r="AF14">
        <f t="shared" si="19"/>
        <v>-2.1400912702129866</v>
      </c>
      <c r="AG14">
        <f t="shared" si="20"/>
        <v>2.1313334993083313</v>
      </c>
    </row>
    <row r="15" spans="1:37" x14ac:dyDescent="0.35">
      <c r="A15">
        <f>Table1!B17</f>
        <v>1</v>
      </c>
      <c r="B15">
        <f t="shared" si="4"/>
        <v>1</v>
      </c>
      <c r="C15">
        <f t="shared" si="0"/>
        <v>1</v>
      </c>
      <c r="D15">
        <f t="shared" si="1"/>
        <v>2.7182818284590451</v>
      </c>
      <c r="E15">
        <f t="shared" si="2"/>
        <v>15.154262241479262</v>
      </c>
      <c r="F15">
        <f>Table1!C17</f>
        <v>2.2999999999999998</v>
      </c>
      <c r="H15" s="2" t="s">
        <v>31</v>
      </c>
      <c r="I15" s="2">
        <v>25</v>
      </c>
      <c r="J15" s="2">
        <v>34.450964160137723</v>
      </c>
      <c r="K15" s="2">
        <v>1.3780385664055088</v>
      </c>
      <c r="L15" s="2"/>
      <c r="M15" s="2"/>
      <c r="R15">
        <f t="shared" si="5"/>
        <v>-6.6502653982740263</v>
      </c>
      <c r="S15">
        <f t="shared" si="6"/>
        <v>2.4735306088412442E-3</v>
      </c>
      <c r="T15">
        <f t="shared" si="7"/>
        <v>-6.2896653688142443</v>
      </c>
      <c r="U15">
        <f t="shared" si="8"/>
        <v>0.1683745095503503</v>
      </c>
      <c r="V15">
        <f t="shared" si="9"/>
        <v>-6.9780924608949642</v>
      </c>
      <c r="W15">
        <f t="shared" si="10"/>
        <v>7.7335416806617069E-2</v>
      </c>
      <c r="X15">
        <f t="shared" si="11"/>
        <v>-6.2474802823245739</v>
      </c>
      <c r="Y15">
        <f t="shared" si="12"/>
        <v>0.20477409488504753</v>
      </c>
      <c r="Z15" s="29">
        <f t="shared" si="13"/>
        <v>-6.2435028394858474</v>
      </c>
      <c r="AA15">
        <f t="shared" si="14"/>
        <v>0.20838965755748418</v>
      </c>
      <c r="AB15">
        <f t="shared" si="15"/>
        <v>-7.9559177118231146</v>
      </c>
      <c r="AC15">
        <f t="shared" si="16"/>
        <v>1.5773292988710075</v>
      </c>
      <c r="AD15">
        <f t="shared" si="17"/>
        <v>-6.7</v>
      </c>
      <c r="AE15">
        <f t="shared" si="18"/>
        <v>0</v>
      </c>
      <c r="AF15">
        <f t="shared" si="19"/>
        <v>-4.2801825404259732</v>
      </c>
      <c r="AG15">
        <f t="shared" si="20"/>
        <v>5.8555165376592972</v>
      </c>
    </row>
    <row r="16" spans="1:37" ht="15" thickBot="1" x14ac:dyDescent="0.4">
      <c r="A16">
        <f>Table1!B18</f>
        <v>2.5</v>
      </c>
      <c r="B16">
        <f t="shared" si="4"/>
        <v>6.25</v>
      </c>
      <c r="C16">
        <f t="shared" si="0"/>
        <v>610.3515625</v>
      </c>
      <c r="D16">
        <f t="shared" si="1"/>
        <v>12.182493960703473</v>
      </c>
      <c r="E16">
        <f t="shared" si="2"/>
        <v>195339.42408031868</v>
      </c>
      <c r="F16">
        <f>Table1!C18</f>
        <v>3.3000365094043249E-2</v>
      </c>
      <c r="H16" s="3" t="s">
        <v>32</v>
      </c>
      <c r="I16" s="3">
        <v>27</v>
      </c>
      <c r="J16" s="3">
        <v>159.85002888738651</v>
      </c>
      <c r="K16" s="3"/>
      <c r="L16" s="3"/>
      <c r="M16" s="3"/>
      <c r="R16">
        <f t="shared" si="5"/>
        <v>-1.3363108988563439</v>
      </c>
      <c r="S16">
        <f t="shared" si="6"/>
        <v>4.0563016044868443E-3</v>
      </c>
      <c r="T16">
        <f t="shared" si="7"/>
        <v>-1.3500493119706904</v>
      </c>
      <c r="U16">
        <f t="shared" si="8"/>
        <v>2.4950712346013997E-3</v>
      </c>
      <c r="V16">
        <f t="shared" si="9"/>
        <v>-1.2114743855720425</v>
      </c>
      <c r="W16">
        <f t="shared" si="10"/>
        <v>3.5541907295438879E-2</v>
      </c>
      <c r="X16">
        <f t="shared" si="11"/>
        <v>-1.362664132365847</v>
      </c>
      <c r="Y16">
        <f t="shared" si="12"/>
        <v>1.3939670119949834E-3</v>
      </c>
      <c r="Z16" s="29">
        <f t="shared" si="13"/>
        <v>-1.3753567638278714</v>
      </c>
      <c r="AA16">
        <f t="shared" si="14"/>
        <v>6.0728908903530203E-4</v>
      </c>
      <c r="AB16">
        <f t="shared" si="15"/>
        <v>-0.22107513975866108</v>
      </c>
      <c r="AC16">
        <f t="shared" si="16"/>
        <v>1.3898638260950604</v>
      </c>
      <c r="AD16">
        <f t="shared" si="17"/>
        <v>-8.1275529457604317E-170</v>
      </c>
      <c r="AE16">
        <f t="shared" si="18"/>
        <v>1.9599999999999997</v>
      </c>
      <c r="AF16">
        <f t="shared" si="19"/>
        <v>-1.7834093918441554</v>
      </c>
      <c r="AG16">
        <f t="shared" si="20"/>
        <v>0.14700276175430513</v>
      </c>
    </row>
    <row r="17" spans="1:33" ht="15" thickBot="1" x14ac:dyDescent="0.4">
      <c r="A17">
        <f>Table1!B19</f>
        <v>0.6</v>
      </c>
      <c r="B17">
        <f t="shared" si="4"/>
        <v>0.36</v>
      </c>
      <c r="C17">
        <f t="shared" si="0"/>
        <v>2.7993599999999997E-2</v>
      </c>
      <c r="D17">
        <f t="shared" si="1"/>
        <v>1.8221188003905089</v>
      </c>
      <c r="E17">
        <f t="shared" si="2"/>
        <v>6.1849492494755829</v>
      </c>
      <c r="F17">
        <f>Table1!C19</f>
        <v>-0.17962065483383896</v>
      </c>
      <c r="R17">
        <f t="shared" si="5"/>
        <v>-1.3363108988563439</v>
      </c>
      <c r="S17">
        <f t="shared" si="6"/>
        <v>2.6794121833218075E-2</v>
      </c>
      <c r="T17">
        <f t="shared" si="7"/>
        <v>-1.3500493119706904</v>
      </c>
      <c r="U17">
        <f t="shared" si="8"/>
        <v>2.248520884046332E-2</v>
      </c>
      <c r="V17">
        <f t="shared" si="9"/>
        <v>-1.2114743855720425</v>
      </c>
      <c r="W17">
        <f t="shared" si="10"/>
        <v>8.3247030181030426E-2</v>
      </c>
      <c r="X17">
        <f t="shared" si="11"/>
        <v>-1.362664132365847</v>
      </c>
      <c r="Y17">
        <f t="shared" si="12"/>
        <v>1.886114053882558E-2</v>
      </c>
      <c r="Z17" s="29">
        <f t="shared" si="13"/>
        <v>-1.3753567638278714</v>
      </c>
      <c r="AA17">
        <f t="shared" si="14"/>
        <v>1.5535936323461022E-2</v>
      </c>
      <c r="AB17">
        <f t="shared" si="15"/>
        <v>-0.22107513975866108</v>
      </c>
      <c r="AC17">
        <f t="shared" si="16"/>
        <v>1.6356487981433285</v>
      </c>
      <c r="AD17">
        <f t="shared" si="17"/>
        <v>-8.1275529457604317E-170</v>
      </c>
      <c r="AE17">
        <f t="shared" si="18"/>
        <v>2.25</v>
      </c>
      <c r="AF17">
        <f t="shared" si="19"/>
        <v>-1.7834093918441554</v>
      </c>
      <c r="AG17">
        <f t="shared" si="20"/>
        <v>8.0320883385473996E-2</v>
      </c>
    </row>
    <row r="18" spans="1:33" x14ac:dyDescent="0.35">
      <c r="A18">
        <f>Table1!B20</f>
        <v>1</v>
      </c>
      <c r="B18">
        <f t="shared" si="4"/>
        <v>1</v>
      </c>
      <c r="C18">
        <f t="shared" si="0"/>
        <v>1</v>
      </c>
      <c r="D18">
        <f t="shared" si="1"/>
        <v>2.7182818284590451</v>
      </c>
      <c r="E18">
        <f t="shared" si="2"/>
        <v>15.154262241479262</v>
      </c>
      <c r="F18">
        <f>Table1!C20</f>
        <v>-0.30947656699459297</v>
      </c>
      <c r="H18" s="4"/>
      <c r="I18" s="4" t="s">
        <v>39</v>
      </c>
      <c r="J18" s="4" t="s">
        <v>27</v>
      </c>
      <c r="K18" s="4" t="s">
        <v>40</v>
      </c>
      <c r="L18" s="4" t="s">
        <v>41</v>
      </c>
      <c r="M18" s="4" t="s">
        <v>42</v>
      </c>
      <c r="N18" s="4" t="s">
        <v>43</v>
      </c>
      <c r="O18" s="4" t="s">
        <v>44</v>
      </c>
      <c r="P18" s="4" t="s">
        <v>45</v>
      </c>
      <c r="R18">
        <f t="shared" si="5"/>
        <v>-1.3363108988563439</v>
      </c>
      <c r="S18">
        <f t="shared" si="6"/>
        <v>0.31774540274814284</v>
      </c>
      <c r="T18">
        <f t="shared" si="7"/>
        <v>-1.3500493119706904</v>
      </c>
      <c r="U18">
        <f t="shared" si="8"/>
        <v>0.30244575926391087</v>
      </c>
      <c r="V18">
        <f t="shared" si="9"/>
        <v>-1.2114743855720425</v>
      </c>
      <c r="W18">
        <f t="shared" si="10"/>
        <v>0.47406752172339633</v>
      </c>
      <c r="X18">
        <f t="shared" si="11"/>
        <v>-1.362664132365847</v>
      </c>
      <c r="Y18">
        <f t="shared" si="12"/>
        <v>0.28872983464614782</v>
      </c>
      <c r="Z18" s="29">
        <f t="shared" si="13"/>
        <v>-1.3753567638278714</v>
      </c>
      <c r="AA18">
        <f t="shared" si="14"/>
        <v>0.27525052526116378</v>
      </c>
      <c r="AB18">
        <f t="shared" si="15"/>
        <v>-0.22107513975866108</v>
      </c>
      <c r="AC18">
        <f t="shared" si="16"/>
        <v>2.8187886863363993</v>
      </c>
      <c r="AD18">
        <f t="shared" si="17"/>
        <v>-8.1275529457604317E-170</v>
      </c>
      <c r="AE18">
        <f t="shared" si="18"/>
        <v>3.61</v>
      </c>
      <c r="AF18">
        <f t="shared" si="19"/>
        <v>-1.7834093918441554</v>
      </c>
      <c r="AG18">
        <f t="shared" si="20"/>
        <v>1.3593369910149684E-2</v>
      </c>
    </row>
    <row r="19" spans="1:33" x14ac:dyDescent="0.35">
      <c r="A19">
        <f>Table1!B21</f>
        <v>2.5</v>
      </c>
      <c r="B19">
        <f t="shared" si="4"/>
        <v>6.25</v>
      </c>
      <c r="C19">
        <f t="shared" si="0"/>
        <v>610.3515625</v>
      </c>
      <c r="D19">
        <f t="shared" si="1"/>
        <v>12.182493960703473</v>
      </c>
      <c r="E19">
        <f t="shared" si="2"/>
        <v>195339.42408031868</v>
      </c>
      <c r="F19">
        <f>Table1!C21</f>
        <v>-0.97915753272366335</v>
      </c>
      <c r="H19" s="2" t="s">
        <v>33</v>
      </c>
      <c r="I19" s="2">
        <v>0</v>
      </c>
      <c r="J19" s="2" t="e">
        <v>#N/A</v>
      </c>
      <c r="K19" s="2" t="e">
        <v>#N/A</v>
      </c>
      <c r="L19" s="2" t="e">
        <v>#N/A</v>
      </c>
      <c r="M19" s="2" t="e">
        <v>#N/A</v>
      </c>
      <c r="N19" s="2" t="e">
        <v>#N/A</v>
      </c>
      <c r="O19" s="2" t="e">
        <v>#N/A</v>
      </c>
      <c r="P19" s="2" t="e">
        <v>#N/A</v>
      </c>
      <c r="R19">
        <f t="shared" si="5"/>
        <v>-1.3363108988563439</v>
      </c>
      <c r="S19">
        <f t="shared" si="6"/>
        <v>9.7599521091792773E-3</v>
      </c>
      <c r="T19">
        <f t="shared" si="7"/>
        <v>-1.3500493119706904</v>
      </c>
      <c r="U19">
        <f t="shared" si="8"/>
        <v>7.2341925759010946E-3</v>
      </c>
      <c r="V19">
        <f t="shared" si="9"/>
        <v>-1.2114743855720425</v>
      </c>
      <c r="W19">
        <f t="shared" si="10"/>
        <v>5.0009922120580766E-2</v>
      </c>
      <c r="X19">
        <f t="shared" si="11"/>
        <v>-1.362664132365847</v>
      </c>
      <c r="Y19">
        <f t="shared" si="12"/>
        <v>5.2474429690119694E-3</v>
      </c>
      <c r="Z19" s="29">
        <f t="shared" si="13"/>
        <v>-1.3753567638278714</v>
      </c>
      <c r="AA19">
        <f t="shared" si="14"/>
        <v>3.5696568006222252E-3</v>
      </c>
      <c r="AB19">
        <f t="shared" si="15"/>
        <v>-0.22107513975866108</v>
      </c>
      <c r="AC19">
        <f t="shared" si="16"/>
        <v>1.4738645408061612</v>
      </c>
      <c r="AD19">
        <f t="shared" si="17"/>
        <v>-8.1275529457604317E-170</v>
      </c>
      <c r="AE19">
        <f t="shared" si="18"/>
        <v>2.0595216790192477</v>
      </c>
      <c r="AF19">
        <f t="shared" si="19"/>
        <v>-1.7834093918441554</v>
      </c>
      <c r="AG19">
        <f t="shared" si="20"/>
        <v>0.12131708571841193</v>
      </c>
    </row>
    <row r="20" spans="1:33" x14ac:dyDescent="0.35">
      <c r="A20">
        <f>Table1!B22</f>
        <v>3</v>
      </c>
      <c r="B20">
        <f t="shared" si="4"/>
        <v>9</v>
      </c>
      <c r="C20">
        <f t="shared" si="0"/>
        <v>2187</v>
      </c>
      <c r="D20">
        <f t="shared" si="1"/>
        <v>20.085536923187668</v>
      </c>
      <c r="E20">
        <f t="shared" si="2"/>
        <v>528491311.48549432</v>
      </c>
      <c r="F20">
        <f>Table1!C22</f>
        <v>-0.93</v>
      </c>
      <c r="G20" t="s">
        <v>58</v>
      </c>
      <c r="H20" s="2" t="s">
        <v>46</v>
      </c>
      <c r="I20" s="2">
        <v>-0.12462921180220424</v>
      </c>
      <c r="J20" s="2">
        <v>0.21120405303015508</v>
      </c>
      <c r="K20" s="2">
        <v>-0.5900891105740762</v>
      </c>
      <c r="L20" s="2">
        <v>0.56042729544628256</v>
      </c>
      <c r="M20" s="2">
        <v>-0.55961210151556051</v>
      </c>
      <c r="N20" s="2">
        <v>0.31035367791115209</v>
      </c>
      <c r="O20" s="2">
        <v>-0.55961210151556051</v>
      </c>
      <c r="P20" s="2">
        <v>0.31035367791115209</v>
      </c>
      <c r="R20">
        <f t="shared" si="5"/>
        <v>-1.3363108988563439</v>
      </c>
      <c r="S20">
        <f t="shared" si="6"/>
        <v>2.4113988209368546</v>
      </c>
      <c r="T20">
        <f t="shared" si="7"/>
        <v>-1.3500493119706904</v>
      </c>
      <c r="U20">
        <f t="shared" si="8"/>
        <v>2.3689196825487797</v>
      </c>
      <c r="V20">
        <f t="shared" si="9"/>
        <v>-1.2114743855720425</v>
      </c>
      <c r="W20">
        <f t="shared" si="10"/>
        <v>2.8146922129684562</v>
      </c>
      <c r="X20">
        <f t="shared" si="11"/>
        <v>-1.362664132365847</v>
      </c>
      <c r="Y20">
        <f t="shared" si="12"/>
        <v>2.3302471312966779</v>
      </c>
      <c r="Z20" s="29">
        <f t="shared" si="13"/>
        <v>-1.3753567638278714</v>
      </c>
      <c r="AA20">
        <f t="shared" si="14"/>
        <v>2.2916572571567153</v>
      </c>
      <c r="AB20">
        <f t="shared" si="15"/>
        <v>-0.22107513975866108</v>
      </c>
      <c r="AC20">
        <f t="shared" si="16"/>
        <v>7.1187773179658524</v>
      </c>
      <c r="AD20">
        <f t="shared" si="17"/>
        <v>-8.1275529457604317E-170</v>
      </c>
      <c r="AE20">
        <f t="shared" si="18"/>
        <v>8.3473543291394652</v>
      </c>
      <c r="AF20">
        <f t="shared" si="19"/>
        <v>-1.7834093918441554</v>
      </c>
      <c r="AG20">
        <f t="shared" si="20"/>
        <v>1.2227260570263438</v>
      </c>
    </row>
    <row r="21" spans="1:33" ht="15" thickBot="1" x14ac:dyDescent="0.4">
      <c r="A21">
        <f>Table1!B23</f>
        <v>3</v>
      </c>
      <c r="B21">
        <f t="shared" si="4"/>
        <v>9</v>
      </c>
      <c r="C21">
        <f t="shared" si="0"/>
        <v>2187</v>
      </c>
      <c r="D21">
        <f t="shared" si="1"/>
        <v>20.085536923187668</v>
      </c>
      <c r="E21">
        <f t="shared" si="2"/>
        <v>528491311.48549432</v>
      </c>
      <c r="F21">
        <f>Table1!C23</f>
        <v>-1.05</v>
      </c>
      <c r="G21" t="s">
        <v>59</v>
      </c>
      <c r="H21" s="3" t="s">
        <v>47</v>
      </c>
      <c r="I21" s="3">
        <v>-0.16395805909613334</v>
      </c>
      <c r="J21" s="3">
        <v>5.457246436225658E-2</v>
      </c>
      <c r="K21" s="3">
        <v>-3.0044100264148974</v>
      </c>
      <c r="L21" s="3">
        <v>5.9745237480346896E-3</v>
      </c>
      <c r="M21" s="3">
        <v>-0.27635215336895619</v>
      </c>
      <c r="N21" s="3">
        <v>-5.1563964823310507E-2</v>
      </c>
      <c r="O21" s="3">
        <v>-0.27635215336895619</v>
      </c>
      <c r="P21" s="3">
        <v>-5.1563964823310507E-2</v>
      </c>
      <c r="R21">
        <f t="shared" si="5"/>
        <v>-1.326883099589425</v>
      </c>
      <c r="S21">
        <f t="shared" si="6"/>
        <v>1.8285225158154068</v>
      </c>
      <c r="T21">
        <f t="shared" si="7"/>
        <v>-1.3359361232368521</v>
      </c>
      <c r="U21">
        <f t="shared" si="8"/>
        <v>1.8530879902412953</v>
      </c>
      <c r="V21">
        <f t="shared" si="9"/>
        <v>-1.2018019740776353</v>
      </c>
      <c r="W21">
        <f t="shared" si="10"/>
        <v>1.5058912228531822</v>
      </c>
      <c r="X21">
        <f t="shared" si="11"/>
        <v>-1.3518542207438231</v>
      </c>
      <c r="Y21">
        <f t="shared" si="12"/>
        <v>1.8966794071836313</v>
      </c>
      <c r="Z21" s="29">
        <f t="shared" si="13"/>
        <v>-1.3645188017701841</v>
      </c>
      <c r="AA21">
        <f t="shared" si="14"/>
        <v>1.931723116795081</v>
      </c>
      <c r="AB21">
        <f t="shared" si="15"/>
        <v>-0.21867869303840184</v>
      </c>
      <c r="AC21">
        <f t="shared" si="16"/>
        <v>5.9547866388437065E-2</v>
      </c>
      <c r="AD21">
        <f t="shared" si="17"/>
        <v>-7.199706447143991E-170</v>
      </c>
      <c r="AE21">
        <f t="shared" si="18"/>
        <v>6.4240056064048922E-4</v>
      </c>
      <c r="AF21">
        <f t="shared" si="19"/>
        <v>-1.7762757542767789</v>
      </c>
      <c r="AG21">
        <f t="shared" si="20"/>
        <v>3.2458395838891594</v>
      </c>
    </row>
    <row r="22" spans="1:33" x14ac:dyDescent="0.35">
      <c r="A22">
        <f>Table1!B24</f>
        <v>3</v>
      </c>
      <c r="B22">
        <f t="shared" si="4"/>
        <v>9</v>
      </c>
      <c r="C22">
        <f t="shared" si="0"/>
        <v>2187</v>
      </c>
      <c r="D22">
        <f t="shared" si="1"/>
        <v>20.085536923187668</v>
      </c>
      <c r="E22">
        <f t="shared" si="2"/>
        <v>528491311.48549432</v>
      </c>
      <c r="F22">
        <f>Table1!C24</f>
        <v>-2.5</v>
      </c>
      <c r="R22">
        <f t="shared" si="5"/>
        <v>-1.326883099589425</v>
      </c>
      <c r="S22">
        <f t="shared" si="6"/>
        <v>1.9424091005166388</v>
      </c>
      <c r="T22">
        <f t="shared" si="7"/>
        <v>-1.3359361232368521</v>
      </c>
      <c r="U22">
        <f t="shared" si="8"/>
        <v>1.9677255169962311</v>
      </c>
      <c r="V22">
        <f t="shared" si="9"/>
        <v>-1.2018019740776353</v>
      </c>
      <c r="W22">
        <f t="shared" si="10"/>
        <v>1.6094024146548187</v>
      </c>
      <c r="X22">
        <f t="shared" si="11"/>
        <v>-1.3518542207438231</v>
      </c>
      <c r="Y22">
        <f t="shared" si="12"/>
        <v>2.0126373291234767</v>
      </c>
      <c r="Z22" s="29">
        <f t="shared" si="13"/>
        <v>-1.3645188017701841</v>
      </c>
      <c r="AA22">
        <f t="shared" si="14"/>
        <v>2.0487315569767444</v>
      </c>
      <c r="AB22">
        <f t="shared" si="15"/>
        <v>-0.21867869303840184</v>
      </c>
      <c r="AC22">
        <f t="shared" si="16"/>
        <v>8.150966160617365E-2</v>
      </c>
      <c r="AD22">
        <f t="shared" si="17"/>
        <v>-7.199706447143991E-170</v>
      </c>
      <c r="AE22">
        <f t="shared" si="18"/>
        <v>4.4649493512285247E-3</v>
      </c>
      <c r="AF22">
        <f t="shared" si="19"/>
        <v>-1.7762757542767789</v>
      </c>
      <c r="AG22">
        <f t="shared" si="20"/>
        <v>3.3970029786566238</v>
      </c>
    </row>
    <row r="23" spans="1:33" x14ac:dyDescent="0.35">
      <c r="A23">
        <f>Table1!B25</f>
        <v>3.2</v>
      </c>
      <c r="B23">
        <f t="shared" si="4"/>
        <v>10.240000000000002</v>
      </c>
      <c r="C23">
        <f t="shared" si="0"/>
        <v>3435.9738368000026</v>
      </c>
      <c r="D23">
        <f t="shared" si="1"/>
        <v>24.532530197109352</v>
      </c>
      <c r="E23">
        <f t="shared" si="2"/>
        <v>45117236618.773277</v>
      </c>
      <c r="F23">
        <f>Table1!C25</f>
        <v>-5.1135252093739076</v>
      </c>
      <c r="R23">
        <f t="shared" si="5"/>
        <v>-1.3363108988563439</v>
      </c>
      <c r="S23">
        <f t="shared" si="6"/>
        <v>2.6794121833218075E-2</v>
      </c>
      <c r="T23">
        <f t="shared" si="7"/>
        <v>-1.3500493119706904</v>
      </c>
      <c r="U23">
        <f t="shared" si="8"/>
        <v>2.248520884046332E-2</v>
      </c>
      <c r="V23">
        <f t="shared" si="9"/>
        <v>-1.2114743855720425</v>
      </c>
      <c r="W23">
        <f t="shared" si="10"/>
        <v>8.3247030181030426E-2</v>
      </c>
      <c r="X23">
        <f t="shared" si="11"/>
        <v>-1.362664132365847</v>
      </c>
      <c r="Y23">
        <f t="shared" si="12"/>
        <v>1.886114053882558E-2</v>
      </c>
      <c r="Z23" s="29">
        <f t="shared" si="13"/>
        <v>-1.3753567638278714</v>
      </c>
      <c r="AA23">
        <f t="shared" si="14"/>
        <v>1.5535936323461022E-2</v>
      </c>
      <c r="AB23">
        <f t="shared" si="15"/>
        <v>-0.22107513975866108</v>
      </c>
      <c r="AC23">
        <f t="shared" si="16"/>
        <v>1.6356487981433285</v>
      </c>
      <c r="AD23">
        <f t="shared" si="17"/>
        <v>-8.1275529457604317E-170</v>
      </c>
      <c r="AE23">
        <f t="shared" si="18"/>
        <v>2.25</v>
      </c>
      <c r="AF23">
        <f t="shared" si="19"/>
        <v>-1.7834093918441554</v>
      </c>
      <c r="AG23">
        <f t="shared" si="20"/>
        <v>8.0320883385473996E-2</v>
      </c>
    </row>
    <row r="24" spans="1:33" x14ac:dyDescent="0.35">
      <c r="A24">
        <f>Table1!B26</f>
        <v>1.92</v>
      </c>
      <c r="B24">
        <f t="shared" si="4"/>
        <v>3.6863999999999999</v>
      </c>
      <c r="C24">
        <f t="shared" si="0"/>
        <v>96.185277197844471</v>
      </c>
      <c r="D24">
        <f t="shared" si="1"/>
        <v>6.8209584692907494</v>
      </c>
      <c r="E24">
        <f t="shared" si="2"/>
        <v>916.86337445949709</v>
      </c>
      <c r="F24">
        <f>Table1!C26</f>
        <v>-0.5</v>
      </c>
      <c r="R24">
        <f t="shared" si="5"/>
        <v>-0.28858727089833758</v>
      </c>
      <c r="S24">
        <f t="shared" si="6"/>
        <v>6.700784059056903</v>
      </c>
      <c r="T24">
        <f t="shared" si="7"/>
        <v>0.73785546406135549</v>
      </c>
      <c r="U24">
        <f t="shared" si="8"/>
        <v>2.4402955511629623</v>
      </c>
      <c r="V24">
        <f t="shared" si="9"/>
        <v>-0.19383590169152679</v>
      </c>
      <c r="W24">
        <f t="shared" si="10"/>
        <v>6.2192175045655897</v>
      </c>
      <c r="X24">
        <f t="shared" si="11"/>
        <v>-0.21858624744226493</v>
      </c>
      <c r="Y24">
        <f t="shared" si="12"/>
        <v>6.3432766858053098</v>
      </c>
      <c r="Z24" s="29">
        <f t="shared" si="13"/>
        <v>-0.22146902128557461</v>
      </c>
      <c r="AA24">
        <f t="shared" si="14"/>
        <v>6.3578060253028319</v>
      </c>
      <c r="AB24">
        <f t="shared" si="15"/>
        <v>-3.3970006753972271E-2</v>
      </c>
      <c r="AC24">
        <f t="shared" si="16"/>
        <v>5.4474159924271355</v>
      </c>
      <c r="AD24">
        <f t="shared" si="17"/>
        <v>-5.1743520925109571E-174</v>
      </c>
      <c r="AE24">
        <f t="shared" si="18"/>
        <v>5.2899999999999991</v>
      </c>
      <c r="AF24">
        <f t="shared" si="19"/>
        <v>-0.71336375673766217</v>
      </c>
      <c r="AG24">
        <f t="shared" si="20"/>
        <v>9.0803611304201155</v>
      </c>
    </row>
    <row r="25" spans="1:33" x14ac:dyDescent="0.35">
      <c r="A25">
        <f>Table1!B27</f>
        <v>2.9099999999999997</v>
      </c>
      <c r="B25">
        <f t="shared" si="4"/>
        <v>8.468099999999998</v>
      </c>
      <c r="C25">
        <f t="shared" si="0"/>
        <v>1767.0584815363297</v>
      </c>
      <c r="D25">
        <f t="shared" si="1"/>
        <v>18.356798567017918</v>
      </c>
      <c r="E25">
        <f t="shared" si="2"/>
        <v>93811552.46663554</v>
      </c>
      <c r="F25">
        <f>Table1!C27</f>
        <v>-1.8</v>
      </c>
      <c r="R25">
        <f t="shared" si="5"/>
        <v>-1.3363108988563439</v>
      </c>
      <c r="S25">
        <f t="shared" si="6"/>
        <v>1.8750133375814066</v>
      </c>
      <c r="T25">
        <f t="shared" si="7"/>
        <v>-1.3500493119706904</v>
      </c>
      <c r="U25">
        <f t="shared" si="8"/>
        <v>1.9128264092288645</v>
      </c>
      <c r="V25">
        <f t="shared" si="9"/>
        <v>-1.2114743855720425</v>
      </c>
      <c r="W25">
        <f t="shared" si="10"/>
        <v>1.548717405045416</v>
      </c>
      <c r="X25">
        <f t="shared" si="11"/>
        <v>-1.362664132365847</v>
      </c>
      <c r="Y25">
        <f t="shared" si="12"/>
        <v>1.9478793894699677</v>
      </c>
      <c r="Z25" s="29">
        <f t="shared" si="13"/>
        <v>-1.3753567638278714</v>
      </c>
      <c r="AA25">
        <f t="shared" si="14"/>
        <v>1.9834698025851782</v>
      </c>
      <c r="AB25">
        <f t="shared" si="15"/>
        <v>-0.22107513975866108</v>
      </c>
      <c r="AC25">
        <f t="shared" si="16"/>
        <v>6.4554362166156593E-2</v>
      </c>
      <c r="AD25">
        <f t="shared" si="17"/>
        <v>-8.1275529457604317E-170</v>
      </c>
      <c r="AE25">
        <f t="shared" si="18"/>
        <v>1.0890240963401482E-3</v>
      </c>
      <c r="AF25">
        <f t="shared" si="19"/>
        <v>-1.7834093918441554</v>
      </c>
      <c r="AG25">
        <f t="shared" si="20"/>
        <v>3.2993444051002854</v>
      </c>
    </row>
    <row r="26" spans="1:33" x14ac:dyDescent="0.35">
      <c r="A26">
        <f>Table1!B28</f>
        <v>5.4</v>
      </c>
      <c r="B26">
        <f t="shared" si="4"/>
        <v>29.160000000000004</v>
      </c>
      <c r="C26">
        <f t="shared" si="0"/>
        <v>133892.52099840005</v>
      </c>
      <c r="D26">
        <f t="shared" si="1"/>
        <v>221.40641620418717</v>
      </c>
      <c r="E26">
        <f t="shared" si="2"/>
        <v>1.4308193851191623E+96</v>
      </c>
      <c r="F26">
        <f>Table1!C28</f>
        <v>-4.5999999999999996</v>
      </c>
      <c r="R26">
        <f t="shared" si="5"/>
        <v>-0.13380242835593054</v>
      </c>
      <c r="S26">
        <f t="shared" si="6"/>
        <v>2.0993098775809087E-3</v>
      </c>
      <c r="T26">
        <f t="shared" si="7"/>
        <v>0.4427132784368133</v>
      </c>
      <c r="U26">
        <f t="shared" si="8"/>
        <v>0.38729952450012062</v>
      </c>
      <c r="V26">
        <f t="shared" si="9"/>
        <v>-6.9780924608949635E-2</v>
      </c>
      <c r="W26">
        <f t="shared" si="10"/>
        <v>1.2064766335876465E-2</v>
      </c>
      <c r="X26">
        <f t="shared" si="11"/>
        <v>-7.8692972586732676E-2</v>
      </c>
      <c r="Y26">
        <f t="shared" si="12"/>
        <v>1.0186397043772853E-2</v>
      </c>
      <c r="Z26" s="29">
        <f t="shared" si="13"/>
        <v>-7.9740471246042999E-2</v>
      </c>
      <c r="AA26">
        <f t="shared" si="14"/>
        <v>9.9760510735318261E-3</v>
      </c>
      <c r="AB26">
        <f t="shared" si="15"/>
        <v>-1.62530853433272E-2</v>
      </c>
      <c r="AC26">
        <f t="shared" si="16"/>
        <v>2.6688962761237188E-2</v>
      </c>
      <c r="AD26">
        <f t="shared" si="17"/>
        <v>-1.4424080151490123E-174</v>
      </c>
      <c r="AE26">
        <f t="shared" si="18"/>
        <v>3.2263579642937114E-2</v>
      </c>
      <c r="AF26">
        <f t="shared" si="19"/>
        <v>-0.4280182540425973</v>
      </c>
      <c r="AG26">
        <f t="shared" si="20"/>
        <v>6.170136729267494E-2</v>
      </c>
    </row>
    <row r="27" spans="1:33" x14ac:dyDescent="0.35">
      <c r="A27">
        <f>Table1!B29</f>
        <v>2.9</v>
      </c>
      <c r="B27">
        <f t="shared" si="4"/>
        <v>8.41</v>
      </c>
      <c r="C27">
        <f t="shared" si="0"/>
        <v>1724.9876308999999</v>
      </c>
      <c r="D27">
        <f t="shared" si="1"/>
        <v>18.17414536944306</v>
      </c>
      <c r="E27">
        <f t="shared" si="2"/>
        <v>78150371.573756486</v>
      </c>
      <c r="F27">
        <f>Table1!C29</f>
        <v>-2</v>
      </c>
      <c r="R27">
        <f t="shared" si="5"/>
        <v>-0.28858727089833758</v>
      </c>
      <c r="S27">
        <f t="shared" si="6"/>
        <v>4.3636269139703086E-4</v>
      </c>
      <c r="T27">
        <f t="shared" si="7"/>
        <v>0.73785546406135549</v>
      </c>
      <c r="U27">
        <f t="shared" si="8"/>
        <v>1.0969043832757781</v>
      </c>
      <c r="V27">
        <f t="shared" si="9"/>
        <v>-0.19383590169152679</v>
      </c>
      <c r="W27">
        <f t="shared" si="10"/>
        <v>1.3372763471735776E-2</v>
      </c>
      <c r="X27">
        <f t="shared" si="11"/>
        <v>-0.21858624744226493</v>
      </c>
      <c r="Y27">
        <f t="shared" si="12"/>
        <v>8.2610501883243048E-3</v>
      </c>
      <c r="Z27" s="29">
        <f t="shared" si="13"/>
        <v>-0.22146902128557461</v>
      </c>
      <c r="AA27">
        <f t="shared" si="14"/>
        <v>7.7453281017249567E-3</v>
      </c>
      <c r="AB27">
        <f t="shared" si="15"/>
        <v>-3.3970006753972271E-2</v>
      </c>
      <c r="AC27">
        <f t="shared" si="16"/>
        <v>7.5903864735618762E-2</v>
      </c>
      <c r="AD27">
        <f t="shared" si="17"/>
        <v>-5.1743520925109571E-174</v>
      </c>
      <c r="AE27">
        <f t="shared" si="18"/>
        <v>9.5775745518758795E-2</v>
      </c>
      <c r="AF27">
        <f t="shared" si="19"/>
        <v>-0.71336375673766217</v>
      </c>
      <c r="AG27">
        <f t="shared" si="20"/>
        <v>0.16312486203855397</v>
      </c>
    </row>
    <row r="28" spans="1:33" x14ac:dyDescent="0.35">
      <c r="R28">
        <f t="shared" si="5"/>
        <v>-1.3363108988563439</v>
      </c>
      <c r="S28">
        <f t="shared" si="6"/>
        <v>0.12755852693990458</v>
      </c>
      <c r="T28">
        <f t="shared" si="7"/>
        <v>-1.3500493119706904</v>
      </c>
      <c r="U28">
        <f t="shared" si="8"/>
        <v>0.13756071191302549</v>
      </c>
      <c r="V28">
        <f t="shared" si="9"/>
        <v>-1.2114743855720425</v>
      </c>
      <c r="W28">
        <f t="shared" si="10"/>
        <v>5.3971120117375433E-2</v>
      </c>
      <c r="X28">
        <f t="shared" si="11"/>
        <v>-1.362664132365847</v>
      </c>
      <c r="Y28">
        <f t="shared" si="12"/>
        <v>0.14707731196911017</v>
      </c>
      <c r="Z28" s="29">
        <f t="shared" si="13"/>
        <v>-1.3753567638278714</v>
      </c>
      <c r="AA28">
        <f t="shared" si="14"/>
        <v>0.15697383072756568</v>
      </c>
      <c r="AB28">
        <f t="shared" si="15"/>
        <v>-0.22107513975866108</v>
      </c>
      <c r="AC28">
        <f t="shared" si="16"/>
        <v>0.57468891452354409</v>
      </c>
      <c r="AD28">
        <f t="shared" si="17"/>
        <v>-8.1275529457604317E-170</v>
      </c>
      <c r="AE28">
        <f t="shared" si="18"/>
        <v>0.95874947388949183</v>
      </c>
      <c r="AF28">
        <f t="shared" si="19"/>
        <v>-1.7834093918441554</v>
      </c>
      <c r="AG28">
        <f t="shared" si="20"/>
        <v>0.64682105289876779</v>
      </c>
    </row>
    <row r="29" spans="1:33" x14ac:dyDescent="0.35">
      <c r="A29" t="s">
        <v>58</v>
      </c>
      <c r="B29" t="s">
        <v>14</v>
      </c>
      <c r="C29" t="s">
        <v>48</v>
      </c>
      <c r="D29" t="s">
        <v>16</v>
      </c>
      <c r="E29" t="s">
        <v>17</v>
      </c>
      <c r="F29" t="s">
        <v>50</v>
      </c>
      <c r="G29" t="s">
        <v>49</v>
      </c>
      <c r="R29">
        <f t="shared" si="5"/>
        <v>-1.8495101672718128</v>
      </c>
      <c r="S29">
        <f t="shared" si="6"/>
        <v>0.84549894771623713</v>
      </c>
      <c r="T29">
        <f t="shared" si="7"/>
        <v>-2.0557087486626267</v>
      </c>
      <c r="U29">
        <f t="shared" si="8"/>
        <v>1.2672201868155764</v>
      </c>
      <c r="V29">
        <f t="shared" si="9"/>
        <v>-1.744523115223741</v>
      </c>
      <c r="W29">
        <f t="shared" si="10"/>
        <v>0.6634479052337876</v>
      </c>
      <c r="X29">
        <f t="shared" si="11"/>
        <v>-1.9546577974178614</v>
      </c>
      <c r="Y29">
        <f t="shared" si="12"/>
        <v>1.0499236018092233</v>
      </c>
      <c r="Z29" s="29">
        <f t="shared" si="13"/>
        <v>-1.9665125903841507</v>
      </c>
      <c r="AA29">
        <f t="shared" si="14"/>
        <v>1.0743583500248619</v>
      </c>
      <c r="AB29">
        <f t="shared" si="15"/>
        <v>-0.37731634441208034</v>
      </c>
      <c r="AC29">
        <f t="shared" si="16"/>
        <v>0.30545922315402629</v>
      </c>
      <c r="AD29">
        <f t="shared" si="17"/>
        <v>-2.1989421168036015E-166</v>
      </c>
      <c r="AE29">
        <f t="shared" si="18"/>
        <v>0.86490000000000011</v>
      </c>
      <c r="AF29">
        <f t="shared" si="19"/>
        <v>-2.1400912702129866</v>
      </c>
      <c r="AG29">
        <f t="shared" si="20"/>
        <v>1.464320882245679</v>
      </c>
    </row>
    <row r="30" spans="1:33" x14ac:dyDescent="0.35">
      <c r="A30">
        <f>Table1!B4</f>
        <v>2.5</v>
      </c>
      <c r="B30">
        <f>Table1!C4</f>
        <v>-3</v>
      </c>
      <c r="C30">
        <f>Table1!D4</f>
        <v>0</v>
      </c>
      <c r="D30">
        <f>Table1!E4</f>
        <v>-12</v>
      </c>
      <c r="E30">
        <f>Table1!F4</f>
        <v>5</v>
      </c>
      <c r="F30">
        <f>(B30-D30)/2</f>
        <v>4.5</v>
      </c>
      <c r="G30">
        <f>(E30-B30)/2</f>
        <v>4</v>
      </c>
      <c r="R30">
        <f t="shared" si="5"/>
        <v>-1.8495101672718128</v>
      </c>
      <c r="S30">
        <f t="shared" si="6"/>
        <v>0.63921650757100201</v>
      </c>
      <c r="T30">
        <f t="shared" si="7"/>
        <v>-2.0557087486626267</v>
      </c>
      <c r="U30">
        <f t="shared" si="8"/>
        <v>1.0114500871365462</v>
      </c>
      <c r="V30">
        <f t="shared" si="9"/>
        <v>-1.744523115223741</v>
      </c>
      <c r="W30">
        <f t="shared" si="10"/>
        <v>0.48236235758008983</v>
      </c>
      <c r="X30">
        <f t="shared" si="11"/>
        <v>-1.9546577974178614</v>
      </c>
      <c r="Y30">
        <f t="shared" si="12"/>
        <v>0.81840573042893627</v>
      </c>
      <c r="Z30" s="29">
        <f t="shared" si="13"/>
        <v>-1.9665125903841507</v>
      </c>
      <c r="AA30">
        <f t="shared" si="14"/>
        <v>0.83999532833266599</v>
      </c>
      <c r="AB30">
        <f t="shared" si="15"/>
        <v>-0.37731634441208034</v>
      </c>
      <c r="AC30">
        <f t="shared" si="16"/>
        <v>0.45250330049512688</v>
      </c>
      <c r="AD30">
        <f t="shared" si="17"/>
        <v>-2.1989421168036015E-166</v>
      </c>
      <c r="AE30">
        <f t="shared" si="18"/>
        <v>1.1025</v>
      </c>
      <c r="AF30">
        <f t="shared" si="19"/>
        <v>-2.1400912702129866</v>
      </c>
      <c r="AG30">
        <f t="shared" si="20"/>
        <v>1.1882989773945625</v>
      </c>
    </row>
    <row r="31" spans="1:33" x14ac:dyDescent="0.35">
      <c r="A31">
        <f>Table1!B7</f>
        <v>3</v>
      </c>
      <c r="B31">
        <f>Table1!C7</f>
        <v>-3.6</v>
      </c>
      <c r="C31">
        <f>Table1!D7</f>
        <v>0</v>
      </c>
      <c r="D31">
        <f>Table1!E7</f>
        <v>-21</v>
      </c>
      <c r="E31">
        <f>Table1!F7</f>
        <v>0</v>
      </c>
      <c r="F31">
        <f>(B31-D31)/2</f>
        <v>8.6999999999999993</v>
      </c>
      <c r="G31">
        <f>(E31-B31)/2</f>
        <v>1.8</v>
      </c>
      <c r="R31">
        <f t="shared" si="5"/>
        <v>-1.8495101672718128</v>
      </c>
      <c r="S31">
        <f t="shared" si="6"/>
        <v>0.42313702248274493</v>
      </c>
      <c r="T31">
        <f t="shared" si="7"/>
        <v>-2.0557087486626267</v>
      </c>
      <c r="U31">
        <f t="shared" si="8"/>
        <v>0.19739471601492906</v>
      </c>
      <c r="V31">
        <f t="shared" si="9"/>
        <v>-1.744523115223741</v>
      </c>
      <c r="W31">
        <f t="shared" si="10"/>
        <v>0.57074532343124085</v>
      </c>
      <c r="X31">
        <f t="shared" si="11"/>
        <v>-1.9546577974178614</v>
      </c>
      <c r="Y31">
        <f t="shared" si="12"/>
        <v>0.29739811791713833</v>
      </c>
      <c r="Z31" s="29">
        <f t="shared" si="13"/>
        <v>-1.9665125903841507</v>
      </c>
      <c r="AA31">
        <f t="shared" si="14"/>
        <v>0.28460881621862893</v>
      </c>
      <c r="AB31">
        <f t="shared" si="15"/>
        <v>-0.37731634441208034</v>
      </c>
      <c r="AC31">
        <f t="shared" si="16"/>
        <v>4.5057859017000945</v>
      </c>
      <c r="AD31">
        <f t="shared" si="17"/>
        <v>-2.1989421168036015E-166</v>
      </c>
      <c r="AE31">
        <f t="shared" si="18"/>
        <v>6.25</v>
      </c>
      <c r="AF31">
        <f t="shared" si="19"/>
        <v>-2.1400912702129866</v>
      </c>
      <c r="AG31">
        <f t="shared" si="20"/>
        <v>0.12953429377690143</v>
      </c>
    </row>
    <row r="32" spans="1:33" x14ac:dyDescent="0.35">
      <c r="A32">
        <f>Table1!B13</f>
        <v>2.5</v>
      </c>
      <c r="B32">
        <f>Table1!C13</f>
        <v>-2.8891788330145758</v>
      </c>
      <c r="C32">
        <f>Table1!D13</f>
        <v>0</v>
      </c>
      <c r="D32">
        <f>Table1!E13</f>
        <v>-13.063357045557673</v>
      </c>
      <c r="E32">
        <f>Table1!F13</f>
        <v>-0.50344377208965629</v>
      </c>
      <c r="F32">
        <f>(B32-D32)/2</f>
        <v>5.0870891062715486</v>
      </c>
      <c r="G32">
        <f>(E32-B32)/2</f>
        <v>1.1928675304624599</v>
      </c>
      <c r="R32">
        <f t="shared" si="5"/>
        <v>-2.0777440029114596</v>
      </c>
      <c r="S32">
        <f t="shared" si="6"/>
        <v>9.2159675335105966</v>
      </c>
      <c r="T32">
        <f t="shared" si="7"/>
        <v>-2.3379725233394018</v>
      </c>
      <c r="U32">
        <f t="shared" si="8"/>
        <v>7.7036927129533606</v>
      </c>
      <c r="V32">
        <f t="shared" si="9"/>
        <v>-1.9848796333212346</v>
      </c>
      <c r="W32">
        <f t="shared" si="10"/>
        <v>9.7884231405539612</v>
      </c>
      <c r="X32">
        <f t="shared" si="11"/>
        <v>-2.2184758913847289</v>
      </c>
      <c r="Y32">
        <f t="shared" si="12"/>
        <v>8.3813105535896089</v>
      </c>
      <c r="Z32" s="29">
        <f t="shared" si="13"/>
        <v>-2.2283918806339766</v>
      </c>
      <c r="AA32">
        <f t="shared" si="14"/>
        <v>8.3239943246059553</v>
      </c>
      <c r="AB32">
        <f t="shared" si="15"/>
        <v>-0.46523230153156142</v>
      </c>
      <c r="AC32">
        <f t="shared" si="16"/>
        <v>21.606626957097451</v>
      </c>
      <c r="AD32">
        <f t="shared" si="17"/>
        <v>-1.8772341217920876E-164</v>
      </c>
      <c r="AE32">
        <f t="shared" si="18"/>
        <v>26.148140066902467</v>
      </c>
      <c r="AF32">
        <f t="shared" si="19"/>
        <v>-2.2827640215605189</v>
      </c>
      <c r="AG32">
        <f t="shared" si="20"/>
        <v>8.0132089024306676</v>
      </c>
    </row>
    <row r="33" spans="1:33" x14ac:dyDescent="0.35">
      <c r="A33">
        <f>Table1!B17</f>
        <v>1</v>
      </c>
      <c r="B33">
        <f>Table1!C17</f>
        <v>2.2999999999999998</v>
      </c>
      <c r="C33">
        <f>Table1!D17</f>
        <v>1</v>
      </c>
      <c r="D33">
        <f>Table1!E17</f>
        <v>0</v>
      </c>
      <c r="E33">
        <f>Table1!F17</f>
        <v>0</v>
      </c>
      <c r="F33">
        <f>C33</f>
        <v>1</v>
      </c>
      <c r="G33">
        <f>C33</f>
        <v>1</v>
      </c>
      <c r="R33">
        <f t="shared" si="5"/>
        <v>-0.84370307571221814</v>
      </c>
      <c r="S33">
        <f t="shared" si="6"/>
        <v>0.11813180425403876</v>
      </c>
      <c r="T33">
        <f t="shared" si="7"/>
        <v>-0.531484365408044</v>
      </c>
      <c r="U33">
        <f t="shared" si="8"/>
        <v>9.9126526514723779E-4</v>
      </c>
      <c r="V33">
        <f t="shared" si="9"/>
        <v>-0.71455666799564432</v>
      </c>
      <c r="W33">
        <f t="shared" si="10"/>
        <v>4.6034563781393145E-2</v>
      </c>
      <c r="X33">
        <f t="shared" si="11"/>
        <v>-0.80526044240287642</v>
      </c>
      <c r="Y33">
        <f t="shared" si="12"/>
        <v>9.3183937695999836E-2</v>
      </c>
      <c r="Z33" s="29">
        <f t="shared" si="13"/>
        <v>-0.8147018044936376</v>
      </c>
      <c r="AA33">
        <f t="shared" si="14"/>
        <v>9.9037225751551702E-2</v>
      </c>
      <c r="AB33">
        <f t="shared" si="15"/>
        <v>-0.11507890919950556</v>
      </c>
      <c r="AC33">
        <f t="shared" si="16"/>
        <v>0.14816424614304247</v>
      </c>
      <c r="AD33">
        <f t="shared" si="17"/>
        <v>-3.8035670818214761E-172</v>
      </c>
      <c r="AE33">
        <f t="shared" si="18"/>
        <v>0.25</v>
      </c>
      <c r="AF33">
        <f t="shared" si="19"/>
        <v>-1.3696584129363114</v>
      </c>
      <c r="AG33">
        <f t="shared" si="20"/>
        <v>0.75630575519090393</v>
      </c>
    </row>
    <row r="34" spans="1:33" x14ac:dyDescent="0.35">
      <c r="A34">
        <f>Table1!B21</f>
        <v>2.5</v>
      </c>
      <c r="B34">
        <f>Table1!C21</f>
        <v>-0.97915753272366335</v>
      </c>
      <c r="C34">
        <f>Table1!D21</f>
        <v>0</v>
      </c>
      <c r="D34">
        <f>Table1!E21</f>
        <v>-3.0371870730367685</v>
      </c>
      <c r="E34">
        <f>Table1!F21</f>
        <v>4.6344323764782099E-2</v>
      </c>
      <c r="F34">
        <f>(B34-D34)/2</f>
        <v>1.0290147701565526</v>
      </c>
      <c r="G34">
        <f>(E34-B34)/2</f>
        <v>0.51275092824422275</v>
      </c>
      <c r="R34">
        <f t="shared" si="5"/>
        <v>-1.7510842465763807</v>
      </c>
      <c r="S34">
        <f t="shared" si="6"/>
        <v>2.3927509330003245E-3</v>
      </c>
      <c r="T34">
        <f t="shared" si="7"/>
        <v>-1.9286900500580777</v>
      </c>
      <c r="U34">
        <f t="shared" si="8"/>
        <v>1.6561128983950534E-2</v>
      </c>
      <c r="V34">
        <f t="shared" si="9"/>
        <v>-1.6414217991140176</v>
      </c>
      <c r="W34">
        <f t="shared" si="10"/>
        <v>2.5147045796234991E-2</v>
      </c>
      <c r="X34">
        <f t="shared" si="11"/>
        <v>-1.8408216579535628</v>
      </c>
      <c r="Y34">
        <f t="shared" si="12"/>
        <v>1.6664077580776722E-3</v>
      </c>
      <c r="Z34" s="29">
        <f t="shared" si="13"/>
        <v>-1.8532103346418196</v>
      </c>
      <c r="AA34">
        <f t="shared" si="14"/>
        <v>2.8313397126944234E-3</v>
      </c>
      <c r="AB34">
        <f t="shared" si="15"/>
        <v>-0.34313961469155363</v>
      </c>
      <c r="AC34">
        <f t="shared" si="16"/>
        <v>2.1224421822810746</v>
      </c>
      <c r="AD34">
        <f t="shared" si="17"/>
        <v>-3.9033029372888946E-167</v>
      </c>
      <c r="AE34">
        <f t="shared" si="18"/>
        <v>3.24</v>
      </c>
      <c r="AF34">
        <f t="shared" si="19"/>
        <v>-2.0758885321065965</v>
      </c>
      <c r="AG34">
        <f t="shared" si="20"/>
        <v>7.6114482147932511E-2</v>
      </c>
    </row>
    <row r="35" spans="1:33" x14ac:dyDescent="0.35">
      <c r="A35">
        <f>Table1!B22</f>
        <v>3</v>
      </c>
      <c r="B35">
        <f>Table1!C22</f>
        <v>-0.93</v>
      </c>
      <c r="C35">
        <f>Table1!D22</f>
        <v>0.13</v>
      </c>
      <c r="D35">
        <f>Table1!E22</f>
        <v>0</v>
      </c>
      <c r="E35">
        <f>Table1!F22</f>
        <v>0</v>
      </c>
      <c r="F35">
        <f>C35</f>
        <v>0.13</v>
      </c>
      <c r="G35">
        <f>C35</f>
        <v>0.13</v>
      </c>
      <c r="R35">
        <f t="shared" si="5"/>
        <v>-5.4540147469751519</v>
      </c>
      <c r="S35">
        <f t="shared" si="6"/>
        <v>0.72934118805103332</v>
      </c>
      <c r="T35">
        <f t="shared" si="7"/>
        <v>-5.4428740447839212</v>
      </c>
      <c r="U35">
        <f t="shared" si="8"/>
        <v>0.71043665537040823</v>
      </c>
      <c r="V35">
        <f t="shared" si="9"/>
        <v>-5.6522548933249217</v>
      </c>
      <c r="W35">
        <f t="shared" si="10"/>
        <v>1.1072403605262431</v>
      </c>
      <c r="X35">
        <f t="shared" si="11"/>
        <v>-5.5984261270413782</v>
      </c>
      <c r="Y35">
        <f t="shared" si="12"/>
        <v>0.99685473115884704</v>
      </c>
      <c r="Z35" s="29">
        <f t="shared" si="13"/>
        <v>-5.5393441961914691</v>
      </c>
      <c r="AA35">
        <f t="shared" si="14"/>
        <v>0.88236751891859788</v>
      </c>
      <c r="AB35">
        <f t="shared" si="15"/>
        <v>-4.3573803336962413</v>
      </c>
      <c r="AC35">
        <f t="shared" si="16"/>
        <v>5.8864302477347037E-2</v>
      </c>
      <c r="AD35">
        <f t="shared" si="17"/>
        <v>-5.9533410583738126E-79</v>
      </c>
      <c r="AE35">
        <f t="shared" si="18"/>
        <v>21.159999999999997</v>
      </c>
      <c r="AF35">
        <f t="shared" si="19"/>
        <v>-3.8521642863833758</v>
      </c>
      <c r="AG35">
        <f t="shared" si="20"/>
        <v>0.55925825456048495</v>
      </c>
    </row>
    <row r="36" spans="1:33" x14ac:dyDescent="0.35">
      <c r="A36">
        <f>Table1!B23</f>
        <v>3</v>
      </c>
      <c r="B36">
        <f>Table1!C23</f>
        <v>-1.05</v>
      </c>
      <c r="C36">
        <f>Table1!D23</f>
        <v>0.13</v>
      </c>
      <c r="D36">
        <f>Table1!E23</f>
        <v>0</v>
      </c>
      <c r="E36">
        <f>Table1!F23</f>
        <v>0</v>
      </c>
      <c r="F36">
        <f>C36</f>
        <v>0.13</v>
      </c>
      <c r="G36">
        <f>C36</f>
        <v>0.13</v>
      </c>
      <c r="R36">
        <f t="shared" si="5"/>
        <v>-1.7403119912248737</v>
      </c>
      <c r="S36">
        <f t="shared" si="6"/>
        <v>6.7437861901590082E-2</v>
      </c>
      <c r="T36">
        <f t="shared" si="7"/>
        <v>-1.9145768613242393</v>
      </c>
      <c r="U36">
        <f t="shared" si="8"/>
        <v>7.2971126212182397E-3</v>
      </c>
      <c r="V36">
        <f t="shared" si="9"/>
        <v>-1.6301599332257404</v>
      </c>
      <c r="W36">
        <f t="shared" si="10"/>
        <v>0.13678167499158883</v>
      </c>
      <c r="X36">
        <f t="shared" si="11"/>
        <v>-1.828365201446696</v>
      </c>
      <c r="Y36">
        <f t="shared" si="12"/>
        <v>2.9458504074433241E-2</v>
      </c>
      <c r="Z36" s="29">
        <f t="shared" si="13"/>
        <v>-1.8408013030106285</v>
      </c>
      <c r="AA36">
        <f t="shared" si="14"/>
        <v>2.5344225123113722E-2</v>
      </c>
      <c r="AB36">
        <f t="shared" si="15"/>
        <v>-0.33952860615239155</v>
      </c>
      <c r="AC36">
        <f t="shared" si="16"/>
        <v>2.7571652497862198</v>
      </c>
      <c r="AD36">
        <f t="shared" si="17"/>
        <v>-3.2516738623555032E-167</v>
      </c>
      <c r="AE36">
        <f t="shared" si="18"/>
        <v>4</v>
      </c>
      <c r="AF36">
        <f t="shared" si="19"/>
        <v>-2.0687548945392202</v>
      </c>
      <c r="AG36">
        <f t="shared" si="20"/>
        <v>4.7272355230992963E-3</v>
      </c>
    </row>
    <row r="38" spans="1:33" x14ac:dyDescent="0.35">
      <c r="H38" t="s">
        <v>22</v>
      </c>
      <c r="R38" t="s">
        <v>22</v>
      </c>
    </row>
    <row r="39" spans="1:33" ht="15" thickBot="1" x14ac:dyDescent="0.4"/>
    <row r="40" spans="1:33" x14ac:dyDescent="0.35">
      <c r="H40" s="5" t="s">
        <v>23</v>
      </c>
      <c r="I40" s="5"/>
      <c r="R40" s="5" t="s">
        <v>23</v>
      </c>
      <c r="S40" s="5"/>
    </row>
    <row r="41" spans="1:33" x14ac:dyDescent="0.35">
      <c r="H41" s="2" t="s">
        <v>24</v>
      </c>
      <c r="I41" s="2">
        <v>0.71501411259657133</v>
      </c>
      <c r="R41" s="2" t="s">
        <v>24</v>
      </c>
      <c r="S41" s="2">
        <v>0.66927292088760348</v>
      </c>
    </row>
    <row r="42" spans="1:33" x14ac:dyDescent="0.35">
      <c r="H42" s="2" t="s">
        <v>25</v>
      </c>
      <c r="I42" s="2">
        <v>0.51124518121226237</v>
      </c>
      <c r="R42" s="2" t="s">
        <v>25</v>
      </c>
      <c r="S42" s="2">
        <v>0.4479262426334244</v>
      </c>
    </row>
    <row r="43" spans="1:33" x14ac:dyDescent="0.35">
      <c r="H43" s="2" t="s">
        <v>26</v>
      </c>
      <c r="I43" s="2">
        <v>0.34457851454559574</v>
      </c>
      <c r="R43" s="2" t="s">
        <v>26</v>
      </c>
      <c r="S43" s="2">
        <v>0.28125957596675777</v>
      </c>
    </row>
    <row r="44" spans="1:33" x14ac:dyDescent="0.35">
      <c r="H44" s="2" t="s">
        <v>27</v>
      </c>
      <c r="I44" s="2">
        <v>3.1770576058215192</v>
      </c>
      <c r="R44" s="2" t="s">
        <v>27</v>
      </c>
      <c r="S44" s="2">
        <v>1.4214631271697304</v>
      </c>
    </row>
    <row r="45" spans="1:33" ht="15" thickBot="1" x14ac:dyDescent="0.4">
      <c r="H45" s="3" t="s">
        <v>28</v>
      </c>
      <c r="I45" s="3">
        <v>7</v>
      </c>
      <c r="R45" s="3" t="s">
        <v>28</v>
      </c>
      <c r="S45" s="3">
        <v>7</v>
      </c>
    </row>
    <row r="47" spans="1:33" ht="15" thickBot="1" x14ac:dyDescent="0.4">
      <c r="H47" t="s">
        <v>29</v>
      </c>
      <c r="R47" t="s">
        <v>29</v>
      </c>
    </row>
    <row r="48" spans="1:33" x14ac:dyDescent="0.35">
      <c r="H48" s="4"/>
      <c r="I48" s="4" t="s">
        <v>34</v>
      </c>
      <c r="J48" s="4" t="s">
        <v>35</v>
      </c>
      <c r="K48" s="4" t="s">
        <v>36</v>
      </c>
      <c r="L48" s="4" t="s">
        <v>37</v>
      </c>
      <c r="M48" s="4" t="s">
        <v>38</v>
      </c>
      <c r="R48" s="4"/>
      <c r="S48" s="4" t="s">
        <v>34</v>
      </c>
      <c r="T48" s="4" t="s">
        <v>35</v>
      </c>
      <c r="U48" s="4" t="s">
        <v>36</v>
      </c>
      <c r="V48" s="4" t="s">
        <v>37</v>
      </c>
      <c r="W48" s="4" t="s">
        <v>38</v>
      </c>
    </row>
    <row r="49" spans="8:26" x14ac:dyDescent="0.35">
      <c r="H49" s="2" t="s">
        <v>30</v>
      </c>
      <c r="I49" s="2">
        <v>1</v>
      </c>
      <c r="J49" s="2">
        <v>63.348976788096827</v>
      </c>
      <c r="K49" s="2">
        <v>63.348976788096827</v>
      </c>
      <c r="L49" s="2">
        <v>6.2760937986899998</v>
      </c>
      <c r="M49" s="2">
        <v>5.4143823181757325E-2</v>
      </c>
      <c r="R49" s="2" t="s">
        <v>30</v>
      </c>
      <c r="S49" s="2">
        <v>1</v>
      </c>
      <c r="T49" s="2">
        <v>9.8363019282280266</v>
      </c>
      <c r="U49" s="2">
        <v>9.8363019282280266</v>
      </c>
      <c r="V49" s="2">
        <v>4.86811303732377</v>
      </c>
      <c r="W49" s="2">
        <v>7.8461111413390697E-2</v>
      </c>
    </row>
    <row r="50" spans="8:26" x14ac:dyDescent="0.35">
      <c r="H50" s="2" t="s">
        <v>31</v>
      </c>
      <c r="I50" s="2">
        <v>6</v>
      </c>
      <c r="J50" s="2">
        <v>60.562170184250185</v>
      </c>
      <c r="K50" s="2">
        <v>10.093695030708364</v>
      </c>
      <c r="L50" s="2"/>
      <c r="M50" s="2"/>
      <c r="R50" s="2" t="s">
        <v>31</v>
      </c>
      <c r="S50" s="2">
        <v>6</v>
      </c>
      <c r="T50" s="2">
        <v>12.123344531418896</v>
      </c>
      <c r="U50" s="2">
        <v>2.0205574219031495</v>
      </c>
      <c r="V50" s="2"/>
      <c r="W50" s="2"/>
    </row>
    <row r="51" spans="8:26" ht="15" thickBot="1" x14ac:dyDescent="0.4">
      <c r="H51" s="3" t="s">
        <v>32</v>
      </c>
      <c r="I51" s="3">
        <v>7</v>
      </c>
      <c r="J51" s="3">
        <v>123.91114697234701</v>
      </c>
      <c r="K51" s="3"/>
      <c r="L51" s="3"/>
      <c r="M51" s="3"/>
      <c r="R51" s="3" t="s">
        <v>32</v>
      </c>
      <c r="S51" s="3">
        <v>7</v>
      </c>
      <c r="T51" s="3">
        <v>21.959646459646923</v>
      </c>
      <c r="U51" s="3"/>
      <c r="V51" s="3"/>
      <c r="W51" s="3"/>
    </row>
    <row r="52" spans="8:26" ht="15" thickBot="1" x14ac:dyDescent="0.4"/>
    <row r="53" spans="8:26" x14ac:dyDescent="0.35">
      <c r="H53" s="4"/>
      <c r="I53" s="4" t="s">
        <v>39</v>
      </c>
      <c r="J53" s="4" t="s">
        <v>27</v>
      </c>
      <c r="K53" s="4" t="s">
        <v>40</v>
      </c>
      <c r="L53" s="4" t="s">
        <v>41</v>
      </c>
      <c r="M53" s="4" t="s">
        <v>42</v>
      </c>
      <c r="N53" s="4" t="s">
        <v>43</v>
      </c>
      <c r="O53" s="4" t="s">
        <v>44</v>
      </c>
      <c r="P53" s="4" t="s">
        <v>45</v>
      </c>
      <c r="R53" s="4"/>
      <c r="S53" s="4" t="s">
        <v>39</v>
      </c>
      <c r="T53" s="4" t="s">
        <v>27</v>
      </c>
      <c r="U53" s="4" t="s">
        <v>40</v>
      </c>
      <c r="V53" s="4" t="s">
        <v>41</v>
      </c>
      <c r="W53" s="4" t="s">
        <v>42</v>
      </c>
      <c r="X53" s="4" t="s">
        <v>43</v>
      </c>
      <c r="Y53" s="4" t="s">
        <v>44</v>
      </c>
      <c r="Z53" s="4" t="s">
        <v>45</v>
      </c>
    </row>
    <row r="54" spans="8:26" x14ac:dyDescent="0.35">
      <c r="H54" s="2" t="s">
        <v>33</v>
      </c>
      <c r="I54" s="2">
        <v>0</v>
      </c>
      <c r="J54" s="2" t="e">
        <v>#N/A</v>
      </c>
      <c r="K54" s="2" t="e">
        <v>#N/A</v>
      </c>
      <c r="L54" s="2" t="e">
        <v>#N/A</v>
      </c>
      <c r="M54" s="2" t="e">
        <v>#N/A</v>
      </c>
      <c r="N54" s="2" t="e">
        <v>#N/A</v>
      </c>
      <c r="O54" s="2" t="e">
        <v>#N/A</v>
      </c>
      <c r="P54" s="2" t="e">
        <v>#N/A</v>
      </c>
      <c r="R54" s="2" t="s">
        <v>33</v>
      </c>
      <c r="S54" s="2">
        <v>0</v>
      </c>
      <c r="T54" s="2" t="e">
        <v>#N/A</v>
      </c>
      <c r="U54" s="2" t="e">
        <v>#N/A</v>
      </c>
      <c r="V54" s="2" t="e">
        <v>#N/A</v>
      </c>
      <c r="W54" s="2" t="e">
        <v>#N/A</v>
      </c>
      <c r="X54" s="2" t="e">
        <v>#N/A</v>
      </c>
      <c r="Y54" s="2" t="e">
        <v>#N/A</v>
      </c>
      <c r="Z54" s="2" t="e">
        <v>#N/A</v>
      </c>
    </row>
    <row r="55" spans="8:26" ht="15" thickBot="1" x14ac:dyDescent="0.4">
      <c r="H55" s="3" t="s">
        <v>46</v>
      </c>
      <c r="I55" s="3">
        <v>1.1640697260121979</v>
      </c>
      <c r="J55" s="3">
        <v>0.4646589234001281</v>
      </c>
      <c r="K55" s="3">
        <v>2.5052133239885972</v>
      </c>
      <c r="L55" s="3">
        <v>4.6201285380727493E-2</v>
      </c>
      <c r="M55" s="3">
        <v>2.7090299604161761E-2</v>
      </c>
      <c r="N55" s="3">
        <v>2.3010491524202341</v>
      </c>
      <c r="O55" s="3">
        <v>2.7090299604161761E-2</v>
      </c>
      <c r="P55" s="3">
        <v>2.3010491524202341</v>
      </c>
      <c r="R55" s="3" t="s">
        <v>46</v>
      </c>
      <c r="S55" s="3">
        <v>0.45869617426238946</v>
      </c>
      <c r="T55" s="3">
        <v>0.20789535736254813</v>
      </c>
      <c r="U55" s="3">
        <v>2.2063800754456988</v>
      </c>
      <c r="V55" s="3">
        <v>6.9488832029099806E-2</v>
      </c>
      <c r="W55" s="3">
        <v>-5.000543946604824E-2</v>
      </c>
      <c r="X55" s="3">
        <v>0.9673977879908271</v>
      </c>
      <c r="Y55" s="3">
        <v>-5.000543946604824E-2</v>
      </c>
      <c r="Z55" s="3">
        <v>0.9673977879908271</v>
      </c>
    </row>
    <row r="58" spans="8:26" x14ac:dyDescent="0.35">
      <c r="H58" t="s">
        <v>22</v>
      </c>
    </row>
    <row r="59" spans="8:26" ht="15" thickBot="1" x14ac:dyDescent="0.4">
      <c r="H59" t="s">
        <v>662</v>
      </c>
    </row>
    <row r="60" spans="8:26" ht="15" thickBot="1" x14ac:dyDescent="0.4">
      <c r="H60" s="5" t="s">
        <v>23</v>
      </c>
      <c r="I60" s="5"/>
    </row>
    <row r="61" spans="8:26" x14ac:dyDescent="0.35">
      <c r="H61" s="2" t="s">
        <v>24</v>
      </c>
      <c r="I61" s="2">
        <v>0.88401224419639612</v>
      </c>
      <c r="R61" s="5"/>
      <c r="S61" s="5"/>
    </row>
    <row r="62" spans="8:26" x14ac:dyDescent="0.35">
      <c r="H62" s="2" t="s">
        <v>25</v>
      </c>
      <c r="I62" s="2">
        <v>0.78147764788914875</v>
      </c>
      <c r="R62" s="2"/>
      <c r="S62" s="2"/>
    </row>
    <row r="63" spans="8:26" x14ac:dyDescent="0.35">
      <c r="H63" s="2" t="s">
        <v>26</v>
      </c>
      <c r="I63" s="2">
        <v>0.74301610942761032</v>
      </c>
      <c r="R63" s="2"/>
      <c r="S63" s="2"/>
    </row>
    <row r="64" spans="8:26" x14ac:dyDescent="0.35">
      <c r="H64" s="2" t="s">
        <v>27</v>
      </c>
      <c r="I64" s="2">
        <v>1.1590912272031051</v>
      </c>
      <c r="R64" s="2"/>
      <c r="S64" s="2"/>
    </row>
    <row r="65" spans="8:26" ht="15" thickBot="1" x14ac:dyDescent="0.4">
      <c r="H65" s="3" t="s">
        <v>28</v>
      </c>
      <c r="I65" s="3">
        <v>27</v>
      </c>
      <c r="R65" s="2"/>
      <c r="S65" s="2"/>
    </row>
    <row r="66" spans="8:26" ht="15" thickBot="1" x14ac:dyDescent="0.4">
      <c r="R66" s="3"/>
      <c r="S66" s="3"/>
    </row>
    <row r="67" spans="8:26" ht="15" thickBot="1" x14ac:dyDescent="0.4">
      <c r="H67" t="s">
        <v>29</v>
      </c>
    </row>
    <row r="68" spans="8:26" ht="15" thickBot="1" x14ac:dyDescent="0.4">
      <c r="H68" s="4"/>
      <c r="I68" s="4" t="s">
        <v>34</v>
      </c>
      <c r="J68" s="4" t="s">
        <v>35</v>
      </c>
      <c r="K68" s="4" t="s">
        <v>36</v>
      </c>
      <c r="L68" s="4" t="s">
        <v>37</v>
      </c>
      <c r="M68" s="4" t="s">
        <v>38</v>
      </c>
    </row>
    <row r="69" spans="8:26" x14ac:dyDescent="0.35">
      <c r="H69" s="2" t="s">
        <v>30</v>
      </c>
      <c r="I69" s="2">
        <v>1</v>
      </c>
      <c r="J69" s="2">
        <v>124.9192245899273</v>
      </c>
      <c r="K69" s="2">
        <v>124.9192245899273</v>
      </c>
      <c r="L69" s="2">
        <v>92.980963498007824</v>
      </c>
      <c r="M69" s="2">
        <v>6.6482617335937151E-10</v>
      </c>
      <c r="R69" s="4"/>
      <c r="S69" s="4"/>
      <c r="T69" s="4"/>
      <c r="U69" s="4"/>
      <c r="V69" s="4"/>
      <c r="W69" s="4"/>
    </row>
    <row r="70" spans="8:26" x14ac:dyDescent="0.35">
      <c r="H70" s="2" t="s">
        <v>31</v>
      </c>
      <c r="I70" s="2">
        <v>26</v>
      </c>
      <c r="J70" s="2">
        <v>34.930804297459211</v>
      </c>
      <c r="K70" s="2">
        <v>1.3434924729792004</v>
      </c>
      <c r="L70" s="2"/>
      <c r="M70" s="2"/>
      <c r="R70" s="2"/>
      <c r="S70" s="2"/>
      <c r="T70" s="2"/>
      <c r="U70" s="2"/>
      <c r="V70" s="2"/>
      <c r="W70" s="2"/>
    </row>
    <row r="71" spans="8:26" ht="15" thickBot="1" x14ac:dyDescent="0.4">
      <c r="H71" s="3" t="s">
        <v>32</v>
      </c>
      <c r="I71" s="3">
        <v>27</v>
      </c>
      <c r="J71" s="3">
        <v>159.85002888738651</v>
      </c>
      <c r="K71" s="3"/>
      <c r="L71" s="3"/>
      <c r="M71" s="3"/>
      <c r="R71" s="2"/>
      <c r="S71" s="2"/>
      <c r="T71" s="2"/>
      <c r="U71" s="2"/>
      <c r="V71" s="2"/>
      <c r="W71" s="2"/>
    </row>
    <row r="72" spans="8:26" ht="15" thickBot="1" x14ac:dyDescent="0.4">
      <c r="R72" s="3"/>
      <c r="S72" s="3"/>
      <c r="T72" s="3"/>
      <c r="U72" s="3"/>
      <c r="V72" s="3"/>
      <c r="W72" s="3"/>
    </row>
    <row r="73" spans="8:26" ht="15" thickBot="1" x14ac:dyDescent="0.4">
      <c r="H73" s="4"/>
      <c r="I73" s="4" t="s">
        <v>39</v>
      </c>
      <c r="J73" s="4" t="s">
        <v>27</v>
      </c>
      <c r="K73" s="4" t="s">
        <v>40</v>
      </c>
      <c r="L73" s="4" t="s">
        <v>41</v>
      </c>
      <c r="M73" s="4" t="s">
        <v>42</v>
      </c>
      <c r="N73" s="4" t="s">
        <v>43</v>
      </c>
      <c r="O73" s="4" t="s">
        <v>44</v>
      </c>
      <c r="P73" s="4" t="s">
        <v>45</v>
      </c>
    </row>
    <row r="74" spans="8:26" x14ac:dyDescent="0.35">
      <c r="H74" s="2" t="s">
        <v>33</v>
      </c>
      <c r="I74" s="2">
        <v>0</v>
      </c>
      <c r="J74" s="2" t="e">
        <v>#N/A</v>
      </c>
      <c r="K74" s="2" t="e">
        <v>#N/A</v>
      </c>
      <c r="L74" s="2" t="e">
        <v>#N/A</v>
      </c>
      <c r="M74" s="2" t="e">
        <v>#N/A</v>
      </c>
      <c r="N74" s="2" t="e">
        <v>#N/A</v>
      </c>
      <c r="O74" s="2" t="e">
        <v>#N/A</v>
      </c>
      <c r="P74" s="2" t="e">
        <v>#N/A</v>
      </c>
      <c r="R74" s="4"/>
      <c r="S74" s="4"/>
      <c r="T74" s="4"/>
      <c r="U74" s="4"/>
      <c r="V74" s="4"/>
      <c r="W74" s="4"/>
      <c r="X74" s="4"/>
      <c r="Y74" s="4"/>
      <c r="Z74" s="4"/>
    </row>
    <row r="75" spans="8:26" ht="15" thickBot="1" x14ac:dyDescent="0.4">
      <c r="H75" s="3" t="s">
        <v>46</v>
      </c>
      <c r="I75" s="3">
        <v>-0.19383590169152679</v>
      </c>
      <c r="J75" s="3">
        <v>2.0101904146415859E-2</v>
      </c>
      <c r="K75" s="3">
        <v>-9.6426637138296893</v>
      </c>
      <c r="L75" s="3">
        <v>4.4980569454157565E-10</v>
      </c>
      <c r="M75" s="3">
        <v>-0.23515595743726181</v>
      </c>
      <c r="N75" s="3">
        <v>-0.15251584594579176</v>
      </c>
      <c r="O75" s="3">
        <v>-0.23515595743726181</v>
      </c>
      <c r="P75" s="3">
        <v>-0.15251584594579176</v>
      </c>
      <c r="R75" s="2"/>
      <c r="S75" s="2"/>
      <c r="T75" s="2"/>
      <c r="U75" s="2"/>
      <c r="V75" s="2"/>
      <c r="W75" s="2"/>
      <c r="X75" s="2"/>
      <c r="Y75" s="2"/>
      <c r="Z75" s="2"/>
    </row>
    <row r="76" spans="8:26" ht="15" thickBot="1" x14ac:dyDescent="0.4">
      <c r="R76" s="3"/>
      <c r="S76" s="3"/>
      <c r="T76" s="3"/>
      <c r="U76" s="3"/>
      <c r="V76" s="3"/>
      <c r="W76" s="3"/>
      <c r="X76" s="3"/>
      <c r="Y76" s="3"/>
      <c r="Z76" s="3"/>
    </row>
    <row r="77" spans="8:26" x14ac:dyDescent="0.35">
      <c r="H77" t="s">
        <v>22</v>
      </c>
      <c r="S77" t="s">
        <v>22</v>
      </c>
    </row>
    <row r="78" spans="8:26" ht="15" thickBot="1" x14ac:dyDescent="0.4">
      <c r="H78" t="s">
        <v>665</v>
      </c>
    </row>
    <row r="79" spans="8:26" x14ac:dyDescent="0.35">
      <c r="H79" s="5" t="s">
        <v>23</v>
      </c>
      <c r="I79" s="5"/>
      <c r="S79" s="5" t="s">
        <v>23</v>
      </c>
      <c r="T79" s="5"/>
    </row>
    <row r="80" spans="8:26" x14ac:dyDescent="0.35">
      <c r="H80" s="2" t="s">
        <v>24</v>
      </c>
      <c r="I80" s="2">
        <v>0.98447382601518252</v>
      </c>
      <c r="S80" s="2" t="s">
        <v>24</v>
      </c>
      <c r="T80" s="2">
        <v>0.88823452438299977</v>
      </c>
    </row>
    <row r="81" spans="8:27" x14ac:dyDescent="0.35">
      <c r="H81" s="2" t="s">
        <v>25</v>
      </c>
      <c r="I81" s="2">
        <v>0.96918871410897178</v>
      </c>
      <c r="S81" s="2" t="s">
        <v>25</v>
      </c>
      <c r="T81" s="2">
        <v>0.78896057030589384</v>
      </c>
    </row>
    <row r="82" spans="8:27" x14ac:dyDescent="0.35">
      <c r="H82" s="2" t="s">
        <v>26</v>
      </c>
      <c r="I82" s="2">
        <v>0.92795626267333065</v>
      </c>
      <c r="S82" s="2" t="s">
        <v>26</v>
      </c>
      <c r="T82" s="2">
        <v>0.74051899311812963</v>
      </c>
    </row>
    <row r="83" spans="8:27" x14ac:dyDescent="0.35">
      <c r="H83" s="2" t="s">
        <v>27</v>
      </c>
      <c r="I83" s="2">
        <v>0.52304209934861712</v>
      </c>
      <c r="S83" s="2" t="s">
        <v>27</v>
      </c>
      <c r="T83" s="2">
        <v>1.1616309040823671</v>
      </c>
    </row>
    <row r="84" spans="8:27" ht="15" thickBot="1" x14ac:dyDescent="0.4">
      <c r="H84" s="3" t="s">
        <v>28</v>
      </c>
      <c r="I84" s="3">
        <v>27</v>
      </c>
      <c r="S84" s="3" t="s">
        <v>28</v>
      </c>
      <c r="T84" s="3">
        <v>27</v>
      </c>
    </row>
    <row r="86" spans="8:27" ht="15" thickBot="1" x14ac:dyDescent="0.4">
      <c r="H86" t="s">
        <v>29</v>
      </c>
      <c r="S86" t="s">
        <v>29</v>
      </c>
    </row>
    <row r="87" spans="8:27" x14ac:dyDescent="0.35">
      <c r="H87" s="4"/>
      <c r="I87" s="4" t="s">
        <v>34</v>
      </c>
      <c r="J87" s="4" t="s">
        <v>35</v>
      </c>
      <c r="K87" s="4" t="s">
        <v>36</v>
      </c>
      <c r="L87" s="4" t="s">
        <v>37</v>
      </c>
      <c r="M87" s="4" t="s">
        <v>38</v>
      </c>
      <c r="S87" s="4"/>
      <c r="T87" s="4" t="s">
        <v>34</v>
      </c>
      <c r="U87" s="4" t="s">
        <v>35</v>
      </c>
      <c r="V87" s="4" t="s">
        <v>36</v>
      </c>
      <c r="W87" s="4" t="s">
        <v>37</v>
      </c>
      <c r="X87" s="4" t="s">
        <v>38</v>
      </c>
    </row>
    <row r="88" spans="8:27" x14ac:dyDescent="0.35">
      <c r="H88" s="2" t="s">
        <v>30</v>
      </c>
      <c r="I88" s="2">
        <v>2</v>
      </c>
      <c r="J88" s="2">
        <v>215.13537405772476</v>
      </c>
      <c r="K88" s="2">
        <v>107.56768702886238</v>
      </c>
      <c r="L88" s="2">
        <v>393.19549885744374</v>
      </c>
      <c r="M88" s="2">
        <v>4.5519722380007109E-19</v>
      </c>
      <c r="S88" s="2" t="s">
        <v>30</v>
      </c>
      <c r="T88" s="2">
        <v>2</v>
      </c>
      <c r="U88" s="2">
        <v>126.11536995440608</v>
      </c>
      <c r="V88" s="2">
        <v>63.057684977203039</v>
      </c>
      <c r="W88" s="2">
        <v>46.730637697032684</v>
      </c>
      <c r="X88" s="2">
        <v>5.2941757611990857E-9</v>
      </c>
    </row>
    <row r="89" spans="8:27" x14ac:dyDescent="0.35">
      <c r="H89" s="2" t="s">
        <v>31</v>
      </c>
      <c r="I89" s="2">
        <v>25</v>
      </c>
      <c r="J89" s="2">
        <v>6.8393259422752148</v>
      </c>
      <c r="K89" s="2">
        <v>0.2735730376910086</v>
      </c>
      <c r="L89" s="2"/>
      <c r="M89" s="2"/>
      <c r="S89" s="2" t="s">
        <v>31</v>
      </c>
      <c r="T89" s="2">
        <v>25</v>
      </c>
      <c r="U89" s="2">
        <v>33.734658932980437</v>
      </c>
      <c r="V89" s="2">
        <v>1.3493863573192175</v>
      </c>
      <c r="W89" s="2"/>
      <c r="X89" s="2"/>
    </row>
    <row r="90" spans="8:27" ht="15" thickBot="1" x14ac:dyDescent="0.4">
      <c r="H90" s="3" t="s">
        <v>32</v>
      </c>
      <c r="I90" s="3">
        <v>27</v>
      </c>
      <c r="J90" s="3">
        <v>221.97469999999998</v>
      </c>
      <c r="K90" s="3"/>
      <c r="L90" s="3"/>
      <c r="M90" s="3"/>
      <c r="S90" s="3" t="s">
        <v>32</v>
      </c>
      <c r="T90" s="3">
        <v>27</v>
      </c>
      <c r="U90" s="3">
        <v>159.85002888738651</v>
      </c>
      <c r="V90" s="3"/>
      <c r="W90" s="3"/>
      <c r="X90" s="3"/>
    </row>
    <row r="91" spans="8:27" ht="15" thickBot="1" x14ac:dyDescent="0.4"/>
    <row r="92" spans="8:27" x14ac:dyDescent="0.35">
      <c r="H92" s="4"/>
      <c r="I92" s="4" t="s">
        <v>39</v>
      </c>
      <c r="J92" s="4" t="s">
        <v>27</v>
      </c>
      <c r="K92" s="4" t="s">
        <v>40</v>
      </c>
      <c r="L92" s="4" t="s">
        <v>41</v>
      </c>
      <c r="M92" s="4" t="s">
        <v>42</v>
      </c>
      <c r="N92" s="4" t="s">
        <v>43</v>
      </c>
      <c r="O92" s="4" t="s">
        <v>44</v>
      </c>
      <c r="P92" s="4" t="s">
        <v>45</v>
      </c>
      <c r="S92" s="4"/>
      <c r="T92" s="4" t="s">
        <v>39</v>
      </c>
      <c r="U92" s="4" t="s">
        <v>27</v>
      </c>
      <c r="V92" s="4" t="s">
        <v>40</v>
      </c>
      <c r="W92" s="4" t="s">
        <v>41</v>
      </c>
      <c r="X92" s="4" t="s">
        <v>42</v>
      </c>
      <c r="Y92" s="4" t="s">
        <v>43</v>
      </c>
      <c r="Z92" s="4" t="s">
        <v>44</v>
      </c>
      <c r="AA92" s="4" t="s">
        <v>45</v>
      </c>
    </row>
    <row r="93" spans="8:27" x14ac:dyDescent="0.35">
      <c r="H93" s="2" t="s">
        <v>33</v>
      </c>
      <c r="I93" s="2">
        <v>0</v>
      </c>
      <c r="J93" s="2" t="e">
        <v>#N/A</v>
      </c>
      <c r="K93" s="2" t="e">
        <v>#N/A</v>
      </c>
      <c r="L93" s="2" t="e">
        <v>#N/A</v>
      </c>
      <c r="M93" s="2" t="e">
        <v>#N/A</v>
      </c>
      <c r="N93" s="2" t="e">
        <v>#N/A</v>
      </c>
      <c r="O93" s="2" t="e">
        <v>#N/A</v>
      </c>
      <c r="P93" s="2" t="e">
        <v>#N/A</v>
      </c>
      <c r="S93" s="2" t="s">
        <v>33</v>
      </c>
      <c r="T93" s="2">
        <v>0</v>
      </c>
      <c r="U93" s="2" t="e">
        <v>#N/A</v>
      </c>
      <c r="V93" s="2" t="e">
        <v>#N/A</v>
      </c>
      <c r="W93" s="2" t="e">
        <v>#N/A</v>
      </c>
      <c r="X93" s="2" t="e">
        <v>#N/A</v>
      </c>
      <c r="Y93" s="2" t="e">
        <v>#N/A</v>
      </c>
      <c r="Z93" s="2" t="e">
        <v>#N/A</v>
      </c>
      <c r="AA93" s="2" t="e">
        <v>#N/A</v>
      </c>
    </row>
    <row r="94" spans="8:27" x14ac:dyDescent="0.35">
      <c r="H94" s="2" t="s">
        <v>46</v>
      </c>
      <c r="I94" s="2">
        <v>0.35074833419853252</v>
      </c>
      <c r="J94" s="2">
        <v>1.4914874206923202E-2</v>
      </c>
      <c r="K94" s="2">
        <v>23.516680686165074</v>
      </c>
      <c r="L94" s="2">
        <v>1.4365969852772453E-18</v>
      </c>
      <c r="M94" s="2">
        <v>0.3200305757599084</v>
      </c>
      <c r="N94" s="2">
        <v>0.38146609263715664</v>
      </c>
      <c r="O94" s="2">
        <v>0.3200305757599084</v>
      </c>
      <c r="P94" s="2">
        <v>0.38146609263715664</v>
      </c>
      <c r="S94" s="2" t="s">
        <v>46</v>
      </c>
      <c r="T94" s="2">
        <v>-0.21859204102792265</v>
      </c>
      <c r="U94" s="2">
        <v>3.3124635341667145E-2</v>
      </c>
      <c r="V94" s="2">
        <v>-6.5990776584627913</v>
      </c>
      <c r="W94" s="2">
        <v>6.4960727651991626E-7</v>
      </c>
      <c r="X94" s="2">
        <v>-0.28681350455998056</v>
      </c>
      <c r="Y94" s="2">
        <v>-0.15037057749586474</v>
      </c>
      <c r="Z94" s="2">
        <v>-0.28681350455998056</v>
      </c>
      <c r="AA94" s="2">
        <v>-0.15037057749586474</v>
      </c>
    </row>
    <row r="95" spans="8:27" ht="15" thickBot="1" x14ac:dyDescent="0.4">
      <c r="H95" s="3" t="s">
        <v>47</v>
      </c>
      <c r="I95" s="3">
        <v>-2.5980296432912459E-5</v>
      </c>
      <c r="J95" s="3">
        <v>2.7707165444203548E-6</v>
      </c>
      <c r="K95" s="3">
        <v>-9.3767428087262683</v>
      </c>
      <c r="L95" s="3">
        <v>1.1559940428236448E-9</v>
      </c>
      <c r="M95" s="3">
        <v>-3.1686693974897575E-5</v>
      </c>
      <c r="N95" s="3">
        <v>-2.0273898890927344E-5</v>
      </c>
      <c r="O95" s="3">
        <v>-3.1686693974897575E-5</v>
      </c>
      <c r="P95" s="3">
        <v>-2.0273898890927344E-5</v>
      </c>
      <c r="S95" s="3" t="s">
        <v>47</v>
      </c>
      <c r="T95" s="3">
        <v>5.7935856577240563E-6</v>
      </c>
      <c r="U95" s="3">
        <v>6.1535198953569629E-6</v>
      </c>
      <c r="V95" s="3">
        <v>0.94150758529203926</v>
      </c>
      <c r="W95" s="3">
        <v>0.35545433866094245</v>
      </c>
      <c r="X95" s="3">
        <v>-6.8798258018980468E-6</v>
      </c>
      <c r="Y95" s="3">
        <v>1.8466997117346159E-5</v>
      </c>
      <c r="Z95" s="3">
        <v>-6.8798258018980468E-6</v>
      </c>
      <c r="AA95" s="3">
        <v>1.8466997117346159E-5</v>
      </c>
    </row>
    <row r="97" spans="8:27" x14ac:dyDescent="0.35">
      <c r="H97" t="s">
        <v>22</v>
      </c>
      <c r="S97" t="s">
        <v>22</v>
      </c>
    </row>
    <row r="98" spans="8:27" ht="15" thickBot="1" x14ac:dyDescent="0.4">
      <c r="H98" t="s">
        <v>666</v>
      </c>
    </row>
    <row r="99" spans="8:27" x14ac:dyDescent="0.35">
      <c r="H99" s="5" t="s">
        <v>23</v>
      </c>
      <c r="I99" s="5"/>
      <c r="S99" s="5" t="s">
        <v>23</v>
      </c>
      <c r="T99" s="5"/>
    </row>
    <row r="100" spans="8:27" x14ac:dyDescent="0.35">
      <c r="H100" s="2" t="s">
        <v>24</v>
      </c>
      <c r="I100" s="2">
        <v>0.9866299251858881</v>
      </c>
      <c r="S100" s="2" t="s">
        <v>24</v>
      </c>
      <c r="T100" s="2">
        <v>0.88861305303585969</v>
      </c>
    </row>
    <row r="101" spans="8:27" x14ac:dyDescent="0.35">
      <c r="H101" s="2" t="s">
        <v>25</v>
      </c>
      <c r="I101" s="2">
        <v>0.97343860927231107</v>
      </c>
      <c r="S101" s="2" t="s">
        <v>25</v>
      </c>
      <c r="T101" s="2">
        <v>0.78963315802571155</v>
      </c>
    </row>
    <row r="102" spans="8:27" x14ac:dyDescent="0.35">
      <c r="H102" s="2" t="s">
        <v>26</v>
      </c>
      <c r="I102" s="2">
        <v>0.93237615364320348</v>
      </c>
      <c r="S102" s="2" t="s">
        <v>26</v>
      </c>
      <c r="T102" s="2">
        <v>0.74121848434674009</v>
      </c>
    </row>
    <row r="103" spans="8:27" x14ac:dyDescent="0.35">
      <c r="H103" s="2" t="s">
        <v>27</v>
      </c>
      <c r="I103" s="2">
        <v>0.48563182508404551</v>
      </c>
      <c r="S103" s="2" t="s">
        <v>27</v>
      </c>
      <c r="T103" s="2">
        <v>1.1597783541097544</v>
      </c>
    </row>
    <row r="104" spans="8:27" ht="15" thickBot="1" x14ac:dyDescent="0.4">
      <c r="H104" s="3" t="s">
        <v>28</v>
      </c>
      <c r="I104" s="3">
        <v>27</v>
      </c>
      <c r="S104" s="3" t="s">
        <v>28</v>
      </c>
      <c r="T104" s="3">
        <v>27</v>
      </c>
    </row>
    <row r="106" spans="8:27" ht="15" thickBot="1" x14ac:dyDescent="0.4">
      <c r="H106" t="s">
        <v>29</v>
      </c>
      <c r="S106" t="s">
        <v>29</v>
      </c>
    </row>
    <row r="107" spans="8:27" x14ac:dyDescent="0.35">
      <c r="H107" s="4"/>
      <c r="I107" s="4" t="s">
        <v>34</v>
      </c>
      <c r="J107" s="4" t="s">
        <v>35</v>
      </c>
      <c r="K107" s="4" t="s">
        <v>36</v>
      </c>
      <c r="L107" s="4" t="s">
        <v>37</v>
      </c>
      <c r="M107" s="4" t="s">
        <v>38</v>
      </c>
      <c r="S107" s="4"/>
      <c r="T107" s="4" t="s">
        <v>34</v>
      </c>
      <c r="U107" s="4" t="s">
        <v>35</v>
      </c>
      <c r="V107" s="4" t="s">
        <v>36</v>
      </c>
      <c r="W107" s="4" t="s">
        <v>37</v>
      </c>
      <c r="X107" s="4" t="s">
        <v>38</v>
      </c>
    </row>
    <row r="108" spans="8:27" x14ac:dyDescent="0.35">
      <c r="H108" s="2" t="s">
        <v>30</v>
      </c>
      <c r="I108" s="2">
        <v>2</v>
      </c>
      <c r="J108" s="2">
        <v>216.07874326163846</v>
      </c>
      <c r="K108" s="2">
        <v>108.03937163081923</v>
      </c>
      <c r="L108" s="2">
        <v>458.10788827481787</v>
      </c>
      <c r="M108" s="2">
        <v>7.6525202861087013E-20</v>
      </c>
      <c r="S108" s="2" t="s">
        <v>30</v>
      </c>
      <c r="T108" s="2">
        <v>2</v>
      </c>
      <c r="U108" s="2">
        <v>126.22288312084824</v>
      </c>
      <c r="V108" s="2">
        <v>63.111441560424119</v>
      </c>
      <c r="W108" s="2">
        <v>46.920010695068491</v>
      </c>
      <c r="X108" s="2">
        <v>5.0935567419049534E-9</v>
      </c>
    </row>
    <row r="109" spans="8:27" x14ac:dyDescent="0.35">
      <c r="H109" s="2" t="s">
        <v>31</v>
      </c>
      <c r="I109" s="2">
        <v>25</v>
      </c>
      <c r="J109" s="2">
        <v>5.8959567383615239</v>
      </c>
      <c r="K109" s="2">
        <v>0.23583826953446096</v>
      </c>
      <c r="L109" s="2"/>
      <c r="M109" s="2"/>
      <c r="S109" s="2" t="s">
        <v>31</v>
      </c>
      <c r="T109" s="2">
        <v>25</v>
      </c>
      <c r="U109" s="2">
        <v>33.627145766538277</v>
      </c>
      <c r="V109" s="2">
        <v>1.345085830661531</v>
      </c>
      <c r="W109" s="2"/>
      <c r="X109" s="2"/>
    </row>
    <row r="110" spans="8:27" ht="15" thickBot="1" x14ac:dyDescent="0.4">
      <c r="H110" s="3" t="s">
        <v>32</v>
      </c>
      <c r="I110" s="3">
        <v>27</v>
      </c>
      <c r="J110" s="3">
        <v>221.97469999999998</v>
      </c>
      <c r="K110" s="3"/>
      <c r="L110" s="3"/>
      <c r="M110" s="3"/>
      <c r="S110" s="3" t="s">
        <v>32</v>
      </c>
      <c r="T110" s="3">
        <v>27</v>
      </c>
      <c r="U110" s="3">
        <v>159.85002888738651</v>
      </c>
      <c r="V110" s="3"/>
      <c r="W110" s="3"/>
      <c r="X110" s="3"/>
    </row>
    <row r="111" spans="8:27" ht="15" thickBot="1" x14ac:dyDescent="0.4"/>
    <row r="112" spans="8:27" x14ac:dyDescent="0.35">
      <c r="H112" s="4"/>
      <c r="I112" s="4" t="s">
        <v>39</v>
      </c>
      <c r="J112" s="4" t="s">
        <v>27</v>
      </c>
      <c r="K112" s="4" t="s">
        <v>40</v>
      </c>
      <c r="L112" s="4" t="s">
        <v>41</v>
      </c>
      <c r="M112" s="4" t="s">
        <v>42</v>
      </c>
      <c r="N112" s="4" t="s">
        <v>43</v>
      </c>
      <c r="O112" s="4" t="s">
        <v>44</v>
      </c>
      <c r="P112" s="4" t="s">
        <v>45</v>
      </c>
      <c r="S112" s="4"/>
      <c r="T112" s="4" t="s">
        <v>39</v>
      </c>
      <c r="U112" s="4" t="s">
        <v>27</v>
      </c>
      <c r="V112" s="4" t="s">
        <v>40</v>
      </c>
      <c r="W112" s="4" t="s">
        <v>41</v>
      </c>
      <c r="X112" s="4" t="s">
        <v>42</v>
      </c>
      <c r="Y112" s="4" t="s">
        <v>43</v>
      </c>
      <c r="Z112" s="4" t="s">
        <v>44</v>
      </c>
      <c r="AA112" s="4" t="s">
        <v>45</v>
      </c>
    </row>
    <row r="113" spans="8:27" x14ac:dyDescent="0.35">
      <c r="H113" s="2" t="s">
        <v>33</v>
      </c>
      <c r="I113" s="2">
        <v>0</v>
      </c>
      <c r="J113" s="2" t="e">
        <v>#N/A</v>
      </c>
      <c r="K113" s="2" t="e">
        <v>#N/A</v>
      </c>
      <c r="L113" s="2" t="e">
        <v>#N/A</v>
      </c>
      <c r="M113" s="2" t="e">
        <v>#N/A</v>
      </c>
      <c r="N113" s="2" t="e">
        <v>#N/A</v>
      </c>
      <c r="O113" s="2" t="e">
        <v>#N/A</v>
      </c>
      <c r="P113" s="2" t="e">
        <v>#N/A</v>
      </c>
      <c r="S113" s="2" t="s">
        <v>33</v>
      </c>
      <c r="T113" s="2">
        <v>0</v>
      </c>
      <c r="U113" s="2" t="e">
        <v>#N/A</v>
      </c>
      <c r="V113" s="2" t="e">
        <v>#N/A</v>
      </c>
      <c r="W113" s="2" t="e">
        <v>#N/A</v>
      </c>
      <c r="X113" s="2" t="e">
        <v>#N/A</v>
      </c>
      <c r="Y113" s="2" t="e">
        <v>#N/A</v>
      </c>
      <c r="Z113" s="2" t="e">
        <v>#N/A</v>
      </c>
      <c r="AA113" s="2" t="e">
        <v>#N/A</v>
      </c>
    </row>
    <row r="114" spans="8:27" x14ac:dyDescent="0.35">
      <c r="H114" s="2" t="s">
        <v>46</v>
      </c>
      <c r="I114" s="2">
        <v>0.36089768113317189</v>
      </c>
      <c r="J114" s="2">
        <v>1.4472112376099834E-2</v>
      </c>
      <c r="K114" s="2">
        <v>24.937457072899825</v>
      </c>
      <c r="L114" s="2">
        <v>3.5117464104703427E-19</v>
      </c>
      <c r="M114" s="2">
        <v>0.33109180775481617</v>
      </c>
      <c r="N114" s="2">
        <v>0.39070355451152761</v>
      </c>
      <c r="O114" s="2">
        <v>0.33109180775481617</v>
      </c>
      <c r="P114" s="2">
        <v>0.39070355451152761</v>
      </c>
      <c r="S114" s="2" t="s">
        <v>46</v>
      </c>
      <c r="T114" s="2">
        <v>-0.22150611656499963</v>
      </c>
      <c r="U114" s="2">
        <v>3.4562073169606806E-2</v>
      </c>
      <c r="V114" s="2">
        <v>-6.4089360461104414</v>
      </c>
      <c r="W114" s="2">
        <v>1.0383935505501426E-6</v>
      </c>
      <c r="X114" s="2">
        <v>-0.29268803872088522</v>
      </c>
      <c r="Y114" s="2">
        <v>-0.15032419440911404</v>
      </c>
      <c r="Z114" s="2">
        <v>-0.29268803872088522</v>
      </c>
      <c r="AA114" s="2">
        <v>-0.15032419440911404</v>
      </c>
    </row>
    <row r="115" spans="8:27" ht="15" thickBot="1" x14ac:dyDescent="0.4">
      <c r="H115" s="3" t="s">
        <v>47</v>
      </c>
      <c r="I115" s="28">
        <v>-1.6243479310415343E-4</v>
      </c>
      <c r="J115" s="3">
        <v>1.577770606939977E-5</v>
      </c>
      <c r="K115" s="3">
        <v>-10.295209733890861</v>
      </c>
      <c r="L115" s="3">
        <v>1.776688985281987E-10</v>
      </c>
      <c r="M115" s="3">
        <v>-1.9492958702809195E-4</v>
      </c>
      <c r="N115" s="3">
        <v>-1.2993999918021492E-4</v>
      </c>
      <c r="O115" s="3">
        <v>-1.9492958702809195E-4</v>
      </c>
      <c r="P115" s="3">
        <v>-1.2993999918021492E-4</v>
      </c>
      <c r="S115" s="3" t="s">
        <v>47</v>
      </c>
      <c r="T115" s="3">
        <v>3.7095279425028712E-5</v>
      </c>
      <c r="U115" s="3">
        <v>3.7680071674934209E-5</v>
      </c>
      <c r="V115" s="3">
        <v>0.98448006535256893</v>
      </c>
      <c r="W115" s="3">
        <v>0.33431206891394216</v>
      </c>
      <c r="X115" s="3">
        <v>-4.0508280860005811E-5</v>
      </c>
      <c r="Y115" s="3">
        <v>1.1469883971006323E-4</v>
      </c>
      <c r="Z115" s="3">
        <v>-4.0508280860005811E-5</v>
      </c>
      <c r="AA115" s="3">
        <v>1.1469883971006323E-4</v>
      </c>
    </row>
    <row r="117" spans="8:27" x14ac:dyDescent="0.35">
      <c r="H117" t="s">
        <v>22</v>
      </c>
    </row>
    <row r="118" spans="8:27" ht="15" thickBot="1" x14ac:dyDescent="0.4">
      <c r="H118" t="s">
        <v>667</v>
      </c>
    </row>
    <row r="119" spans="8:27" x14ac:dyDescent="0.35">
      <c r="H119" s="5" t="s">
        <v>23</v>
      </c>
      <c r="I119" s="5"/>
    </row>
    <row r="120" spans="8:27" x14ac:dyDescent="0.35">
      <c r="H120" s="2" t="s">
        <v>24</v>
      </c>
      <c r="I120" s="2">
        <v>0.84063297158094274</v>
      </c>
    </row>
    <row r="121" spans="8:27" x14ac:dyDescent="0.35">
      <c r="H121" s="2" t="s">
        <v>25</v>
      </c>
      <c r="I121" s="2">
        <v>0.70666379290900616</v>
      </c>
    </row>
    <row r="122" spans="8:27" x14ac:dyDescent="0.35">
      <c r="H122" s="2" t="s">
        <v>26</v>
      </c>
      <c r="I122" s="2">
        <v>0.66820225444746773</v>
      </c>
    </row>
    <row r="123" spans="8:27" x14ac:dyDescent="0.35">
      <c r="H123" s="2" t="s">
        <v>27</v>
      </c>
      <c r="I123" s="2">
        <v>1.3429273589555102</v>
      </c>
    </row>
    <row r="124" spans="8:27" ht="15" thickBot="1" x14ac:dyDescent="0.4">
      <c r="H124" s="3" t="s">
        <v>28</v>
      </c>
      <c r="I124" s="3">
        <v>27</v>
      </c>
    </row>
    <row r="126" spans="8:27" ht="15" thickBot="1" x14ac:dyDescent="0.4">
      <c r="H126" t="s">
        <v>29</v>
      </c>
    </row>
    <row r="127" spans="8:27" x14ac:dyDescent="0.35">
      <c r="H127" s="4"/>
      <c r="I127" s="4" t="s">
        <v>34</v>
      </c>
      <c r="J127" s="4" t="s">
        <v>35</v>
      </c>
      <c r="K127" s="4" t="s">
        <v>36</v>
      </c>
      <c r="L127" s="4" t="s">
        <v>37</v>
      </c>
      <c r="M127" s="4" t="s">
        <v>38</v>
      </c>
    </row>
    <row r="128" spans="8:27" x14ac:dyDescent="0.35">
      <c r="H128" s="2" t="s">
        <v>30</v>
      </c>
      <c r="I128" s="2">
        <v>1</v>
      </c>
      <c r="J128" s="2">
        <v>112.96022771017476</v>
      </c>
      <c r="K128" s="2">
        <v>112.96022771017476</v>
      </c>
      <c r="L128" s="2">
        <v>62.635495283181037</v>
      </c>
      <c r="M128" s="2">
        <v>2.8581997086335583E-8</v>
      </c>
    </row>
    <row r="129" spans="8:16" x14ac:dyDescent="0.35">
      <c r="H129" s="2" t="s">
        <v>31</v>
      </c>
      <c r="I129" s="2">
        <v>26</v>
      </c>
      <c r="J129" s="2">
        <v>46.889801177211758</v>
      </c>
      <c r="K129" s="2">
        <v>1.8034538914312215</v>
      </c>
      <c r="L129" s="2"/>
      <c r="M129" s="2"/>
    </row>
    <row r="130" spans="8:16" ht="15" thickBot="1" x14ac:dyDescent="0.4">
      <c r="H130" s="3" t="s">
        <v>32</v>
      </c>
      <c r="I130" s="3">
        <v>27</v>
      </c>
      <c r="J130" s="3">
        <v>159.85002888738651</v>
      </c>
      <c r="K130" s="3"/>
      <c r="L130" s="3"/>
      <c r="M130" s="3"/>
    </row>
    <row r="131" spans="8:16" ht="15" thickBot="1" x14ac:dyDescent="0.4"/>
    <row r="132" spans="8:16" x14ac:dyDescent="0.35">
      <c r="H132" s="4"/>
      <c r="I132" s="4" t="s">
        <v>39</v>
      </c>
      <c r="J132" s="4" t="s">
        <v>27</v>
      </c>
      <c r="K132" s="4" t="s">
        <v>40</v>
      </c>
      <c r="L132" s="4" t="s">
        <v>41</v>
      </c>
      <c r="M132" s="4" t="s">
        <v>42</v>
      </c>
      <c r="N132" s="4" t="s">
        <v>43</v>
      </c>
      <c r="O132" s="4" t="s">
        <v>44</v>
      </c>
      <c r="P132" s="4" t="s">
        <v>45</v>
      </c>
    </row>
    <row r="133" spans="8:16" x14ac:dyDescent="0.35">
      <c r="H133" s="2" t="s">
        <v>33</v>
      </c>
      <c r="I133" s="2">
        <v>0</v>
      </c>
      <c r="J133" s="2" t="e">
        <v>#N/A</v>
      </c>
      <c r="K133" s="2" t="e">
        <v>#N/A</v>
      </c>
      <c r="L133" s="2" t="e">
        <v>#N/A</v>
      </c>
      <c r="M133" s="2" t="e">
        <v>#N/A</v>
      </c>
      <c r="N133" s="2" t="e">
        <v>#N/A</v>
      </c>
      <c r="O133" s="2" t="e">
        <v>#N/A</v>
      </c>
      <c r="P133" s="2" t="e">
        <v>#N/A</v>
      </c>
    </row>
    <row r="134" spans="8:16" ht="15" thickBot="1" x14ac:dyDescent="0.4">
      <c r="H134" s="3" t="s">
        <v>46</v>
      </c>
      <c r="I134" s="3">
        <v>-0.71336375673766217</v>
      </c>
      <c r="J134" s="3">
        <v>9.0136519171410703E-2</v>
      </c>
      <c r="K134" s="3">
        <v>-7.9142589850965228</v>
      </c>
      <c r="L134" s="3">
        <v>2.163685728378089E-8</v>
      </c>
      <c r="M134" s="3">
        <v>-0.89864202539129456</v>
      </c>
      <c r="N134" s="3">
        <v>-0.52808548808402977</v>
      </c>
      <c r="O134" s="3">
        <v>-0.89864202539129456</v>
      </c>
      <c r="P134" s="3">
        <v>-0.52808548808402977</v>
      </c>
    </row>
    <row r="137" spans="8:16" ht="15" thickBot="1" x14ac:dyDescent="0.4"/>
    <row r="138" spans="8:16" x14ac:dyDescent="0.35">
      <c r="H138" s="5"/>
      <c r="I138" s="5"/>
    </row>
    <row r="139" spans="8:16" x14ac:dyDescent="0.35">
      <c r="H139" s="2"/>
      <c r="I139" s="2"/>
    </row>
    <row r="140" spans="8:16" x14ac:dyDescent="0.35">
      <c r="H140" s="2"/>
      <c r="I140" s="2"/>
    </row>
    <row r="141" spans="8:16" x14ac:dyDescent="0.35">
      <c r="H141" s="2"/>
      <c r="I141" s="2"/>
    </row>
    <row r="142" spans="8:16" x14ac:dyDescent="0.35">
      <c r="H142" s="2"/>
      <c r="I142" s="2"/>
    </row>
    <row r="143" spans="8:16" ht="15" thickBot="1" x14ac:dyDescent="0.4">
      <c r="H143" s="3"/>
      <c r="I143" s="3"/>
    </row>
    <row r="145" spans="8:16" ht="15" thickBot="1" x14ac:dyDescent="0.4"/>
    <row r="146" spans="8:16" x14ac:dyDescent="0.35">
      <c r="H146" s="4"/>
      <c r="I146" s="4"/>
      <c r="J146" s="4"/>
      <c r="K146" s="4"/>
      <c r="L146" s="4"/>
      <c r="M146" s="4"/>
    </row>
    <row r="147" spans="8:16" x14ac:dyDescent="0.35">
      <c r="H147" s="2"/>
      <c r="I147" s="2"/>
      <c r="J147" s="2"/>
      <c r="K147" s="2"/>
      <c r="L147" s="2"/>
      <c r="M147" s="2"/>
    </row>
    <row r="148" spans="8:16" x14ac:dyDescent="0.35">
      <c r="H148" s="2"/>
      <c r="I148" s="2"/>
      <c r="J148" s="2"/>
      <c r="K148" s="2"/>
      <c r="L148" s="2"/>
      <c r="M148" s="2"/>
    </row>
    <row r="149" spans="8:16" ht="15" thickBot="1" x14ac:dyDescent="0.4">
      <c r="H149" s="3"/>
      <c r="I149" s="3"/>
      <c r="J149" s="3"/>
      <c r="K149" s="3"/>
      <c r="L149" s="3"/>
      <c r="M149" s="3"/>
    </row>
    <row r="150" spans="8:16" ht="15" thickBot="1" x14ac:dyDescent="0.4"/>
    <row r="151" spans="8:16" x14ac:dyDescent="0.35">
      <c r="H151" s="4"/>
      <c r="I151" s="4"/>
      <c r="J151" s="4"/>
      <c r="K151" s="4"/>
      <c r="L151" s="4"/>
      <c r="M151" s="4"/>
      <c r="N151" s="4"/>
      <c r="O151" s="4"/>
      <c r="P151" s="4"/>
    </row>
    <row r="152" spans="8:16" x14ac:dyDescent="0.35">
      <c r="H152" s="2"/>
      <c r="I152" s="2"/>
      <c r="J152" s="2"/>
      <c r="K152" s="2"/>
      <c r="L152" s="2"/>
      <c r="M152" s="2"/>
      <c r="N152" s="2"/>
      <c r="O152" s="2"/>
      <c r="P152" s="2"/>
    </row>
    <row r="153" spans="8:16" ht="15" thickBot="1" x14ac:dyDescent="0.4">
      <c r="H153" s="3"/>
      <c r="I153" s="3"/>
      <c r="J153" s="3"/>
      <c r="K153" s="3"/>
      <c r="L153" s="3"/>
      <c r="M153" s="3"/>
      <c r="N153" s="3"/>
      <c r="O153" s="3"/>
      <c r="P15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53"/>
  <sheetViews>
    <sheetView zoomScaleNormal="100" workbookViewId="0">
      <selection activeCell="A10" sqref="A10"/>
    </sheetView>
  </sheetViews>
  <sheetFormatPr defaultRowHeight="14.5" x14ac:dyDescent="0.35"/>
  <cols>
    <col min="17" max="17" width="11.81640625" customWidth="1"/>
    <col min="30" max="30" width="12" bestFit="1" customWidth="1"/>
    <col min="35" max="35" width="19.81640625" customWidth="1"/>
    <col min="36" max="36" width="10.54296875" customWidth="1"/>
  </cols>
  <sheetData>
    <row r="1" spans="1:37" ht="15.5" x14ac:dyDescent="0.35">
      <c r="A1">
        <f>Table1!B3</f>
        <v>-1</v>
      </c>
      <c r="B1">
        <f>A1^2</f>
        <v>1</v>
      </c>
      <c r="C1">
        <f>A1^6</f>
        <v>1</v>
      </c>
      <c r="D1">
        <f>EXP(A1)</f>
        <v>0.36787944117144233</v>
      </c>
      <c r="E1">
        <f>EXP(D1)</f>
        <v>1.4446678610097661</v>
      </c>
      <c r="F1">
        <f>Table1!C3</f>
        <v>-0.59642907312262095</v>
      </c>
      <c r="T1">
        <v>0.73786738404203855</v>
      </c>
      <c r="AB1">
        <f>-AB2</f>
        <v>0.11498495851343175</v>
      </c>
      <c r="AD1">
        <f>-AD2*EXP(1)</f>
        <v>0</v>
      </c>
      <c r="AI1" s="26" t="s">
        <v>684</v>
      </c>
      <c r="AJ1" s="26" t="s">
        <v>685</v>
      </c>
    </row>
    <row r="2" spans="1:37" ht="15.5" x14ac:dyDescent="0.35">
      <c r="A2">
        <f>Table1!B4</f>
        <v>2.5</v>
      </c>
      <c r="B2">
        <f>A2^2</f>
        <v>6.25</v>
      </c>
      <c r="C2">
        <f t="shared" ref="C2:C25" si="0">A2^6</f>
        <v>244.140625</v>
      </c>
      <c r="D2">
        <f t="shared" ref="D2:D5" si="1">EXP(A2)</f>
        <v>12.182493960703473</v>
      </c>
      <c r="E2">
        <f t="shared" ref="E2:E5" si="2">EXP(D2)</f>
        <v>195339.42408031868</v>
      </c>
      <c r="F2">
        <f>Table1!C4</f>
        <v>-3</v>
      </c>
      <c r="T2">
        <v>1.3118014168425955</v>
      </c>
      <c r="AB2">
        <v>-0.11498495851343175</v>
      </c>
      <c r="AD2" s="23">
        <v>0</v>
      </c>
      <c r="AI2" s="26" t="s">
        <v>679</v>
      </c>
      <c r="AJ2" s="27">
        <f>U4</f>
        <v>0.25442763430526832</v>
      </c>
      <c r="AK2" s="29">
        <f t="shared" ref="AK2:AK9" si="3">AJ2</f>
        <v>0.25442763430526832</v>
      </c>
    </row>
    <row r="3" spans="1:37" ht="15.5" x14ac:dyDescent="0.35">
      <c r="A3">
        <f>Table1!B5</f>
        <v>3</v>
      </c>
      <c r="B3">
        <f>A3^2</f>
        <v>9</v>
      </c>
      <c r="C3">
        <f t="shared" si="0"/>
        <v>729</v>
      </c>
      <c r="D3">
        <f t="shared" si="1"/>
        <v>20.085536923187668</v>
      </c>
      <c r="E3">
        <f t="shared" si="2"/>
        <v>528491311.48549432</v>
      </c>
      <c r="F3">
        <f>Table1!C5</f>
        <v>-1</v>
      </c>
      <c r="H3" t="s">
        <v>22</v>
      </c>
      <c r="T3">
        <v>-1.8927355229758598</v>
      </c>
      <c r="AI3" s="26" t="s">
        <v>680</v>
      </c>
      <c r="AJ3" s="27">
        <f>S4</f>
        <v>0.18901206782900198</v>
      </c>
      <c r="AK3" s="29">
        <f t="shared" si="3"/>
        <v>0.18901206782900198</v>
      </c>
    </row>
    <row r="4" spans="1:37" ht="16" thickBot="1" x14ac:dyDescent="0.4">
      <c r="A4">
        <f>Table1!B6</f>
        <v>3</v>
      </c>
      <c r="B4">
        <f t="shared" ref="B4:B5" si="4">A4^2</f>
        <v>9</v>
      </c>
      <c r="C4">
        <f t="shared" si="0"/>
        <v>729</v>
      </c>
      <c r="D4">
        <f t="shared" si="1"/>
        <v>20.085536923187668</v>
      </c>
      <c r="E4">
        <f t="shared" si="2"/>
        <v>528491311.48549432</v>
      </c>
      <c r="F4">
        <f>Table1!C6</f>
        <v>-1.33</v>
      </c>
      <c r="H4" t="s">
        <v>686</v>
      </c>
      <c r="S4">
        <f>EXP(S8)/$Q8</f>
        <v>0.18901206782900198</v>
      </c>
      <c r="T4">
        <f>T1*T2</f>
        <v>0.96793547982828576</v>
      </c>
      <c r="U4">
        <f>EXP(U8)/$Q8</f>
        <v>0.25442763430526832</v>
      </c>
      <c r="W4">
        <f>EXP(W8)/$Q8</f>
        <v>6.6254242218471746E-2</v>
      </c>
      <c r="Y4">
        <f>EXP(Y8)/$Q8</f>
        <v>0.19210036806174702</v>
      </c>
      <c r="AA4">
        <f>EXP(AA8)/$Q8</f>
        <v>0.17961794445993892</v>
      </c>
      <c r="AC4">
        <f>EXP(AC8)/$Q8</f>
        <v>0.11053174963075635</v>
      </c>
      <c r="AE4">
        <f>EXP(AE8)/$Q8</f>
        <v>1.097949416482967E-7</v>
      </c>
      <c r="AG4">
        <f>EXP(AG8)/$Q8</f>
        <v>8.0558836998738531E-3</v>
      </c>
      <c r="AI4" s="26" t="s">
        <v>678</v>
      </c>
      <c r="AJ4" s="27">
        <f>AG4</f>
        <v>8.0558836998738531E-3</v>
      </c>
      <c r="AK4" s="29">
        <f t="shared" si="3"/>
        <v>8.0558836998738531E-3</v>
      </c>
    </row>
    <row r="5" spans="1:37" ht="15.5" x14ac:dyDescent="0.35">
      <c r="A5">
        <f>Table1!B7</f>
        <v>3</v>
      </c>
      <c r="B5">
        <f t="shared" si="4"/>
        <v>9</v>
      </c>
      <c r="C5">
        <f t="shared" si="0"/>
        <v>729</v>
      </c>
      <c r="D5">
        <f t="shared" si="1"/>
        <v>20.085536923187668</v>
      </c>
      <c r="E5">
        <f t="shared" si="2"/>
        <v>528491311.48549432</v>
      </c>
      <c r="F5">
        <f>Table1!C7</f>
        <v>-3.6</v>
      </c>
      <c r="H5" s="5" t="s">
        <v>23</v>
      </c>
      <c r="I5" s="5"/>
      <c r="S5">
        <f>((S9-$U9)/$U9)/(($U6-S6)/(27-$U6))</f>
        <v>0.59768349979033553</v>
      </c>
      <c r="T5">
        <f>(T1-T3)*T2</f>
        <v>3.4508286205763294</v>
      </c>
      <c r="W5">
        <f>((W9-$U9)/$U9)/(($U6-W6)/(27-$U6))</f>
        <v>1.3643499989395771</v>
      </c>
      <c r="Y5">
        <f>((Y9-$U9)/$U9)/(($U6-Y6)/(27-$U6))</f>
        <v>0.56581155416766105</v>
      </c>
      <c r="AA5">
        <f>((AA9-$U9)/$U9)/(($U6-AA6)/(27-$U6))</f>
        <v>0.69820516967998481</v>
      </c>
      <c r="AC5">
        <f>((AC9-$U9)/$U9)/(($U6-AC6)/(27-$U6))</f>
        <v>0.82820739421104239</v>
      </c>
      <c r="AE5">
        <f>((AE9-$U9)/$U9)/(($U6-AE6)/(27-$U6))</f>
        <v>26.761301366193369</v>
      </c>
      <c r="AG5">
        <f>((AG9-$U9)/$U9)/(($U6-AG6)/(27-$U6))</f>
        <v>3.8181569775768307</v>
      </c>
      <c r="AI5" s="26" t="s">
        <v>682</v>
      </c>
      <c r="AJ5" s="27">
        <f>AC4</f>
        <v>0.11053174963075635</v>
      </c>
      <c r="AK5" s="29">
        <f t="shared" si="3"/>
        <v>0.11053174963075635</v>
      </c>
    </row>
    <row r="6" spans="1:37" ht="15.5" x14ac:dyDescent="0.35">
      <c r="A6">
        <f>Table1!B9</f>
        <v>2.5</v>
      </c>
      <c r="B6">
        <f t="shared" ref="B6:B25" si="5">A6^2</f>
        <v>6.25</v>
      </c>
      <c r="C6">
        <f t="shared" si="0"/>
        <v>244.140625</v>
      </c>
      <c r="D6">
        <f t="shared" ref="D6:D25" si="6">EXP(A6)</f>
        <v>12.182493960703473</v>
      </c>
      <c r="E6">
        <f t="shared" ref="E6:E25" si="7">EXP(D6)</f>
        <v>195339.42408031868</v>
      </c>
      <c r="F6">
        <f>Table1!C9</f>
        <v>-1.4</v>
      </c>
      <c r="H6" s="2" t="s">
        <v>24</v>
      </c>
      <c r="I6" s="2">
        <v>0.82625847926118301</v>
      </c>
      <c r="S6">
        <v>2</v>
      </c>
      <c r="U6">
        <v>3</v>
      </c>
      <c r="W6">
        <v>1</v>
      </c>
      <c r="Y6">
        <v>2</v>
      </c>
      <c r="AA6">
        <v>2</v>
      </c>
      <c r="AC6">
        <v>1</v>
      </c>
      <c r="AE6">
        <v>1</v>
      </c>
      <c r="AG6">
        <v>1</v>
      </c>
      <c r="AI6" s="26" t="s">
        <v>683</v>
      </c>
      <c r="AJ6" s="27">
        <f>AE4</f>
        <v>1.097949416482967E-7</v>
      </c>
      <c r="AK6" s="29">
        <f t="shared" si="3"/>
        <v>1.097949416482967E-7</v>
      </c>
    </row>
    <row r="7" spans="1:37" ht="15.5" x14ac:dyDescent="0.35">
      <c r="A7">
        <f>Table1!B10</f>
        <v>2.5</v>
      </c>
      <c r="B7">
        <f t="shared" si="5"/>
        <v>6.25</v>
      </c>
      <c r="C7">
        <f t="shared" si="0"/>
        <v>244.140625</v>
      </c>
      <c r="D7">
        <f t="shared" si="6"/>
        <v>12.182493960703473</v>
      </c>
      <c r="E7">
        <f t="shared" si="7"/>
        <v>195339.42408031868</v>
      </c>
      <c r="F7">
        <f>Table1!C10</f>
        <v>-1.5</v>
      </c>
      <c r="H7" s="2" t="s">
        <v>25</v>
      </c>
      <c r="I7" s="2">
        <v>0.68270307455100288</v>
      </c>
      <c r="S7" s="7">
        <f>SQRT(S9/(27-S6))</f>
        <v>1.0910996429839916</v>
      </c>
      <c r="T7" s="7"/>
      <c r="U7" s="7">
        <f>SQRT(U9/(27-U6))</f>
        <v>1.0999863943894479</v>
      </c>
      <c r="V7" s="7"/>
      <c r="W7" s="7">
        <f>SQRT(W9/(27-W6))</f>
        <v>1.1152944928403365</v>
      </c>
      <c r="X7" s="7"/>
      <c r="Y7" s="7">
        <f>SQRT(Y9/(27-Y6))</f>
        <v>1.0903925288223049</v>
      </c>
      <c r="Z7" s="7"/>
      <c r="AA7" s="7">
        <f>SQRT(AA9/(27-AA6))</f>
        <v>1.0933268310021629</v>
      </c>
      <c r="AB7" s="7"/>
      <c r="AC7" s="7">
        <f>SQRT(AC9/(27-AC6))</f>
        <v>1.0926941640896832</v>
      </c>
      <c r="AD7" s="7"/>
      <c r="AE7" s="7">
        <f>SQRT(AE9/(27-AE6))</f>
        <v>1.8993929079433864</v>
      </c>
      <c r="AF7" s="7"/>
      <c r="AG7" s="7">
        <f>SQRT(AG9/(27-AG6))</f>
        <v>1.2133709075670913</v>
      </c>
      <c r="AI7" s="26" t="s">
        <v>666</v>
      </c>
      <c r="AJ7" s="27">
        <f>AA4</f>
        <v>0.17961794445993892</v>
      </c>
      <c r="AK7" s="29">
        <f t="shared" si="3"/>
        <v>0.17961794445993892</v>
      </c>
    </row>
    <row r="8" spans="1:37" ht="15.5" x14ac:dyDescent="0.35">
      <c r="A8">
        <f>Table1!B11</f>
        <v>2.5</v>
      </c>
      <c r="B8">
        <f t="shared" si="5"/>
        <v>6.25</v>
      </c>
      <c r="C8">
        <f t="shared" si="0"/>
        <v>244.140625</v>
      </c>
      <c r="D8">
        <f t="shared" si="6"/>
        <v>12.182493960703473</v>
      </c>
      <c r="E8">
        <f t="shared" si="7"/>
        <v>195339.42408031868</v>
      </c>
      <c r="F8">
        <f>Table1!C11</f>
        <v>-1.9</v>
      </c>
      <c r="H8" s="2" t="s">
        <v>26</v>
      </c>
      <c r="I8" s="2">
        <v>0.6254292951836552</v>
      </c>
      <c r="Q8">
        <f>EXP(S8)+EXP(U8)+EXP(W8)+EXP(Y8)+EXP(AA8)+EXP(AC8)+EXP(AE8)+EXP(AG8)</f>
        <v>2.2295596758329198E-6</v>
      </c>
      <c r="R8" t="s">
        <v>661</v>
      </c>
      <c r="S8">
        <f>-S9/2/S7^2-25*LN(S7)</f>
        <v>-14.679650861786232</v>
      </c>
      <c r="T8" t="s">
        <v>357</v>
      </c>
      <c r="U8">
        <f>-U9/2/U7^2-25*LN(U7)</f>
        <v>-14.382445274774145</v>
      </c>
      <c r="V8" t="s">
        <v>662</v>
      </c>
      <c r="W8">
        <f>-W9/2/W7^2-25*LN(W7)</f>
        <v>-15.727962229451949</v>
      </c>
      <c r="X8" t="s">
        <v>665</v>
      </c>
      <c r="Y8">
        <f>-Y9/2/Y7^2-25*LN(Y7)</f>
        <v>-14.66344373999156</v>
      </c>
      <c r="Z8" t="s">
        <v>666</v>
      </c>
      <c r="AA8">
        <f>-AA9/2/AA7^2-25*LN(AA7)</f>
        <v>-14.730629661403462</v>
      </c>
      <c r="AB8" t="s">
        <v>664</v>
      </c>
      <c r="AC8">
        <f>-AC9/2/AC7^2-25*LN(AC7)</f>
        <v>-15.216158919092102</v>
      </c>
      <c r="AD8" t="s">
        <v>663</v>
      </c>
      <c r="AE8">
        <f>-AE9/2/AE7^2-25*LN(AE7)</f>
        <v>-29.03835782448153</v>
      </c>
      <c r="AF8" t="s">
        <v>667</v>
      </c>
      <c r="AG8">
        <f>-AG9/2/AG7^2-25*LN(AG7)</f>
        <v>-17.83505900690308</v>
      </c>
      <c r="AI8" s="26" t="s">
        <v>665</v>
      </c>
      <c r="AJ8" s="27">
        <f>Y4</f>
        <v>0.19210036806174702</v>
      </c>
      <c r="AK8" s="29">
        <f t="shared" si="3"/>
        <v>0.19210036806174702</v>
      </c>
    </row>
    <row r="9" spans="1:37" ht="15.5" x14ac:dyDescent="0.35">
      <c r="A9">
        <f>Table1!B12</f>
        <v>2.5</v>
      </c>
      <c r="B9">
        <f t="shared" si="5"/>
        <v>6.25</v>
      </c>
      <c r="C9">
        <f t="shared" si="0"/>
        <v>244.140625</v>
      </c>
      <c r="D9">
        <f t="shared" si="6"/>
        <v>12.182493960703473</v>
      </c>
      <c r="E9">
        <f t="shared" si="7"/>
        <v>195339.42408031868</v>
      </c>
      <c r="F9">
        <f>Table1!C12</f>
        <v>-1.4351033687575427</v>
      </c>
      <c r="H9" s="2" t="s">
        <v>27</v>
      </c>
      <c r="I9" s="2">
        <v>1.1375500136734524</v>
      </c>
      <c r="S9">
        <f>SUM(S10:S34)</f>
        <v>29.762460772994846</v>
      </c>
      <c r="U9">
        <f>SUM(U10:U34)</f>
        <v>29.039281628205551</v>
      </c>
      <c r="W9">
        <f>SUM(W10:W34)</f>
        <v>32.340926949759577</v>
      </c>
      <c r="Y9">
        <f>SUM(Y10:Y34)</f>
        <v>29.723896672787525</v>
      </c>
      <c r="AA9">
        <f>SUM(AA10:AA34)</f>
        <v>29.884088984730806</v>
      </c>
      <c r="AC9">
        <f>SUM(AC10:AC34)</f>
        <v>31.043493942126943</v>
      </c>
      <c r="AE9">
        <f>SUM(AE10:AE34)</f>
        <v>93.800028887386475</v>
      </c>
      <c r="AG9">
        <f>SUM(AG10:AG34)</f>
        <v>38.278992942584857</v>
      </c>
      <c r="AI9" s="26" t="s">
        <v>681</v>
      </c>
      <c r="AJ9" s="27">
        <f>W4</f>
        <v>6.6254242218471746E-2</v>
      </c>
      <c r="AK9" s="29">
        <f t="shared" si="3"/>
        <v>6.6254242218471746E-2</v>
      </c>
    </row>
    <row r="10" spans="1:37" ht="15" thickBot="1" x14ac:dyDescent="0.4">
      <c r="A10">
        <f>Table1!B13</f>
        <v>2.5</v>
      </c>
      <c r="B10">
        <f t="shared" si="5"/>
        <v>6.25</v>
      </c>
      <c r="C10">
        <f t="shared" si="0"/>
        <v>244.140625</v>
      </c>
      <c r="D10">
        <f t="shared" si="6"/>
        <v>12.182493960703473</v>
      </c>
      <c r="E10">
        <f t="shared" si="7"/>
        <v>195339.42408031868</v>
      </c>
      <c r="F10">
        <f>Table1!C13</f>
        <v>-2.8891788330145758</v>
      </c>
      <c r="H10" s="3" t="s">
        <v>28</v>
      </c>
      <c r="I10" s="3">
        <v>25</v>
      </c>
      <c r="R10">
        <f t="shared" ref="R10:R14" si="8">I$20*A1+I$21*B1</f>
        <v>-1.251245771606357</v>
      </c>
      <c r="S10">
        <f t="shared" ref="S10:S14" si="9">(R10-F1)^2</f>
        <v>0.42878490861314006</v>
      </c>
      <c r="T10">
        <f t="shared" ref="T10:T14" si="10">IF(A1&lt;=T$2,A1*T$1,T$1*T$2+T$3*(A1-T$2))</f>
        <v>-0.73786738404203855</v>
      </c>
      <c r="U10">
        <f t="shared" ref="U10:U14" si="11">(T10-F1)^2</f>
        <v>2.0004795795737846E-2</v>
      </c>
      <c r="V10">
        <f>I$75*B1</f>
        <v>-0.22836836915714875</v>
      </c>
      <c r="W10">
        <f>(V10-$F1)^2</f>
        <v>0.13546868180355895</v>
      </c>
      <c r="X10" s="29">
        <f>I$94*B1+I$95*A1^7</f>
        <v>-0.11719421253918146</v>
      </c>
      <c r="Y10">
        <f>(X10-$F1)^2</f>
        <v>0.22966605159842871</v>
      </c>
      <c r="Z10" s="29">
        <f>I$114*B1+I$115*A1^6</f>
        <v>-0.10122820570968037</v>
      </c>
      <c r="AA10">
        <f>(Z10-$F1)^2</f>
        <v>0.24522389908652872</v>
      </c>
      <c r="AB10">
        <f>AB$1+AB$2*EXP(A1)</f>
        <v>7.2684356232389002E-2</v>
      </c>
      <c r="AC10">
        <f>(AB10-$F1)^2</f>
        <v>0.4477127813432219</v>
      </c>
      <c r="AD10">
        <f>AD$1+AD$2*EXP(EXP(A1))</f>
        <v>0</v>
      </c>
      <c r="AE10">
        <f>IF(AD10&gt;1E+150,1E+300,(AD10-$F1)^2)</f>
        <v>0.35572763926590872</v>
      </c>
      <c r="AF10">
        <f>I$134*A1</f>
        <v>0.59502524886197206</v>
      </c>
      <c r="AG10">
        <f>(AF10-$F1)^2</f>
        <v>1.4195634013757663</v>
      </c>
    </row>
    <row r="11" spans="1:37" x14ac:dyDescent="0.35">
      <c r="A11">
        <f>Table1!B14</f>
        <v>2.4900000000000002</v>
      </c>
      <c r="B11">
        <f t="shared" si="5"/>
        <v>6.2001000000000008</v>
      </c>
      <c r="C11">
        <f t="shared" si="0"/>
        <v>238.33953218600109</v>
      </c>
      <c r="D11">
        <f t="shared" si="6"/>
        <v>12.06127612044472</v>
      </c>
      <c r="E11">
        <f t="shared" si="7"/>
        <v>173039.66427119431</v>
      </c>
      <c r="F11">
        <f>Table1!C14</f>
        <v>2.5345622119815666E-2</v>
      </c>
      <c r="R11">
        <f t="shared" si="8"/>
        <v>-1.236601133562661</v>
      </c>
      <c r="S11">
        <f t="shared" si="9"/>
        <v>3.1095755621524921</v>
      </c>
      <c r="T11">
        <f t="shared" si="10"/>
        <v>-1.2810101868633197</v>
      </c>
      <c r="U11">
        <f t="shared" si="11"/>
        <v>2.9549259776676791</v>
      </c>
      <c r="V11">
        <f t="shared" ref="V11:V34" si="12">I$75*B2</f>
        <v>-1.4273023072321798</v>
      </c>
      <c r="W11">
        <f t="shared" ref="W11:W14" si="13">(V11-$F2)^2</f>
        <v>2.4733780328372252</v>
      </c>
      <c r="X11" s="29">
        <f t="shared" ref="X11:X34" si="14">I$94*B2+I$95*A2^7</f>
        <v>-1.0899469497205674</v>
      </c>
      <c r="Y11">
        <f t="shared" ref="Y11:Y14" si="15">(X11-$F2)^2</f>
        <v>3.6483026548817645</v>
      </c>
      <c r="Z11" s="29">
        <f t="shared" ref="Z11:Z34" si="16">I$114*B2+I$115*A2^6</f>
        <v>-1.1004119589166308</v>
      </c>
      <c r="AA11">
        <f t="shared" ref="AA11:AA14" si="17">(Z11-$F2)^2</f>
        <v>3.6084347258269518</v>
      </c>
      <c r="AB11">
        <f t="shared" ref="AB11:AB14" si="18">AB$1+AB$2*EXP(A2)</f>
        <v>-1.28581860414819</v>
      </c>
      <c r="AC11">
        <f t="shared" ref="AC11:AC14" si="19">(AB11-$F2)^2</f>
        <v>2.9384178578844597</v>
      </c>
      <c r="AD11">
        <f t="shared" ref="AD11:AD14" si="20">AD$1+AD$2*EXP(EXP(A2))</f>
        <v>0</v>
      </c>
      <c r="AE11">
        <f t="shared" ref="AE11:AE14" si="21">IF(AD11&gt;1E+150,1E+300,(AD11-$F2)^2)</f>
        <v>9</v>
      </c>
      <c r="AF11">
        <f t="shared" ref="AF11:AF14" si="22">I$134*A2</f>
        <v>-1.4875631221549301</v>
      </c>
      <c r="AG11">
        <f t="shared" ref="AG11:AG14" si="23">(AF11-$F2)^2</f>
        <v>2.2874653094657429</v>
      </c>
    </row>
    <row r="12" spans="1:37" ht="15" thickBot="1" x14ac:dyDescent="0.4">
      <c r="A12">
        <f>Table1!B15</f>
        <v>2.4900000000000002</v>
      </c>
      <c r="B12">
        <f t="shared" si="5"/>
        <v>6.2001000000000008</v>
      </c>
      <c r="C12">
        <f t="shared" si="0"/>
        <v>238.33953218600109</v>
      </c>
      <c r="D12">
        <f t="shared" si="6"/>
        <v>12.06127612044472</v>
      </c>
      <c r="E12">
        <f t="shared" si="7"/>
        <v>173039.66427119431</v>
      </c>
      <c r="F12">
        <f>Table1!C15</f>
        <v>6.6820276497695855E-2</v>
      </c>
      <c r="H12" t="s">
        <v>29</v>
      </c>
      <c r="R12">
        <f t="shared" si="8"/>
        <v>-2.2321583138600878</v>
      </c>
      <c r="S12">
        <f t="shared" si="9"/>
        <v>1.5182141104145346</v>
      </c>
      <c r="T12">
        <f t="shared" si="10"/>
        <v>-2.2273779483512497</v>
      </c>
      <c r="U12">
        <f t="shared" si="11"/>
        <v>1.5064566280989229</v>
      </c>
      <c r="V12">
        <f t="shared" si="12"/>
        <v>-2.055315322414339</v>
      </c>
      <c r="W12">
        <f t="shared" si="13"/>
        <v>1.1136904297224803</v>
      </c>
      <c r="X12" s="29">
        <f t="shared" si="14"/>
        <v>-2.3279087061908763</v>
      </c>
      <c r="Y12">
        <f t="shared" si="15"/>
        <v>1.763341531977527</v>
      </c>
      <c r="Z12" s="29">
        <f t="shared" si="16"/>
        <v>-2.3267031008117804</v>
      </c>
      <c r="AA12">
        <f t="shared" si="17"/>
        <v>1.7601411177035933</v>
      </c>
      <c r="AB12">
        <f t="shared" si="18"/>
        <v>-2.1945496713193036</v>
      </c>
      <c r="AC12">
        <f t="shared" si="19"/>
        <v>1.4269489172490561</v>
      </c>
      <c r="AD12">
        <f t="shared" si="20"/>
        <v>0</v>
      </c>
      <c r="AE12">
        <f t="shared" si="21"/>
        <v>1</v>
      </c>
      <c r="AF12">
        <f t="shared" si="22"/>
        <v>-1.7850757465859162</v>
      </c>
      <c r="AG12">
        <f t="shared" si="23"/>
        <v>0.61634392787743364</v>
      </c>
    </row>
    <row r="13" spans="1:37" x14ac:dyDescent="0.35">
      <c r="A13">
        <f>Table1!B16</f>
        <v>2.5</v>
      </c>
      <c r="B13">
        <f t="shared" si="5"/>
        <v>6.25</v>
      </c>
      <c r="C13">
        <f t="shared" si="0"/>
        <v>244.140625</v>
      </c>
      <c r="D13">
        <f t="shared" si="6"/>
        <v>12.182493960703473</v>
      </c>
      <c r="E13">
        <f t="shared" si="7"/>
        <v>195339.42408031868</v>
      </c>
      <c r="F13">
        <f>Table1!C16</f>
        <v>-1.5</v>
      </c>
      <c r="H13" s="4"/>
      <c r="I13" s="4" t="s">
        <v>34</v>
      </c>
      <c r="J13" s="4" t="s">
        <v>35</v>
      </c>
      <c r="K13" s="4" t="s">
        <v>36</v>
      </c>
      <c r="L13" s="4" t="s">
        <v>37</v>
      </c>
      <c r="M13" s="4" t="s">
        <v>38</v>
      </c>
      <c r="R13">
        <f t="shared" si="8"/>
        <v>-2.2321583138600878</v>
      </c>
      <c r="S13">
        <f t="shared" si="9"/>
        <v>0.81388962326687653</v>
      </c>
      <c r="T13">
        <f t="shared" si="10"/>
        <v>-2.2273779483512497</v>
      </c>
      <c r="U13">
        <f t="shared" si="11"/>
        <v>0.80528718218709805</v>
      </c>
      <c r="V13">
        <f t="shared" si="12"/>
        <v>-2.055315322414339</v>
      </c>
      <c r="W13">
        <f t="shared" si="13"/>
        <v>0.52608231692901641</v>
      </c>
      <c r="X13" s="29">
        <f t="shared" si="14"/>
        <v>-2.3279087061908763</v>
      </c>
      <c r="Y13">
        <f t="shared" si="15"/>
        <v>0.99582178589154857</v>
      </c>
      <c r="Z13" s="29">
        <f t="shared" si="16"/>
        <v>-2.3267031008117804</v>
      </c>
      <c r="AA13">
        <f t="shared" si="17"/>
        <v>0.99341707116781808</v>
      </c>
      <c r="AB13">
        <f t="shared" si="18"/>
        <v>-2.1945496713193036</v>
      </c>
      <c r="AC13">
        <f t="shared" si="19"/>
        <v>0.74744613417831574</v>
      </c>
      <c r="AD13">
        <f t="shared" si="20"/>
        <v>0</v>
      </c>
      <c r="AE13">
        <f t="shared" si="21"/>
        <v>1.7689000000000001</v>
      </c>
      <c r="AF13">
        <f t="shared" si="22"/>
        <v>-1.7850757465859162</v>
      </c>
      <c r="AG13">
        <f t="shared" si="23"/>
        <v>0.20709393513072893</v>
      </c>
    </row>
    <row r="14" spans="1:37" x14ac:dyDescent="0.35">
      <c r="A14">
        <f>Table1!B17</f>
        <v>1</v>
      </c>
      <c r="B14">
        <f t="shared" si="5"/>
        <v>1</v>
      </c>
      <c r="C14">
        <f t="shared" si="0"/>
        <v>1</v>
      </c>
      <c r="D14">
        <f t="shared" si="6"/>
        <v>2.7182818284590451</v>
      </c>
      <c r="E14">
        <f t="shared" si="7"/>
        <v>15.154262241479262</v>
      </c>
      <c r="F14">
        <f>Table1!C17</f>
        <v>2.2999999999999998</v>
      </c>
      <c r="H14" s="2" t="s">
        <v>30</v>
      </c>
      <c r="I14" s="2">
        <v>2</v>
      </c>
      <c r="J14" s="2">
        <v>64.037568114391632</v>
      </c>
      <c r="K14" s="2">
        <v>32.018784057195816</v>
      </c>
      <c r="L14" s="2">
        <v>24.743654059133103</v>
      </c>
      <c r="M14" s="2">
        <v>2.3449366080494561E-6</v>
      </c>
      <c r="R14">
        <f t="shared" si="8"/>
        <v>-2.2321583138600878</v>
      </c>
      <c r="S14">
        <f t="shared" si="9"/>
        <v>1.8709908783420783</v>
      </c>
      <c r="T14">
        <f t="shared" si="10"/>
        <v>-2.2273779483512497</v>
      </c>
      <c r="U14">
        <f t="shared" si="11"/>
        <v>1.8840912966724248</v>
      </c>
      <c r="V14">
        <f t="shared" si="12"/>
        <v>-2.055315322414339</v>
      </c>
      <c r="W14">
        <f t="shared" si="13"/>
        <v>2.3860507531679178</v>
      </c>
      <c r="X14" s="29">
        <f t="shared" si="14"/>
        <v>-2.3279087061908763</v>
      </c>
      <c r="Y14">
        <f t="shared" si="15"/>
        <v>1.6182162597849705</v>
      </c>
      <c r="Z14" s="29">
        <f t="shared" si="16"/>
        <v>-2.3267031008117804</v>
      </c>
      <c r="AA14">
        <f t="shared" si="17"/>
        <v>1.6212849934823352</v>
      </c>
      <c r="AB14">
        <f t="shared" si="18"/>
        <v>-2.1945496713193036</v>
      </c>
      <c r="AC14">
        <f t="shared" si="19"/>
        <v>1.9752906263886778</v>
      </c>
      <c r="AD14">
        <f t="shared" si="20"/>
        <v>0</v>
      </c>
      <c r="AE14">
        <f t="shared" si="21"/>
        <v>12.96</v>
      </c>
      <c r="AF14">
        <f t="shared" si="22"/>
        <v>-1.7850757465859162</v>
      </c>
      <c r="AG14">
        <f t="shared" si="23"/>
        <v>3.2939500456306701</v>
      </c>
    </row>
    <row r="15" spans="1:37" x14ac:dyDescent="0.35">
      <c r="A15">
        <f>Table1!B18</f>
        <v>2.5</v>
      </c>
      <c r="B15">
        <f t="shared" si="5"/>
        <v>6.25</v>
      </c>
      <c r="C15">
        <f t="shared" si="0"/>
        <v>244.140625</v>
      </c>
      <c r="D15">
        <f t="shared" si="6"/>
        <v>12.182493960703473</v>
      </c>
      <c r="E15">
        <f t="shared" si="7"/>
        <v>195339.42408031868</v>
      </c>
      <c r="F15">
        <f>Table1!C18</f>
        <v>3.3000365094043249E-2</v>
      </c>
      <c r="H15" s="2" t="s">
        <v>31</v>
      </c>
      <c r="I15" s="2">
        <v>23</v>
      </c>
      <c r="J15" s="2">
        <v>29.762460772994849</v>
      </c>
      <c r="K15" s="2">
        <v>1.2940200336084717</v>
      </c>
      <c r="L15" s="2"/>
      <c r="M15" s="2"/>
      <c r="R15">
        <f t="shared" ref="R15:R34" si="24">I$20*A6+I$21*B6</f>
        <v>-1.236601133562661</v>
      </c>
      <c r="S15">
        <f t="shared" ref="S15:S34" si="25">(R15-F6)^2</f>
        <v>2.6699189553007322E-2</v>
      </c>
      <c r="T15">
        <f t="shared" ref="T15:T34" si="26">IF(A6&lt;=T$2,A6*T$1,T$1*T$2+T$3*(A6-T$2))</f>
        <v>-1.2810101868633197</v>
      </c>
      <c r="U15">
        <f t="shared" ref="U15:U34" si="27">(T15-F6)^2</f>
        <v>1.4158575630302078E-2</v>
      </c>
      <c r="V15">
        <f t="shared" si="12"/>
        <v>-1.4273023072321798</v>
      </c>
      <c r="W15">
        <f t="shared" ref="W15:W34" si="28">(V15-$F6)^2</f>
        <v>7.4541598020034052E-4</v>
      </c>
      <c r="X15" s="29">
        <f t="shared" si="14"/>
        <v>-1.0899469497205674</v>
      </c>
      <c r="Y15">
        <f t="shared" ref="Y15:Y34" si="29">(X15-$F6)^2</f>
        <v>9.613289398758032E-2</v>
      </c>
      <c r="Z15" s="29">
        <f t="shared" si="16"/>
        <v>-1.1004119589166308</v>
      </c>
      <c r="AA15">
        <f t="shared" ref="AA15:AA34" si="30">(Z15-$F6)^2</f>
        <v>8.9752994360170466E-2</v>
      </c>
      <c r="AB15">
        <f t="shared" ref="AB15:AB34" si="31">AB$1+AB$2*EXP(A6)</f>
        <v>-1.28581860414819</v>
      </c>
      <c r="AC15">
        <f t="shared" ref="AC15:AC34" si="32">(AB15-$F6)^2</f>
        <v>1.3037391158667703E-2</v>
      </c>
      <c r="AD15">
        <f t="shared" ref="AD15:AD34" si="33">AD$1+AD$2*EXP(EXP(A6))</f>
        <v>0</v>
      </c>
      <c r="AE15">
        <f t="shared" ref="AE15:AE34" si="34">IF(AD15&gt;1E+150,1E+300,(AD15-$F6)^2)</f>
        <v>1.9599999999999997</v>
      </c>
      <c r="AF15">
        <f t="shared" ref="AF15:AF34" si="35">I$134*A6</f>
        <v>-1.4875631221549301</v>
      </c>
      <c r="AG15">
        <f t="shared" ref="AG15:AG34" si="36">(AF15-$F6)^2</f>
        <v>7.6673003615192331E-3</v>
      </c>
    </row>
    <row r="16" spans="1:37" ht="15" thickBot="1" x14ac:dyDescent="0.4">
      <c r="A16">
        <f>Table1!B19</f>
        <v>0.6</v>
      </c>
      <c r="B16">
        <f t="shared" si="5"/>
        <v>0.36</v>
      </c>
      <c r="C16">
        <f t="shared" si="0"/>
        <v>4.6655999999999996E-2</v>
      </c>
      <c r="D16">
        <f t="shared" si="6"/>
        <v>1.8221188003905089</v>
      </c>
      <c r="E16">
        <f t="shared" si="7"/>
        <v>6.1849492494755829</v>
      </c>
      <c r="F16">
        <f>Table1!C19</f>
        <v>-0.17962065483383896</v>
      </c>
      <c r="H16" s="3" t="s">
        <v>32</v>
      </c>
      <c r="I16" s="3">
        <v>25</v>
      </c>
      <c r="J16" s="3">
        <v>93.800028887386475</v>
      </c>
      <c r="K16" s="3"/>
      <c r="L16" s="3"/>
      <c r="M16" s="3"/>
      <c r="R16">
        <f t="shared" si="24"/>
        <v>-1.236601133562661</v>
      </c>
      <c r="S16">
        <f t="shared" si="25"/>
        <v>6.937896284047515E-2</v>
      </c>
      <c r="T16">
        <f t="shared" si="26"/>
        <v>-1.2810101868633197</v>
      </c>
      <c r="U16">
        <f t="shared" si="27"/>
        <v>4.7956538257638161E-2</v>
      </c>
      <c r="V16">
        <f t="shared" si="12"/>
        <v>-1.4273023072321798</v>
      </c>
      <c r="W16">
        <f t="shared" si="28"/>
        <v>5.2849545337643822E-3</v>
      </c>
      <c r="X16" s="29">
        <f t="shared" si="14"/>
        <v>-1.0899469497205674</v>
      </c>
      <c r="Y16">
        <f t="shared" si="29"/>
        <v>0.1681435040434669</v>
      </c>
      <c r="Z16" s="29">
        <f t="shared" si="16"/>
        <v>-1.1004119589166308</v>
      </c>
      <c r="AA16">
        <f t="shared" si="30"/>
        <v>0.15967060257684434</v>
      </c>
      <c r="AB16">
        <f t="shared" si="31"/>
        <v>-1.28581860414819</v>
      </c>
      <c r="AC16">
        <f t="shared" si="32"/>
        <v>4.5873670329029712E-2</v>
      </c>
      <c r="AD16">
        <f t="shared" si="33"/>
        <v>0</v>
      </c>
      <c r="AE16">
        <f t="shared" si="34"/>
        <v>2.25</v>
      </c>
      <c r="AF16">
        <f t="shared" si="35"/>
        <v>-1.4875631221549301</v>
      </c>
      <c r="AG16">
        <f t="shared" si="36"/>
        <v>1.5467593053318954E-4</v>
      </c>
    </row>
    <row r="17" spans="1:33" ht="15" thickBot="1" x14ac:dyDescent="0.4">
      <c r="A17">
        <f>Table1!B20</f>
        <v>1</v>
      </c>
      <c r="B17">
        <f t="shared" si="5"/>
        <v>1</v>
      </c>
      <c r="C17">
        <f t="shared" si="0"/>
        <v>1</v>
      </c>
      <c r="D17">
        <f t="shared" si="6"/>
        <v>2.7182818284590451</v>
      </c>
      <c r="E17">
        <f t="shared" si="7"/>
        <v>15.154262241479262</v>
      </c>
      <c r="F17">
        <f>Table1!C20</f>
        <v>-0.30947656699459297</v>
      </c>
      <c r="R17">
        <f t="shared" si="24"/>
        <v>-1.236601133562661</v>
      </c>
      <c r="S17">
        <f t="shared" si="25"/>
        <v>0.44009805599034624</v>
      </c>
      <c r="T17">
        <f t="shared" si="26"/>
        <v>-1.2810101868633197</v>
      </c>
      <c r="U17">
        <f t="shared" si="27"/>
        <v>0.38314838876698232</v>
      </c>
      <c r="V17">
        <f t="shared" si="12"/>
        <v>-1.4273023072321798</v>
      </c>
      <c r="W17">
        <f t="shared" si="28"/>
        <v>0.22344310874802048</v>
      </c>
      <c r="X17" s="29">
        <f t="shared" si="14"/>
        <v>-1.0899469497205674</v>
      </c>
      <c r="Y17">
        <f t="shared" si="29"/>
        <v>0.65618594426701282</v>
      </c>
      <c r="Z17" s="29">
        <f t="shared" si="16"/>
        <v>-1.1004119589166308</v>
      </c>
      <c r="AA17">
        <f t="shared" si="30"/>
        <v>0.6393410354435396</v>
      </c>
      <c r="AB17">
        <f t="shared" si="31"/>
        <v>-1.28581860414819</v>
      </c>
      <c r="AC17">
        <f t="shared" si="32"/>
        <v>0.37721878701047756</v>
      </c>
      <c r="AD17">
        <f t="shared" si="33"/>
        <v>0</v>
      </c>
      <c r="AE17">
        <f t="shared" si="34"/>
        <v>3.61</v>
      </c>
      <c r="AF17">
        <f t="shared" si="35"/>
        <v>-1.4875631221549301</v>
      </c>
      <c r="AG17">
        <f t="shared" si="36"/>
        <v>0.17010417820658899</v>
      </c>
    </row>
    <row r="18" spans="1:33" x14ac:dyDescent="0.35">
      <c r="A18">
        <f>Table1!B21</f>
        <v>2.5</v>
      </c>
      <c r="B18">
        <f t="shared" si="5"/>
        <v>6.25</v>
      </c>
      <c r="C18">
        <f t="shared" si="0"/>
        <v>244.140625</v>
      </c>
      <c r="D18">
        <f t="shared" si="6"/>
        <v>12.182493960703473</v>
      </c>
      <c r="E18">
        <f t="shared" si="7"/>
        <v>195339.42408031868</v>
      </c>
      <c r="F18">
        <f>Table1!C21</f>
        <v>-0.97915753272366335</v>
      </c>
      <c r="H18" s="4"/>
      <c r="I18" s="4" t="s">
        <v>39</v>
      </c>
      <c r="J18" s="4" t="s">
        <v>27</v>
      </c>
      <c r="K18" s="4" t="s">
        <v>40</v>
      </c>
      <c r="L18" s="4" t="s">
        <v>41</v>
      </c>
      <c r="M18" s="4" t="s">
        <v>42</v>
      </c>
      <c r="N18" s="4" t="s">
        <v>43</v>
      </c>
      <c r="O18" s="4" t="s">
        <v>44</v>
      </c>
      <c r="P18" s="4" t="s">
        <v>45</v>
      </c>
      <c r="R18">
        <f t="shared" si="24"/>
        <v>-1.236601133562661</v>
      </c>
      <c r="S18">
        <f t="shared" si="25"/>
        <v>3.9403137377364152E-2</v>
      </c>
      <c r="T18">
        <f t="shared" si="26"/>
        <v>-1.2810101868633197</v>
      </c>
      <c r="U18">
        <f t="shared" si="27"/>
        <v>2.3744708706286113E-2</v>
      </c>
      <c r="V18">
        <f t="shared" si="12"/>
        <v>-1.4273023072321798</v>
      </c>
      <c r="W18">
        <f t="shared" si="28"/>
        <v>6.085656092249848E-5</v>
      </c>
      <c r="X18" s="29">
        <f t="shared" si="14"/>
        <v>-1.0899469497205674</v>
      </c>
      <c r="Y18">
        <f t="shared" si="29"/>
        <v>0.11913295360242812</v>
      </c>
      <c r="Z18" s="29">
        <f t="shared" si="16"/>
        <v>-1.1004119589166308</v>
      </c>
      <c r="AA18">
        <f t="shared" si="30"/>
        <v>0.11201833982129729</v>
      </c>
      <c r="AB18">
        <f t="shared" si="31"/>
        <v>-1.28581860414819</v>
      </c>
      <c r="AC18">
        <f t="shared" si="32"/>
        <v>2.2285940944469843E-2</v>
      </c>
      <c r="AD18">
        <f t="shared" si="33"/>
        <v>0</v>
      </c>
      <c r="AE18">
        <f t="shared" si="34"/>
        <v>2.0595216790192477</v>
      </c>
      <c r="AF18">
        <f t="shared" si="35"/>
        <v>-1.4875631221549301</v>
      </c>
      <c r="AG18">
        <f t="shared" si="36"/>
        <v>2.7520257265146986E-3</v>
      </c>
    </row>
    <row r="19" spans="1:33" x14ac:dyDescent="0.35">
      <c r="A19">
        <f>Table1!B22</f>
        <v>3</v>
      </c>
      <c r="B19">
        <f t="shared" si="5"/>
        <v>9</v>
      </c>
      <c r="C19">
        <f t="shared" si="0"/>
        <v>729</v>
      </c>
      <c r="D19">
        <f t="shared" si="6"/>
        <v>20.085536923187668</v>
      </c>
      <c r="E19">
        <f t="shared" si="7"/>
        <v>528491311.48549432</v>
      </c>
      <c r="F19">
        <f>Table1!C22</f>
        <v>-0.93</v>
      </c>
      <c r="H19" s="2" t="s">
        <v>33</v>
      </c>
      <c r="I19" s="2">
        <v>0</v>
      </c>
      <c r="J19" s="2" t="e">
        <v>#N/A</v>
      </c>
      <c r="K19" s="2" t="e">
        <v>#N/A</v>
      </c>
      <c r="L19" s="2" t="e">
        <v>#N/A</v>
      </c>
      <c r="M19" s="2" t="e">
        <v>#N/A</v>
      </c>
      <c r="N19" s="2" t="e">
        <v>#N/A</v>
      </c>
      <c r="O19" s="2" t="e">
        <v>#N/A</v>
      </c>
      <c r="P19" s="2" t="e">
        <v>#N/A</v>
      </c>
      <c r="R19">
        <f t="shared" si="24"/>
        <v>-1.236601133562661</v>
      </c>
      <c r="S19">
        <f t="shared" si="25"/>
        <v>2.7310130527257832</v>
      </c>
      <c r="T19">
        <f t="shared" si="26"/>
        <v>-1.2810101868633197</v>
      </c>
      <c r="U19">
        <f t="shared" si="27"/>
        <v>2.5862063944639639</v>
      </c>
      <c r="V19">
        <f t="shared" si="12"/>
        <v>-1.4273023072321798</v>
      </c>
      <c r="W19">
        <f t="shared" si="28"/>
        <v>2.1370829766336086</v>
      </c>
      <c r="X19" s="29">
        <f t="shared" si="14"/>
        <v>-1.0899469497205674</v>
      </c>
      <c r="Y19">
        <f t="shared" si="29"/>
        <v>3.2372353698617045</v>
      </c>
      <c r="Z19" s="29">
        <f t="shared" si="16"/>
        <v>-1.1004119589166308</v>
      </c>
      <c r="AA19">
        <f t="shared" si="30"/>
        <v>3.1996869298701336</v>
      </c>
      <c r="AB19">
        <f t="shared" si="31"/>
        <v>-1.28581860414819</v>
      </c>
      <c r="AC19">
        <f t="shared" si="32"/>
        <v>2.5707640235104687</v>
      </c>
      <c r="AD19">
        <f t="shared" si="33"/>
        <v>0</v>
      </c>
      <c r="AE19">
        <f t="shared" si="34"/>
        <v>8.3473543291394652</v>
      </c>
      <c r="AF19">
        <f t="shared" si="35"/>
        <v>-1.4875631221549301</v>
      </c>
      <c r="AG19">
        <f t="shared" si="36"/>
        <v>1.9645266009285898</v>
      </c>
    </row>
    <row r="20" spans="1:33" x14ac:dyDescent="0.35">
      <c r="A20">
        <f>Table1!B23</f>
        <v>3</v>
      </c>
      <c r="B20">
        <f t="shared" si="5"/>
        <v>9</v>
      </c>
      <c r="C20">
        <f t="shared" si="0"/>
        <v>729</v>
      </c>
      <c r="D20">
        <f t="shared" si="6"/>
        <v>20.085536923187668</v>
      </c>
      <c r="E20">
        <f t="shared" si="7"/>
        <v>528491311.48549432</v>
      </c>
      <c r="F20">
        <f>Table1!C23</f>
        <v>-1.05</v>
      </c>
      <c r="G20" t="s">
        <v>58</v>
      </c>
      <c r="H20" s="2" t="s">
        <v>46</v>
      </c>
      <c r="I20" s="2">
        <v>0.75242113588309367</v>
      </c>
      <c r="J20" s="2">
        <v>0.53302891314806089</v>
      </c>
      <c r="K20" s="2">
        <v>1.411595351252722</v>
      </c>
      <c r="L20" s="2">
        <v>0.17145505019670523</v>
      </c>
      <c r="M20" s="2">
        <v>-0.35023318187403674</v>
      </c>
      <c r="N20" s="2">
        <v>1.8550754536402241</v>
      </c>
      <c r="O20" s="2">
        <v>-0.35023318187403674</v>
      </c>
      <c r="P20" s="2">
        <v>1.8550754536402241</v>
      </c>
      <c r="R20">
        <f t="shared" si="24"/>
        <v>-1.2192339955989016</v>
      </c>
      <c r="S20">
        <f t="shared" si="25"/>
        <v>1.5489784248408682</v>
      </c>
      <c r="T20">
        <f t="shared" si="26"/>
        <v>-1.2620828316335615</v>
      </c>
      <c r="U20">
        <f t="shared" si="27"/>
        <v>1.6574720235338114</v>
      </c>
      <c r="V20">
        <f t="shared" si="12"/>
        <v>-1.4159067256112381</v>
      </c>
      <c r="W20">
        <f t="shared" si="28"/>
        <v>2.0772083298402744</v>
      </c>
      <c r="X20" s="29">
        <f t="shared" si="14"/>
        <v>-1.0742800668820507</v>
      </c>
      <c r="Y20">
        <f t="shared" si="29"/>
        <v>1.2091766559128292</v>
      </c>
      <c r="Z20" s="29">
        <f t="shared" si="16"/>
        <v>-1.0840527939650038</v>
      </c>
      <c r="AA20">
        <f t="shared" si="30"/>
        <v>1.2307648456115061</v>
      </c>
      <c r="AB20">
        <f t="shared" si="31"/>
        <v>-1.2718803758149495</v>
      </c>
      <c r="AC20">
        <f t="shared" si="32"/>
        <v>1.6827952897178473</v>
      </c>
      <c r="AD20">
        <f t="shared" si="33"/>
        <v>0</v>
      </c>
      <c r="AE20">
        <f t="shared" si="34"/>
        <v>6.4240056064048922E-4</v>
      </c>
      <c r="AF20">
        <f t="shared" si="35"/>
        <v>-1.4816128696663105</v>
      </c>
      <c r="AG20">
        <f t="shared" si="36"/>
        <v>2.2709238959663156</v>
      </c>
    </row>
    <row r="21" spans="1:33" ht="15" thickBot="1" x14ac:dyDescent="0.4">
      <c r="A21">
        <f>Table1!B24</f>
        <v>3</v>
      </c>
      <c r="B21">
        <f t="shared" si="5"/>
        <v>9</v>
      </c>
      <c r="C21">
        <f t="shared" si="0"/>
        <v>729</v>
      </c>
      <c r="D21">
        <f t="shared" si="6"/>
        <v>20.085536923187668</v>
      </c>
      <c r="E21">
        <f t="shared" si="7"/>
        <v>528491311.48549432</v>
      </c>
      <c r="F21">
        <f>Table1!C24</f>
        <v>-2.5</v>
      </c>
      <c r="G21" t="s">
        <v>59</v>
      </c>
      <c r="H21" s="3" t="s">
        <v>47</v>
      </c>
      <c r="I21" s="3">
        <v>-0.49882463572326324</v>
      </c>
      <c r="J21" s="3">
        <v>0.19444062055900446</v>
      </c>
      <c r="K21" s="3">
        <v>-2.5654342919147965</v>
      </c>
      <c r="L21" s="3">
        <v>1.7294579494899952E-2</v>
      </c>
      <c r="M21" s="3">
        <v>-0.90105570521725042</v>
      </c>
      <c r="N21" s="3">
        <v>-9.6593566229276062E-2</v>
      </c>
      <c r="O21" s="3">
        <v>-0.90105570521725042</v>
      </c>
      <c r="P21" s="3">
        <v>-9.6593566229276062E-2</v>
      </c>
      <c r="R21">
        <f t="shared" si="24"/>
        <v>-1.2192339955989016</v>
      </c>
      <c r="S21">
        <f t="shared" si="25"/>
        <v>1.6539355907779092</v>
      </c>
      <c r="T21">
        <f t="shared" si="26"/>
        <v>-1.2620828316335615</v>
      </c>
      <c r="U21">
        <f t="shared" si="27"/>
        <v>1.7659834708009166</v>
      </c>
      <c r="V21">
        <f t="shared" si="12"/>
        <v>-1.4159067256112381</v>
      </c>
      <c r="W21">
        <f t="shared" si="28"/>
        <v>2.1984793627829471</v>
      </c>
      <c r="X21" s="29">
        <f t="shared" si="14"/>
        <v>-1.0742800668820507</v>
      </c>
      <c r="Y21">
        <f t="shared" si="29"/>
        <v>1.3021099936613756</v>
      </c>
      <c r="Z21" s="29">
        <f t="shared" si="16"/>
        <v>-1.0840527939650038</v>
      </c>
      <c r="AA21">
        <f t="shared" si="30"/>
        <v>1.3245088243162422</v>
      </c>
      <c r="AB21">
        <f t="shared" si="31"/>
        <v>-1.2718803758149495</v>
      </c>
      <c r="AC21">
        <f t="shared" si="32"/>
        <v>1.7921194365023025</v>
      </c>
      <c r="AD21">
        <f t="shared" si="33"/>
        <v>0</v>
      </c>
      <c r="AE21">
        <f t="shared" si="34"/>
        <v>4.4649493512285247E-3</v>
      </c>
      <c r="AF21">
        <f t="shared" si="35"/>
        <v>-1.4816128696663105</v>
      </c>
      <c r="AG21">
        <f t="shared" si="36"/>
        <v>2.3976452081393633</v>
      </c>
    </row>
    <row r="22" spans="1:33" x14ac:dyDescent="0.35">
      <c r="A22">
        <f>Table1!B25</f>
        <v>3.2</v>
      </c>
      <c r="B22">
        <f t="shared" si="5"/>
        <v>10.240000000000002</v>
      </c>
      <c r="C22">
        <f t="shared" si="0"/>
        <v>1073.7418240000006</v>
      </c>
      <c r="D22">
        <f t="shared" si="6"/>
        <v>24.532530197109352</v>
      </c>
      <c r="E22">
        <f t="shared" si="7"/>
        <v>45117236618.773277</v>
      </c>
      <c r="F22">
        <f>Table1!C25</f>
        <v>-5.1135252093739076</v>
      </c>
      <c r="R22">
        <f t="shared" si="24"/>
        <v>-1.236601133562661</v>
      </c>
      <c r="S22">
        <f t="shared" si="25"/>
        <v>6.937896284047515E-2</v>
      </c>
      <c r="T22">
        <f t="shared" si="26"/>
        <v>-1.2810101868633197</v>
      </c>
      <c r="U22">
        <f t="shared" si="27"/>
        <v>4.7956538257638161E-2</v>
      </c>
      <c r="V22">
        <f t="shared" si="12"/>
        <v>-1.4273023072321798</v>
      </c>
      <c r="W22">
        <f t="shared" si="28"/>
        <v>5.2849545337643822E-3</v>
      </c>
      <c r="X22" s="29">
        <f t="shared" si="14"/>
        <v>-1.0899469497205674</v>
      </c>
      <c r="Y22">
        <f t="shared" si="29"/>
        <v>0.1681435040434669</v>
      </c>
      <c r="Z22" s="29">
        <f t="shared" si="16"/>
        <v>-1.1004119589166308</v>
      </c>
      <c r="AA22">
        <f t="shared" si="30"/>
        <v>0.15967060257684434</v>
      </c>
      <c r="AB22">
        <f t="shared" si="31"/>
        <v>-1.28581860414819</v>
      </c>
      <c r="AC22">
        <f t="shared" si="32"/>
        <v>4.5873670329029712E-2</v>
      </c>
      <c r="AD22">
        <f t="shared" si="33"/>
        <v>0</v>
      </c>
      <c r="AE22">
        <f t="shared" si="34"/>
        <v>2.25</v>
      </c>
      <c r="AF22">
        <f t="shared" si="35"/>
        <v>-1.4875631221549301</v>
      </c>
      <c r="AG22">
        <f t="shared" si="36"/>
        <v>1.5467593053318954E-4</v>
      </c>
    </row>
    <row r="23" spans="1:33" x14ac:dyDescent="0.35">
      <c r="A23">
        <f>Table1!B26</f>
        <v>1.92</v>
      </c>
      <c r="B23">
        <f t="shared" si="5"/>
        <v>3.6863999999999999</v>
      </c>
      <c r="C23">
        <f t="shared" si="0"/>
        <v>50.096498540543998</v>
      </c>
      <c r="D23">
        <f t="shared" si="6"/>
        <v>6.8209584692907494</v>
      </c>
      <c r="E23">
        <f t="shared" si="7"/>
        <v>916.86337445949709</v>
      </c>
      <c r="F23">
        <f>Table1!C26</f>
        <v>-0.5</v>
      </c>
      <c r="R23">
        <f t="shared" si="24"/>
        <v>0.25359650015983043</v>
      </c>
      <c r="S23">
        <f t="shared" si="25"/>
        <v>4.1877672841580944</v>
      </c>
      <c r="T23">
        <f t="shared" si="26"/>
        <v>0.73786738404203855</v>
      </c>
      <c r="U23">
        <f t="shared" si="27"/>
        <v>2.4402583098396629</v>
      </c>
      <c r="V23">
        <f t="shared" si="12"/>
        <v>-0.22836836915714875</v>
      </c>
      <c r="W23">
        <f t="shared" si="28"/>
        <v>6.3926466101543804</v>
      </c>
      <c r="X23" s="29">
        <f t="shared" si="14"/>
        <v>-0.1183537396733693</v>
      </c>
      <c r="Y23">
        <f t="shared" si="29"/>
        <v>5.8484348101921686</v>
      </c>
      <c r="Z23" s="29">
        <f t="shared" si="16"/>
        <v>-0.10122820570968037</v>
      </c>
      <c r="AA23">
        <f t="shared" si="30"/>
        <v>5.7658968958957297</v>
      </c>
      <c r="AB23">
        <f t="shared" si="31"/>
        <v>-0.19757656475974694</v>
      </c>
      <c r="AC23">
        <f t="shared" si="32"/>
        <v>6.237888696837099</v>
      </c>
      <c r="AD23">
        <f t="shared" si="33"/>
        <v>0</v>
      </c>
      <c r="AE23">
        <f t="shared" si="34"/>
        <v>5.2899999999999991</v>
      </c>
      <c r="AF23">
        <f t="shared" si="35"/>
        <v>-0.59502524886197206</v>
      </c>
      <c r="AG23">
        <f t="shared" si="36"/>
        <v>8.3811711915483222</v>
      </c>
    </row>
    <row r="24" spans="1:33" x14ac:dyDescent="0.35">
      <c r="A24">
        <f>Table1!B27</f>
        <v>2.9099999999999997</v>
      </c>
      <c r="B24">
        <f t="shared" si="5"/>
        <v>8.468099999999998</v>
      </c>
      <c r="C24">
        <f t="shared" si="0"/>
        <v>607.23659159324052</v>
      </c>
      <c r="D24">
        <f t="shared" si="6"/>
        <v>18.356798567017918</v>
      </c>
      <c r="E24">
        <f t="shared" si="7"/>
        <v>93811552.46663554</v>
      </c>
      <c r="F24">
        <f>Table1!C27</f>
        <v>-1.8</v>
      </c>
      <c r="R24">
        <f t="shared" si="24"/>
        <v>-1.236601133562661</v>
      </c>
      <c r="S24">
        <f t="shared" si="25"/>
        <v>1.6118879653913492</v>
      </c>
      <c r="T24">
        <f t="shared" si="26"/>
        <v>-1.2810101868633197</v>
      </c>
      <c r="U24">
        <f t="shared" si="27"/>
        <v>1.7266237306552938</v>
      </c>
      <c r="V24">
        <f t="shared" si="12"/>
        <v>-1.4273023072321798</v>
      </c>
      <c r="W24">
        <f t="shared" si="28"/>
        <v>2.1324838948031086</v>
      </c>
      <c r="X24" s="29">
        <f t="shared" si="14"/>
        <v>-1.0899469497205674</v>
      </c>
      <c r="Y24">
        <f t="shared" si="29"/>
        <v>1.2610106718493446</v>
      </c>
      <c r="Z24" s="29">
        <f t="shared" si="16"/>
        <v>-1.1004119589166308</v>
      </c>
      <c r="AA24">
        <f t="shared" si="30"/>
        <v>1.2846234962192775</v>
      </c>
      <c r="AB24">
        <f t="shared" si="31"/>
        <v>-1.28581860414819</v>
      </c>
      <c r="AC24">
        <f t="shared" si="32"/>
        <v>1.7392834736331471</v>
      </c>
      <c r="AD24">
        <f t="shared" si="33"/>
        <v>0</v>
      </c>
      <c r="AE24">
        <f t="shared" si="34"/>
        <v>1.0890240963401482E-3</v>
      </c>
      <c r="AF24">
        <f t="shared" si="35"/>
        <v>-1.4875631221549301</v>
      </c>
      <c r="AG24">
        <f t="shared" si="36"/>
        <v>2.3121133187547587</v>
      </c>
    </row>
    <row r="25" spans="1:33" x14ac:dyDescent="0.35">
      <c r="A25">
        <f>Table1!B29</f>
        <v>2.9</v>
      </c>
      <c r="B25">
        <f t="shared" si="5"/>
        <v>8.41</v>
      </c>
      <c r="C25">
        <f t="shared" si="0"/>
        <v>594.82332099999996</v>
      </c>
      <c r="D25">
        <f t="shared" si="6"/>
        <v>18.17414536944306</v>
      </c>
      <c r="E25">
        <f t="shared" si="7"/>
        <v>78150371.573756486</v>
      </c>
      <c r="F25">
        <f>Table1!C29</f>
        <v>-2</v>
      </c>
      <c r="R25">
        <f t="shared" si="24"/>
        <v>0.27187581266948141</v>
      </c>
      <c r="S25">
        <f t="shared" si="25"/>
        <v>0.20384906016797685</v>
      </c>
      <c r="T25">
        <f t="shared" si="26"/>
        <v>0.44272043042522313</v>
      </c>
      <c r="U25">
        <f t="shared" si="27"/>
        <v>0.38730842640142715</v>
      </c>
      <c r="V25">
        <f t="shared" si="12"/>
        <v>-8.2212612896573542E-2</v>
      </c>
      <c r="W25">
        <f t="shared" si="28"/>
        <v>9.4883266340520592E-3</v>
      </c>
      <c r="X25" s="29">
        <f t="shared" si="14"/>
        <v>-4.2414861067650932E-2</v>
      </c>
      <c r="Y25">
        <f t="shared" si="29"/>
        <v>1.8825429843009719E-2</v>
      </c>
      <c r="Z25" s="29">
        <f t="shared" si="16"/>
        <v>-3.5826063502135318E-2</v>
      </c>
      <c r="AA25">
        <f t="shared" si="30"/>
        <v>2.0676884496251657E-2</v>
      </c>
      <c r="AB25">
        <f t="shared" si="31"/>
        <v>-9.4531296156014952E-2</v>
      </c>
      <c r="AC25">
        <f t="shared" si="32"/>
        <v>7.2401989602033836E-3</v>
      </c>
      <c r="AD25">
        <f t="shared" si="33"/>
        <v>0</v>
      </c>
      <c r="AE25">
        <f t="shared" si="34"/>
        <v>3.2263579642937114E-2</v>
      </c>
      <c r="AF25">
        <f t="shared" si="35"/>
        <v>-0.3570151493171832</v>
      </c>
      <c r="AG25">
        <f t="shared" si="36"/>
        <v>3.1468806673001247E-2</v>
      </c>
    </row>
    <row r="26" spans="1:33" x14ac:dyDescent="0.35">
      <c r="R26">
        <f t="shared" si="24"/>
        <v>0.25359650015983043</v>
      </c>
      <c r="S26">
        <f t="shared" si="25"/>
        <v>0.31705127895468982</v>
      </c>
      <c r="T26">
        <f t="shared" si="26"/>
        <v>0.73786738404203855</v>
      </c>
      <c r="U26">
        <f t="shared" si="27"/>
        <v>1.0969293517730221</v>
      </c>
      <c r="V26">
        <f t="shared" si="12"/>
        <v>-0.22836836915714875</v>
      </c>
      <c r="W26">
        <f t="shared" si="28"/>
        <v>6.5785397564379908E-3</v>
      </c>
      <c r="X26" s="29">
        <f t="shared" si="14"/>
        <v>-0.1183537396733693</v>
      </c>
      <c r="Y26">
        <f t="shared" si="29"/>
        <v>3.6527935123258276E-2</v>
      </c>
      <c r="Z26" s="29">
        <f t="shared" si="16"/>
        <v>-0.10122820570968037</v>
      </c>
      <c r="AA26">
        <f t="shared" si="30"/>
        <v>4.3367379977851478E-2</v>
      </c>
      <c r="AB26">
        <f t="shared" si="31"/>
        <v>-0.19757656475974694</v>
      </c>
      <c r="AC26">
        <f t="shared" si="32"/>
        <v>1.2521610500158547E-2</v>
      </c>
      <c r="AD26">
        <f t="shared" si="33"/>
        <v>0</v>
      </c>
      <c r="AE26">
        <f t="shared" si="34"/>
        <v>9.5775745518758795E-2</v>
      </c>
      <c r="AF26">
        <f t="shared" si="35"/>
        <v>-0.59502524886197206</v>
      </c>
      <c r="AG26">
        <f t="shared" si="36"/>
        <v>8.1538049716197672E-2</v>
      </c>
    </row>
    <row r="27" spans="1:33" x14ac:dyDescent="0.35">
      <c r="R27">
        <f t="shared" si="24"/>
        <v>-1.236601133562661</v>
      </c>
      <c r="S27">
        <f t="shared" si="25"/>
        <v>6.6277207612949154E-2</v>
      </c>
      <c r="T27">
        <f t="shared" si="26"/>
        <v>-1.2810101868633197</v>
      </c>
      <c r="U27">
        <f t="shared" si="27"/>
        <v>9.1115024811154993E-2</v>
      </c>
      <c r="V27">
        <f t="shared" si="12"/>
        <v>-1.4273023072321798</v>
      </c>
      <c r="W27">
        <f t="shared" si="28"/>
        <v>0.20083373891928902</v>
      </c>
      <c r="X27" s="29">
        <f t="shared" si="14"/>
        <v>-1.0899469497205674</v>
      </c>
      <c r="Y27">
        <f t="shared" si="29"/>
        <v>1.2274294918513888E-2</v>
      </c>
      <c r="Z27" s="29">
        <f t="shared" si="16"/>
        <v>-1.1004119589166308</v>
      </c>
      <c r="AA27">
        <f t="shared" si="30"/>
        <v>1.470263587138579E-2</v>
      </c>
      <c r="AB27">
        <f t="shared" si="31"/>
        <v>-1.28581860414819</v>
      </c>
      <c r="AC27">
        <f t="shared" si="32"/>
        <v>9.4041012727238665E-2</v>
      </c>
      <c r="AD27">
        <f t="shared" si="33"/>
        <v>0</v>
      </c>
      <c r="AE27">
        <f t="shared" si="34"/>
        <v>0.95874947388949183</v>
      </c>
      <c r="AF27">
        <f t="shared" si="35"/>
        <v>-1.4875631221549301</v>
      </c>
      <c r="AG27">
        <f t="shared" si="36"/>
        <v>0.25847624336495384</v>
      </c>
    </row>
    <row r="28" spans="1:33" x14ac:dyDescent="0.35">
      <c r="R28">
        <f t="shared" si="24"/>
        <v>-2.2321583138600878</v>
      </c>
      <c r="S28">
        <f t="shared" si="25"/>
        <v>1.6956162743549466</v>
      </c>
      <c r="T28">
        <f t="shared" si="26"/>
        <v>-2.2273779483512497</v>
      </c>
      <c r="U28">
        <f t="shared" si="27"/>
        <v>1.6831895408680975</v>
      </c>
      <c r="V28">
        <f t="shared" si="12"/>
        <v>-2.055315322414339</v>
      </c>
      <c r="W28">
        <f t="shared" si="28"/>
        <v>1.2663345748604873</v>
      </c>
      <c r="X28" s="29">
        <f t="shared" si="14"/>
        <v>-2.3279087061908763</v>
      </c>
      <c r="Y28">
        <f t="shared" si="29"/>
        <v>1.9541487508442492</v>
      </c>
      <c r="Z28" s="29">
        <f t="shared" si="16"/>
        <v>-2.3267031008117804</v>
      </c>
      <c r="AA28">
        <f t="shared" si="30"/>
        <v>1.9507795518172422</v>
      </c>
      <c r="AB28">
        <f t="shared" si="31"/>
        <v>-2.1945496713193036</v>
      </c>
      <c r="AC28">
        <f t="shared" si="32"/>
        <v>1.5990858712337583</v>
      </c>
      <c r="AD28">
        <f t="shared" si="33"/>
        <v>0</v>
      </c>
      <c r="AE28">
        <f t="shared" si="34"/>
        <v>0.86490000000000011</v>
      </c>
      <c r="AF28">
        <f t="shared" si="35"/>
        <v>-1.7850757465859162</v>
      </c>
      <c r="AG28">
        <f t="shared" si="36"/>
        <v>0.73115453239946182</v>
      </c>
    </row>
    <row r="29" spans="1:33" x14ac:dyDescent="0.35">
      <c r="R29">
        <f t="shared" si="24"/>
        <v>-2.2321583138600878</v>
      </c>
      <c r="S29">
        <f t="shared" si="25"/>
        <v>1.3974982790285257</v>
      </c>
      <c r="T29">
        <f t="shared" si="26"/>
        <v>-2.2273779483512497</v>
      </c>
      <c r="U29">
        <f t="shared" si="27"/>
        <v>1.3862188332637979</v>
      </c>
      <c r="V29">
        <f t="shared" si="12"/>
        <v>-2.055315322414339</v>
      </c>
      <c r="W29">
        <f t="shared" si="28"/>
        <v>1.0106588974810462</v>
      </c>
      <c r="X29" s="29">
        <f t="shared" si="14"/>
        <v>-2.3279087061908763</v>
      </c>
      <c r="Y29">
        <f t="shared" si="29"/>
        <v>1.6330506613584392</v>
      </c>
      <c r="Z29" s="29">
        <f t="shared" si="16"/>
        <v>-2.3267031008117804</v>
      </c>
      <c r="AA29">
        <f t="shared" si="30"/>
        <v>1.6299708076224151</v>
      </c>
      <c r="AB29">
        <f t="shared" si="31"/>
        <v>-2.1945496713193036</v>
      </c>
      <c r="AC29">
        <f t="shared" si="32"/>
        <v>1.3099939501171256</v>
      </c>
      <c r="AD29">
        <f t="shared" si="33"/>
        <v>0</v>
      </c>
      <c r="AE29">
        <f t="shared" si="34"/>
        <v>1.1025</v>
      </c>
      <c r="AF29">
        <f t="shared" si="35"/>
        <v>-1.7850757465859162</v>
      </c>
      <c r="AG29">
        <f t="shared" si="36"/>
        <v>0.54033635321884199</v>
      </c>
    </row>
    <row r="30" spans="1:33" x14ac:dyDescent="0.35">
      <c r="R30">
        <f t="shared" si="24"/>
        <v>-2.2321583138600878</v>
      </c>
      <c r="S30">
        <f t="shared" si="25"/>
        <v>7.1739168834271241E-2</v>
      </c>
      <c r="T30">
        <f t="shared" si="26"/>
        <v>-2.2273779483512497</v>
      </c>
      <c r="U30">
        <f t="shared" si="27"/>
        <v>7.4322783045173882E-2</v>
      </c>
      <c r="V30">
        <f t="shared" si="12"/>
        <v>-2.055315322414339</v>
      </c>
      <c r="W30">
        <f t="shared" si="28"/>
        <v>0.19774446247946326</v>
      </c>
      <c r="X30" s="29">
        <f t="shared" si="14"/>
        <v>-2.3279087061908763</v>
      </c>
      <c r="Y30">
        <f t="shared" si="29"/>
        <v>2.9615413404898133E-2</v>
      </c>
      <c r="Z30" s="29">
        <f t="shared" si="16"/>
        <v>-2.3267031008117804</v>
      </c>
      <c r="AA30">
        <f t="shared" si="30"/>
        <v>3.0031815268251931E-2</v>
      </c>
      <c r="AB30">
        <f t="shared" si="31"/>
        <v>-2.1945496713193036</v>
      </c>
      <c r="AC30">
        <f t="shared" si="32"/>
        <v>9.3299903291145486E-2</v>
      </c>
      <c r="AD30">
        <f t="shared" si="33"/>
        <v>0</v>
      </c>
      <c r="AE30">
        <f t="shared" si="34"/>
        <v>6.25</v>
      </c>
      <c r="AF30">
        <f t="shared" si="35"/>
        <v>-1.7850757465859162</v>
      </c>
      <c r="AG30">
        <f t="shared" si="36"/>
        <v>0.51111668811968514</v>
      </c>
    </row>
    <row r="31" spans="1:33" x14ac:dyDescent="0.35">
      <c r="R31">
        <f t="shared" si="24"/>
        <v>-2.7002166349803165</v>
      </c>
      <c r="S31">
        <f t="shared" si="25"/>
        <v>5.8240582752416277</v>
      </c>
      <c r="T31">
        <f t="shared" si="26"/>
        <v>-2.605925052946422</v>
      </c>
      <c r="U31">
        <f t="shared" si="27"/>
        <v>6.2880585445151507</v>
      </c>
      <c r="V31">
        <f t="shared" si="12"/>
        <v>-2.3384921001692036</v>
      </c>
      <c r="W31">
        <f t="shared" si="28"/>
        <v>7.7008087571823269</v>
      </c>
      <c r="X31" s="29">
        <f t="shared" si="14"/>
        <v>-3.1980579633928041</v>
      </c>
      <c r="Y31">
        <f t="shared" si="29"/>
        <v>3.6690147704264335</v>
      </c>
      <c r="Z31" s="29">
        <f t="shared" si="16"/>
        <v>-3.1276123249495642</v>
      </c>
      <c r="AA31">
        <f t="shared" si="30"/>
        <v>3.9438499845226156</v>
      </c>
      <c r="AB31">
        <f t="shared" si="31"/>
        <v>-2.7058870084306985</v>
      </c>
      <c r="AC31">
        <f t="shared" si="32"/>
        <v>5.796721706641053</v>
      </c>
      <c r="AD31">
        <f t="shared" si="33"/>
        <v>0</v>
      </c>
      <c r="AE31">
        <f t="shared" si="34"/>
        <v>26.148140066902467</v>
      </c>
      <c r="AF31">
        <f t="shared" si="35"/>
        <v>-1.9040807963583106</v>
      </c>
      <c r="AG31">
        <f t="shared" si="36"/>
        <v>10.300533440237032</v>
      </c>
    </row>
    <row r="32" spans="1:33" x14ac:dyDescent="0.35">
      <c r="R32">
        <f t="shared" si="24"/>
        <v>-0.39421855623469781</v>
      </c>
      <c r="S32">
        <f t="shared" si="25"/>
        <v>1.1189713845071789E-2</v>
      </c>
      <c r="T32">
        <f t="shared" si="26"/>
        <v>-0.18322358353732104</v>
      </c>
      <c r="U32">
        <f t="shared" si="27"/>
        <v>0.10034729802693662</v>
      </c>
      <c r="V32">
        <f t="shared" si="12"/>
        <v>-0.84185715606091316</v>
      </c>
      <c r="W32">
        <f t="shared" si="28"/>
        <v>0.11686631515005554</v>
      </c>
      <c r="X32" s="29">
        <f t="shared" si="14"/>
        <v>-0.48992670492831308</v>
      </c>
      <c r="Y32">
        <f t="shared" si="29"/>
        <v>1.0147127360127192E-4</v>
      </c>
      <c r="Z32" s="29">
        <f t="shared" si="16"/>
        <v>-0.46441824247906216</v>
      </c>
      <c r="AA32">
        <f t="shared" si="30"/>
        <v>1.2660614682788165E-3</v>
      </c>
      <c r="AB32">
        <f t="shared" si="31"/>
        <v>-0.66932266809980612</v>
      </c>
      <c r="AC32">
        <f t="shared" si="32"/>
        <v>2.8670165932437101E-2</v>
      </c>
      <c r="AD32">
        <f t="shared" si="33"/>
        <v>0</v>
      </c>
      <c r="AE32">
        <f t="shared" si="34"/>
        <v>0.25</v>
      </c>
      <c r="AF32">
        <f t="shared" si="35"/>
        <v>-1.1424484778149864</v>
      </c>
      <c r="AG32">
        <f t="shared" si="36"/>
        <v>0.41274004664679304</v>
      </c>
    </row>
    <row r="33" spans="8:33" x14ac:dyDescent="0.35">
      <c r="R33">
        <f t="shared" si="24"/>
        <v>-2.0345513923483618</v>
      </c>
      <c r="S33">
        <f t="shared" si="25"/>
        <v>5.5014355652555136E-2</v>
      </c>
      <c r="T33">
        <f t="shared" si="26"/>
        <v>-2.0570317512834215</v>
      </c>
      <c r="U33">
        <f t="shared" si="27"/>
        <v>6.6065321167822641E-2</v>
      </c>
      <c r="V33">
        <f t="shared" si="12"/>
        <v>-1.9338461868596508</v>
      </c>
      <c r="W33">
        <f t="shared" si="28"/>
        <v>1.791480173686855E-2</v>
      </c>
      <c r="X33" s="29">
        <f t="shared" si="14"/>
        <v>-2.0217979355846145</v>
      </c>
      <c r="Y33">
        <f t="shared" si="29"/>
        <v>4.9194324229596791E-2</v>
      </c>
      <c r="Z33" s="29">
        <f t="shared" si="16"/>
        <v>-2.0344969100244565</v>
      </c>
      <c r="AA33">
        <f t="shared" si="30"/>
        <v>5.4988800811018042E-2</v>
      </c>
      <c r="AB33">
        <f t="shared" si="31"/>
        <v>-1.9957707631545472</v>
      </c>
      <c r="AC33">
        <f t="shared" si="32"/>
        <v>3.8326191706113781E-2</v>
      </c>
      <c r="AD33">
        <f t="shared" si="33"/>
        <v>0</v>
      </c>
      <c r="AE33">
        <f t="shared" si="34"/>
        <v>3.24</v>
      </c>
      <c r="AF33">
        <f t="shared" si="35"/>
        <v>-1.7315234741883385</v>
      </c>
      <c r="AG33">
        <f t="shared" si="36"/>
        <v>4.6890345872351476E-3</v>
      </c>
    </row>
    <row r="34" spans="8:33" x14ac:dyDescent="0.35">
      <c r="R34">
        <f t="shared" si="24"/>
        <v>-2.0130938923716721</v>
      </c>
      <c r="S34">
        <f t="shared" si="25"/>
        <v>1.7145001744093367E-4</v>
      </c>
      <c r="T34">
        <f t="shared" si="26"/>
        <v>-2.0381043960536633</v>
      </c>
      <c r="U34">
        <f t="shared" si="27"/>
        <v>1.4519449986144341E-3</v>
      </c>
      <c r="V34">
        <f t="shared" si="12"/>
        <v>-1.9205779846116211</v>
      </c>
      <c r="W34">
        <f t="shared" si="28"/>
        <v>6.3078565283518941E-3</v>
      </c>
      <c r="X34" s="29">
        <f t="shared" si="14"/>
        <v>-1.9905641211372462</v>
      </c>
      <c r="Y34">
        <f t="shared" si="29"/>
        <v>8.9035809912563302E-5</v>
      </c>
      <c r="Z34" s="29">
        <f t="shared" si="16"/>
        <v>-2.0043230679715651</v>
      </c>
      <c r="AA34">
        <f t="shared" si="30"/>
        <v>1.8688916686772159E-5</v>
      </c>
      <c r="AB34">
        <f t="shared" si="31"/>
        <v>-1.9747683928090562</v>
      </c>
      <c r="AC34">
        <f t="shared" si="32"/>
        <v>6.3663400143808432E-4</v>
      </c>
      <c r="AD34">
        <f t="shared" si="33"/>
        <v>0</v>
      </c>
      <c r="AE34">
        <f t="shared" si="34"/>
        <v>4</v>
      </c>
      <c r="AF34">
        <f t="shared" si="35"/>
        <v>-1.7255732216997188</v>
      </c>
      <c r="AG34">
        <f t="shared" si="36"/>
        <v>7.5310056648271673E-2</v>
      </c>
    </row>
    <row r="39" spans="8:33" ht="15" thickBot="1" x14ac:dyDescent="0.4"/>
    <row r="40" spans="8:33" x14ac:dyDescent="0.35">
      <c r="H40" s="5"/>
      <c r="I40" s="5"/>
      <c r="R40" s="5"/>
      <c r="S40" s="5"/>
    </row>
    <row r="41" spans="8:33" x14ac:dyDescent="0.35">
      <c r="H41" s="2"/>
      <c r="I41" s="2"/>
      <c r="R41" s="2"/>
      <c r="S41" s="2"/>
    </row>
    <row r="42" spans="8:33" x14ac:dyDescent="0.35">
      <c r="H42" s="2"/>
      <c r="I42" s="2"/>
      <c r="R42" s="2"/>
      <c r="S42" s="2"/>
    </row>
    <row r="43" spans="8:33" x14ac:dyDescent="0.35">
      <c r="H43" s="2"/>
      <c r="I43" s="2"/>
      <c r="R43" s="2"/>
      <c r="S43" s="2"/>
    </row>
    <row r="44" spans="8:33" x14ac:dyDescent="0.35">
      <c r="H44" s="2"/>
      <c r="I44" s="2"/>
      <c r="R44" s="2"/>
      <c r="S44" s="2"/>
    </row>
    <row r="45" spans="8:33" ht="15" thickBot="1" x14ac:dyDescent="0.4">
      <c r="H45" s="3"/>
      <c r="I45" s="3"/>
      <c r="R45" s="3"/>
      <c r="S45" s="3"/>
    </row>
    <row r="47" spans="8:33" ht="15" thickBot="1" x14ac:dyDescent="0.4"/>
    <row r="48" spans="8:33" x14ac:dyDescent="0.35">
      <c r="H48" s="4"/>
      <c r="I48" s="4"/>
      <c r="J48" s="4"/>
      <c r="K48" s="4"/>
      <c r="L48" s="4"/>
      <c r="M48" s="4"/>
      <c r="R48" s="4"/>
      <c r="S48" s="4"/>
      <c r="T48" s="4"/>
      <c r="U48" s="4"/>
      <c r="V48" s="4"/>
      <c r="W48" s="4"/>
    </row>
    <row r="49" spans="8:26" x14ac:dyDescent="0.35">
      <c r="H49" s="2"/>
      <c r="I49" s="2"/>
      <c r="J49" s="2"/>
      <c r="K49" s="2"/>
      <c r="L49" s="2"/>
      <c r="M49" s="2"/>
      <c r="R49" s="2"/>
      <c r="S49" s="2"/>
      <c r="T49" s="2"/>
      <c r="U49" s="2"/>
      <c r="V49" s="2"/>
      <c r="W49" s="2"/>
    </row>
    <row r="50" spans="8:26" x14ac:dyDescent="0.35">
      <c r="H50" s="2"/>
      <c r="I50" s="2"/>
      <c r="J50" s="2"/>
      <c r="K50" s="2"/>
      <c r="L50" s="2"/>
      <c r="M50" s="2"/>
      <c r="R50" s="2"/>
      <c r="S50" s="2"/>
      <c r="T50" s="2"/>
      <c r="U50" s="2"/>
      <c r="V50" s="2"/>
      <c r="W50" s="2"/>
    </row>
    <row r="51" spans="8:26" ht="15" thickBot="1" x14ac:dyDescent="0.4">
      <c r="H51" s="3"/>
      <c r="I51" s="3"/>
      <c r="J51" s="3"/>
      <c r="K51" s="3"/>
      <c r="L51" s="3"/>
      <c r="M51" s="3"/>
      <c r="R51" s="3"/>
      <c r="S51" s="3"/>
      <c r="T51" s="3"/>
      <c r="U51" s="3"/>
      <c r="V51" s="3"/>
      <c r="W51" s="3"/>
    </row>
    <row r="52" spans="8:26" ht="15" thickBot="1" x14ac:dyDescent="0.4"/>
    <row r="53" spans="8:26" x14ac:dyDescent="0.35">
      <c r="H53" s="4"/>
      <c r="I53" s="4"/>
      <c r="J53" s="4"/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W53" s="4"/>
      <c r="X53" s="4"/>
      <c r="Y53" s="4"/>
      <c r="Z53" s="4"/>
    </row>
    <row r="54" spans="8:26" x14ac:dyDescent="0.35">
      <c r="H54" s="2"/>
      <c r="I54" s="2"/>
      <c r="J54" s="2"/>
      <c r="K54" s="2"/>
      <c r="L54" s="2"/>
      <c r="M54" s="2"/>
      <c r="N54" s="2"/>
      <c r="O54" s="2"/>
      <c r="P54" s="2"/>
      <c r="R54" s="2"/>
      <c r="S54" s="2"/>
      <c r="T54" s="2"/>
      <c r="U54" s="2"/>
      <c r="V54" s="2"/>
      <c r="W54" s="2"/>
      <c r="X54" s="2"/>
      <c r="Y54" s="2"/>
      <c r="Z54" s="2"/>
    </row>
    <row r="55" spans="8:26" ht="15" thickBot="1" x14ac:dyDescent="0.4">
      <c r="H55" s="3"/>
      <c r="I55" s="3"/>
      <c r="J55" s="3"/>
      <c r="K55" s="3"/>
      <c r="L55" s="3"/>
      <c r="M55" s="3"/>
      <c r="N55" s="3"/>
      <c r="O55" s="3"/>
      <c r="P55" s="3"/>
      <c r="R55" s="3"/>
      <c r="S55" s="3"/>
      <c r="T55" s="3"/>
      <c r="U55" s="3"/>
      <c r="V55" s="3"/>
      <c r="W55" s="3"/>
      <c r="X55" s="3"/>
      <c r="Y55" s="3"/>
      <c r="Z55" s="3"/>
    </row>
    <row r="58" spans="8:26" x14ac:dyDescent="0.35">
      <c r="H58" t="s">
        <v>22</v>
      </c>
    </row>
    <row r="59" spans="8:26" ht="15" thickBot="1" x14ac:dyDescent="0.4">
      <c r="H59" t="s">
        <v>687</v>
      </c>
    </row>
    <row r="60" spans="8:26" ht="15" thickBot="1" x14ac:dyDescent="0.4">
      <c r="H60" s="5" t="s">
        <v>23</v>
      </c>
      <c r="I60" s="5"/>
    </row>
    <row r="61" spans="8:26" x14ac:dyDescent="0.35">
      <c r="H61" s="2" t="s">
        <v>24</v>
      </c>
      <c r="I61" s="2">
        <v>0.80945296625955665</v>
      </c>
      <c r="R61" s="5"/>
      <c r="S61" s="5"/>
    </row>
    <row r="62" spans="8:26" x14ac:dyDescent="0.35">
      <c r="H62" s="2" t="s">
        <v>25</v>
      </c>
      <c r="I62" s="2">
        <v>0.65521410458639495</v>
      </c>
      <c r="R62" s="2"/>
      <c r="S62" s="2"/>
    </row>
    <row r="63" spans="8:26" x14ac:dyDescent="0.35">
      <c r="H63" s="2" t="s">
        <v>26</v>
      </c>
      <c r="I63" s="2">
        <v>0.61354743791972821</v>
      </c>
      <c r="R63" s="2"/>
      <c r="S63" s="2"/>
    </row>
    <row r="64" spans="8:26" x14ac:dyDescent="0.35">
      <c r="H64" s="2" t="s">
        <v>27</v>
      </c>
      <c r="I64" s="2">
        <v>1.1608353125687763</v>
      </c>
      <c r="R64" s="2"/>
      <c r="S64" s="2"/>
    </row>
    <row r="65" spans="8:26" ht="15" thickBot="1" x14ac:dyDescent="0.4">
      <c r="H65" s="3" t="s">
        <v>28</v>
      </c>
      <c r="I65" s="3">
        <v>25</v>
      </c>
      <c r="R65" s="2"/>
      <c r="S65" s="2"/>
    </row>
    <row r="66" spans="8:26" ht="15" thickBot="1" x14ac:dyDescent="0.4">
      <c r="R66" s="3"/>
      <c r="S66" s="3"/>
    </row>
    <row r="67" spans="8:26" ht="15" thickBot="1" x14ac:dyDescent="0.4">
      <c r="H67" t="s">
        <v>29</v>
      </c>
    </row>
    <row r="68" spans="8:26" ht="15" thickBot="1" x14ac:dyDescent="0.4">
      <c r="H68" s="4"/>
      <c r="I68" s="4" t="s">
        <v>34</v>
      </c>
      <c r="J68" s="4" t="s">
        <v>35</v>
      </c>
      <c r="K68" s="4" t="s">
        <v>36</v>
      </c>
      <c r="L68" s="4" t="s">
        <v>37</v>
      </c>
      <c r="M68" s="4" t="s">
        <v>38</v>
      </c>
    </row>
    <row r="69" spans="8:26" x14ac:dyDescent="0.35">
      <c r="H69" s="2" t="s">
        <v>30</v>
      </c>
      <c r="I69" s="2">
        <v>1</v>
      </c>
      <c r="J69" s="2">
        <v>61.459101937626912</v>
      </c>
      <c r="K69" s="2">
        <v>61.459101937626912</v>
      </c>
      <c r="L69" s="2">
        <v>45.608415887226506</v>
      </c>
      <c r="M69" s="2">
        <v>6.8891375933642595E-7</v>
      </c>
      <c r="R69" s="4"/>
      <c r="S69" s="4"/>
      <c r="T69" s="4"/>
      <c r="U69" s="4"/>
      <c r="V69" s="4"/>
      <c r="W69" s="4"/>
    </row>
    <row r="70" spans="8:26" x14ac:dyDescent="0.35">
      <c r="H70" s="2" t="s">
        <v>31</v>
      </c>
      <c r="I70" s="2">
        <v>24</v>
      </c>
      <c r="J70" s="2">
        <v>32.340926949759563</v>
      </c>
      <c r="K70" s="2">
        <v>1.3475386229066484</v>
      </c>
      <c r="L70" s="2"/>
      <c r="M70" s="2"/>
      <c r="R70" s="2"/>
      <c r="S70" s="2"/>
      <c r="T70" s="2"/>
      <c r="U70" s="2"/>
      <c r="V70" s="2"/>
      <c r="W70" s="2"/>
    </row>
    <row r="71" spans="8:26" ht="15" thickBot="1" x14ac:dyDescent="0.4">
      <c r="H71" s="3" t="s">
        <v>32</v>
      </c>
      <c r="I71" s="3">
        <v>25</v>
      </c>
      <c r="J71" s="3">
        <v>93.800028887386475</v>
      </c>
      <c r="K71" s="3"/>
      <c r="L71" s="3"/>
      <c r="M71" s="3"/>
      <c r="R71" s="2"/>
      <c r="S71" s="2"/>
      <c r="T71" s="2"/>
      <c r="U71" s="2"/>
      <c r="V71" s="2"/>
      <c r="W71" s="2"/>
    </row>
    <row r="72" spans="8:26" ht="15" thickBot="1" x14ac:dyDescent="0.4">
      <c r="R72" s="3"/>
      <c r="S72" s="3"/>
      <c r="T72" s="3"/>
      <c r="U72" s="3"/>
      <c r="V72" s="3"/>
      <c r="W72" s="3"/>
    </row>
    <row r="73" spans="8:26" ht="15" thickBot="1" x14ac:dyDescent="0.4">
      <c r="H73" s="4"/>
      <c r="I73" s="4" t="s">
        <v>39</v>
      </c>
      <c r="J73" s="4" t="s">
        <v>27</v>
      </c>
      <c r="K73" s="4" t="s">
        <v>40</v>
      </c>
      <c r="L73" s="4" t="s">
        <v>41</v>
      </c>
      <c r="M73" s="4" t="s">
        <v>42</v>
      </c>
      <c r="N73" s="4" t="s">
        <v>43</v>
      </c>
      <c r="O73" s="4" t="s">
        <v>44</v>
      </c>
      <c r="P73" s="4" t="s">
        <v>45</v>
      </c>
    </row>
    <row r="74" spans="8:26" x14ac:dyDescent="0.35">
      <c r="H74" s="2" t="s">
        <v>33</v>
      </c>
      <c r="I74" s="2">
        <v>0</v>
      </c>
      <c r="J74" s="2" t="e">
        <v>#N/A</v>
      </c>
      <c r="K74" s="2" t="e">
        <v>#N/A</v>
      </c>
      <c r="L74" s="2" t="e">
        <v>#N/A</v>
      </c>
      <c r="M74" s="2" t="e">
        <v>#N/A</v>
      </c>
      <c r="N74" s="2" t="e">
        <v>#N/A</v>
      </c>
      <c r="O74" s="2" t="e">
        <v>#N/A</v>
      </c>
      <c r="P74" s="2" t="e">
        <v>#N/A</v>
      </c>
      <c r="R74" s="4"/>
      <c r="S74" s="4"/>
      <c r="T74" s="4"/>
      <c r="U74" s="4"/>
      <c r="V74" s="4"/>
      <c r="W74" s="4"/>
      <c r="X74" s="4"/>
      <c r="Y74" s="4"/>
      <c r="Z74" s="4"/>
    </row>
    <row r="75" spans="8:26" ht="15" thickBot="1" x14ac:dyDescent="0.4">
      <c r="H75" s="3" t="s">
        <v>46</v>
      </c>
      <c r="I75" s="3">
        <v>-0.22836836915714875</v>
      </c>
      <c r="J75" s="3">
        <v>3.3815316481121127E-2</v>
      </c>
      <c r="K75" s="3">
        <v>-6.753400320373915</v>
      </c>
      <c r="L75" s="3">
        <v>5.5118816214853099E-7</v>
      </c>
      <c r="M75" s="3">
        <v>-0.29815975220353108</v>
      </c>
      <c r="N75" s="3">
        <v>-0.1585769861107664</v>
      </c>
      <c r="O75" s="3">
        <v>-0.29815975220353108</v>
      </c>
      <c r="P75" s="3">
        <v>-0.1585769861107664</v>
      </c>
      <c r="R75" s="2"/>
      <c r="S75" s="2"/>
      <c r="T75" s="2"/>
      <c r="U75" s="2"/>
      <c r="V75" s="2"/>
      <c r="W75" s="2"/>
      <c r="X75" s="2"/>
      <c r="Y75" s="2"/>
      <c r="Z75" s="2"/>
    </row>
    <row r="76" spans="8:26" ht="15" thickBot="1" x14ac:dyDescent="0.4">
      <c r="R76" s="3"/>
      <c r="S76" s="3"/>
      <c r="T76" s="3"/>
      <c r="U76" s="3"/>
      <c r="V76" s="3"/>
      <c r="W76" s="3"/>
      <c r="X76" s="3"/>
      <c r="Y76" s="3"/>
      <c r="Z76" s="3"/>
    </row>
    <row r="77" spans="8:26" x14ac:dyDescent="0.35">
      <c r="H77" t="s">
        <v>22</v>
      </c>
    </row>
    <row r="78" spans="8:26" ht="15" thickBot="1" x14ac:dyDescent="0.4">
      <c r="H78" t="s">
        <v>688</v>
      </c>
    </row>
    <row r="79" spans="8:26" x14ac:dyDescent="0.35">
      <c r="H79" s="5" t="s">
        <v>23</v>
      </c>
      <c r="I79" s="5"/>
    </row>
    <row r="80" spans="8:26" x14ac:dyDescent="0.35">
      <c r="H80" s="2" t="s">
        <v>24</v>
      </c>
      <c r="I80" s="2">
        <v>0.8265072326100128</v>
      </c>
    </row>
    <row r="81" spans="8:16" x14ac:dyDescent="0.35">
      <c r="H81" s="2" t="s">
        <v>25</v>
      </c>
      <c r="I81" s="2">
        <v>0.6831142055566618</v>
      </c>
    </row>
    <row r="82" spans="8:16" x14ac:dyDescent="0.35">
      <c r="H82" s="2" t="s">
        <v>26</v>
      </c>
      <c r="I82" s="2">
        <v>0.62585830145042975</v>
      </c>
    </row>
    <row r="83" spans="8:16" x14ac:dyDescent="0.35">
      <c r="H83" s="2" t="s">
        <v>27</v>
      </c>
      <c r="I83" s="2">
        <v>1.1368127961979748</v>
      </c>
    </row>
    <row r="84" spans="8:16" ht="15" thickBot="1" x14ac:dyDescent="0.4">
      <c r="H84" s="3" t="s">
        <v>28</v>
      </c>
      <c r="I84" s="3">
        <v>25</v>
      </c>
    </row>
    <row r="86" spans="8:16" ht="15" thickBot="1" x14ac:dyDescent="0.4">
      <c r="H86" t="s">
        <v>29</v>
      </c>
    </row>
    <row r="87" spans="8:16" x14ac:dyDescent="0.35">
      <c r="H87" s="4"/>
      <c r="I87" s="4" t="s">
        <v>34</v>
      </c>
      <c r="J87" s="4" t="s">
        <v>35</v>
      </c>
      <c r="K87" s="4" t="s">
        <v>36</v>
      </c>
      <c r="L87" s="4" t="s">
        <v>37</v>
      </c>
      <c r="M87" s="4" t="s">
        <v>38</v>
      </c>
    </row>
    <row r="88" spans="8:16" x14ac:dyDescent="0.35">
      <c r="H88" s="2" t="s">
        <v>30</v>
      </c>
      <c r="I88" s="2">
        <v>2</v>
      </c>
      <c r="J88" s="2">
        <v>64.076132214598942</v>
      </c>
      <c r="K88" s="2">
        <v>32.038066107299471</v>
      </c>
      <c r="L88" s="2">
        <v>24.790676962031807</v>
      </c>
      <c r="M88" s="2">
        <v>2.3112690013862423E-6</v>
      </c>
    </row>
    <row r="89" spans="8:16" x14ac:dyDescent="0.35">
      <c r="H89" s="2" t="s">
        <v>31</v>
      </c>
      <c r="I89" s="2">
        <v>23</v>
      </c>
      <c r="J89" s="2">
        <v>29.723896672787536</v>
      </c>
      <c r="K89" s="2">
        <v>1.2923433335994581</v>
      </c>
      <c r="L89" s="2"/>
      <c r="M89" s="2"/>
    </row>
    <row r="90" spans="8:16" ht="15" thickBot="1" x14ac:dyDescent="0.4">
      <c r="H90" s="3" t="s">
        <v>32</v>
      </c>
      <c r="I90" s="3">
        <v>25</v>
      </c>
      <c r="J90" s="3">
        <v>93.800028887386475</v>
      </c>
      <c r="K90" s="3"/>
      <c r="L90" s="3"/>
      <c r="M90" s="3"/>
    </row>
    <row r="91" spans="8:16" ht="15" thickBot="1" x14ac:dyDescent="0.4"/>
    <row r="92" spans="8:16" x14ac:dyDescent="0.35">
      <c r="H92" s="4"/>
      <c r="I92" s="4" t="s">
        <v>39</v>
      </c>
      <c r="J92" s="4" t="s">
        <v>27</v>
      </c>
      <c r="K92" s="4" t="s">
        <v>40</v>
      </c>
      <c r="L92" s="4" t="s">
        <v>41</v>
      </c>
      <c r="M92" s="4" t="s">
        <v>42</v>
      </c>
      <c r="N92" s="4" t="s">
        <v>43</v>
      </c>
      <c r="O92" s="4" t="s">
        <v>44</v>
      </c>
      <c r="P92" s="4" t="s">
        <v>45</v>
      </c>
    </row>
    <row r="93" spans="8:16" x14ac:dyDescent="0.35">
      <c r="H93" s="2" t="s">
        <v>33</v>
      </c>
      <c r="I93" s="2">
        <v>0</v>
      </c>
      <c r="J93" s="2" t="e">
        <v>#N/A</v>
      </c>
      <c r="K93" s="2" t="e">
        <v>#N/A</v>
      </c>
      <c r="L93" s="2" t="e">
        <v>#N/A</v>
      </c>
      <c r="M93" s="2" t="e">
        <v>#N/A</v>
      </c>
      <c r="N93" s="2" t="e">
        <v>#N/A</v>
      </c>
      <c r="O93" s="2" t="e">
        <v>#N/A</v>
      </c>
      <c r="P93" s="2" t="e">
        <v>#N/A</v>
      </c>
    </row>
    <row r="94" spans="8:16" x14ac:dyDescent="0.35">
      <c r="H94" s="2" t="s">
        <v>46</v>
      </c>
      <c r="I94" s="2">
        <v>-0.11777397610627538</v>
      </c>
      <c r="J94" s="2">
        <v>8.4478500716571717E-2</v>
      </c>
      <c r="K94" s="2">
        <v>-1.3941295726993443</v>
      </c>
      <c r="L94" s="2">
        <v>0.17660186588350682</v>
      </c>
      <c r="M94" s="2">
        <v>-0.29253106953040253</v>
      </c>
      <c r="N94" s="2">
        <v>5.69831173178518E-2</v>
      </c>
      <c r="O94" s="2">
        <v>-0.29253106953040253</v>
      </c>
      <c r="P94" s="2">
        <v>5.69831173178518E-2</v>
      </c>
    </row>
    <row r="95" spans="8:16" ht="15" thickBot="1" x14ac:dyDescent="0.4">
      <c r="H95" s="3" t="s">
        <v>47</v>
      </c>
      <c r="I95" s="28">
        <v>-5.7976356709391768E-4</v>
      </c>
      <c r="J95" s="3">
        <v>4.0741357941998782E-4</v>
      </c>
      <c r="K95" s="3">
        <v>-1.423034470081471</v>
      </c>
      <c r="L95" s="3">
        <v>0.16814953139010583</v>
      </c>
      <c r="M95" s="3">
        <v>-1.4225627687491412E-3</v>
      </c>
      <c r="N95" s="3">
        <v>2.6303563456130574E-4</v>
      </c>
      <c r="O95" s="3">
        <v>-1.4225627687491412E-3</v>
      </c>
      <c r="P95" s="3">
        <v>2.6303563456130574E-4</v>
      </c>
    </row>
    <row r="97" spans="8:16" x14ac:dyDescent="0.35">
      <c r="H97" t="s">
        <v>22</v>
      </c>
    </row>
    <row r="98" spans="8:16" ht="15" thickBot="1" x14ac:dyDescent="0.4">
      <c r="H98" t="s">
        <v>689</v>
      </c>
    </row>
    <row r="99" spans="8:16" x14ac:dyDescent="0.35">
      <c r="H99" s="5" t="s">
        <v>23</v>
      </c>
      <c r="I99" s="5"/>
    </row>
    <row r="100" spans="8:16" x14ac:dyDescent="0.35">
      <c r="H100" s="2" t="s">
        <v>24</v>
      </c>
      <c r="I100" s="2">
        <v>0.82547343925715566</v>
      </c>
    </row>
    <row r="101" spans="8:16" x14ac:dyDescent="0.35">
      <c r="H101" s="2" t="s">
        <v>25</v>
      </c>
      <c r="I101" s="2">
        <v>0.68140639891903698</v>
      </c>
    </row>
    <row r="102" spans="8:16" x14ac:dyDescent="0.35">
      <c r="H102" s="2" t="s">
        <v>26</v>
      </c>
      <c r="I102" s="2">
        <v>0.62407624235029946</v>
      </c>
    </row>
    <row r="103" spans="8:16" x14ac:dyDescent="0.35">
      <c r="H103" s="2" t="s">
        <v>27</v>
      </c>
      <c r="I103" s="2">
        <v>1.1398720176964723</v>
      </c>
    </row>
    <row r="104" spans="8:16" ht="15" thickBot="1" x14ac:dyDescent="0.4">
      <c r="H104" s="3" t="s">
        <v>28</v>
      </c>
      <c r="I104" s="3">
        <v>25</v>
      </c>
    </row>
    <row r="106" spans="8:16" ht="15" thickBot="1" x14ac:dyDescent="0.4">
      <c r="H106" t="s">
        <v>29</v>
      </c>
    </row>
    <row r="107" spans="8:16" x14ac:dyDescent="0.35">
      <c r="H107" s="4"/>
      <c r="I107" s="4" t="s">
        <v>34</v>
      </c>
      <c r="J107" s="4" t="s">
        <v>35</v>
      </c>
      <c r="K107" s="4" t="s">
        <v>36</v>
      </c>
      <c r="L107" s="4" t="s">
        <v>37</v>
      </c>
      <c r="M107" s="4" t="s">
        <v>38</v>
      </c>
    </row>
    <row r="108" spans="8:16" x14ac:dyDescent="0.35">
      <c r="H108" s="2" t="s">
        <v>30</v>
      </c>
      <c r="I108" s="2">
        <v>2</v>
      </c>
      <c r="J108" s="2">
        <v>63.915939902655666</v>
      </c>
      <c r="K108" s="2">
        <v>31.957969951327833</v>
      </c>
      <c r="L108" s="2">
        <v>24.596142424020464</v>
      </c>
      <c r="M108" s="2">
        <v>2.4540716780619667E-6</v>
      </c>
    </row>
    <row r="109" spans="8:16" x14ac:dyDescent="0.35">
      <c r="H109" s="2" t="s">
        <v>31</v>
      </c>
      <c r="I109" s="2">
        <v>23</v>
      </c>
      <c r="J109" s="2">
        <v>29.884088984730809</v>
      </c>
      <c r="K109" s="2">
        <v>1.2993082167274266</v>
      </c>
      <c r="L109" s="2"/>
      <c r="M109" s="2"/>
    </row>
    <row r="110" spans="8:16" ht="15" thickBot="1" x14ac:dyDescent="0.4">
      <c r="H110" s="3" t="s">
        <v>32</v>
      </c>
      <c r="I110" s="3">
        <v>25</v>
      </c>
      <c r="J110" s="3">
        <v>93.800028887386475</v>
      </c>
      <c r="K110" s="3"/>
      <c r="L110" s="3"/>
      <c r="M110" s="3"/>
    </row>
    <row r="111" spans="8:16" ht="15" thickBot="1" x14ac:dyDescent="0.4"/>
    <row r="112" spans="8:16" x14ac:dyDescent="0.35">
      <c r="H112" s="4"/>
      <c r="I112" s="4" t="s">
        <v>39</v>
      </c>
      <c r="J112" s="4" t="s">
        <v>27</v>
      </c>
      <c r="K112" s="4" t="s">
        <v>40</v>
      </c>
      <c r="L112" s="4" t="s">
        <v>41</v>
      </c>
      <c r="M112" s="4" t="s">
        <v>42</v>
      </c>
      <c r="N112" s="4" t="s">
        <v>43</v>
      </c>
      <c r="O112" s="4" t="s">
        <v>44</v>
      </c>
      <c r="P112" s="4" t="s">
        <v>45</v>
      </c>
    </row>
    <row r="113" spans="8:16" x14ac:dyDescent="0.35">
      <c r="H113" s="2" t="s">
        <v>33</v>
      </c>
      <c r="I113" s="2">
        <v>0</v>
      </c>
      <c r="J113" s="2" t="e">
        <v>#N/A</v>
      </c>
      <c r="K113" s="2" t="e">
        <v>#N/A</v>
      </c>
      <c r="L113" s="2" t="e">
        <v>#N/A</v>
      </c>
      <c r="M113" s="2" t="e">
        <v>#N/A</v>
      </c>
      <c r="N113" s="2" t="e">
        <v>#N/A</v>
      </c>
      <c r="O113" s="2" t="e">
        <v>#N/A</v>
      </c>
      <c r="P113" s="2" t="e">
        <v>#N/A</v>
      </c>
    </row>
    <row r="114" spans="8:16" x14ac:dyDescent="0.35">
      <c r="H114" s="2" t="s">
        <v>46</v>
      </c>
      <c r="I114" s="2">
        <v>-9.9262026196590566E-2</v>
      </c>
      <c r="J114" s="2">
        <v>9.9587758932077802E-2</v>
      </c>
      <c r="K114" s="2">
        <v>-0.99672918901900986</v>
      </c>
      <c r="L114" s="2">
        <v>0.32926742576307122</v>
      </c>
      <c r="M114" s="2">
        <v>-0.30527500161601095</v>
      </c>
      <c r="N114" s="2">
        <v>0.10675094922282981</v>
      </c>
      <c r="O114" s="2">
        <v>-0.30527500161601095</v>
      </c>
      <c r="P114" s="2">
        <v>0.10675094922282981</v>
      </c>
    </row>
    <row r="115" spans="8:16" ht="15" thickBot="1" x14ac:dyDescent="0.4">
      <c r="H115" s="3" t="s">
        <v>47</v>
      </c>
      <c r="I115" s="28">
        <v>-1.9661795130898013E-3</v>
      </c>
      <c r="J115" s="3">
        <v>1.4298517187937626E-3</v>
      </c>
      <c r="K115" s="3">
        <v>-1.3750932962115052</v>
      </c>
      <c r="L115" s="3">
        <v>0.1823504799664761</v>
      </c>
      <c r="M115" s="3">
        <v>-4.9240531529432764E-3</v>
      </c>
      <c r="N115" s="3">
        <v>9.9169412676367377E-4</v>
      </c>
      <c r="O115" s="3">
        <v>-4.9240531529432764E-3</v>
      </c>
      <c r="P115" s="3">
        <v>9.9169412676367377E-4</v>
      </c>
    </row>
    <row r="117" spans="8:16" x14ac:dyDescent="0.35">
      <c r="H117" t="s">
        <v>22</v>
      </c>
    </row>
    <row r="118" spans="8:16" ht="15" thickBot="1" x14ac:dyDescent="0.4">
      <c r="H118" t="s">
        <v>690</v>
      </c>
    </row>
    <row r="119" spans="8:16" x14ac:dyDescent="0.35">
      <c r="H119" s="5" t="s">
        <v>23</v>
      </c>
      <c r="I119" s="5"/>
    </row>
    <row r="120" spans="8:16" x14ac:dyDescent="0.35">
      <c r="H120" s="2" t="s">
        <v>24</v>
      </c>
      <c r="I120" s="2">
        <v>0.76935591015021487</v>
      </c>
    </row>
    <row r="121" spans="8:16" x14ac:dyDescent="0.35">
      <c r="H121" s="2" t="s">
        <v>25</v>
      </c>
      <c r="I121" s="2">
        <v>0.59190851648306553</v>
      </c>
    </row>
    <row r="122" spans="8:16" x14ac:dyDescent="0.35">
      <c r="H122" s="2" t="s">
        <v>26</v>
      </c>
      <c r="I122" s="2">
        <v>0.5502418498163989</v>
      </c>
    </row>
    <row r="123" spans="8:16" x14ac:dyDescent="0.35">
      <c r="H123" s="2" t="s">
        <v>27</v>
      </c>
      <c r="I123" s="2">
        <v>1.2629164815118887</v>
      </c>
    </row>
    <row r="124" spans="8:16" ht="15" thickBot="1" x14ac:dyDescent="0.4">
      <c r="H124" s="3" t="s">
        <v>28</v>
      </c>
      <c r="I124" s="3">
        <v>25</v>
      </c>
    </row>
    <row r="126" spans="8:16" ht="15" thickBot="1" x14ac:dyDescent="0.4">
      <c r="H126" t="s">
        <v>29</v>
      </c>
    </row>
    <row r="127" spans="8:16" x14ac:dyDescent="0.35">
      <c r="H127" s="4"/>
      <c r="I127" s="4" t="s">
        <v>34</v>
      </c>
      <c r="J127" s="4" t="s">
        <v>35</v>
      </c>
      <c r="K127" s="4" t="s">
        <v>36</v>
      </c>
      <c r="L127" s="4" t="s">
        <v>37</v>
      </c>
      <c r="M127" s="4" t="s">
        <v>38</v>
      </c>
    </row>
    <row r="128" spans="8:16" x14ac:dyDescent="0.35">
      <c r="H128" s="2" t="s">
        <v>30</v>
      </c>
      <c r="I128" s="2">
        <v>1</v>
      </c>
      <c r="J128" s="2">
        <v>55.521035944801625</v>
      </c>
      <c r="K128" s="2">
        <v>55.521035944801625</v>
      </c>
      <c r="L128" s="2">
        <v>34.810342703473943</v>
      </c>
      <c r="M128" s="2">
        <v>5.1577276135875722E-6</v>
      </c>
    </row>
    <row r="129" spans="8:16" x14ac:dyDescent="0.35">
      <c r="H129" s="2" t="s">
        <v>31</v>
      </c>
      <c r="I129" s="2">
        <v>24</v>
      </c>
      <c r="J129" s="2">
        <v>38.27899294258485</v>
      </c>
      <c r="K129" s="2">
        <v>1.5949580392743687</v>
      </c>
      <c r="L129" s="2"/>
      <c r="M129" s="2"/>
    </row>
    <row r="130" spans="8:16" ht="15" thickBot="1" x14ac:dyDescent="0.4">
      <c r="H130" s="3" t="s">
        <v>32</v>
      </c>
      <c r="I130" s="3">
        <v>25</v>
      </c>
      <c r="J130" s="3">
        <v>93.800028887386475</v>
      </c>
      <c r="K130" s="3"/>
      <c r="L130" s="3"/>
      <c r="M130" s="3"/>
    </row>
    <row r="131" spans="8:16" ht="15" thickBot="1" x14ac:dyDescent="0.4"/>
    <row r="132" spans="8:16" x14ac:dyDescent="0.35">
      <c r="H132" s="4"/>
      <c r="I132" s="4" t="s">
        <v>39</v>
      </c>
      <c r="J132" s="4" t="s">
        <v>27</v>
      </c>
      <c r="K132" s="4" t="s">
        <v>40</v>
      </c>
      <c r="L132" s="4" t="s">
        <v>41</v>
      </c>
      <c r="M132" s="4" t="s">
        <v>42</v>
      </c>
      <c r="N132" s="4" t="s">
        <v>43</v>
      </c>
      <c r="O132" s="4" t="s">
        <v>44</v>
      </c>
      <c r="P132" s="4" t="s">
        <v>45</v>
      </c>
    </row>
    <row r="133" spans="8:16" x14ac:dyDescent="0.35">
      <c r="H133" s="2" t="s">
        <v>33</v>
      </c>
      <c r="I133" s="2">
        <v>0</v>
      </c>
      <c r="J133" s="2" t="e">
        <v>#N/A</v>
      </c>
      <c r="K133" s="2" t="e">
        <v>#N/A</v>
      </c>
      <c r="L133" s="2" t="e">
        <v>#N/A</v>
      </c>
      <c r="M133" s="2" t="e">
        <v>#N/A</v>
      </c>
      <c r="N133" s="2" t="e">
        <v>#N/A</v>
      </c>
      <c r="O133" s="2" t="e">
        <v>#N/A</v>
      </c>
      <c r="P133" s="2" t="e">
        <v>#N/A</v>
      </c>
    </row>
    <row r="134" spans="8:16" ht="15" thickBot="1" x14ac:dyDescent="0.4">
      <c r="H134" s="3" t="s">
        <v>46</v>
      </c>
      <c r="I134" s="3">
        <v>-0.59502524886197206</v>
      </c>
      <c r="J134" s="3">
        <v>0.10085124065765315</v>
      </c>
      <c r="K134" s="3">
        <v>-5.9000290425958015</v>
      </c>
      <c r="L134" s="3">
        <v>4.3590190465918507E-6</v>
      </c>
      <c r="M134" s="3">
        <v>-0.80317197939370422</v>
      </c>
      <c r="N134" s="3">
        <v>-0.3868785183302399</v>
      </c>
      <c r="O134" s="3">
        <v>-0.80317197939370422</v>
      </c>
      <c r="P134" s="3">
        <v>-0.3868785183302399</v>
      </c>
    </row>
    <row r="137" spans="8:16" ht="15" thickBot="1" x14ac:dyDescent="0.4"/>
    <row r="138" spans="8:16" x14ac:dyDescent="0.35">
      <c r="H138" s="5"/>
      <c r="I138" s="5"/>
    </row>
    <row r="139" spans="8:16" x14ac:dyDescent="0.35">
      <c r="H139" s="2"/>
      <c r="I139" s="2"/>
    </row>
    <row r="140" spans="8:16" x14ac:dyDescent="0.35">
      <c r="H140" s="2"/>
      <c r="I140" s="2"/>
    </row>
    <row r="141" spans="8:16" x14ac:dyDescent="0.35">
      <c r="H141" s="2"/>
      <c r="I141" s="2"/>
    </row>
    <row r="142" spans="8:16" x14ac:dyDescent="0.35">
      <c r="H142" s="2"/>
      <c r="I142" s="2"/>
    </row>
    <row r="143" spans="8:16" ht="15" thickBot="1" x14ac:dyDescent="0.4">
      <c r="H143" s="3"/>
      <c r="I143" s="3"/>
    </row>
    <row r="145" spans="8:16" ht="15" thickBot="1" x14ac:dyDescent="0.4"/>
    <row r="146" spans="8:16" x14ac:dyDescent="0.35">
      <c r="H146" s="4"/>
      <c r="I146" s="4"/>
      <c r="J146" s="4"/>
      <c r="K146" s="4"/>
      <c r="L146" s="4"/>
      <c r="M146" s="4"/>
    </row>
    <row r="147" spans="8:16" x14ac:dyDescent="0.35">
      <c r="H147" s="2"/>
      <c r="I147" s="2"/>
      <c r="J147" s="2"/>
      <c r="K147" s="2"/>
      <c r="L147" s="2"/>
      <c r="M147" s="2"/>
    </row>
    <row r="148" spans="8:16" x14ac:dyDescent="0.35">
      <c r="H148" s="2"/>
      <c r="I148" s="2"/>
      <c r="J148" s="2"/>
      <c r="K148" s="2"/>
      <c r="L148" s="2"/>
      <c r="M148" s="2"/>
    </row>
    <row r="149" spans="8:16" ht="15" thickBot="1" x14ac:dyDescent="0.4">
      <c r="H149" s="3"/>
      <c r="I149" s="3"/>
      <c r="J149" s="3"/>
      <c r="K149" s="3"/>
      <c r="L149" s="3"/>
      <c r="M149" s="3"/>
    </row>
    <row r="150" spans="8:16" ht="15" thickBot="1" x14ac:dyDescent="0.4"/>
    <row r="151" spans="8:16" x14ac:dyDescent="0.35">
      <c r="H151" s="4"/>
      <c r="I151" s="4"/>
      <c r="J151" s="4"/>
      <c r="K151" s="4"/>
      <c r="L151" s="4"/>
      <c r="M151" s="4"/>
      <c r="N151" s="4"/>
      <c r="O151" s="4"/>
      <c r="P151" s="4"/>
    </row>
    <row r="152" spans="8:16" x14ac:dyDescent="0.35">
      <c r="H152" s="2"/>
      <c r="I152" s="2"/>
      <c r="J152" s="2"/>
      <c r="K152" s="2"/>
      <c r="L152" s="2"/>
      <c r="M152" s="2"/>
      <c r="N152" s="2"/>
      <c r="O152" s="2"/>
      <c r="P152" s="2"/>
    </row>
    <row r="153" spans="8:16" ht="15" thickBot="1" x14ac:dyDescent="0.4">
      <c r="H153" s="3"/>
      <c r="I153" s="3"/>
      <c r="J153" s="3"/>
      <c r="K153" s="3"/>
      <c r="L153" s="3"/>
      <c r="M153" s="3"/>
      <c r="N153" s="3"/>
      <c r="O153" s="3"/>
      <c r="P15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E26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7" sqref="G17:H21"/>
    </sheetView>
  </sheetViews>
  <sheetFormatPr defaultRowHeight="14.5" x14ac:dyDescent="0.35"/>
  <cols>
    <col min="1" max="1" width="25.54296875" customWidth="1"/>
    <col min="3" max="4" width="12" bestFit="1" customWidth="1"/>
    <col min="26" max="26" width="12.7265625" bestFit="1" customWidth="1"/>
  </cols>
  <sheetData>
    <row r="1" spans="1:135" x14ac:dyDescent="0.35">
      <c r="B1" t="s">
        <v>323</v>
      </c>
      <c r="C1" t="s">
        <v>98</v>
      </c>
      <c r="D1" t="s">
        <v>607</v>
      </c>
      <c r="F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Z1" t="s">
        <v>91</v>
      </c>
      <c r="AA1" t="s">
        <v>90</v>
      </c>
      <c r="AB1" t="s">
        <v>609</v>
      </c>
      <c r="AC1" t="s">
        <v>178</v>
      </c>
      <c r="AD1" t="s">
        <v>610</v>
      </c>
      <c r="AE1" t="s">
        <v>226</v>
      </c>
      <c r="AF1" t="s">
        <v>155</v>
      </c>
      <c r="AG1" t="s">
        <v>261</v>
      </c>
      <c r="AH1" t="s">
        <v>611</v>
      </c>
      <c r="AI1" t="s">
        <v>612</v>
      </c>
      <c r="AJ1" t="s">
        <v>613</v>
      </c>
      <c r="AK1" t="s">
        <v>614</v>
      </c>
      <c r="AL1" t="s">
        <v>615</v>
      </c>
      <c r="AM1" t="s">
        <v>617</v>
      </c>
      <c r="AN1" t="s">
        <v>616</v>
      </c>
      <c r="AQ1" t="s">
        <v>89</v>
      </c>
      <c r="AR1" t="s">
        <v>360</v>
      </c>
      <c r="AS1" t="s">
        <v>359</v>
      </c>
      <c r="AT1" t="s">
        <v>361</v>
      </c>
      <c r="AU1" t="s">
        <v>93</v>
      </c>
      <c r="AV1" t="s">
        <v>362</v>
      </c>
      <c r="AW1" t="s">
        <v>363</v>
      </c>
      <c r="AX1" t="s">
        <v>364</v>
      </c>
      <c r="AY1" t="s">
        <v>365</v>
      </c>
      <c r="AZ1" t="s">
        <v>130</v>
      </c>
      <c r="BA1" t="s">
        <v>366</v>
      </c>
      <c r="BB1" t="s">
        <v>91</v>
      </c>
      <c r="BC1" t="s">
        <v>367</v>
      </c>
      <c r="BD1" t="s">
        <v>368</v>
      </c>
      <c r="BG1" t="s">
        <v>89</v>
      </c>
      <c r="BH1" t="s">
        <v>91</v>
      </c>
      <c r="BI1" t="s">
        <v>90</v>
      </c>
      <c r="BJ1" t="s">
        <v>328</v>
      </c>
      <c r="BK1" t="s">
        <v>261</v>
      </c>
      <c r="BL1" t="s">
        <v>178</v>
      </c>
      <c r="BM1" t="s">
        <v>329</v>
      </c>
      <c r="BN1" t="s">
        <v>330</v>
      </c>
      <c r="BO1" t="s">
        <v>331</v>
      </c>
      <c r="BP1" t="s">
        <v>332</v>
      </c>
      <c r="BQ1" t="s">
        <v>333</v>
      </c>
      <c r="BR1" t="s">
        <v>334</v>
      </c>
      <c r="BS1" t="s">
        <v>335</v>
      </c>
      <c r="BV1" t="s">
        <v>336</v>
      </c>
      <c r="BW1" t="s">
        <v>337</v>
      </c>
      <c r="BX1" t="s">
        <v>338</v>
      </c>
      <c r="BY1" t="s">
        <v>339</v>
      </c>
      <c r="BZ1" t="s">
        <v>123</v>
      </c>
      <c r="CA1" t="s">
        <v>340</v>
      </c>
      <c r="CB1" t="s">
        <v>341</v>
      </c>
      <c r="CC1" t="s">
        <v>91</v>
      </c>
      <c r="CD1" t="s">
        <v>334</v>
      </c>
      <c r="CG1" t="s">
        <v>336</v>
      </c>
      <c r="CH1" t="s">
        <v>337</v>
      </c>
      <c r="CI1" t="s">
        <v>338</v>
      </c>
      <c r="CJ1" t="s">
        <v>339</v>
      </c>
      <c r="CK1" t="s">
        <v>123</v>
      </c>
      <c r="CL1" t="s">
        <v>340</v>
      </c>
      <c r="CM1" t="s">
        <v>341</v>
      </c>
      <c r="CN1" t="s">
        <v>91</v>
      </c>
      <c r="CO1" t="s">
        <v>334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Y1" t="s">
        <v>92</v>
      </c>
      <c r="CZ1" t="s">
        <v>89</v>
      </c>
      <c r="DA1" t="s">
        <v>108</v>
      </c>
      <c r="DB1" t="s">
        <v>109</v>
      </c>
      <c r="DC1" t="s">
        <v>91</v>
      </c>
      <c r="DD1" t="s">
        <v>628</v>
      </c>
      <c r="DE1" t="s">
        <v>111</v>
      </c>
      <c r="DF1" t="s">
        <v>112</v>
      </c>
      <c r="DI1" t="s">
        <v>92</v>
      </c>
      <c r="DJ1" t="s">
        <v>89</v>
      </c>
      <c r="DK1" t="s">
        <v>108</v>
      </c>
      <c r="DL1" t="s">
        <v>109</v>
      </c>
      <c r="DM1" t="s">
        <v>91</v>
      </c>
      <c r="DN1" t="s">
        <v>628</v>
      </c>
      <c r="DO1" t="s">
        <v>111</v>
      </c>
      <c r="DP1" t="s">
        <v>112</v>
      </c>
      <c r="DR1" t="s">
        <v>92</v>
      </c>
      <c r="DS1" t="s">
        <v>89</v>
      </c>
      <c r="DT1" t="s">
        <v>321</v>
      </c>
      <c r="DU1" t="s">
        <v>122</v>
      </c>
      <c r="DV1" t="s">
        <v>91</v>
      </c>
      <c r="DW1" t="s">
        <v>322</v>
      </c>
      <c r="DZ1" t="s">
        <v>92</v>
      </c>
      <c r="EA1" t="s">
        <v>89</v>
      </c>
      <c r="EB1" t="s">
        <v>321</v>
      </c>
      <c r="EC1" t="s">
        <v>122</v>
      </c>
      <c r="ED1" t="s">
        <v>91</v>
      </c>
      <c r="EE1" t="s">
        <v>322</v>
      </c>
    </row>
    <row r="2" spans="1:135" x14ac:dyDescent="0.35">
      <c r="Y2" t="s">
        <v>608</v>
      </c>
      <c r="Z2">
        <f>Roson!$B2</f>
        <v>-5</v>
      </c>
      <c r="AA2">
        <f>Roson!$B3</f>
        <v>0.2</v>
      </c>
      <c r="AB2">
        <f>Roson!$B4</f>
        <v>-12.5</v>
      </c>
      <c r="AC2">
        <f>Roson!$B5</f>
        <v>-5.6</v>
      </c>
      <c r="AD2">
        <f>Roson!$B6</f>
        <v>-6.1</v>
      </c>
      <c r="AE2">
        <f>Roson!$B7</f>
        <v>-0.7</v>
      </c>
      <c r="AF2">
        <f>Roson!$B8</f>
        <v>-5.8</v>
      </c>
      <c r="AG2">
        <f>Roson!$B9</f>
        <v>2.4</v>
      </c>
      <c r="AH2">
        <f>Roson!$B10</f>
        <v>-2.8</v>
      </c>
      <c r="AI2">
        <f>Roson!$B11</f>
        <v>-8.4</v>
      </c>
      <c r="AJ2">
        <f>Roson!$B12</f>
        <v>1.4</v>
      </c>
      <c r="AK2">
        <f>Roson!$B13</f>
        <v>-10.4</v>
      </c>
      <c r="AL2">
        <f>Roson!$B14</f>
        <v>0.5</v>
      </c>
      <c r="AM2">
        <f>Roson!$B15</f>
        <v>-0.4</v>
      </c>
      <c r="AN2">
        <f>Roson!$B16</f>
        <v>-8.4</v>
      </c>
      <c r="AP2" t="s">
        <v>623</v>
      </c>
      <c r="AQ2">
        <f>Bosello!$B2</f>
        <v>0.2</v>
      </c>
      <c r="AR2">
        <f>Bosello!$B3</f>
        <v>-0.1</v>
      </c>
      <c r="AS2">
        <f>Bosello!$B4</f>
        <v>0.2</v>
      </c>
      <c r="AT2">
        <f>Bosello!$B5</f>
        <v>-0.2</v>
      </c>
      <c r="AU2">
        <f>Bosello!$B6</f>
        <v>0.8</v>
      </c>
      <c r="AV2">
        <f>Bosello!$B7</f>
        <v>0.1</v>
      </c>
      <c r="AW2">
        <f>Bosello!$B8</f>
        <v>-0.1</v>
      </c>
      <c r="AX2">
        <f>Bosello!$B9</f>
        <v>-2.7</v>
      </c>
      <c r="AY2">
        <f>Bosello!$B10</f>
        <v>-0.8</v>
      </c>
      <c r="AZ2">
        <f>Bosello!$B11</f>
        <v>-1.5</v>
      </c>
      <c r="BA2">
        <f>Bosello!$B12</f>
        <v>-3.4</v>
      </c>
      <c r="BB2">
        <f>Bosello!$B13</f>
        <v>0.1</v>
      </c>
      <c r="BC2">
        <f>Bosello!$B14</f>
        <v>-2.8</v>
      </c>
      <c r="BD2">
        <f>Bosello!$B15</f>
        <v>-0.7</v>
      </c>
      <c r="BF2" t="s">
        <v>624</v>
      </c>
      <c r="BG2">
        <f>-NordhausBoyer!$R2</f>
        <v>-0.45</v>
      </c>
      <c r="BH2">
        <f>-NordhausBoyer!$R3</f>
        <v>-0.22</v>
      </c>
      <c r="BI2">
        <f>-NordhausBoyer!$R4</f>
        <v>-0.5</v>
      </c>
      <c r="BJ2">
        <f>-NordhausBoyer!$R5</f>
        <v>-2.83</v>
      </c>
      <c r="BK2">
        <f>-NordhausBoyer!$R6</f>
        <v>0.65</v>
      </c>
      <c r="BL2">
        <f>-NordhausBoyer!$R7</f>
        <v>-4.93</v>
      </c>
      <c r="BM2">
        <f>-NordhausBoyer!$R8</f>
        <v>0.39</v>
      </c>
      <c r="BN2">
        <f>-NordhausBoyer!$R9</f>
        <v>-1.95</v>
      </c>
      <c r="BO2">
        <f>-NordhausBoyer!$R10</f>
        <v>-0.71</v>
      </c>
      <c r="BP2">
        <f>-NordhausBoyer!$R11</f>
        <v>-2.44</v>
      </c>
      <c r="BQ2">
        <f>-NordhausBoyer!$R12</f>
        <v>-1.81</v>
      </c>
      <c r="BR2">
        <f>-NordhausBoyer!$R13</f>
        <v>-3.91</v>
      </c>
      <c r="BS2">
        <f>-NordhausBoyer!$R14</f>
        <v>-2.64</v>
      </c>
      <c r="BU2" t="s">
        <v>625</v>
      </c>
      <c r="BV2">
        <f>-'Tol1995'!$T2</f>
        <v>-1.5</v>
      </c>
      <c r="BW2">
        <f>-'Tol1995'!$T3</f>
        <v>-1.3</v>
      </c>
      <c r="BX2">
        <f>-'Tol1995'!$T4</f>
        <v>-2.8</v>
      </c>
      <c r="BY2">
        <f>-'Tol1995'!$T5</f>
        <v>0.3</v>
      </c>
      <c r="BZ2">
        <f>-'Tol1995'!$T6</f>
        <v>-4.0999999999999996</v>
      </c>
      <c r="CA2">
        <f>-'Tol1995'!$T7</f>
        <v>-4.3</v>
      </c>
      <c r="CB2">
        <f>-'Tol1995'!$T8</f>
        <v>-8.6</v>
      </c>
      <c r="CC2">
        <f>-'Tol1995'!$T9</f>
        <v>-5.2</v>
      </c>
      <c r="CD2">
        <f>-'Tol1995'!$T10</f>
        <v>-8.6999999999999993</v>
      </c>
      <c r="CF2" t="s">
        <v>635</v>
      </c>
      <c r="CG2">
        <f>'Tol2002'!$B2</f>
        <v>3.4</v>
      </c>
      <c r="CH2">
        <f>'Tol2002'!$B3</f>
        <v>3.7</v>
      </c>
      <c r="CI2">
        <f>'Tol2002'!$B4</f>
        <v>1</v>
      </c>
      <c r="CJ2">
        <f>'Tol2002'!$B5</f>
        <v>2</v>
      </c>
      <c r="CK2">
        <f>'Tol2002'!$B6</f>
        <v>1.1000000000000001</v>
      </c>
      <c r="CL2">
        <f>'Tol2002'!$B7</f>
        <v>-0.1</v>
      </c>
      <c r="CM2">
        <f>'Tol2002'!$B8</f>
        <v>-1.7</v>
      </c>
      <c r="CN2">
        <f>'Tol2002'!$B9</f>
        <v>2.1</v>
      </c>
      <c r="CO2">
        <f>'Tol2002'!$B10</f>
        <v>-4.0999999999999996</v>
      </c>
      <c r="CP2" t="s">
        <v>626</v>
      </c>
      <c r="CQ2">
        <f>-NordhausYang!$Z2</f>
        <v>-1.1020000000000001</v>
      </c>
      <c r="CR2">
        <f>-NordhausYang!$Z3</f>
        <v>-1.1739999999999999</v>
      </c>
      <c r="CS2">
        <f>-NordhausYang!$Z4</f>
        <v>-1.5230000000000001</v>
      </c>
      <c r="CT2">
        <f>-NordhausYang!$Z5</f>
        <v>-1.1739999999999999</v>
      </c>
      <c r="CU2">
        <f>-NordhausYang!$Z6</f>
        <v>-0.85699999999999998</v>
      </c>
      <c r="CV2">
        <f>-NordhausYang!$Z7</f>
        <v>-2.093</v>
      </c>
      <c r="CX2" t="s">
        <v>627</v>
      </c>
      <c r="CY2" s="7">
        <f>-PlambeckHope!$Q4</f>
        <v>-1.2999999999999998</v>
      </c>
      <c r="CZ2" s="7">
        <f>-PlambeckHope!$Q5</f>
        <v>-1.5599999999999998</v>
      </c>
      <c r="DA2" s="7">
        <f>-PlambeckHope!$Q6</f>
        <v>-2.86</v>
      </c>
      <c r="DB2" s="7">
        <f>-PlambeckHope!$Q7</f>
        <v>0</v>
      </c>
      <c r="DC2" s="7">
        <f>-PlambeckHope!$Q8</f>
        <v>-5.1999999999999993</v>
      </c>
      <c r="DD2" s="7">
        <f>-PlambeckHope!$Q9</f>
        <v>-8.5799999999999983</v>
      </c>
      <c r="DE2" s="7">
        <f>-PlambeckHope!$Q10</f>
        <v>-5.85</v>
      </c>
      <c r="DF2" s="7">
        <f>-PlambeckHope!$Q11</f>
        <v>-4.2899999999999991</v>
      </c>
      <c r="DH2" t="s">
        <v>314</v>
      </c>
      <c r="DI2" s="7">
        <f>-Hope!$Q4</f>
        <v>-1.23</v>
      </c>
      <c r="DJ2" s="7">
        <f>-Hope!$Q5</f>
        <v>-0.3075</v>
      </c>
      <c r="DK2" s="7">
        <f>-Hope!$Q6</f>
        <v>-0.3075</v>
      </c>
      <c r="DL2" s="7">
        <f>-Hope!$Q7</f>
        <v>0.43049999999999999</v>
      </c>
      <c r="DM2" s="7">
        <f>-Hope!$Q8</f>
        <v>-0.246</v>
      </c>
      <c r="DN2" s="7">
        <f>-Hope!$Q9</f>
        <v>-3.0750000000000002</v>
      </c>
      <c r="DO2" s="7">
        <f>-Hope!$Q10</f>
        <v>-2.2509000000000001</v>
      </c>
      <c r="DP2" s="7">
        <f>-Hope!$Q11</f>
        <v>-2.2509000000000001</v>
      </c>
      <c r="DQ2" t="s">
        <v>324</v>
      </c>
      <c r="DR2">
        <f>-Fankhauser!$B2</f>
        <v>-1.4</v>
      </c>
      <c r="DS2">
        <f>-Fankhauser!$B3</f>
        <v>-1.3</v>
      </c>
      <c r="DT2">
        <f>-Fankhauser!$B4</f>
        <v>-1.4</v>
      </c>
      <c r="DU2">
        <f>-Fankhauser!$B5</f>
        <v>-0.7</v>
      </c>
      <c r="DV2">
        <f>-Fankhauser!$B6</f>
        <v>-4.7</v>
      </c>
      <c r="DW2">
        <f>-Fankhauser!$B7</f>
        <v>-2</v>
      </c>
      <c r="DY2" t="s">
        <v>325</v>
      </c>
      <c r="DZ2">
        <f>-Berz!$B2</f>
        <v>-1.6</v>
      </c>
      <c r="EA2">
        <f>-Berz!$B3</f>
        <v>-1.4</v>
      </c>
      <c r="EB2">
        <f>-Berz!$B4</f>
        <v>-1.056431537895876</v>
      </c>
      <c r="EC2">
        <f>-Berz!$B5</f>
        <v>-0.8</v>
      </c>
      <c r="ED2">
        <f>-Berz!$B6</f>
        <v>-6.1</v>
      </c>
      <c r="EE2">
        <f>-Berz!$B7</f>
        <v>-1.4990120670152702</v>
      </c>
    </row>
    <row r="3" spans="1:135" x14ac:dyDescent="0.35">
      <c r="A3" t="s">
        <v>382</v>
      </c>
      <c r="B3">
        <f>[1]Population!$BB3</f>
        <v>28397812</v>
      </c>
      <c r="C3">
        <f>[1]RealGDP!$BB3</f>
        <v>10243250245.699793</v>
      </c>
      <c r="D3" s="10">
        <f>[1]GDPcap!$BB3</f>
        <v>360.70561512625665</v>
      </c>
      <c r="F3" t="s">
        <v>382</v>
      </c>
      <c r="H3">
        <v>-0.2</v>
      </c>
      <c r="I3">
        <v>1.7</v>
      </c>
      <c r="J3">
        <v>7.1</v>
      </c>
      <c r="K3">
        <v>13.1</v>
      </c>
      <c r="L3">
        <v>17.8</v>
      </c>
      <c r="M3">
        <v>22.9</v>
      </c>
      <c r="N3">
        <v>24.9</v>
      </c>
      <c r="O3">
        <v>23.4</v>
      </c>
      <c r="P3">
        <v>18.7</v>
      </c>
      <c r="Q3">
        <v>12.7</v>
      </c>
      <c r="R3">
        <v>6.7</v>
      </c>
      <c r="S3">
        <v>2.2000000000000002</v>
      </c>
      <c r="T3">
        <v>12.7</v>
      </c>
      <c r="U3">
        <v>23.7</v>
      </c>
      <c r="V3">
        <v>12.7</v>
      </c>
      <c r="W3">
        <v>1.2</v>
      </c>
      <c r="X3">
        <v>12.6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54" si="0">SUM(Z3:AN3)</f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f t="shared" ref="BE3:BE54" si="1">SUM(AP3:BD3)</f>
        <v>1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f>SUM(BG3:BS3)</f>
        <v>1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f>SUM(BV3:CD3)</f>
        <v>1</v>
      </c>
      <c r="CG3">
        <f>BV3</f>
        <v>0</v>
      </c>
      <c r="CH3">
        <f t="shared" ref="CH3:CH66" si="2">BW3</f>
        <v>0</v>
      </c>
      <c r="CI3">
        <f t="shared" ref="CI3:CI66" si="3">BX3</f>
        <v>0</v>
      </c>
      <c r="CJ3">
        <f t="shared" ref="CJ3:CJ66" si="4">BY3</f>
        <v>0</v>
      </c>
      <c r="CK3">
        <f t="shared" ref="CK3:CK66" si="5">BZ3</f>
        <v>0</v>
      </c>
      <c r="CL3">
        <f t="shared" ref="CL3:CL66" si="6">CA3</f>
        <v>0</v>
      </c>
      <c r="CM3">
        <f t="shared" ref="CM3:CM66" si="7">CB3</f>
        <v>1</v>
      </c>
      <c r="CN3">
        <f t="shared" ref="CN3:CN66" si="8">CC3</f>
        <v>0</v>
      </c>
      <c r="CO3">
        <f t="shared" ref="CO3:CO66" si="9">CD3</f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f>1-SUM(CQ3:CU3)</f>
        <v>1</v>
      </c>
      <c r="CW3">
        <f>SUM(CQ3:CV3)</f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1</v>
      </c>
      <c r="DE3">
        <f>BZ3+CD3</f>
        <v>0</v>
      </c>
      <c r="DF3">
        <v>0</v>
      </c>
      <c r="DG3">
        <f>SUM(CY3:DF3)</f>
        <v>1</v>
      </c>
      <c r="DI3">
        <f>CY3</f>
        <v>0</v>
      </c>
      <c r="DJ3">
        <f t="shared" ref="DJ3:DJ66" si="10">CZ3</f>
        <v>0</v>
      </c>
      <c r="DK3">
        <f t="shared" ref="DK3:DK66" si="11">DA3</f>
        <v>0</v>
      </c>
      <c r="DL3">
        <f t="shared" ref="DL3:DL66" si="12">DB3</f>
        <v>0</v>
      </c>
      <c r="DM3">
        <f t="shared" ref="DM3:DM66" si="13">DC3</f>
        <v>0</v>
      </c>
      <c r="DN3">
        <f t="shared" ref="DN3:DN66" si="14">DD3</f>
        <v>1</v>
      </c>
      <c r="DO3">
        <f t="shared" ref="DO3:DO66" si="15">DE3</f>
        <v>0</v>
      </c>
      <c r="DP3">
        <f t="shared" ref="DP3:DP66" si="16">DF3</f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f>1-SUM(DR3:DV3)</f>
        <v>1</v>
      </c>
      <c r="DX3">
        <f>SUM(DR3:DW3)</f>
        <v>1</v>
      </c>
      <c r="DZ3">
        <f>DR3</f>
        <v>0</v>
      </c>
      <c r="EA3">
        <f t="shared" ref="EA3:EA66" si="17">DS3</f>
        <v>0</v>
      </c>
      <c r="EB3">
        <f t="shared" ref="EB3:EB66" si="18">DT3</f>
        <v>0</v>
      </c>
      <c r="EC3">
        <f t="shared" ref="EC3:EC66" si="19">DU3</f>
        <v>0</v>
      </c>
      <c r="ED3">
        <f t="shared" ref="ED3:ED66" si="20">DV3</f>
        <v>0</v>
      </c>
      <c r="EE3">
        <f t="shared" ref="EE3:EE66" si="21">DW3</f>
        <v>1</v>
      </c>
    </row>
    <row r="4" spans="1:135" x14ac:dyDescent="0.35">
      <c r="A4" t="s">
        <v>272</v>
      </c>
      <c r="B4">
        <f>[1]Population!$BB4</f>
        <v>3150143</v>
      </c>
      <c r="C4">
        <f>[1]RealGDP!$BB4</f>
        <v>10725150216.110325</v>
      </c>
      <c r="D4" s="10">
        <f>[1]GDPcap!$BB4</f>
        <v>3404.6550318859572</v>
      </c>
      <c r="F4" t="s">
        <v>272</v>
      </c>
      <c r="H4">
        <v>2</v>
      </c>
      <c r="I4">
        <v>3.3</v>
      </c>
      <c r="J4">
        <v>6.2</v>
      </c>
      <c r="K4">
        <v>10.199999999999999</v>
      </c>
      <c r="L4">
        <v>14.7</v>
      </c>
      <c r="M4">
        <v>18.100000000000001</v>
      </c>
      <c r="N4">
        <v>20.7</v>
      </c>
      <c r="O4">
        <v>20.6</v>
      </c>
      <c r="P4">
        <v>17.399999999999999</v>
      </c>
      <c r="Q4">
        <v>12.4</v>
      </c>
      <c r="R4">
        <v>7.7</v>
      </c>
      <c r="S4">
        <v>3.6</v>
      </c>
      <c r="T4">
        <v>10.4</v>
      </c>
      <c r="U4">
        <v>19.8</v>
      </c>
      <c r="V4">
        <v>12.5</v>
      </c>
      <c r="W4">
        <v>2.9</v>
      </c>
      <c r="X4">
        <v>11.4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1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f t="shared" si="1"/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</v>
      </c>
      <c r="BT4">
        <f t="shared" ref="BT4:BT55" si="22">SUM(BG4:BS4)</f>
        <v>1</v>
      </c>
      <c r="BV4">
        <v>0</v>
      </c>
      <c r="BW4">
        <v>0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f t="shared" ref="CE4:CE55" si="23">SUM(BV4:CD4)</f>
        <v>1</v>
      </c>
      <c r="CG4">
        <f t="shared" ref="CG4:CG67" si="24">BV4</f>
        <v>0</v>
      </c>
      <c r="CH4">
        <f t="shared" si="2"/>
        <v>0</v>
      </c>
      <c r="CI4">
        <f t="shared" si="3"/>
        <v>0</v>
      </c>
      <c r="CJ4">
        <f t="shared" si="4"/>
        <v>1</v>
      </c>
      <c r="CK4">
        <f t="shared" si="5"/>
        <v>0</v>
      </c>
      <c r="CL4">
        <f t="shared" si="6"/>
        <v>0</v>
      </c>
      <c r="CM4">
        <f t="shared" si="7"/>
        <v>0</v>
      </c>
      <c r="CN4">
        <f t="shared" si="8"/>
        <v>0</v>
      </c>
      <c r="CO4">
        <f t="shared" si="9"/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f t="shared" ref="CV4:CV55" si="25">1-SUM(CQ4:CU4)</f>
        <v>1</v>
      </c>
      <c r="CW4">
        <f t="shared" ref="CW4:CW55" si="26">SUM(CQ4:CV4)</f>
        <v>1</v>
      </c>
      <c r="CY4">
        <v>0</v>
      </c>
      <c r="CZ4">
        <v>0</v>
      </c>
      <c r="DA4">
        <v>0</v>
      </c>
      <c r="DB4">
        <v>1</v>
      </c>
      <c r="DC4">
        <v>0</v>
      </c>
      <c r="DD4">
        <v>0</v>
      </c>
      <c r="DE4">
        <f t="shared" ref="DE4:DE55" si="27">BZ4+CD4</f>
        <v>0</v>
      </c>
      <c r="DF4">
        <v>0</v>
      </c>
      <c r="DG4">
        <f t="shared" ref="DG4:DG55" si="28">SUM(CY4:DF4)</f>
        <v>1</v>
      </c>
      <c r="DI4">
        <f t="shared" ref="DI4:DI67" si="29">CY4</f>
        <v>0</v>
      </c>
      <c r="DJ4">
        <f t="shared" si="10"/>
        <v>0</v>
      </c>
      <c r="DK4">
        <f t="shared" si="11"/>
        <v>0</v>
      </c>
      <c r="DL4">
        <f t="shared" si="12"/>
        <v>1</v>
      </c>
      <c r="DM4">
        <f t="shared" si="13"/>
        <v>0</v>
      </c>
      <c r="DN4">
        <f t="shared" si="14"/>
        <v>0</v>
      </c>
      <c r="DO4">
        <f t="shared" si="15"/>
        <v>0</v>
      </c>
      <c r="DP4">
        <f t="shared" si="16"/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f t="shared" ref="DW4:DW55" si="30">1-SUM(DR4:DV4)</f>
        <v>1</v>
      </c>
      <c r="DX4">
        <f t="shared" ref="DX4:DX55" si="31">SUM(DR4:DW4)</f>
        <v>1</v>
      </c>
      <c r="DZ4">
        <f t="shared" ref="DZ4:DZ67" si="32">DR4</f>
        <v>0</v>
      </c>
      <c r="EA4">
        <f t="shared" si="17"/>
        <v>0</v>
      </c>
      <c r="EB4">
        <f t="shared" si="18"/>
        <v>0</v>
      </c>
      <c r="EC4">
        <f t="shared" si="19"/>
        <v>0</v>
      </c>
      <c r="ED4">
        <f t="shared" si="20"/>
        <v>0</v>
      </c>
      <c r="EE4">
        <f t="shared" si="21"/>
        <v>1</v>
      </c>
    </row>
    <row r="5" spans="1:135" x14ac:dyDescent="0.35">
      <c r="A5" t="s">
        <v>273</v>
      </c>
      <c r="B5">
        <f>[1]Population!$BB5</f>
        <v>37062820</v>
      </c>
      <c r="C5">
        <f>[1]RealGDP!$BB5</f>
        <v>116511760871.08984</v>
      </c>
      <c r="D5" s="10">
        <f>[1]GDPcap!$BB5</f>
        <v>3143.6291375316246</v>
      </c>
      <c r="F5" t="s">
        <v>273</v>
      </c>
      <c r="H5">
        <v>12.1</v>
      </c>
      <c r="I5">
        <v>14.7</v>
      </c>
      <c r="J5">
        <v>17.8</v>
      </c>
      <c r="K5">
        <v>21.8</v>
      </c>
      <c r="L5">
        <v>26.3</v>
      </c>
      <c r="M5">
        <v>30.7</v>
      </c>
      <c r="N5">
        <v>32.4</v>
      </c>
      <c r="O5">
        <v>31.9</v>
      </c>
      <c r="P5">
        <v>28.7</v>
      </c>
      <c r="Q5">
        <v>23.2</v>
      </c>
      <c r="R5">
        <v>17.3</v>
      </c>
      <c r="S5">
        <v>12.8</v>
      </c>
      <c r="T5">
        <v>22</v>
      </c>
      <c r="U5">
        <v>31.7</v>
      </c>
      <c r="V5">
        <v>23.1</v>
      </c>
      <c r="W5">
        <v>12.8</v>
      </c>
      <c r="X5">
        <v>22.5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f t="shared" si="0"/>
        <v>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f t="shared" si="1"/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0</v>
      </c>
      <c r="BS5">
        <v>0</v>
      </c>
      <c r="BT5">
        <f t="shared" si="22"/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</v>
      </c>
      <c r="CE5">
        <f t="shared" si="23"/>
        <v>1</v>
      </c>
      <c r="CG5">
        <f t="shared" si="24"/>
        <v>0</v>
      </c>
      <c r="CH5">
        <f t="shared" si="2"/>
        <v>0</v>
      </c>
      <c r="CI5">
        <f t="shared" si="3"/>
        <v>0</v>
      </c>
      <c r="CJ5">
        <f t="shared" si="4"/>
        <v>0</v>
      </c>
      <c r="CK5">
        <f t="shared" si="5"/>
        <v>0</v>
      </c>
      <c r="CL5">
        <f t="shared" si="6"/>
        <v>0</v>
      </c>
      <c r="CM5">
        <f t="shared" si="7"/>
        <v>0</v>
      </c>
      <c r="CN5">
        <f t="shared" si="8"/>
        <v>0</v>
      </c>
      <c r="CO5">
        <f t="shared" si="9"/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f t="shared" si="25"/>
        <v>1</v>
      </c>
      <c r="CW5">
        <f t="shared" si="26"/>
        <v>1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f t="shared" si="27"/>
        <v>1</v>
      </c>
      <c r="DF5">
        <v>0</v>
      </c>
      <c r="DG5">
        <f t="shared" si="28"/>
        <v>1</v>
      </c>
      <c r="DI5">
        <f t="shared" si="29"/>
        <v>0</v>
      </c>
      <c r="DJ5">
        <f t="shared" si="10"/>
        <v>0</v>
      </c>
      <c r="DK5">
        <f t="shared" si="11"/>
        <v>0</v>
      </c>
      <c r="DL5">
        <f t="shared" si="12"/>
        <v>0</v>
      </c>
      <c r="DM5">
        <f t="shared" si="13"/>
        <v>0</v>
      </c>
      <c r="DN5">
        <f t="shared" si="14"/>
        <v>0</v>
      </c>
      <c r="DO5">
        <f t="shared" si="15"/>
        <v>1</v>
      </c>
      <c r="DP5">
        <f t="shared" si="16"/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f t="shared" si="30"/>
        <v>1</v>
      </c>
      <c r="DX5">
        <f t="shared" si="31"/>
        <v>1</v>
      </c>
      <c r="DZ5">
        <f t="shared" si="32"/>
        <v>0</v>
      </c>
      <c r="EA5">
        <f t="shared" si="17"/>
        <v>0</v>
      </c>
      <c r="EB5">
        <f t="shared" si="18"/>
        <v>0</v>
      </c>
      <c r="EC5">
        <f t="shared" si="19"/>
        <v>0</v>
      </c>
      <c r="ED5">
        <f t="shared" si="20"/>
        <v>0</v>
      </c>
      <c r="EE5">
        <f t="shared" si="21"/>
        <v>1</v>
      </c>
    </row>
    <row r="6" spans="1:135" x14ac:dyDescent="0.35">
      <c r="A6" t="s">
        <v>383</v>
      </c>
      <c r="B6">
        <f>[1]Population!$BB8</f>
        <v>19549124</v>
      </c>
      <c r="C6">
        <f>[1]RealGDP!$BB8</f>
        <v>50371160616.47271</v>
      </c>
      <c r="D6" s="10">
        <f>[1]GDPcap!$BB8</f>
        <v>2576.6454096087737</v>
      </c>
      <c r="F6" t="s">
        <v>383</v>
      </c>
      <c r="H6">
        <v>22.6</v>
      </c>
      <c r="I6">
        <v>22.7</v>
      </c>
      <c r="J6">
        <v>22.8</v>
      </c>
      <c r="K6">
        <v>22.4</v>
      </c>
      <c r="L6">
        <v>20.8</v>
      </c>
      <c r="M6">
        <v>18.5</v>
      </c>
      <c r="N6">
        <v>18</v>
      </c>
      <c r="O6">
        <v>19.899999999999999</v>
      </c>
      <c r="P6">
        <v>22.1</v>
      </c>
      <c r="Q6">
        <v>23</v>
      </c>
      <c r="R6">
        <v>22.7</v>
      </c>
      <c r="S6">
        <v>22.6</v>
      </c>
      <c r="T6">
        <v>22</v>
      </c>
      <c r="U6">
        <v>18.8</v>
      </c>
      <c r="V6">
        <v>22.6</v>
      </c>
      <c r="W6">
        <v>21.9</v>
      </c>
      <c r="X6">
        <v>21.5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f t="shared" si="1"/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f t="shared" si="22"/>
        <v>1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f t="shared" si="23"/>
        <v>1</v>
      </c>
      <c r="CG6">
        <f t="shared" si="24"/>
        <v>0</v>
      </c>
      <c r="CH6">
        <f t="shared" si="2"/>
        <v>0</v>
      </c>
      <c r="CI6">
        <f t="shared" si="3"/>
        <v>0</v>
      </c>
      <c r="CJ6">
        <f t="shared" si="4"/>
        <v>0</v>
      </c>
      <c r="CK6">
        <f t="shared" si="5"/>
        <v>0</v>
      </c>
      <c r="CL6">
        <f t="shared" si="6"/>
        <v>0</v>
      </c>
      <c r="CM6">
        <f t="shared" si="7"/>
        <v>0</v>
      </c>
      <c r="CN6">
        <f t="shared" si="8"/>
        <v>0</v>
      </c>
      <c r="CO6">
        <f t="shared" si="9"/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f t="shared" si="25"/>
        <v>1</v>
      </c>
      <c r="CW6">
        <f t="shared" si="26"/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f t="shared" si="27"/>
        <v>1</v>
      </c>
      <c r="DF6">
        <v>0</v>
      </c>
      <c r="DG6">
        <f t="shared" si="28"/>
        <v>1</v>
      </c>
      <c r="DI6">
        <f t="shared" si="29"/>
        <v>0</v>
      </c>
      <c r="DJ6">
        <f t="shared" si="10"/>
        <v>0</v>
      </c>
      <c r="DK6">
        <f t="shared" si="11"/>
        <v>0</v>
      </c>
      <c r="DL6">
        <f t="shared" si="12"/>
        <v>0</v>
      </c>
      <c r="DM6">
        <f t="shared" si="13"/>
        <v>0</v>
      </c>
      <c r="DN6">
        <f t="shared" si="14"/>
        <v>0</v>
      </c>
      <c r="DO6">
        <f t="shared" si="15"/>
        <v>1</v>
      </c>
      <c r="DP6">
        <f t="shared" si="16"/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f t="shared" si="30"/>
        <v>1</v>
      </c>
      <c r="DX6">
        <f t="shared" si="31"/>
        <v>1</v>
      </c>
      <c r="DZ6">
        <f t="shared" si="32"/>
        <v>0</v>
      </c>
      <c r="EA6">
        <f t="shared" si="17"/>
        <v>0</v>
      </c>
      <c r="EB6">
        <f t="shared" si="18"/>
        <v>0</v>
      </c>
      <c r="EC6">
        <f t="shared" si="19"/>
        <v>0</v>
      </c>
      <c r="ED6">
        <f t="shared" si="20"/>
        <v>0</v>
      </c>
      <c r="EE6">
        <f t="shared" si="21"/>
        <v>1</v>
      </c>
    </row>
    <row r="7" spans="1:135" x14ac:dyDescent="0.35">
      <c r="A7" t="s">
        <v>384</v>
      </c>
      <c r="B7">
        <f>[1]Population!$BB11</f>
        <v>87233</v>
      </c>
      <c r="C7">
        <f>[1]RealGDP!$BB11</f>
        <v>1012173532.2035601</v>
      </c>
      <c r="D7" s="10">
        <f>[1]GDPcap!$BB11</f>
        <v>11603.103552595465</v>
      </c>
      <c r="H7">
        <f>(H198+H204)/2</f>
        <v>24.799999999999997</v>
      </c>
      <c r="I7">
        <f t="shared" ref="I7:X7" si="33">(I198+I204)/2</f>
        <v>24.700000000000003</v>
      </c>
      <c r="J7">
        <f t="shared" si="33"/>
        <v>25.1</v>
      </c>
      <c r="K7">
        <f t="shared" si="33"/>
        <v>25.45</v>
      </c>
      <c r="L7">
        <f t="shared" si="33"/>
        <v>26.05</v>
      </c>
      <c r="M7">
        <f t="shared" si="33"/>
        <v>26.6</v>
      </c>
      <c r="N7">
        <f t="shared" si="33"/>
        <v>26.95</v>
      </c>
      <c r="O7">
        <f t="shared" si="33"/>
        <v>27.1</v>
      </c>
      <c r="P7">
        <f t="shared" si="33"/>
        <v>27</v>
      </c>
      <c r="Q7">
        <f t="shared" si="33"/>
        <v>26.75</v>
      </c>
      <c r="R7">
        <f t="shared" si="33"/>
        <v>26.299999999999997</v>
      </c>
      <c r="S7">
        <f t="shared" si="33"/>
        <v>25.299999999999997</v>
      </c>
      <c r="T7">
        <f t="shared" si="33"/>
        <v>25.55</v>
      </c>
      <c r="U7">
        <f t="shared" si="33"/>
        <v>26.85</v>
      </c>
      <c r="V7">
        <f t="shared" si="33"/>
        <v>26.65</v>
      </c>
      <c r="W7">
        <f t="shared" si="33"/>
        <v>24.1</v>
      </c>
      <c r="X7">
        <f t="shared" si="33"/>
        <v>26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f t="shared" si="0"/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f t="shared" si="1"/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f t="shared" si="22"/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f t="shared" si="23"/>
        <v>1</v>
      </c>
      <c r="CG7">
        <f t="shared" si="24"/>
        <v>0</v>
      </c>
      <c r="CH7">
        <f t="shared" si="2"/>
        <v>0</v>
      </c>
      <c r="CI7">
        <f t="shared" si="3"/>
        <v>0</v>
      </c>
      <c r="CJ7">
        <f t="shared" si="4"/>
        <v>0</v>
      </c>
      <c r="CK7">
        <f t="shared" si="5"/>
        <v>0</v>
      </c>
      <c r="CL7">
        <f t="shared" si="6"/>
        <v>1</v>
      </c>
      <c r="CM7">
        <f t="shared" si="7"/>
        <v>0</v>
      </c>
      <c r="CN7">
        <f t="shared" si="8"/>
        <v>0</v>
      </c>
      <c r="CO7">
        <f t="shared" si="9"/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f t="shared" si="25"/>
        <v>1</v>
      </c>
      <c r="CW7">
        <f t="shared" si="26"/>
        <v>1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f t="shared" si="27"/>
        <v>0</v>
      </c>
      <c r="DF7">
        <v>1</v>
      </c>
      <c r="DG7">
        <f t="shared" si="28"/>
        <v>1</v>
      </c>
      <c r="DI7">
        <f t="shared" si="29"/>
        <v>0</v>
      </c>
      <c r="DJ7">
        <f t="shared" si="10"/>
        <v>0</v>
      </c>
      <c r="DK7">
        <f t="shared" si="11"/>
        <v>0</v>
      </c>
      <c r="DL7">
        <f t="shared" si="12"/>
        <v>0</v>
      </c>
      <c r="DM7">
        <f t="shared" si="13"/>
        <v>0</v>
      </c>
      <c r="DN7">
        <f t="shared" si="14"/>
        <v>0</v>
      </c>
      <c r="DO7">
        <f t="shared" si="15"/>
        <v>0</v>
      </c>
      <c r="DP7">
        <f t="shared" si="16"/>
        <v>1</v>
      </c>
      <c r="DR7">
        <v>0</v>
      </c>
      <c r="DS7">
        <v>0</v>
      </c>
      <c r="DT7">
        <v>0</v>
      </c>
      <c r="DU7">
        <v>0</v>
      </c>
      <c r="DV7">
        <v>0</v>
      </c>
      <c r="DW7">
        <f t="shared" si="30"/>
        <v>1</v>
      </c>
      <c r="DX7">
        <f t="shared" si="31"/>
        <v>1</v>
      </c>
      <c r="DZ7">
        <f t="shared" si="32"/>
        <v>0</v>
      </c>
      <c r="EA7">
        <f t="shared" si="17"/>
        <v>0</v>
      </c>
      <c r="EB7">
        <f t="shared" si="18"/>
        <v>0</v>
      </c>
      <c r="EC7">
        <f t="shared" si="19"/>
        <v>0</v>
      </c>
      <c r="ED7">
        <f t="shared" si="20"/>
        <v>0</v>
      </c>
      <c r="EE7">
        <f t="shared" si="21"/>
        <v>1</v>
      </c>
    </row>
    <row r="8" spans="1:135" x14ac:dyDescent="0.35">
      <c r="A8" t="s">
        <v>144</v>
      </c>
      <c r="B8">
        <f>[1]Population!$BB12</f>
        <v>40374224</v>
      </c>
      <c r="C8">
        <f>[1]RealGDP!$BB12</f>
        <v>293697869622.22595</v>
      </c>
      <c r="D8" s="10">
        <f>[1]GDPcap!$BB12</f>
        <v>7274.3904532313973</v>
      </c>
      <c r="F8" t="s">
        <v>144</v>
      </c>
      <c r="H8">
        <v>21.4</v>
      </c>
      <c r="I8">
        <v>20.5</v>
      </c>
      <c r="J8">
        <v>18.100000000000001</v>
      </c>
      <c r="K8">
        <v>14.6</v>
      </c>
      <c r="L8">
        <v>11.2</v>
      </c>
      <c r="M8">
        <v>8.1999999999999993</v>
      </c>
      <c r="N8">
        <v>8</v>
      </c>
      <c r="O8">
        <v>9.6</v>
      </c>
      <c r="P8">
        <v>12.1</v>
      </c>
      <c r="Q8">
        <v>15.3</v>
      </c>
      <c r="R8">
        <v>18.100000000000001</v>
      </c>
      <c r="S8">
        <v>20.399999999999999</v>
      </c>
      <c r="T8">
        <v>14.7</v>
      </c>
      <c r="U8">
        <v>8.6</v>
      </c>
      <c r="V8">
        <v>15.2</v>
      </c>
      <c r="W8">
        <v>20.100000000000001</v>
      </c>
      <c r="X8">
        <v>14.8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f t="shared" si="0"/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f t="shared" si="1"/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f t="shared" si="22"/>
        <v>1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f t="shared" si="23"/>
        <v>1</v>
      </c>
      <c r="CG8">
        <f t="shared" si="24"/>
        <v>0</v>
      </c>
      <c r="CH8">
        <f t="shared" si="2"/>
        <v>0</v>
      </c>
      <c r="CI8">
        <f t="shared" si="3"/>
        <v>0</v>
      </c>
      <c r="CJ8">
        <f t="shared" si="4"/>
        <v>0</v>
      </c>
      <c r="CK8">
        <f t="shared" si="5"/>
        <v>0</v>
      </c>
      <c r="CL8">
        <f t="shared" si="6"/>
        <v>1</v>
      </c>
      <c r="CM8">
        <f t="shared" si="7"/>
        <v>0</v>
      </c>
      <c r="CN8">
        <f t="shared" si="8"/>
        <v>0</v>
      </c>
      <c r="CO8">
        <f t="shared" si="9"/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f t="shared" si="25"/>
        <v>1</v>
      </c>
      <c r="CW8">
        <f t="shared" si="26"/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f t="shared" si="27"/>
        <v>0</v>
      </c>
      <c r="DF8">
        <v>1</v>
      </c>
      <c r="DG8">
        <f t="shared" si="28"/>
        <v>1</v>
      </c>
      <c r="DI8">
        <f t="shared" si="29"/>
        <v>0</v>
      </c>
      <c r="DJ8">
        <f t="shared" si="10"/>
        <v>0</v>
      </c>
      <c r="DK8">
        <f t="shared" si="11"/>
        <v>0</v>
      </c>
      <c r="DL8">
        <f t="shared" si="12"/>
        <v>0</v>
      </c>
      <c r="DM8">
        <f t="shared" si="13"/>
        <v>0</v>
      </c>
      <c r="DN8">
        <f t="shared" si="14"/>
        <v>0</v>
      </c>
      <c r="DO8">
        <f t="shared" si="15"/>
        <v>0</v>
      </c>
      <c r="DP8">
        <f t="shared" si="16"/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f t="shared" si="30"/>
        <v>1</v>
      </c>
      <c r="DX8">
        <f t="shared" si="31"/>
        <v>1</v>
      </c>
      <c r="DZ8">
        <f t="shared" si="32"/>
        <v>0</v>
      </c>
      <c r="EA8">
        <f t="shared" si="17"/>
        <v>0</v>
      </c>
      <c r="EB8">
        <f t="shared" si="18"/>
        <v>0</v>
      </c>
      <c r="EC8">
        <f t="shared" si="19"/>
        <v>0</v>
      </c>
      <c r="ED8">
        <f t="shared" si="20"/>
        <v>0</v>
      </c>
      <c r="EE8">
        <f t="shared" si="21"/>
        <v>1</v>
      </c>
    </row>
    <row r="9" spans="1:135" x14ac:dyDescent="0.35">
      <c r="A9" t="s">
        <v>240</v>
      </c>
      <c r="B9">
        <f>[1]Population!$BB13</f>
        <v>2963496</v>
      </c>
      <c r="C9">
        <f>[1]RealGDP!$BB13</f>
        <v>5918216827.4621973</v>
      </c>
      <c r="D9" s="10">
        <f>[1]GDPcap!$BB13</f>
        <v>1997.0389119682286</v>
      </c>
      <c r="F9" t="s">
        <v>240</v>
      </c>
      <c r="H9">
        <v>-7.3</v>
      </c>
      <c r="I9">
        <v>-5.4</v>
      </c>
      <c r="J9">
        <v>0.3</v>
      </c>
      <c r="K9">
        <v>7.1</v>
      </c>
      <c r="L9">
        <v>12.1</v>
      </c>
      <c r="M9">
        <v>16.3</v>
      </c>
      <c r="N9">
        <v>20.399999999999999</v>
      </c>
      <c r="O9">
        <v>19.7</v>
      </c>
      <c r="P9">
        <v>15.4</v>
      </c>
      <c r="Q9">
        <v>8.4</v>
      </c>
      <c r="R9">
        <v>2.2999999999999998</v>
      </c>
      <c r="S9">
        <v>-3.9</v>
      </c>
      <c r="T9">
        <v>6.5</v>
      </c>
      <c r="U9">
        <v>18.8</v>
      </c>
      <c r="V9">
        <v>8.6999999999999993</v>
      </c>
      <c r="W9">
        <v>-5.4</v>
      </c>
      <c r="X9">
        <v>7.1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1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f t="shared" si="1"/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f t="shared" si="22"/>
        <v>1</v>
      </c>
      <c r="BV9">
        <v>0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f t="shared" si="23"/>
        <v>1</v>
      </c>
      <c r="CG9">
        <f t="shared" si="24"/>
        <v>0</v>
      </c>
      <c r="CH9">
        <f t="shared" si="2"/>
        <v>0</v>
      </c>
      <c r="CI9">
        <f t="shared" si="3"/>
        <v>0</v>
      </c>
      <c r="CJ9">
        <f t="shared" si="4"/>
        <v>1</v>
      </c>
      <c r="CK9">
        <f t="shared" si="5"/>
        <v>0</v>
      </c>
      <c r="CL9">
        <f t="shared" si="6"/>
        <v>0</v>
      </c>
      <c r="CM9">
        <f t="shared" si="7"/>
        <v>0</v>
      </c>
      <c r="CN9">
        <f t="shared" si="8"/>
        <v>0</v>
      </c>
      <c r="CO9">
        <f t="shared" si="9"/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f t="shared" si="25"/>
        <v>0</v>
      </c>
      <c r="CW9">
        <f t="shared" si="26"/>
        <v>1</v>
      </c>
      <c r="CY9">
        <v>0</v>
      </c>
      <c r="CZ9">
        <v>0</v>
      </c>
      <c r="DA9">
        <v>0</v>
      </c>
      <c r="DB9">
        <v>1</v>
      </c>
      <c r="DC9">
        <v>0</v>
      </c>
      <c r="DD9">
        <v>0</v>
      </c>
      <c r="DE9">
        <f t="shared" si="27"/>
        <v>0</v>
      </c>
      <c r="DF9">
        <v>0</v>
      </c>
      <c r="DG9">
        <f t="shared" si="28"/>
        <v>1</v>
      </c>
      <c r="DI9">
        <f t="shared" si="29"/>
        <v>0</v>
      </c>
      <c r="DJ9">
        <f t="shared" si="10"/>
        <v>0</v>
      </c>
      <c r="DK9">
        <f t="shared" si="11"/>
        <v>0</v>
      </c>
      <c r="DL9">
        <f t="shared" si="12"/>
        <v>1</v>
      </c>
      <c r="DM9">
        <f t="shared" si="13"/>
        <v>0</v>
      </c>
      <c r="DN9">
        <f t="shared" si="14"/>
        <v>0</v>
      </c>
      <c r="DO9">
        <f t="shared" si="15"/>
        <v>0</v>
      </c>
      <c r="DP9">
        <f t="shared" si="16"/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f t="shared" si="30"/>
        <v>0</v>
      </c>
      <c r="DX9">
        <f t="shared" si="31"/>
        <v>1</v>
      </c>
      <c r="DZ9">
        <f t="shared" si="32"/>
        <v>0</v>
      </c>
      <c r="EA9">
        <f t="shared" si="17"/>
        <v>0</v>
      </c>
      <c r="EB9">
        <f t="shared" si="18"/>
        <v>0</v>
      </c>
      <c r="EC9">
        <f t="shared" si="19"/>
        <v>1</v>
      </c>
      <c r="ED9">
        <f t="shared" si="20"/>
        <v>0</v>
      </c>
      <c r="EE9">
        <f t="shared" si="21"/>
        <v>0</v>
      </c>
    </row>
    <row r="10" spans="1:135" x14ac:dyDescent="0.35">
      <c r="A10" t="s">
        <v>145</v>
      </c>
      <c r="B10">
        <f>[1]Population!$BB15</f>
        <v>22065300</v>
      </c>
      <c r="C10">
        <f>[1]RealGDP!$BB15</f>
        <v>797442264201.02002</v>
      </c>
      <c r="D10" s="10">
        <f>[1]GDPcap!$BB15</f>
        <v>36140.105242213795</v>
      </c>
      <c r="F10" t="s">
        <v>145</v>
      </c>
      <c r="H10">
        <v>27.6</v>
      </c>
      <c r="I10">
        <v>27.1</v>
      </c>
      <c r="J10">
        <v>25.3</v>
      </c>
      <c r="K10">
        <v>22</v>
      </c>
      <c r="L10">
        <v>18.2</v>
      </c>
      <c r="M10">
        <v>15.2</v>
      </c>
      <c r="N10">
        <v>14.3</v>
      </c>
      <c r="O10">
        <v>16</v>
      </c>
      <c r="P10">
        <v>19.100000000000001</v>
      </c>
      <c r="Q10">
        <v>22.5</v>
      </c>
      <c r="R10">
        <v>25.1</v>
      </c>
      <c r="S10">
        <v>26.9</v>
      </c>
      <c r="T10">
        <v>21.8</v>
      </c>
      <c r="U10">
        <v>15.2</v>
      </c>
      <c r="V10">
        <v>22.3</v>
      </c>
      <c r="W10">
        <v>26.3</v>
      </c>
      <c r="X10">
        <v>21.6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f t="shared" si="0"/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f t="shared" si="1"/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 t="shared" si="22"/>
        <v>1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f t="shared" si="23"/>
        <v>1</v>
      </c>
      <c r="CG10">
        <f t="shared" si="24"/>
        <v>0</v>
      </c>
      <c r="CH10">
        <f t="shared" si="2"/>
        <v>0</v>
      </c>
      <c r="CI10">
        <f t="shared" si="3"/>
        <v>1</v>
      </c>
      <c r="CJ10">
        <f t="shared" si="4"/>
        <v>0</v>
      </c>
      <c r="CK10">
        <f t="shared" si="5"/>
        <v>0</v>
      </c>
      <c r="CL10">
        <f t="shared" si="6"/>
        <v>0</v>
      </c>
      <c r="CM10">
        <f t="shared" si="7"/>
        <v>0</v>
      </c>
      <c r="CN10">
        <f t="shared" si="8"/>
        <v>0</v>
      </c>
      <c r="CO10">
        <f t="shared" si="9"/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f t="shared" si="25"/>
        <v>1</v>
      </c>
      <c r="CW10">
        <f t="shared" si="26"/>
        <v>1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f t="shared" si="27"/>
        <v>0</v>
      </c>
      <c r="DF10">
        <v>0</v>
      </c>
      <c r="DG10">
        <f t="shared" si="28"/>
        <v>1</v>
      </c>
      <c r="DI10">
        <f t="shared" si="29"/>
        <v>0</v>
      </c>
      <c r="DJ10">
        <f t="shared" si="10"/>
        <v>0</v>
      </c>
      <c r="DK10">
        <f t="shared" si="11"/>
        <v>1</v>
      </c>
      <c r="DL10">
        <f t="shared" si="12"/>
        <v>0</v>
      </c>
      <c r="DM10">
        <f t="shared" si="13"/>
        <v>0</v>
      </c>
      <c r="DN10">
        <f t="shared" si="14"/>
        <v>0</v>
      </c>
      <c r="DO10">
        <f t="shared" si="15"/>
        <v>0</v>
      </c>
      <c r="DP10">
        <f t="shared" si="16"/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f t="shared" si="30"/>
        <v>0</v>
      </c>
      <c r="DX10">
        <f t="shared" si="31"/>
        <v>1</v>
      </c>
      <c r="DZ10">
        <f t="shared" si="32"/>
        <v>0</v>
      </c>
      <c r="EA10">
        <f t="shared" si="17"/>
        <v>0</v>
      </c>
      <c r="EB10">
        <f t="shared" si="18"/>
        <v>1</v>
      </c>
      <c r="EC10">
        <f t="shared" si="19"/>
        <v>0</v>
      </c>
      <c r="ED10">
        <f t="shared" si="20"/>
        <v>0</v>
      </c>
      <c r="EE10">
        <f t="shared" si="21"/>
        <v>0</v>
      </c>
    </row>
    <row r="11" spans="1:135" x14ac:dyDescent="0.35">
      <c r="A11" t="s">
        <v>146</v>
      </c>
      <c r="B11">
        <f>[1]Population!$BB16</f>
        <v>8389771</v>
      </c>
      <c r="C11">
        <f>[1]RealGDP!$BB16</f>
        <v>325550262356.948</v>
      </c>
      <c r="D11" s="10">
        <f>[1]GDPcap!$BB16</f>
        <v>38803.235792365253</v>
      </c>
      <c r="F11" t="s">
        <v>146</v>
      </c>
      <c r="H11">
        <v>-3.4</v>
      </c>
      <c r="I11">
        <v>-1.8</v>
      </c>
      <c r="J11">
        <v>1.6</v>
      </c>
      <c r="K11">
        <v>5.7</v>
      </c>
      <c r="L11">
        <v>10.3</v>
      </c>
      <c r="M11">
        <v>13.5</v>
      </c>
      <c r="N11">
        <v>15.4</v>
      </c>
      <c r="O11">
        <v>15.2</v>
      </c>
      <c r="P11">
        <v>12.2</v>
      </c>
      <c r="Q11">
        <v>7.6</v>
      </c>
      <c r="R11">
        <v>1.8</v>
      </c>
      <c r="S11">
        <v>-2.1</v>
      </c>
      <c r="T11">
        <v>5.9</v>
      </c>
      <c r="U11">
        <v>14.7</v>
      </c>
      <c r="V11">
        <v>7.2</v>
      </c>
      <c r="W11">
        <v>-2.4</v>
      </c>
      <c r="X11">
        <v>6.3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f t="shared" si="0"/>
        <v>1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1"/>
        <v>1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 t="shared" si="22"/>
        <v>1</v>
      </c>
      <c r="BV11">
        <v>0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f t="shared" si="23"/>
        <v>1</v>
      </c>
      <c r="CG11">
        <f t="shared" si="24"/>
        <v>0</v>
      </c>
      <c r="CH11">
        <f t="shared" si="2"/>
        <v>1</v>
      </c>
      <c r="CI11">
        <f t="shared" si="3"/>
        <v>0</v>
      </c>
      <c r="CJ11">
        <f t="shared" si="4"/>
        <v>0</v>
      </c>
      <c r="CK11">
        <f t="shared" si="5"/>
        <v>0</v>
      </c>
      <c r="CL11">
        <f t="shared" si="6"/>
        <v>0</v>
      </c>
      <c r="CM11">
        <f t="shared" si="7"/>
        <v>0</v>
      </c>
      <c r="CN11">
        <f t="shared" si="8"/>
        <v>0</v>
      </c>
      <c r="CO11">
        <f t="shared" si="9"/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f t="shared" si="25"/>
        <v>0</v>
      </c>
      <c r="CW11">
        <f t="shared" si="26"/>
        <v>1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f t="shared" si="27"/>
        <v>0</v>
      </c>
      <c r="DF11">
        <v>0</v>
      </c>
      <c r="DG11">
        <f t="shared" si="28"/>
        <v>1</v>
      </c>
      <c r="DI11">
        <f t="shared" si="29"/>
        <v>1</v>
      </c>
      <c r="DJ11">
        <f t="shared" si="10"/>
        <v>0</v>
      </c>
      <c r="DK11">
        <f t="shared" si="11"/>
        <v>0</v>
      </c>
      <c r="DL11">
        <f t="shared" si="12"/>
        <v>0</v>
      </c>
      <c r="DM11">
        <f t="shared" si="13"/>
        <v>0</v>
      </c>
      <c r="DN11">
        <f t="shared" si="14"/>
        <v>0</v>
      </c>
      <c r="DO11">
        <f t="shared" si="15"/>
        <v>0</v>
      </c>
      <c r="DP11">
        <f t="shared" si="16"/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f t="shared" si="30"/>
        <v>0</v>
      </c>
      <c r="DX11">
        <f t="shared" si="31"/>
        <v>1</v>
      </c>
      <c r="DZ11">
        <f t="shared" si="32"/>
        <v>1</v>
      </c>
      <c r="EA11">
        <f t="shared" si="17"/>
        <v>0</v>
      </c>
      <c r="EB11">
        <f t="shared" si="18"/>
        <v>0</v>
      </c>
      <c r="EC11">
        <f t="shared" si="19"/>
        <v>0</v>
      </c>
      <c r="ED11">
        <f t="shared" si="20"/>
        <v>0</v>
      </c>
      <c r="EE11">
        <f t="shared" si="21"/>
        <v>0</v>
      </c>
    </row>
    <row r="12" spans="1:135" x14ac:dyDescent="0.35">
      <c r="A12" t="s">
        <v>241</v>
      </c>
      <c r="B12">
        <f>[1]Population!$BB17</f>
        <v>9054332</v>
      </c>
      <c r="C12">
        <f>[1]RealGDP!$BB17</f>
        <v>28310397706.794827</v>
      </c>
      <c r="D12" s="10">
        <f>[1]GDPcap!$BB17</f>
        <v>3126.7240594662121</v>
      </c>
      <c r="F12" t="s">
        <v>241</v>
      </c>
      <c r="H12">
        <v>-0.4</v>
      </c>
      <c r="I12">
        <v>0.6</v>
      </c>
      <c r="J12">
        <v>4.5999999999999996</v>
      </c>
      <c r="K12">
        <v>11.3</v>
      </c>
      <c r="L12">
        <v>16.600000000000001</v>
      </c>
      <c r="M12">
        <v>21.4</v>
      </c>
      <c r="N12">
        <v>24.4</v>
      </c>
      <c r="O12">
        <v>23.8</v>
      </c>
      <c r="P12">
        <v>19.399999999999999</v>
      </c>
      <c r="Q12">
        <v>12.4</v>
      </c>
      <c r="R12">
        <v>7</v>
      </c>
      <c r="S12">
        <v>1.8</v>
      </c>
      <c r="T12">
        <v>10.8</v>
      </c>
      <c r="U12">
        <v>23.2</v>
      </c>
      <c r="V12">
        <v>12.9</v>
      </c>
      <c r="W12">
        <v>0.6</v>
      </c>
      <c r="X12">
        <v>11.9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1"/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f t="shared" si="22"/>
        <v>1</v>
      </c>
      <c r="BV12">
        <v>0</v>
      </c>
      <c r="BW12">
        <v>0</v>
      </c>
      <c r="BX12">
        <v>0</v>
      </c>
      <c r="BY12">
        <v>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f t="shared" si="23"/>
        <v>1</v>
      </c>
      <c r="CG12">
        <f t="shared" si="24"/>
        <v>0</v>
      </c>
      <c r="CH12">
        <f t="shared" si="2"/>
        <v>0</v>
      </c>
      <c r="CI12">
        <f t="shared" si="3"/>
        <v>0</v>
      </c>
      <c r="CJ12">
        <f t="shared" si="4"/>
        <v>1</v>
      </c>
      <c r="CK12">
        <f t="shared" si="5"/>
        <v>0</v>
      </c>
      <c r="CL12">
        <f t="shared" si="6"/>
        <v>0</v>
      </c>
      <c r="CM12">
        <f t="shared" si="7"/>
        <v>0</v>
      </c>
      <c r="CN12">
        <f t="shared" si="8"/>
        <v>0</v>
      </c>
      <c r="CO12">
        <f t="shared" si="9"/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f t="shared" si="25"/>
        <v>0</v>
      </c>
      <c r="CW12">
        <f t="shared" si="26"/>
        <v>1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f t="shared" si="27"/>
        <v>0</v>
      </c>
      <c r="DF12">
        <v>0</v>
      </c>
      <c r="DG12">
        <f t="shared" si="28"/>
        <v>1</v>
      </c>
      <c r="DI12">
        <f t="shared" si="29"/>
        <v>0</v>
      </c>
      <c r="DJ12">
        <f t="shared" si="10"/>
        <v>0</v>
      </c>
      <c r="DK12">
        <f t="shared" si="11"/>
        <v>0</v>
      </c>
      <c r="DL12">
        <f t="shared" si="12"/>
        <v>1</v>
      </c>
      <c r="DM12">
        <f t="shared" si="13"/>
        <v>0</v>
      </c>
      <c r="DN12">
        <f t="shared" si="14"/>
        <v>0</v>
      </c>
      <c r="DO12">
        <f t="shared" si="15"/>
        <v>0</v>
      </c>
      <c r="DP12">
        <f t="shared" si="16"/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f t="shared" si="30"/>
        <v>0</v>
      </c>
      <c r="DX12">
        <f t="shared" si="31"/>
        <v>1</v>
      </c>
      <c r="DZ12">
        <f t="shared" si="32"/>
        <v>0</v>
      </c>
      <c r="EA12">
        <f t="shared" si="17"/>
        <v>0</v>
      </c>
      <c r="EB12">
        <f t="shared" si="18"/>
        <v>0</v>
      </c>
      <c r="EC12">
        <f t="shared" si="19"/>
        <v>1</v>
      </c>
      <c r="ED12">
        <f t="shared" si="20"/>
        <v>0</v>
      </c>
      <c r="EE12">
        <f t="shared" si="21"/>
        <v>0</v>
      </c>
    </row>
    <row r="13" spans="1:135" x14ac:dyDescent="0.35">
      <c r="A13" t="s">
        <v>147</v>
      </c>
      <c r="B13">
        <f>[1]Population!$BB18</f>
        <v>360498</v>
      </c>
      <c r="C13">
        <f>[1]RealGDP!$BB18</f>
        <v>7575468595.4633093</v>
      </c>
      <c r="D13" s="10">
        <f>[1]GDPcap!$BB18</f>
        <v>21013.899093651864</v>
      </c>
      <c r="F13" t="s">
        <v>147</v>
      </c>
      <c r="H13">
        <v>21.3</v>
      </c>
      <c r="I13">
        <v>21.5</v>
      </c>
      <c r="J13">
        <v>22.7</v>
      </c>
      <c r="K13">
        <v>23.9</v>
      </c>
      <c r="L13">
        <v>25.6</v>
      </c>
      <c r="M13">
        <v>27.1</v>
      </c>
      <c r="N13">
        <v>27.8</v>
      </c>
      <c r="O13">
        <v>27.9</v>
      </c>
      <c r="P13">
        <v>27.5</v>
      </c>
      <c r="Q13">
        <v>26.2</v>
      </c>
      <c r="R13">
        <v>24.1</v>
      </c>
      <c r="S13">
        <v>22.2</v>
      </c>
      <c r="T13">
        <v>24.1</v>
      </c>
      <c r="U13">
        <v>27.6</v>
      </c>
      <c r="V13">
        <v>25.9</v>
      </c>
      <c r="W13">
        <v>20.9</v>
      </c>
      <c r="X13">
        <v>24.8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f t="shared" si="0"/>
        <v>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f t="shared" si="1"/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 t="shared" si="22"/>
        <v>1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0</v>
      </c>
      <c r="CC13">
        <v>0</v>
      </c>
      <c r="CD13">
        <v>0</v>
      </c>
      <c r="CE13">
        <f t="shared" si="23"/>
        <v>1</v>
      </c>
      <c r="CG13">
        <f t="shared" si="24"/>
        <v>0</v>
      </c>
      <c r="CH13">
        <f t="shared" si="2"/>
        <v>0</v>
      </c>
      <c r="CI13">
        <f t="shared" si="3"/>
        <v>0</v>
      </c>
      <c r="CJ13">
        <f t="shared" si="4"/>
        <v>0</v>
      </c>
      <c r="CK13">
        <f t="shared" si="5"/>
        <v>0</v>
      </c>
      <c r="CL13">
        <f t="shared" si="6"/>
        <v>1</v>
      </c>
      <c r="CM13">
        <f t="shared" si="7"/>
        <v>0</v>
      </c>
      <c r="CN13">
        <f t="shared" si="8"/>
        <v>0</v>
      </c>
      <c r="CO13">
        <f t="shared" si="9"/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f t="shared" si="25"/>
        <v>1</v>
      </c>
      <c r="CW13">
        <f t="shared" si="26"/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f t="shared" si="27"/>
        <v>0</v>
      </c>
      <c r="DF13">
        <v>1</v>
      </c>
      <c r="DG13">
        <f t="shared" si="28"/>
        <v>1</v>
      </c>
      <c r="DI13">
        <f t="shared" si="29"/>
        <v>0</v>
      </c>
      <c r="DJ13">
        <f t="shared" si="10"/>
        <v>0</v>
      </c>
      <c r="DK13">
        <f t="shared" si="11"/>
        <v>0</v>
      </c>
      <c r="DL13">
        <f t="shared" si="12"/>
        <v>0</v>
      </c>
      <c r="DM13">
        <f t="shared" si="13"/>
        <v>0</v>
      </c>
      <c r="DN13">
        <f t="shared" si="14"/>
        <v>0</v>
      </c>
      <c r="DO13">
        <f t="shared" si="15"/>
        <v>0</v>
      </c>
      <c r="DP13">
        <f t="shared" si="16"/>
        <v>1</v>
      </c>
      <c r="DR13">
        <v>0</v>
      </c>
      <c r="DS13">
        <v>0</v>
      </c>
      <c r="DT13">
        <v>0</v>
      </c>
      <c r="DU13">
        <v>0</v>
      </c>
      <c r="DV13">
        <v>0</v>
      </c>
      <c r="DW13">
        <f t="shared" si="30"/>
        <v>1</v>
      </c>
      <c r="DX13">
        <f t="shared" si="31"/>
        <v>1</v>
      </c>
      <c r="DZ13">
        <f t="shared" si="32"/>
        <v>0</v>
      </c>
      <c r="EA13">
        <f t="shared" si="17"/>
        <v>0</v>
      </c>
      <c r="EB13">
        <f t="shared" si="18"/>
        <v>0</v>
      </c>
      <c r="EC13">
        <f t="shared" si="19"/>
        <v>0</v>
      </c>
      <c r="ED13">
        <f t="shared" si="20"/>
        <v>0</v>
      </c>
      <c r="EE13">
        <f t="shared" si="21"/>
        <v>1</v>
      </c>
    </row>
    <row r="14" spans="1:135" x14ac:dyDescent="0.35">
      <c r="A14" t="s">
        <v>385</v>
      </c>
      <c r="B14">
        <f>[1]Population!$BB19</f>
        <v>1251513</v>
      </c>
      <c r="C14">
        <f>[1]RealGDP!$BB19</f>
        <v>20928102319.771168</v>
      </c>
      <c r="D14" s="10">
        <f>[1]GDPcap!$BB19</f>
        <v>16722.241255001882</v>
      </c>
      <c r="F14" t="s">
        <v>385</v>
      </c>
      <c r="H14">
        <v>15.8</v>
      </c>
      <c r="I14">
        <v>18</v>
      </c>
      <c r="J14">
        <v>21.9</v>
      </c>
      <c r="K14">
        <v>26.8</v>
      </c>
      <c r="L14">
        <v>32.4</v>
      </c>
      <c r="M14">
        <v>35.1</v>
      </c>
      <c r="N14">
        <v>36.799999999999997</v>
      </c>
      <c r="O14">
        <v>36.1</v>
      </c>
      <c r="P14">
        <v>33.299999999999997</v>
      </c>
      <c r="Q14">
        <v>28.7</v>
      </c>
      <c r="R14">
        <v>22.9</v>
      </c>
      <c r="S14">
        <v>17.899999999999999</v>
      </c>
      <c r="T14">
        <v>27.1</v>
      </c>
      <c r="U14">
        <v>36</v>
      </c>
      <c r="V14">
        <v>28.3</v>
      </c>
      <c r="W14">
        <v>16.600000000000001</v>
      </c>
      <c r="X14">
        <v>27.1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f t="shared" si="0"/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1"/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 t="shared" si="22"/>
        <v>1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f t="shared" si="23"/>
        <v>1</v>
      </c>
      <c r="CG14">
        <f t="shared" si="24"/>
        <v>0</v>
      </c>
      <c r="CH14">
        <f t="shared" si="2"/>
        <v>0</v>
      </c>
      <c r="CI14">
        <f t="shared" si="3"/>
        <v>0</v>
      </c>
      <c r="CJ14">
        <f t="shared" si="4"/>
        <v>0</v>
      </c>
      <c r="CK14">
        <f t="shared" si="5"/>
        <v>1</v>
      </c>
      <c r="CL14">
        <f t="shared" si="6"/>
        <v>0</v>
      </c>
      <c r="CM14">
        <f t="shared" si="7"/>
        <v>0</v>
      </c>
      <c r="CN14">
        <f t="shared" si="8"/>
        <v>0</v>
      </c>
      <c r="CO14">
        <f t="shared" si="9"/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f t="shared" si="25"/>
        <v>1</v>
      </c>
      <c r="CW14">
        <f t="shared" si="26"/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f t="shared" si="27"/>
        <v>1</v>
      </c>
      <c r="DF14">
        <v>0</v>
      </c>
      <c r="DG14">
        <f t="shared" si="28"/>
        <v>1</v>
      </c>
      <c r="DI14">
        <f t="shared" si="29"/>
        <v>0</v>
      </c>
      <c r="DJ14">
        <f t="shared" si="10"/>
        <v>0</v>
      </c>
      <c r="DK14">
        <f t="shared" si="11"/>
        <v>0</v>
      </c>
      <c r="DL14">
        <f t="shared" si="12"/>
        <v>0</v>
      </c>
      <c r="DM14">
        <f t="shared" si="13"/>
        <v>0</v>
      </c>
      <c r="DN14">
        <f t="shared" si="14"/>
        <v>0</v>
      </c>
      <c r="DO14">
        <f t="shared" si="15"/>
        <v>1</v>
      </c>
      <c r="DP14">
        <f t="shared" si="16"/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f t="shared" si="30"/>
        <v>1</v>
      </c>
      <c r="DX14">
        <f t="shared" si="31"/>
        <v>1</v>
      </c>
      <c r="DZ14">
        <f t="shared" si="32"/>
        <v>0</v>
      </c>
      <c r="EA14">
        <f t="shared" si="17"/>
        <v>0</v>
      </c>
      <c r="EB14">
        <f t="shared" si="18"/>
        <v>0</v>
      </c>
      <c r="EC14">
        <f t="shared" si="19"/>
        <v>0</v>
      </c>
      <c r="ED14">
        <f t="shared" si="20"/>
        <v>0</v>
      </c>
      <c r="EE14">
        <f t="shared" si="21"/>
        <v>1</v>
      </c>
    </row>
    <row r="15" spans="1:135" x14ac:dyDescent="0.35">
      <c r="A15" t="s">
        <v>148</v>
      </c>
      <c r="B15">
        <f>[1]Population!$BB20</f>
        <v>151125475</v>
      </c>
      <c r="C15">
        <f>[1]RealGDP!$BB20</f>
        <v>81471733197.377762</v>
      </c>
      <c r="D15" s="10">
        <f>[1]GDPcap!$BB20</f>
        <v>539.09993134762863</v>
      </c>
      <c r="F15" t="s">
        <v>148</v>
      </c>
      <c r="H15">
        <v>18.5</v>
      </c>
      <c r="I15">
        <v>20.8</v>
      </c>
      <c r="J15">
        <v>24.9</v>
      </c>
      <c r="K15">
        <v>27.3</v>
      </c>
      <c r="L15">
        <v>27.8</v>
      </c>
      <c r="M15">
        <v>27.7</v>
      </c>
      <c r="N15">
        <v>27.6</v>
      </c>
      <c r="O15">
        <v>27.7</v>
      </c>
      <c r="P15">
        <v>27.8</v>
      </c>
      <c r="Q15">
        <v>26.7</v>
      </c>
      <c r="R15">
        <v>23.4</v>
      </c>
      <c r="S15">
        <v>19.600000000000001</v>
      </c>
      <c r="T15">
        <v>26.6</v>
      </c>
      <c r="U15">
        <v>27.7</v>
      </c>
      <c r="V15">
        <v>26</v>
      </c>
      <c r="W15">
        <v>19</v>
      </c>
      <c r="X15">
        <v>25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f t="shared" si="1"/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f t="shared" si="22"/>
        <v>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f t="shared" si="23"/>
        <v>1</v>
      </c>
      <c r="CG15">
        <f t="shared" si="24"/>
        <v>0</v>
      </c>
      <c r="CH15">
        <f t="shared" si="2"/>
        <v>0</v>
      </c>
      <c r="CI15">
        <f t="shared" si="3"/>
        <v>0</v>
      </c>
      <c r="CJ15">
        <f t="shared" si="4"/>
        <v>0</v>
      </c>
      <c r="CK15">
        <f t="shared" si="5"/>
        <v>0</v>
      </c>
      <c r="CL15">
        <f t="shared" si="6"/>
        <v>0</v>
      </c>
      <c r="CM15">
        <f t="shared" si="7"/>
        <v>1</v>
      </c>
      <c r="CN15">
        <f t="shared" si="8"/>
        <v>0</v>
      </c>
      <c r="CO15">
        <f t="shared" si="9"/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f t="shared" si="25"/>
        <v>1</v>
      </c>
      <c r="CW15">
        <f t="shared" si="26"/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f t="shared" si="27"/>
        <v>0</v>
      </c>
      <c r="DF15">
        <v>0</v>
      </c>
      <c r="DG15">
        <f t="shared" si="28"/>
        <v>1</v>
      </c>
      <c r="DI15">
        <f t="shared" si="29"/>
        <v>0</v>
      </c>
      <c r="DJ15">
        <f t="shared" si="10"/>
        <v>0</v>
      </c>
      <c r="DK15">
        <f t="shared" si="11"/>
        <v>0</v>
      </c>
      <c r="DL15">
        <f t="shared" si="12"/>
        <v>0</v>
      </c>
      <c r="DM15">
        <f t="shared" si="13"/>
        <v>0</v>
      </c>
      <c r="DN15">
        <f t="shared" si="14"/>
        <v>1</v>
      </c>
      <c r="DO15">
        <f t="shared" si="15"/>
        <v>0</v>
      </c>
      <c r="DP15">
        <f t="shared" si="16"/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f t="shared" si="30"/>
        <v>1</v>
      </c>
      <c r="DX15">
        <f t="shared" si="31"/>
        <v>1</v>
      </c>
      <c r="DZ15">
        <f t="shared" si="32"/>
        <v>0</v>
      </c>
      <c r="EA15">
        <f t="shared" si="17"/>
        <v>0</v>
      </c>
      <c r="EB15">
        <f t="shared" si="18"/>
        <v>0</v>
      </c>
      <c r="EC15">
        <f t="shared" si="19"/>
        <v>0</v>
      </c>
      <c r="ED15">
        <f t="shared" si="20"/>
        <v>0</v>
      </c>
      <c r="EE15">
        <f t="shared" si="21"/>
        <v>1</v>
      </c>
    </row>
    <row r="16" spans="1:135" x14ac:dyDescent="0.35">
      <c r="A16" t="s">
        <v>149</v>
      </c>
      <c r="B16">
        <f>[1]Population!$BB21</f>
        <v>280396</v>
      </c>
      <c r="C16">
        <f>[1]RealGDP!$BB21</f>
        <v>4033125824.922358</v>
      </c>
      <c r="D16" s="10">
        <f>[1]GDPcap!$BB21</f>
        <v>14383.678172735552</v>
      </c>
      <c r="F16" t="s">
        <v>149</v>
      </c>
      <c r="H16">
        <v>24.9</v>
      </c>
      <c r="I16">
        <v>25</v>
      </c>
      <c r="J16">
        <v>25.2</v>
      </c>
      <c r="K16">
        <v>25.9</v>
      </c>
      <c r="L16">
        <v>26.5</v>
      </c>
      <c r="M16">
        <v>26.7</v>
      </c>
      <c r="N16">
        <v>26.5</v>
      </c>
      <c r="O16">
        <v>26.7</v>
      </c>
      <c r="P16">
        <v>26.7</v>
      </c>
      <c r="Q16">
        <v>26.5</v>
      </c>
      <c r="R16">
        <v>26.1</v>
      </c>
      <c r="S16">
        <v>25.5</v>
      </c>
      <c r="T16">
        <v>25.9</v>
      </c>
      <c r="U16">
        <v>26.6</v>
      </c>
      <c r="V16">
        <v>26.5</v>
      </c>
      <c r="W16">
        <v>24.2</v>
      </c>
      <c r="X16">
        <v>26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f t="shared" si="0"/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f t="shared" si="1"/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f t="shared" si="22"/>
        <v>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f t="shared" si="23"/>
        <v>1</v>
      </c>
      <c r="CG16">
        <f t="shared" si="24"/>
        <v>0</v>
      </c>
      <c r="CH16">
        <f t="shared" si="2"/>
        <v>0</v>
      </c>
      <c r="CI16">
        <f t="shared" si="3"/>
        <v>0</v>
      </c>
      <c r="CJ16">
        <f t="shared" si="4"/>
        <v>0</v>
      </c>
      <c r="CK16">
        <f t="shared" si="5"/>
        <v>0</v>
      </c>
      <c r="CL16">
        <f t="shared" si="6"/>
        <v>1</v>
      </c>
      <c r="CM16">
        <f t="shared" si="7"/>
        <v>0</v>
      </c>
      <c r="CN16">
        <f t="shared" si="8"/>
        <v>0</v>
      </c>
      <c r="CO16">
        <f t="shared" si="9"/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f t="shared" si="25"/>
        <v>1</v>
      </c>
      <c r="CW16">
        <f t="shared" si="26"/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f t="shared" si="27"/>
        <v>0</v>
      </c>
      <c r="DF16">
        <v>1</v>
      </c>
      <c r="DG16">
        <f t="shared" si="28"/>
        <v>1</v>
      </c>
      <c r="DI16">
        <f t="shared" si="29"/>
        <v>0</v>
      </c>
      <c r="DJ16">
        <f t="shared" si="10"/>
        <v>0</v>
      </c>
      <c r="DK16">
        <f t="shared" si="11"/>
        <v>0</v>
      </c>
      <c r="DL16">
        <f t="shared" si="12"/>
        <v>0</v>
      </c>
      <c r="DM16">
        <f t="shared" si="13"/>
        <v>0</v>
      </c>
      <c r="DN16">
        <f t="shared" si="14"/>
        <v>0</v>
      </c>
      <c r="DO16">
        <f t="shared" si="15"/>
        <v>0</v>
      </c>
      <c r="DP16">
        <f t="shared" si="16"/>
        <v>1</v>
      </c>
      <c r="DR16">
        <v>0</v>
      </c>
      <c r="DS16">
        <v>0</v>
      </c>
      <c r="DT16">
        <v>0</v>
      </c>
      <c r="DU16">
        <v>0</v>
      </c>
      <c r="DV16">
        <v>0</v>
      </c>
      <c r="DW16">
        <f t="shared" si="30"/>
        <v>1</v>
      </c>
      <c r="DX16">
        <f t="shared" si="31"/>
        <v>1</v>
      </c>
      <c r="DZ16">
        <f t="shared" si="32"/>
        <v>0</v>
      </c>
      <c r="EA16">
        <f t="shared" si="17"/>
        <v>0</v>
      </c>
      <c r="EB16">
        <f t="shared" si="18"/>
        <v>0</v>
      </c>
      <c r="EC16">
        <f t="shared" si="19"/>
        <v>0</v>
      </c>
      <c r="ED16">
        <f t="shared" si="20"/>
        <v>0</v>
      </c>
      <c r="EE16">
        <f t="shared" si="21"/>
        <v>1</v>
      </c>
    </row>
    <row r="17" spans="1:135" x14ac:dyDescent="0.35">
      <c r="A17" t="s">
        <v>242</v>
      </c>
      <c r="B17">
        <f>[1]Population!$BB22</f>
        <v>9490000</v>
      </c>
      <c r="C17">
        <f>[1]RealGDP!$BB22</f>
        <v>42955347353.866852</v>
      </c>
      <c r="D17" s="10">
        <f>[1]GDPcap!$BB22</f>
        <v>4526.3801215876556</v>
      </c>
      <c r="F17" t="s">
        <v>242</v>
      </c>
      <c r="H17">
        <v>-7</v>
      </c>
      <c r="I17">
        <v>-5.7</v>
      </c>
      <c r="J17">
        <v>-0.9</v>
      </c>
      <c r="K17">
        <v>6.8</v>
      </c>
      <c r="L17">
        <v>13.3</v>
      </c>
      <c r="M17">
        <v>16.5</v>
      </c>
      <c r="N17">
        <v>17.7</v>
      </c>
      <c r="O17">
        <v>16.899999999999999</v>
      </c>
      <c r="P17">
        <v>12.3</v>
      </c>
      <c r="Q17">
        <v>6.7</v>
      </c>
      <c r="R17">
        <v>1</v>
      </c>
      <c r="S17">
        <v>-3.7</v>
      </c>
      <c r="T17">
        <v>6.4</v>
      </c>
      <c r="U17">
        <v>17</v>
      </c>
      <c r="V17">
        <v>6.7</v>
      </c>
      <c r="W17">
        <v>-5.4</v>
      </c>
      <c r="X17">
        <v>6.2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1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1"/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f t="shared" si="22"/>
        <v>1</v>
      </c>
      <c r="BV17">
        <v>0</v>
      </c>
      <c r="BW17">
        <v>0</v>
      </c>
      <c r="BX17">
        <v>0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f t="shared" si="23"/>
        <v>1</v>
      </c>
      <c r="CG17">
        <f t="shared" si="24"/>
        <v>0</v>
      </c>
      <c r="CH17">
        <f t="shared" si="2"/>
        <v>0</v>
      </c>
      <c r="CI17">
        <f t="shared" si="3"/>
        <v>0</v>
      </c>
      <c r="CJ17">
        <f t="shared" si="4"/>
        <v>1</v>
      </c>
      <c r="CK17">
        <f t="shared" si="5"/>
        <v>0</v>
      </c>
      <c r="CL17">
        <f t="shared" si="6"/>
        <v>0</v>
      </c>
      <c r="CM17">
        <f t="shared" si="7"/>
        <v>0</v>
      </c>
      <c r="CN17">
        <f t="shared" si="8"/>
        <v>0</v>
      </c>
      <c r="CO17">
        <f t="shared" si="9"/>
        <v>0</v>
      </c>
      <c r="CQ17">
        <v>0</v>
      </c>
      <c r="CR17">
        <v>0</v>
      </c>
      <c r="CS17">
        <v>0</v>
      </c>
      <c r="CT17">
        <v>0</v>
      </c>
      <c r="CU17">
        <v>1</v>
      </c>
      <c r="CV17">
        <f t="shared" si="25"/>
        <v>0</v>
      </c>
      <c r="CW17">
        <f t="shared" si="26"/>
        <v>1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f t="shared" si="27"/>
        <v>0</v>
      </c>
      <c r="DF17">
        <v>0</v>
      </c>
      <c r="DG17">
        <f t="shared" si="28"/>
        <v>1</v>
      </c>
      <c r="DI17">
        <f t="shared" si="29"/>
        <v>0</v>
      </c>
      <c r="DJ17">
        <f t="shared" si="10"/>
        <v>0</v>
      </c>
      <c r="DK17">
        <f t="shared" si="11"/>
        <v>0</v>
      </c>
      <c r="DL17">
        <f t="shared" si="12"/>
        <v>1</v>
      </c>
      <c r="DM17">
        <f t="shared" si="13"/>
        <v>0</v>
      </c>
      <c r="DN17">
        <f t="shared" si="14"/>
        <v>0</v>
      </c>
      <c r="DO17">
        <f t="shared" si="15"/>
        <v>0</v>
      </c>
      <c r="DP17">
        <f t="shared" si="16"/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f t="shared" si="30"/>
        <v>0</v>
      </c>
      <c r="DX17">
        <f t="shared" si="31"/>
        <v>1</v>
      </c>
      <c r="DZ17">
        <f t="shared" si="32"/>
        <v>0</v>
      </c>
      <c r="EA17">
        <f t="shared" si="17"/>
        <v>0</v>
      </c>
      <c r="EB17">
        <f t="shared" si="18"/>
        <v>0</v>
      </c>
      <c r="EC17">
        <f t="shared" si="19"/>
        <v>1</v>
      </c>
      <c r="ED17">
        <f t="shared" si="20"/>
        <v>0</v>
      </c>
      <c r="EE17">
        <f t="shared" si="21"/>
        <v>0</v>
      </c>
    </row>
    <row r="18" spans="1:135" x14ac:dyDescent="0.35">
      <c r="A18" t="s">
        <v>150</v>
      </c>
      <c r="B18">
        <f>[1]Population!$BB23</f>
        <v>10895586</v>
      </c>
      <c r="C18">
        <f>[1]RealGDP!$BB23</f>
        <v>400383139123.5824</v>
      </c>
      <c r="D18" s="10">
        <f>[1]GDPcap!$BB23</f>
        <v>36747.279047091397</v>
      </c>
      <c r="F18" t="s">
        <v>150</v>
      </c>
      <c r="H18">
        <v>2</v>
      </c>
      <c r="I18">
        <v>2.6</v>
      </c>
      <c r="J18">
        <v>5.3</v>
      </c>
      <c r="K18">
        <v>8.1999999999999993</v>
      </c>
      <c r="L18">
        <v>12.5</v>
      </c>
      <c r="M18">
        <v>15.4</v>
      </c>
      <c r="N18">
        <v>17.2</v>
      </c>
      <c r="O18">
        <v>17.2</v>
      </c>
      <c r="P18">
        <v>14.5</v>
      </c>
      <c r="Q18">
        <v>10.8</v>
      </c>
      <c r="R18">
        <v>5.8</v>
      </c>
      <c r="S18">
        <v>3.1</v>
      </c>
      <c r="T18">
        <v>8.6999999999999993</v>
      </c>
      <c r="U18">
        <v>16.600000000000001</v>
      </c>
      <c r="V18">
        <v>10.3</v>
      </c>
      <c r="W18">
        <v>2.4</v>
      </c>
      <c r="X18">
        <v>9.6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f t="shared" si="0"/>
        <v>1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f t="shared" si="1"/>
        <v>1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 t="shared" si="22"/>
        <v>1</v>
      </c>
      <c r="BV18">
        <v>0</v>
      </c>
      <c r="BW18">
        <v>1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f t="shared" si="23"/>
        <v>1</v>
      </c>
      <c r="CG18">
        <f t="shared" si="24"/>
        <v>0</v>
      </c>
      <c r="CH18">
        <f t="shared" si="2"/>
        <v>1</v>
      </c>
      <c r="CI18">
        <f t="shared" si="3"/>
        <v>0</v>
      </c>
      <c r="CJ18">
        <f t="shared" si="4"/>
        <v>0</v>
      </c>
      <c r="CK18">
        <f t="shared" si="5"/>
        <v>0</v>
      </c>
      <c r="CL18">
        <f t="shared" si="6"/>
        <v>0</v>
      </c>
      <c r="CM18">
        <f t="shared" si="7"/>
        <v>0</v>
      </c>
      <c r="CN18">
        <f t="shared" si="8"/>
        <v>0</v>
      </c>
      <c r="CO18">
        <f t="shared" si="9"/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f t="shared" si="25"/>
        <v>0</v>
      </c>
      <c r="CW18">
        <f t="shared" si="26"/>
        <v>1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f t="shared" si="27"/>
        <v>0</v>
      </c>
      <c r="DF18">
        <v>0</v>
      </c>
      <c r="DG18">
        <f t="shared" si="28"/>
        <v>1</v>
      </c>
      <c r="DI18">
        <f t="shared" si="29"/>
        <v>1</v>
      </c>
      <c r="DJ18">
        <f t="shared" si="10"/>
        <v>0</v>
      </c>
      <c r="DK18">
        <f t="shared" si="11"/>
        <v>0</v>
      </c>
      <c r="DL18">
        <f t="shared" si="12"/>
        <v>0</v>
      </c>
      <c r="DM18">
        <f t="shared" si="13"/>
        <v>0</v>
      </c>
      <c r="DN18">
        <f t="shared" si="14"/>
        <v>0</v>
      </c>
      <c r="DO18">
        <f t="shared" si="15"/>
        <v>0</v>
      </c>
      <c r="DP18">
        <f t="shared" si="16"/>
        <v>0</v>
      </c>
      <c r="DR18">
        <v>1</v>
      </c>
      <c r="DS18">
        <v>0</v>
      </c>
      <c r="DT18">
        <v>0</v>
      </c>
      <c r="DU18">
        <v>0</v>
      </c>
      <c r="DV18">
        <v>0</v>
      </c>
      <c r="DW18">
        <f t="shared" si="30"/>
        <v>0</v>
      </c>
      <c r="DX18">
        <f t="shared" si="31"/>
        <v>1</v>
      </c>
      <c r="DZ18">
        <f t="shared" si="32"/>
        <v>1</v>
      </c>
      <c r="EA18">
        <f t="shared" si="17"/>
        <v>0</v>
      </c>
      <c r="EB18">
        <f t="shared" si="18"/>
        <v>0</v>
      </c>
      <c r="EC18">
        <f t="shared" si="19"/>
        <v>0</v>
      </c>
      <c r="ED18">
        <f t="shared" si="20"/>
        <v>0</v>
      </c>
      <c r="EE18">
        <f t="shared" si="21"/>
        <v>0</v>
      </c>
    </row>
    <row r="19" spans="1:135" x14ac:dyDescent="0.35">
      <c r="A19" t="s">
        <v>386</v>
      </c>
      <c r="B19">
        <f>[1]Population!$BB24</f>
        <v>308595</v>
      </c>
      <c r="C19">
        <f>[1]RealGDP!$BB24</f>
        <v>1277265951.2394526</v>
      </c>
      <c r="D19" s="10">
        <f>[1]GDPcap!$BB24</f>
        <v>4138.971633498445</v>
      </c>
      <c r="F19" t="s">
        <v>386</v>
      </c>
      <c r="H19">
        <v>22.7</v>
      </c>
      <c r="I19">
        <v>23.3</v>
      </c>
      <c r="J19">
        <v>24.7</v>
      </c>
      <c r="K19">
        <v>26.2</v>
      </c>
      <c r="L19">
        <v>27</v>
      </c>
      <c r="M19">
        <v>27.1</v>
      </c>
      <c r="N19">
        <v>26.6</v>
      </c>
      <c r="O19">
        <v>26.9</v>
      </c>
      <c r="P19">
        <v>26.7</v>
      </c>
      <c r="Q19">
        <v>25.6</v>
      </c>
      <c r="R19">
        <v>23.9</v>
      </c>
      <c r="S19">
        <v>22.9</v>
      </c>
      <c r="T19">
        <v>26</v>
      </c>
      <c r="U19">
        <v>26.8</v>
      </c>
      <c r="V19">
        <v>25.4</v>
      </c>
      <c r="W19">
        <v>22.2</v>
      </c>
      <c r="X19">
        <v>25.3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f t="shared" si="0"/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f t="shared" si="1"/>
        <v>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f t="shared" si="22"/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0</v>
      </c>
      <c r="CD19">
        <v>0</v>
      </c>
      <c r="CE19">
        <f t="shared" si="23"/>
        <v>1</v>
      </c>
      <c r="CG19">
        <f t="shared" si="24"/>
        <v>0</v>
      </c>
      <c r="CH19">
        <f t="shared" si="2"/>
        <v>0</v>
      </c>
      <c r="CI19">
        <f t="shared" si="3"/>
        <v>0</v>
      </c>
      <c r="CJ19">
        <f t="shared" si="4"/>
        <v>0</v>
      </c>
      <c r="CK19">
        <f t="shared" si="5"/>
        <v>0</v>
      </c>
      <c r="CL19">
        <f t="shared" si="6"/>
        <v>1</v>
      </c>
      <c r="CM19">
        <f t="shared" si="7"/>
        <v>0</v>
      </c>
      <c r="CN19">
        <f t="shared" si="8"/>
        <v>0</v>
      </c>
      <c r="CO19">
        <f t="shared" si="9"/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f t="shared" si="25"/>
        <v>1</v>
      </c>
      <c r="CW19">
        <f t="shared" si="26"/>
        <v>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f t="shared" si="27"/>
        <v>0</v>
      </c>
      <c r="DF19">
        <v>1</v>
      </c>
      <c r="DG19">
        <f t="shared" si="28"/>
        <v>1</v>
      </c>
      <c r="DI19">
        <f t="shared" si="29"/>
        <v>0</v>
      </c>
      <c r="DJ19">
        <f t="shared" si="10"/>
        <v>0</v>
      </c>
      <c r="DK19">
        <f t="shared" si="11"/>
        <v>0</v>
      </c>
      <c r="DL19">
        <f t="shared" si="12"/>
        <v>0</v>
      </c>
      <c r="DM19">
        <f t="shared" si="13"/>
        <v>0</v>
      </c>
      <c r="DN19">
        <f t="shared" si="14"/>
        <v>0</v>
      </c>
      <c r="DO19">
        <f t="shared" si="15"/>
        <v>0</v>
      </c>
      <c r="DP19">
        <f t="shared" si="16"/>
        <v>1</v>
      </c>
      <c r="DR19">
        <v>0</v>
      </c>
      <c r="DS19">
        <v>0</v>
      </c>
      <c r="DT19">
        <v>0</v>
      </c>
      <c r="DU19">
        <v>0</v>
      </c>
      <c r="DV19">
        <v>0</v>
      </c>
      <c r="DW19">
        <f t="shared" si="30"/>
        <v>1</v>
      </c>
      <c r="DX19">
        <f t="shared" si="31"/>
        <v>1</v>
      </c>
      <c r="DZ19">
        <f t="shared" si="32"/>
        <v>0</v>
      </c>
      <c r="EA19">
        <f t="shared" si="17"/>
        <v>0</v>
      </c>
      <c r="EB19">
        <f t="shared" si="18"/>
        <v>0</v>
      </c>
      <c r="EC19">
        <f t="shared" si="19"/>
        <v>0</v>
      </c>
      <c r="ED19">
        <f t="shared" si="20"/>
        <v>0</v>
      </c>
      <c r="EE19">
        <f t="shared" si="21"/>
        <v>1</v>
      </c>
    </row>
    <row r="20" spans="1:135" x14ac:dyDescent="0.35">
      <c r="A20" t="s">
        <v>151</v>
      </c>
      <c r="B20">
        <f>[1]Population!$BB25</f>
        <v>9509798</v>
      </c>
      <c r="C20">
        <f>[1]RealGDP!$BB25</f>
        <v>5230812507.6709518</v>
      </c>
      <c r="D20" s="10">
        <f>[1]GDPcap!$BB25</f>
        <v>550.04454433952765</v>
      </c>
      <c r="F20" t="s">
        <v>151</v>
      </c>
      <c r="H20">
        <v>26.4</v>
      </c>
      <c r="I20">
        <v>28.6</v>
      </c>
      <c r="J20">
        <v>30.2</v>
      </c>
      <c r="K20">
        <v>30.4</v>
      </c>
      <c r="L20">
        <v>29.1</v>
      </c>
      <c r="M20">
        <v>27.3</v>
      </c>
      <c r="N20">
        <v>26</v>
      </c>
      <c r="O20">
        <v>25.6</v>
      </c>
      <c r="P20">
        <v>25.9</v>
      </c>
      <c r="Q20">
        <v>27.2</v>
      </c>
      <c r="R20">
        <v>27.2</v>
      </c>
      <c r="S20">
        <v>26.3</v>
      </c>
      <c r="T20">
        <v>29.9</v>
      </c>
      <c r="U20">
        <v>26.3</v>
      </c>
      <c r="V20">
        <v>26.8</v>
      </c>
      <c r="W20">
        <v>26.2</v>
      </c>
      <c r="X20">
        <v>27.5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f t="shared" si="1"/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S20">
        <v>0</v>
      </c>
      <c r="BT20">
        <f t="shared" si="22"/>
        <v>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f t="shared" si="23"/>
        <v>1</v>
      </c>
      <c r="CG20">
        <f t="shared" si="24"/>
        <v>0</v>
      </c>
      <c r="CH20">
        <f t="shared" si="2"/>
        <v>0</v>
      </c>
      <c r="CI20">
        <f t="shared" si="3"/>
        <v>0</v>
      </c>
      <c r="CJ20">
        <f t="shared" si="4"/>
        <v>0</v>
      </c>
      <c r="CK20">
        <f t="shared" si="5"/>
        <v>0</v>
      </c>
      <c r="CL20">
        <f t="shared" si="6"/>
        <v>0</v>
      </c>
      <c r="CM20">
        <f t="shared" si="7"/>
        <v>0</v>
      </c>
      <c r="CN20">
        <f t="shared" si="8"/>
        <v>0</v>
      </c>
      <c r="CO20">
        <f t="shared" si="9"/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f t="shared" si="25"/>
        <v>1</v>
      </c>
      <c r="CW20">
        <f t="shared" si="26"/>
        <v>1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f t="shared" si="27"/>
        <v>1</v>
      </c>
      <c r="DF20">
        <v>0</v>
      </c>
      <c r="DG20">
        <f t="shared" si="28"/>
        <v>1</v>
      </c>
      <c r="DI20">
        <f t="shared" si="29"/>
        <v>0</v>
      </c>
      <c r="DJ20">
        <f t="shared" si="10"/>
        <v>0</v>
      </c>
      <c r="DK20">
        <f t="shared" si="11"/>
        <v>0</v>
      </c>
      <c r="DL20">
        <f t="shared" si="12"/>
        <v>0</v>
      </c>
      <c r="DM20">
        <f t="shared" si="13"/>
        <v>0</v>
      </c>
      <c r="DN20">
        <f t="shared" si="14"/>
        <v>0</v>
      </c>
      <c r="DO20">
        <f t="shared" si="15"/>
        <v>1</v>
      </c>
      <c r="DP20">
        <f t="shared" si="16"/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f t="shared" si="30"/>
        <v>1</v>
      </c>
      <c r="DX20">
        <f t="shared" si="31"/>
        <v>1</v>
      </c>
      <c r="DZ20">
        <f t="shared" si="32"/>
        <v>0</v>
      </c>
      <c r="EA20">
        <f t="shared" si="17"/>
        <v>0</v>
      </c>
      <c r="EB20">
        <f t="shared" si="18"/>
        <v>0</v>
      </c>
      <c r="EC20">
        <f t="shared" si="19"/>
        <v>0</v>
      </c>
      <c r="ED20">
        <f t="shared" si="20"/>
        <v>0</v>
      </c>
      <c r="EE20">
        <f t="shared" si="21"/>
        <v>1</v>
      </c>
    </row>
    <row r="21" spans="1:135" x14ac:dyDescent="0.35">
      <c r="A21" t="s">
        <v>387</v>
      </c>
      <c r="B21">
        <f>[1]Population!$BB26</f>
        <v>65124</v>
      </c>
      <c r="C21">
        <f>[1]RealGDP!$BB26</f>
        <v>4975071875.076025</v>
      </c>
      <c r="D21" s="10">
        <f>[1]GDPcap!$BB26</f>
        <v>76393.831384374804</v>
      </c>
      <c r="F21" t="s">
        <v>387</v>
      </c>
      <c r="H21">
        <v>17.2</v>
      </c>
      <c r="I21">
        <v>17.100000000000001</v>
      </c>
      <c r="J21">
        <v>17.3</v>
      </c>
      <c r="K21">
        <v>18.3</v>
      </c>
      <c r="L21">
        <v>20.9</v>
      </c>
      <c r="M21">
        <v>23.7</v>
      </c>
      <c r="N21">
        <v>25.9</v>
      </c>
      <c r="O21">
        <v>26.5</v>
      </c>
      <c r="P21">
        <v>25.8</v>
      </c>
      <c r="Q21">
        <v>23.9</v>
      </c>
      <c r="R21">
        <v>20.7</v>
      </c>
      <c r="S21">
        <v>18.399999999999999</v>
      </c>
      <c r="T21">
        <v>18.8</v>
      </c>
      <c r="U21">
        <v>25.4</v>
      </c>
      <c r="V21">
        <v>23.4</v>
      </c>
      <c r="W21">
        <v>17</v>
      </c>
      <c r="X21">
        <v>21.3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f t="shared" si="0"/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f t="shared" si="1"/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 t="shared" si="22"/>
        <v>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f t="shared" si="23"/>
        <v>1</v>
      </c>
      <c r="CG21">
        <f t="shared" si="24"/>
        <v>0</v>
      </c>
      <c r="CH21">
        <f t="shared" si="2"/>
        <v>0</v>
      </c>
      <c r="CI21">
        <f t="shared" si="3"/>
        <v>0</v>
      </c>
      <c r="CJ21">
        <f t="shared" si="4"/>
        <v>0</v>
      </c>
      <c r="CK21">
        <f t="shared" si="5"/>
        <v>0</v>
      </c>
      <c r="CL21">
        <f t="shared" si="6"/>
        <v>1</v>
      </c>
      <c r="CM21">
        <f t="shared" si="7"/>
        <v>0</v>
      </c>
      <c r="CN21">
        <f t="shared" si="8"/>
        <v>0</v>
      </c>
      <c r="CO21">
        <f t="shared" si="9"/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f t="shared" si="25"/>
        <v>1</v>
      </c>
      <c r="CW21">
        <f t="shared" si="26"/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f t="shared" si="27"/>
        <v>0</v>
      </c>
      <c r="DF21">
        <v>1</v>
      </c>
      <c r="DG21">
        <f t="shared" si="28"/>
        <v>1</v>
      </c>
      <c r="DI21">
        <f t="shared" si="29"/>
        <v>0</v>
      </c>
      <c r="DJ21">
        <f t="shared" si="10"/>
        <v>0</v>
      </c>
      <c r="DK21">
        <f t="shared" si="11"/>
        <v>0</v>
      </c>
      <c r="DL21">
        <f t="shared" si="12"/>
        <v>0</v>
      </c>
      <c r="DM21">
        <f t="shared" si="13"/>
        <v>0</v>
      </c>
      <c r="DN21">
        <f t="shared" si="14"/>
        <v>0</v>
      </c>
      <c r="DO21">
        <f t="shared" si="15"/>
        <v>0</v>
      </c>
      <c r="DP21">
        <f t="shared" si="16"/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f t="shared" si="30"/>
        <v>1</v>
      </c>
      <c r="DX21">
        <f t="shared" si="31"/>
        <v>1</v>
      </c>
      <c r="DZ21">
        <f t="shared" si="32"/>
        <v>0</v>
      </c>
      <c r="EA21">
        <f t="shared" si="17"/>
        <v>0</v>
      </c>
      <c r="EB21">
        <f t="shared" si="18"/>
        <v>0</v>
      </c>
      <c r="EC21">
        <f t="shared" si="19"/>
        <v>0</v>
      </c>
      <c r="ED21">
        <f t="shared" si="20"/>
        <v>0</v>
      </c>
      <c r="EE21">
        <f t="shared" si="21"/>
        <v>1</v>
      </c>
    </row>
    <row r="22" spans="1:135" x14ac:dyDescent="0.35">
      <c r="A22" t="s">
        <v>388</v>
      </c>
      <c r="B22">
        <f>[1]Population!$BB27</f>
        <v>716939</v>
      </c>
      <c r="C22">
        <f>[1]RealGDP!$BB27</f>
        <v>1288216614.4579239</v>
      </c>
      <c r="D22" s="10">
        <f>[1]GDPcap!$BB27</f>
        <v>1796.8287601287193</v>
      </c>
      <c r="F22" t="s">
        <v>388</v>
      </c>
      <c r="H22">
        <v>-0.8</v>
      </c>
      <c r="I22">
        <v>0.8</v>
      </c>
      <c r="J22">
        <v>4.2</v>
      </c>
      <c r="K22">
        <v>7.4</v>
      </c>
      <c r="L22">
        <v>10.4</v>
      </c>
      <c r="M22">
        <v>13.5</v>
      </c>
      <c r="N22">
        <v>13.9</v>
      </c>
      <c r="O22">
        <v>13.6</v>
      </c>
      <c r="P22">
        <v>12.4</v>
      </c>
      <c r="Q22">
        <v>8.4</v>
      </c>
      <c r="R22">
        <v>3.8</v>
      </c>
      <c r="S22">
        <v>0.8</v>
      </c>
      <c r="T22">
        <v>7.3</v>
      </c>
      <c r="U22">
        <v>13.7</v>
      </c>
      <c r="V22">
        <v>8.1999999999999993</v>
      </c>
      <c r="W22">
        <v>0.2</v>
      </c>
      <c r="X22">
        <v>7.4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f t="shared" si="1"/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f t="shared" si="22"/>
        <v>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f t="shared" si="23"/>
        <v>1</v>
      </c>
      <c r="CG22">
        <f t="shared" si="24"/>
        <v>0</v>
      </c>
      <c r="CH22">
        <f t="shared" si="2"/>
        <v>0</v>
      </c>
      <c r="CI22">
        <f t="shared" si="3"/>
        <v>0</v>
      </c>
      <c r="CJ22">
        <f t="shared" si="4"/>
        <v>0</v>
      </c>
      <c r="CK22">
        <f t="shared" si="5"/>
        <v>0</v>
      </c>
      <c r="CL22">
        <f t="shared" si="6"/>
        <v>0</v>
      </c>
      <c r="CM22">
        <f t="shared" si="7"/>
        <v>1</v>
      </c>
      <c r="CN22">
        <f t="shared" si="8"/>
        <v>0</v>
      </c>
      <c r="CO22">
        <f t="shared" si="9"/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f t="shared" si="25"/>
        <v>1</v>
      </c>
      <c r="CW22">
        <f t="shared" si="26"/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f t="shared" si="27"/>
        <v>0</v>
      </c>
      <c r="DF22">
        <v>0</v>
      </c>
      <c r="DG22">
        <f t="shared" si="28"/>
        <v>1</v>
      </c>
      <c r="DI22">
        <f t="shared" si="29"/>
        <v>0</v>
      </c>
      <c r="DJ22">
        <f t="shared" si="10"/>
        <v>0</v>
      </c>
      <c r="DK22">
        <f t="shared" si="11"/>
        <v>0</v>
      </c>
      <c r="DL22">
        <f t="shared" si="12"/>
        <v>0</v>
      </c>
      <c r="DM22">
        <f t="shared" si="13"/>
        <v>0</v>
      </c>
      <c r="DN22">
        <f t="shared" si="14"/>
        <v>1</v>
      </c>
      <c r="DO22">
        <f t="shared" si="15"/>
        <v>0</v>
      </c>
      <c r="DP22">
        <f t="shared" si="16"/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f t="shared" si="30"/>
        <v>1</v>
      </c>
      <c r="DX22">
        <f t="shared" si="31"/>
        <v>1</v>
      </c>
      <c r="DZ22">
        <f t="shared" si="32"/>
        <v>0</v>
      </c>
      <c r="EA22">
        <f t="shared" si="17"/>
        <v>0</v>
      </c>
      <c r="EB22">
        <f t="shared" si="18"/>
        <v>0</v>
      </c>
      <c r="EC22">
        <f t="shared" si="19"/>
        <v>0</v>
      </c>
      <c r="ED22">
        <f t="shared" si="20"/>
        <v>0</v>
      </c>
      <c r="EE22">
        <f t="shared" si="21"/>
        <v>1</v>
      </c>
    </row>
    <row r="23" spans="1:135" x14ac:dyDescent="0.35">
      <c r="A23" t="s">
        <v>152</v>
      </c>
      <c r="B23">
        <f>[1]Population!$BB28</f>
        <v>10156601</v>
      </c>
      <c r="C23">
        <f>[1]RealGDP!$BB28</f>
        <v>11954060130.08857</v>
      </c>
      <c r="D23" s="10">
        <f>[1]GDPcap!$BB28</f>
        <v>1176.9744750324021</v>
      </c>
      <c r="F23" t="s">
        <v>152</v>
      </c>
      <c r="H23">
        <v>23</v>
      </c>
      <c r="I23">
        <v>22.9</v>
      </c>
      <c r="J23">
        <v>22.5</v>
      </c>
      <c r="K23">
        <v>21.5</v>
      </c>
      <c r="L23">
        <v>19.899999999999999</v>
      </c>
      <c r="M23">
        <v>18.3</v>
      </c>
      <c r="N23">
        <v>18.399999999999999</v>
      </c>
      <c r="O23">
        <v>20.100000000000001</v>
      </c>
      <c r="P23">
        <v>22</v>
      </c>
      <c r="Q23">
        <v>23.1</v>
      </c>
      <c r="R23">
        <v>23.4</v>
      </c>
      <c r="S23">
        <v>23.2</v>
      </c>
      <c r="T23">
        <v>21.3</v>
      </c>
      <c r="U23">
        <v>18.899999999999999</v>
      </c>
      <c r="V23">
        <v>22.8</v>
      </c>
      <c r="W23">
        <v>22.3</v>
      </c>
      <c r="X23">
        <v>21.5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f t="shared" si="0"/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f t="shared" si="1"/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f t="shared" si="22"/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f t="shared" si="23"/>
        <v>1</v>
      </c>
      <c r="CG23">
        <f t="shared" si="24"/>
        <v>0</v>
      </c>
      <c r="CH23">
        <f t="shared" si="2"/>
        <v>0</v>
      </c>
      <c r="CI23">
        <f t="shared" si="3"/>
        <v>0</v>
      </c>
      <c r="CJ23">
        <f t="shared" si="4"/>
        <v>0</v>
      </c>
      <c r="CK23">
        <f t="shared" si="5"/>
        <v>0</v>
      </c>
      <c r="CL23">
        <f t="shared" si="6"/>
        <v>1</v>
      </c>
      <c r="CM23">
        <f t="shared" si="7"/>
        <v>0</v>
      </c>
      <c r="CN23">
        <f t="shared" si="8"/>
        <v>0</v>
      </c>
      <c r="CO23">
        <f t="shared" si="9"/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f t="shared" si="25"/>
        <v>1</v>
      </c>
      <c r="CW23">
        <f t="shared" si="26"/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f t="shared" si="27"/>
        <v>0</v>
      </c>
      <c r="DF23">
        <v>1</v>
      </c>
      <c r="DG23">
        <f t="shared" si="28"/>
        <v>1</v>
      </c>
      <c r="DI23">
        <f t="shared" si="29"/>
        <v>0</v>
      </c>
      <c r="DJ23">
        <f t="shared" si="10"/>
        <v>0</v>
      </c>
      <c r="DK23">
        <f t="shared" si="11"/>
        <v>0</v>
      </c>
      <c r="DL23">
        <f t="shared" si="12"/>
        <v>0</v>
      </c>
      <c r="DM23">
        <f t="shared" si="13"/>
        <v>0</v>
      </c>
      <c r="DN23">
        <f t="shared" si="14"/>
        <v>0</v>
      </c>
      <c r="DO23">
        <f t="shared" si="15"/>
        <v>0</v>
      </c>
      <c r="DP23">
        <f t="shared" si="16"/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f t="shared" si="30"/>
        <v>1</v>
      </c>
      <c r="DX23">
        <f t="shared" si="31"/>
        <v>1</v>
      </c>
      <c r="DZ23">
        <f t="shared" si="32"/>
        <v>0</v>
      </c>
      <c r="EA23">
        <f t="shared" si="17"/>
        <v>0</v>
      </c>
      <c r="EB23">
        <f t="shared" si="18"/>
        <v>0</v>
      </c>
      <c r="EC23">
        <f t="shared" si="19"/>
        <v>0</v>
      </c>
      <c r="ED23">
        <f t="shared" si="20"/>
        <v>0</v>
      </c>
      <c r="EE23">
        <f t="shared" si="21"/>
        <v>1</v>
      </c>
    </row>
    <row r="24" spans="1:135" x14ac:dyDescent="0.35">
      <c r="A24" t="s">
        <v>274</v>
      </c>
      <c r="B24">
        <f>[1]Population!$BB29</f>
        <v>3845929</v>
      </c>
      <c r="C24">
        <f>[1]RealGDP!$BB29</f>
        <v>12803068421.085346</v>
      </c>
      <c r="D24" s="10">
        <f>[1]GDPcap!$BB29</f>
        <v>3328.9924023780331</v>
      </c>
      <c r="F24" t="s">
        <v>489</v>
      </c>
      <c r="H24">
        <v>-0.6</v>
      </c>
      <c r="I24">
        <v>1.2</v>
      </c>
      <c r="J24">
        <v>4.9000000000000004</v>
      </c>
      <c r="K24">
        <v>9.4</v>
      </c>
      <c r="L24">
        <v>13.9</v>
      </c>
      <c r="M24">
        <v>17.3</v>
      </c>
      <c r="N24">
        <v>19.399999999999999</v>
      </c>
      <c r="O24">
        <v>19.2</v>
      </c>
      <c r="P24">
        <v>15.8</v>
      </c>
      <c r="Q24">
        <v>10.7</v>
      </c>
      <c r="R24">
        <v>5.5</v>
      </c>
      <c r="S24">
        <v>1.4</v>
      </c>
      <c r="T24">
        <v>9.4</v>
      </c>
      <c r="U24">
        <v>18.600000000000001</v>
      </c>
      <c r="V24">
        <v>10.7</v>
      </c>
      <c r="W24">
        <v>0.6</v>
      </c>
      <c r="X24">
        <v>9.8000000000000007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1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f t="shared" si="1"/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0</v>
      </c>
      <c r="BT24">
        <f t="shared" si="22"/>
        <v>1</v>
      </c>
      <c r="BV24">
        <v>0</v>
      </c>
      <c r="BW24">
        <v>0</v>
      </c>
      <c r="BX24">
        <v>0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f t="shared" si="23"/>
        <v>1</v>
      </c>
      <c r="CG24">
        <f t="shared" si="24"/>
        <v>0</v>
      </c>
      <c r="CH24">
        <f t="shared" si="2"/>
        <v>0</v>
      </c>
      <c r="CI24">
        <f t="shared" si="3"/>
        <v>0</v>
      </c>
      <c r="CJ24">
        <f t="shared" si="4"/>
        <v>1</v>
      </c>
      <c r="CK24">
        <f t="shared" si="5"/>
        <v>0</v>
      </c>
      <c r="CL24">
        <f t="shared" si="6"/>
        <v>0</v>
      </c>
      <c r="CM24">
        <f t="shared" si="7"/>
        <v>0</v>
      </c>
      <c r="CN24">
        <f t="shared" si="8"/>
        <v>0</v>
      </c>
      <c r="CO24">
        <f t="shared" si="9"/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f t="shared" si="25"/>
        <v>1</v>
      </c>
      <c r="CW24">
        <f t="shared" si="26"/>
        <v>1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f t="shared" si="27"/>
        <v>0</v>
      </c>
      <c r="DF24">
        <v>0</v>
      </c>
      <c r="DG24">
        <f t="shared" si="28"/>
        <v>1</v>
      </c>
      <c r="DI24">
        <f t="shared" si="29"/>
        <v>0</v>
      </c>
      <c r="DJ24">
        <f t="shared" si="10"/>
        <v>0</v>
      </c>
      <c r="DK24">
        <f t="shared" si="11"/>
        <v>0</v>
      </c>
      <c r="DL24">
        <f t="shared" si="12"/>
        <v>1</v>
      </c>
      <c r="DM24">
        <f t="shared" si="13"/>
        <v>0</v>
      </c>
      <c r="DN24">
        <f t="shared" si="14"/>
        <v>0</v>
      </c>
      <c r="DO24">
        <f t="shared" si="15"/>
        <v>0</v>
      </c>
      <c r="DP24">
        <f t="shared" si="16"/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f t="shared" si="30"/>
        <v>1</v>
      </c>
      <c r="DX24">
        <f t="shared" si="31"/>
        <v>1</v>
      </c>
      <c r="DZ24">
        <f t="shared" si="32"/>
        <v>0</v>
      </c>
      <c r="EA24">
        <f t="shared" si="17"/>
        <v>0</v>
      </c>
      <c r="EB24">
        <f t="shared" si="18"/>
        <v>0</v>
      </c>
      <c r="EC24">
        <f t="shared" si="19"/>
        <v>0</v>
      </c>
      <c r="ED24">
        <f t="shared" si="20"/>
        <v>0</v>
      </c>
      <c r="EE24">
        <f t="shared" si="21"/>
        <v>1</v>
      </c>
    </row>
    <row r="25" spans="1:135" x14ac:dyDescent="0.35">
      <c r="A25" t="s">
        <v>154</v>
      </c>
      <c r="B25">
        <f>[1]Population!$BB30</f>
        <v>1969341</v>
      </c>
      <c r="C25">
        <f>[1]RealGDP!$BB30</f>
        <v>12116816308.861942</v>
      </c>
      <c r="D25" s="10">
        <f>[1]GDPcap!$BB30</f>
        <v>6152.7263733715708</v>
      </c>
      <c r="F25" t="s">
        <v>154</v>
      </c>
      <c r="H25">
        <v>26.1</v>
      </c>
      <c r="I25">
        <v>25.3</v>
      </c>
      <c r="J25">
        <v>24.2</v>
      </c>
      <c r="K25">
        <v>21.4</v>
      </c>
      <c r="L25">
        <v>17.600000000000001</v>
      </c>
      <c r="M25">
        <v>14.5</v>
      </c>
      <c r="N25">
        <v>14.4</v>
      </c>
      <c r="O25">
        <v>17.3</v>
      </c>
      <c r="P25">
        <v>21.5</v>
      </c>
      <c r="Q25">
        <v>24.4</v>
      </c>
      <c r="R25">
        <v>25.4</v>
      </c>
      <c r="S25">
        <v>25.8</v>
      </c>
      <c r="T25">
        <v>21.1</v>
      </c>
      <c r="U25">
        <v>15.4</v>
      </c>
      <c r="V25">
        <v>23.8</v>
      </c>
      <c r="W25">
        <v>24.9</v>
      </c>
      <c r="X25">
        <v>21.5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 t="shared" si="0"/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f t="shared" si="1"/>
        <v>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</v>
      </c>
      <c r="BS25">
        <v>0</v>
      </c>
      <c r="BT25">
        <f t="shared" si="22"/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f t="shared" si="23"/>
        <v>1</v>
      </c>
      <c r="CG25">
        <f t="shared" si="24"/>
        <v>0</v>
      </c>
      <c r="CH25">
        <f t="shared" si="2"/>
        <v>0</v>
      </c>
      <c r="CI25">
        <f t="shared" si="3"/>
        <v>0</v>
      </c>
      <c r="CJ25">
        <f t="shared" si="4"/>
        <v>0</v>
      </c>
      <c r="CK25">
        <f t="shared" si="5"/>
        <v>0</v>
      </c>
      <c r="CL25">
        <f t="shared" si="6"/>
        <v>0</v>
      </c>
      <c r="CM25">
        <f t="shared" si="7"/>
        <v>0</v>
      </c>
      <c r="CN25">
        <f t="shared" si="8"/>
        <v>0</v>
      </c>
      <c r="CO25">
        <f t="shared" si="9"/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f t="shared" si="25"/>
        <v>1</v>
      </c>
      <c r="CW25">
        <f t="shared" si="26"/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f t="shared" si="27"/>
        <v>1</v>
      </c>
      <c r="DF25">
        <v>0</v>
      </c>
      <c r="DG25">
        <f t="shared" si="28"/>
        <v>1</v>
      </c>
      <c r="DI25">
        <f t="shared" si="29"/>
        <v>0</v>
      </c>
      <c r="DJ25">
        <f t="shared" si="10"/>
        <v>0</v>
      </c>
      <c r="DK25">
        <f t="shared" si="11"/>
        <v>0</v>
      </c>
      <c r="DL25">
        <f t="shared" si="12"/>
        <v>0</v>
      </c>
      <c r="DM25">
        <f t="shared" si="13"/>
        <v>0</v>
      </c>
      <c r="DN25">
        <f t="shared" si="14"/>
        <v>0</v>
      </c>
      <c r="DO25">
        <f t="shared" si="15"/>
        <v>1</v>
      </c>
      <c r="DP25">
        <f t="shared" si="16"/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f t="shared" si="30"/>
        <v>1</v>
      </c>
      <c r="DX25">
        <f t="shared" si="31"/>
        <v>1</v>
      </c>
      <c r="DZ25">
        <f t="shared" si="32"/>
        <v>0</v>
      </c>
      <c r="EA25">
        <f t="shared" si="17"/>
        <v>0</v>
      </c>
      <c r="EB25">
        <f t="shared" si="18"/>
        <v>0</v>
      </c>
      <c r="EC25">
        <f t="shared" si="19"/>
        <v>0</v>
      </c>
      <c r="ED25">
        <f t="shared" si="20"/>
        <v>0</v>
      </c>
      <c r="EE25">
        <f t="shared" si="21"/>
        <v>1</v>
      </c>
    </row>
    <row r="26" spans="1:135" x14ac:dyDescent="0.35">
      <c r="A26" t="s">
        <v>155</v>
      </c>
      <c r="B26">
        <f>[1]Population!$BB32</f>
        <v>195210154</v>
      </c>
      <c r="C26">
        <f>[1]RealGDP!$BB32</f>
        <v>1096754010432.5254</v>
      </c>
      <c r="D26" s="10">
        <f>[1]GDPcap!$BB32</f>
        <v>5618.3246002281494</v>
      </c>
      <c r="F26" t="s">
        <v>155</v>
      </c>
      <c r="H26">
        <v>25.6</v>
      </c>
      <c r="I26">
        <v>25.6</v>
      </c>
      <c r="J26">
        <v>25.5</v>
      </c>
      <c r="K26">
        <v>25.1</v>
      </c>
      <c r="L26">
        <v>24.3</v>
      </c>
      <c r="M26">
        <v>23.4</v>
      </c>
      <c r="N26">
        <v>23.3</v>
      </c>
      <c r="O26">
        <v>24.3</v>
      </c>
      <c r="P26">
        <v>25.2</v>
      </c>
      <c r="Q26">
        <v>25.7</v>
      </c>
      <c r="R26">
        <v>25.7</v>
      </c>
      <c r="S26">
        <v>25.6</v>
      </c>
      <c r="T26">
        <v>24.9</v>
      </c>
      <c r="U26">
        <v>23.7</v>
      </c>
      <c r="V26">
        <v>25.5</v>
      </c>
      <c r="W26">
        <v>24.8</v>
      </c>
      <c r="X26">
        <v>24.9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f t="shared" si="1"/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f t="shared" si="22"/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0</v>
      </c>
      <c r="CD26">
        <v>0</v>
      </c>
      <c r="CE26">
        <f t="shared" si="23"/>
        <v>1</v>
      </c>
      <c r="CG26">
        <f t="shared" si="24"/>
        <v>0</v>
      </c>
      <c r="CH26">
        <f t="shared" si="2"/>
        <v>0</v>
      </c>
      <c r="CI26">
        <f t="shared" si="3"/>
        <v>0</v>
      </c>
      <c r="CJ26">
        <f t="shared" si="4"/>
        <v>0</v>
      </c>
      <c r="CK26">
        <f t="shared" si="5"/>
        <v>0</v>
      </c>
      <c r="CL26">
        <f t="shared" si="6"/>
        <v>1</v>
      </c>
      <c r="CM26">
        <f t="shared" si="7"/>
        <v>0</v>
      </c>
      <c r="CN26">
        <f t="shared" si="8"/>
        <v>0</v>
      </c>
      <c r="CO26">
        <f t="shared" si="9"/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f t="shared" si="25"/>
        <v>1</v>
      </c>
      <c r="CW26">
        <f t="shared" si="26"/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f t="shared" si="27"/>
        <v>0</v>
      </c>
      <c r="DF26">
        <v>1</v>
      </c>
      <c r="DG26">
        <f t="shared" si="28"/>
        <v>1</v>
      </c>
      <c r="DI26">
        <f t="shared" si="29"/>
        <v>0</v>
      </c>
      <c r="DJ26">
        <f t="shared" si="10"/>
        <v>0</v>
      </c>
      <c r="DK26">
        <f t="shared" si="11"/>
        <v>0</v>
      </c>
      <c r="DL26">
        <f t="shared" si="12"/>
        <v>0</v>
      </c>
      <c r="DM26">
        <f t="shared" si="13"/>
        <v>0</v>
      </c>
      <c r="DN26">
        <f t="shared" si="14"/>
        <v>0</v>
      </c>
      <c r="DO26">
        <f t="shared" si="15"/>
        <v>0</v>
      </c>
      <c r="DP26">
        <f t="shared" si="16"/>
        <v>1</v>
      </c>
      <c r="DR26">
        <v>0</v>
      </c>
      <c r="DS26">
        <v>0</v>
      </c>
      <c r="DT26">
        <v>0</v>
      </c>
      <c r="DU26">
        <v>0</v>
      </c>
      <c r="DV26">
        <v>0</v>
      </c>
      <c r="DW26">
        <f t="shared" si="30"/>
        <v>1</v>
      </c>
      <c r="DX26">
        <f t="shared" si="31"/>
        <v>1</v>
      </c>
      <c r="DZ26">
        <f t="shared" si="32"/>
        <v>0</v>
      </c>
      <c r="EA26">
        <f t="shared" si="17"/>
        <v>0</v>
      </c>
      <c r="EB26">
        <f t="shared" si="18"/>
        <v>0</v>
      </c>
      <c r="EC26">
        <f t="shared" si="19"/>
        <v>0</v>
      </c>
      <c r="ED26">
        <f t="shared" si="20"/>
        <v>0</v>
      </c>
      <c r="EE26">
        <f t="shared" si="21"/>
        <v>1</v>
      </c>
    </row>
    <row r="27" spans="1:135" x14ac:dyDescent="0.35">
      <c r="A27" t="s">
        <v>389</v>
      </c>
      <c r="B27">
        <f>[1]Population!$BB35</f>
        <v>400569</v>
      </c>
      <c r="C27">
        <f>[1]RealGDP!$BB35</f>
        <v>9849702194.2507877</v>
      </c>
      <c r="D27" s="10">
        <f>[1]GDPcap!$BB35</f>
        <v>24589.277238754839</v>
      </c>
      <c r="F27" t="s">
        <v>389</v>
      </c>
      <c r="H27">
        <v>26.1</v>
      </c>
      <c r="I27">
        <v>26.2</v>
      </c>
      <c r="J27">
        <v>26.8</v>
      </c>
      <c r="K27">
        <v>27.3</v>
      </c>
      <c r="L27">
        <v>27.6</v>
      </c>
      <c r="M27">
        <v>27.4</v>
      </c>
      <c r="N27">
        <v>27.1</v>
      </c>
      <c r="O27">
        <v>27.1</v>
      </c>
      <c r="P27">
        <v>27.1</v>
      </c>
      <c r="Q27">
        <v>26.8</v>
      </c>
      <c r="R27">
        <v>26.5</v>
      </c>
      <c r="S27">
        <v>26.3</v>
      </c>
      <c r="T27">
        <v>27.2</v>
      </c>
      <c r="U27">
        <v>27.2</v>
      </c>
      <c r="V27">
        <v>26.8</v>
      </c>
      <c r="W27">
        <v>25.3</v>
      </c>
      <c r="X27">
        <v>26.9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0"/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f t="shared" si="1"/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 t="shared" si="22"/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f t="shared" si="23"/>
        <v>1</v>
      </c>
      <c r="CG27">
        <f t="shared" si="24"/>
        <v>0</v>
      </c>
      <c r="CH27">
        <f t="shared" si="2"/>
        <v>0</v>
      </c>
      <c r="CI27">
        <f t="shared" si="3"/>
        <v>0</v>
      </c>
      <c r="CJ27">
        <f t="shared" si="4"/>
        <v>0</v>
      </c>
      <c r="CK27">
        <f t="shared" si="5"/>
        <v>0</v>
      </c>
      <c r="CL27">
        <f t="shared" si="6"/>
        <v>0</v>
      </c>
      <c r="CM27">
        <f t="shared" si="7"/>
        <v>1</v>
      </c>
      <c r="CN27">
        <f t="shared" si="8"/>
        <v>0</v>
      </c>
      <c r="CO27">
        <f t="shared" si="9"/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f t="shared" si="25"/>
        <v>1</v>
      </c>
      <c r="CW27">
        <f t="shared" si="26"/>
        <v>1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f t="shared" si="27"/>
        <v>0</v>
      </c>
      <c r="DF27">
        <v>0</v>
      </c>
      <c r="DG27">
        <f t="shared" si="28"/>
        <v>1</v>
      </c>
      <c r="DI27">
        <f t="shared" si="29"/>
        <v>0</v>
      </c>
      <c r="DJ27">
        <f t="shared" si="10"/>
        <v>0</v>
      </c>
      <c r="DK27">
        <f t="shared" si="11"/>
        <v>0</v>
      </c>
      <c r="DL27">
        <f t="shared" si="12"/>
        <v>0</v>
      </c>
      <c r="DM27">
        <f t="shared" si="13"/>
        <v>0</v>
      </c>
      <c r="DN27">
        <f t="shared" si="14"/>
        <v>1</v>
      </c>
      <c r="DO27">
        <f t="shared" si="15"/>
        <v>0</v>
      </c>
      <c r="DP27">
        <f t="shared" si="16"/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f t="shared" si="30"/>
        <v>1</v>
      </c>
      <c r="DX27">
        <f t="shared" si="31"/>
        <v>1</v>
      </c>
      <c r="DZ27">
        <f t="shared" si="32"/>
        <v>0</v>
      </c>
      <c r="EA27">
        <f t="shared" si="17"/>
        <v>0</v>
      </c>
      <c r="EB27">
        <f t="shared" si="18"/>
        <v>0</v>
      </c>
      <c r="EC27">
        <f t="shared" si="19"/>
        <v>0</v>
      </c>
      <c r="ED27">
        <f t="shared" si="20"/>
        <v>0</v>
      </c>
      <c r="EE27">
        <f t="shared" si="21"/>
        <v>1</v>
      </c>
    </row>
    <row r="28" spans="1:135" x14ac:dyDescent="0.35">
      <c r="A28" t="s">
        <v>244</v>
      </c>
      <c r="B28">
        <f>[1]Population!$BB36</f>
        <v>7534289</v>
      </c>
      <c r="C28">
        <f>[1]RealGDP!$BB36</f>
        <v>32991740544.129009</v>
      </c>
      <c r="D28" s="10">
        <f>[1]GDPcap!$BB36</f>
        <v>4378.8790878779682</v>
      </c>
      <c r="F28" t="s">
        <v>244</v>
      </c>
      <c r="H28">
        <v>-1</v>
      </c>
      <c r="I28">
        <v>0.9</v>
      </c>
      <c r="J28">
        <v>4.7</v>
      </c>
      <c r="K28">
        <v>10.199999999999999</v>
      </c>
      <c r="L28">
        <v>15.2</v>
      </c>
      <c r="M28">
        <v>18.8</v>
      </c>
      <c r="N28">
        <v>21</v>
      </c>
      <c r="O28">
        <v>20.7</v>
      </c>
      <c r="P28">
        <v>17</v>
      </c>
      <c r="Q28">
        <v>11.6</v>
      </c>
      <c r="R28">
        <v>6</v>
      </c>
      <c r="S28">
        <v>1.3</v>
      </c>
      <c r="T28">
        <v>10</v>
      </c>
      <c r="U28">
        <v>20.2</v>
      </c>
      <c r="V28">
        <v>11.5</v>
      </c>
      <c r="W28">
        <v>0.4</v>
      </c>
      <c r="X28">
        <v>10.5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1"/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0</v>
      </c>
      <c r="BS28">
        <v>0</v>
      </c>
      <c r="BT28">
        <f t="shared" si="22"/>
        <v>1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f t="shared" si="23"/>
        <v>1</v>
      </c>
      <c r="CG28">
        <f t="shared" si="24"/>
        <v>0</v>
      </c>
      <c r="CH28">
        <f t="shared" si="2"/>
        <v>0</v>
      </c>
      <c r="CI28">
        <f t="shared" si="3"/>
        <v>0</v>
      </c>
      <c r="CJ28">
        <f t="shared" si="4"/>
        <v>1</v>
      </c>
      <c r="CK28">
        <f t="shared" si="5"/>
        <v>0</v>
      </c>
      <c r="CL28">
        <f t="shared" si="6"/>
        <v>0</v>
      </c>
      <c r="CM28">
        <f t="shared" si="7"/>
        <v>0</v>
      </c>
      <c r="CN28">
        <f t="shared" si="8"/>
        <v>0</v>
      </c>
      <c r="CO28">
        <f t="shared" si="9"/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f t="shared" si="25"/>
        <v>1</v>
      </c>
      <c r="CW28">
        <f t="shared" si="26"/>
        <v>1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f t="shared" si="27"/>
        <v>0</v>
      </c>
      <c r="DF28">
        <v>0</v>
      </c>
      <c r="DG28">
        <f t="shared" si="28"/>
        <v>1</v>
      </c>
      <c r="DI28">
        <f t="shared" si="29"/>
        <v>0</v>
      </c>
      <c r="DJ28">
        <f t="shared" si="10"/>
        <v>0</v>
      </c>
      <c r="DK28">
        <f t="shared" si="11"/>
        <v>0</v>
      </c>
      <c r="DL28">
        <f t="shared" si="12"/>
        <v>1</v>
      </c>
      <c r="DM28">
        <f t="shared" si="13"/>
        <v>0</v>
      </c>
      <c r="DN28">
        <f t="shared" si="14"/>
        <v>0</v>
      </c>
      <c r="DO28">
        <f t="shared" si="15"/>
        <v>0</v>
      </c>
      <c r="DP28">
        <f t="shared" si="16"/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f t="shared" si="30"/>
        <v>1</v>
      </c>
      <c r="DX28">
        <f t="shared" si="31"/>
        <v>1</v>
      </c>
      <c r="DZ28">
        <f t="shared" si="32"/>
        <v>0</v>
      </c>
      <c r="EA28">
        <f t="shared" si="17"/>
        <v>0</v>
      </c>
      <c r="EB28">
        <f t="shared" si="18"/>
        <v>0</v>
      </c>
      <c r="EC28">
        <f t="shared" si="19"/>
        <v>0</v>
      </c>
      <c r="ED28">
        <f t="shared" si="20"/>
        <v>0</v>
      </c>
      <c r="EE28">
        <f t="shared" si="21"/>
        <v>1</v>
      </c>
    </row>
    <row r="29" spans="1:135" x14ac:dyDescent="0.35">
      <c r="A29" t="s">
        <v>275</v>
      </c>
      <c r="B29">
        <f>[1]Population!$BB37</f>
        <v>15540284</v>
      </c>
      <c r="C29">
        <f>[1]RealGDP!$BB37</f>
        <v>7105465610.4591045</v>
      </c>
      <c r="D29" s="10">
        <f>[1]GDPcap!$BB37</f>
        <v>457.22881322240346</v>
      </c>
      <c r="F29" t="s">
        <v>490</v>
      </c>
      <c r="G29" t="s">
        <v>491</v>
      </c>
      <c r="H29">
        <v>24.8</v>
      </c>
      <c r="I29">
        <v>27.7</v>
      </c>
      <c r="J29">
        <v>30.5</v>
      </c>
      <c r="K29">
        <v>32.1</v>
      </c>
      <c r="L29">
        <v>31.7</v>
      </c>
      <c r="M29">
        <v>29.5</v>
      </c>
      <c r="N29">
        <v>27.3</v>
      </c>
      <c r="O29">
        <v>26.6</v>
      </c>
      <c r="P29">
        <v>27.2</v>
      </c>
      <c r="Q29">
        <v>28.8</v>
      </c>
      <c r="R29">
        <v>27.4</v>
      </c>
      <c r="S29">
        <v>25.2</v>
      </c>
      <c r="T29">
        <v>31.5</v>
      </c>
      <c r="U29">
        <v>27.8</v>
      </c>
      <c r="V29">
        <v>27.8</v>
      </c>
      <c r="W29">
        <v>25</v>
      </c>
      <c r="X29">
        <v>28.2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0</v>
      </c>
      <c r="BE29">
        <f t="shared" si="1"/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f t="shared" si="22"/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f t="shared" si="23"/>
        <v>1</v>
      </c>
      <c r="CG29">
        <f t="shared" si="24"/>
        <v>0</v>
      </c>
      <c r="CH29">
        <f t="shared" si="2"/>
        <v>0</v>
      </c>
      <c r="CI29">
        <f t="shared" si="3"/>
        <v>0</v>
      </c>
      <c r="CJ29">
        <f t="shared" si="4"/>
        <v>0</v>
      </c>
      <c r="CK29">
        <f t="shared" si="5"/>
        <v>0</v>
      </c>
      <c r="CL29">
        <f t="shared" si="6"/>
        <v>0</v>
      </c>
      <c r="CM29">
        <f t="shared" si="7"/>
        <v>0</v>
      </c>
      <c r="CN29">
        <f t="shared" si="8"/>
        <v>0</v>
      </c>
      <c r="CO29">
        <f t="shared" si="9"/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f t="shared" si="25"/>
        <v>1</v>
      </c>
      <c r="CW29">
        <f t="shared" si="26"/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f t="shared" si="27"/>
        <v>1</v>
      </c>
      <c r="DF29">
        <v>0</v>
      </c>
      <c r="DG29">
        <f t="shared" si="28"/>
        <v>1</v>
      </c>
      <c r="DI29">
        <f t="shared" si="29"/>
        <v>0</v>
      </c>
      <c r="DJ29">
        <f t="shared" si="10"/>
        <v>0</v>
      </c>
      <c r="DK29">
        <f t="shared" si="11"/>
        <v>0</v>
      </c>
      <c r="DL29">
        <f t="shared" si="12"/>
        <v>0</v>
      </c>
      <c r="DM29">
        <f t="shared" si="13"/>
        <v>0</v>
      </c>
      <c r="DN29">
        <f t="shared" si="14"/>
        <v>0</v>
      </c>
      <c r="DO29">
        <f t="shared" si="15"/>
        <v>1</v>
      </c>
      <c r="DP29">
        <f t="shared" si="16"/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f t="shared" si="30"/>
        <v>1</v>
      </c>
      <c r="DX29">
        <f t="shared" si="31"/>
        <v>1</v>
      </c>
      <c r="DZ29">
        <f t="shared" si="32"/>
        <v>0</v>
      </c>
      <c r="EA29">
        <f t="shared" si="17"/>
        <v>0</v>
      </c>
      <c r="EB29">
        <f t="shared" si="18"/>
        <v>0</v>
      </c>
      <c r="EC29">
        <f t="shared" si="19"/>
        <v>0</v>
      </c>
      <c r="ED29">
        <f t="shared" si="20"/>
        <v>0</v>
      </c>
      <c r="EE29">
        <f t="shared" si="21"/>
        <v>1</v>
      </c>
    </row>
    <row r="30" spans="1:135" x14ac:dyDescent="0.35">
      <c r="A30" t="s">
        <v>390</v>
      </c>
      <c r="B30">
        <f>[1]Population!$BB38</f>
        <v>9232753</v>
      </c>
      <c r="C30">
        <f>[1]RealGDP!$BB38</f>
        <v>1391766915.34813</v>
      </c>
      <c r="D30" s="10">
        <f>[1]GDPcap!$BB38</f>
        <v>150.74235337478757</v>
      </c>
      <c r="F30" t="s">
        <v>390</v>
      </c>
      <c r="H30">
        <v>19.8</v>
      </c>
      <c r="I30">
        <v>19.8</v>
      </c>
      <c r="J30">
        <v>20</v>
      </c>
      <c r="K30">
        <v>19.7</v>
      </c>
      <c r="L30">
        <v>19.5</v>
      </c>
      <c r="M30">
        <v>18.899999999999999</v>
      </c>
      <c r="N30">
        <v>19</v>
      </c>
      <c r="O30">
        <v>20</v>
      </c>
      <c r="P30">
        <v>20.5</v>
      </c>
      <c r="Q30">
        <v>20.3</v>
      </c>
      <c r="R30">
        <v>19.600000000000001</v>
      </c>
      <c r="S30">
        <v>19.600000000000001</v>
      </c>
      <c r="T30">
        <v>19.7</v>
      </c>
      <c r="U30">
        <v>19.3</v>
      </c>
      <c r="V30">
        <v>20.2</v>
      </c>
      <c r="W30">
        <v>19.100000000000001</v>
      </c>
      <c r="X30">
        <v>19.7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f t="shared" si="1"/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f t="shared" si="22"/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f t="shared" si="23"/>
        <v>1</v>
      </c>
      <c r="CG30">
        <f t="shared" si="24"/>
        <v>0</v>
      </c>
      <c r="CH30">
        <f t="shared" si="2"/>
        <v>0</v>
      </c>
      <c r="CI30">
        <f t="shared" si="3"/>
        <v>0</v>
      </c>
      <c r="CJ30">
        <f t="shared" si="4"/>
        <v>0</v>
      </c>
      <c r="CK30">
        <f t="shared" si="5"/>
        <v>0</v>
      </c>
      <c r="CL30">
        <f t="shared" si="6"/>
        <v>0</v>
      </c>
      <c r="CM30">
        <f t="shared" si="7"/>
        <v>0</v>
      </c>
      <c r="CN30">
        <f t="shared" si="8"/>
        <v>0</v>
      </c>
      <c r="CO30">
        <f t="shared" si="9"/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f t="shared" si="25"/>
        <v>1</v>
      </c>
      <c r="CW30">
        <f t="shared" si="26"/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f t="shared" si="27"/>
        <v>1</v>
      </c>
      <c r="DF30">
        <v>0</v>
      </c>
      <c r="DG30">
        <f t="shared" si="28"/>
        <v>1</v>
      </c>
      <c r="DI30">
        <f t="shared" si="29"/>
        <v>0</v>
      </c>
      <c r="DJ30">
        <f t="shared" si="10"/>
        <v>0</v>
      </c>
      <c r="DK30">
        <f t="shared" si="11"/>
        <v>0</v>
      </c>
      <c r="DL30">
        <f t="shared" si="12"/>
        <v>0</v>
      </c>
      <c r="DM30">
        <f t="shared" si="13"/>
        <v>0</v>
      </c>
      <c r="DN30">
        <f t="shared" si="14"/>
        <v>0</v>
      </c>
      <c r="DO30">
        <f t="shared" si="15"/>
        <v>1</v>
      </c>
      <c r="DP30">
        <f t="shared" si="16"/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f t="shared" si="30"/>
        <v>1</v>
      </c>
      <c r="DX30">
        <f t="shared" si="31"/>
        <v>1</v>
      </c>
      <c r="DZ30">
        <f t="shared" si="32"/>
        <v>0</v>
      </c>
      <c r="EA30">
        <f t="shared" si="17"/>
        <v>0</v>
      </c>
      <c r="EB30">
        <f t="shared" si="18"/>
        <v>0</v>
      </c>
      <c r="EC30">
        <f t="shared" si="19"/>
        <v>0</v>
      </c>
      <c r="ED30">
        <f t="shared" si="20"/>
        <v>0</v>
      </c>
      <c r="EE30">
        <f t="shared" si="21"/>
        <v>1</v>
      </c>
    </row>
    <row r="31" spans="1:135" x14ac:dyDescent="0.35">
      <c r="A31" t="s">
        <v>391</v>
      </c>
      <c r="B31">
        <f>[1]Population!$BB39</f>
        <v>18976588</v>
      </c>
      <c r="C31">
        <f>[1]RealGDP!$BB39</f>
        <v>18173099407.3027</v>
      </c>
      <c r="D31" s="10">
        <f>[1]GDPcap!$BB39</f>
        <v>957.65895361709386</v>
      </c>
      <c r="F31" t="s">
        <v>530</v>
      </c>
      <c r="G31" t="s">
        <v>531</v>
      </c>
      <c r="H31">
        <v>26</v>
      </c>
      <c r="I31">
        <v>27.9</v>
      </c>
      <c r="J31">
        <v>28.3</v>
      </c>
      <c r="K31">
        <v>28.1</v>
      </c>
      <c r="L31">
        <v>27.2</v>
      </c>
      <c r="M31">
        <v>25.9</v>
      </c>
      <c r="N31">
        <v>24.9</v>
      </c>
      <c r="O31">
        <v>24.8</v>
      </c>
      <c r="P31">
        <v>25.3</v>
      </c>
      <c r="Q31">
        <v>26</v>
      </c>
      <c r="R31">
        <v>26.3</v>
      </c>
      <c r="S31">
        <v>25.5</v>
      </c>
      <c r="T31">
        <v>27.9</v>
      </c>
      <c r="U31">
        <v>25.2</v>
      </c>
      <c r="V31">
        <v>25.9</v>
      </c>
      <c r="W31">
        <v>25.6</v>
      </c>
      <c r="X31">
        <v>26.3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0"/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f t="shared" si="1"/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f t="shared" si="22"/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f t="shared" si="23"/>
        <v>1</v>
      </c>
      <c r="CG31">
        <f t="shared" si="24"/>
        <v>0</v>
      </c>
      <c r="CH31">
        <f t="shared" si="2"/>
        <v>0</v>
      </c>
      <c r="CI31">
        <f t="shared" si="3"/>
        <v>0</v>
      </c>
      <c r="CJ31">
        <f t="shared" si="4"/>
        <v>0</v>
      </c>
      <c r="CK31">
        <f t="shared" si="5"/>
        <v>0</v>
      </c>
      <c r="CL31">
        <f t="shared" si="6"/>
        <v>0</v>
      </c>
      <c r="CM31">
        <f t="shared" si="7"/>
        <v>0</v>
      </c>
      <c r="CN31">
        <f t="shared" si="8"/>
        <v>0</v>
      </c>
      <c r="CO31">
        <f t="shared" si="9"/>
        <v>1</v>
      </c>
      <c r="CQ31">
        <v>0</v>
      </c>
      <c r="CR31">
        <v>0</v>
      </c>
      <c r="CS31">
        <v>0</v>
      </c>
      <c r="CT31">
        <v>0</v>
      </c>
      <c r="CU31">
        <v>0</v>
      </c>
      <c r="CV31">
        <f t="shared" si="25"/>
        <v>1</v>
      </c>
      <c r="CW31">
        <f t="shared" si="26"/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f t="shared" si="27"/>
        <v>1</v>
      </c>
      <c r="DF31">
        <v>0</v>
      </c>
      <c r="DG31">
        <f t="shared" si="28"/>
        <v>1</v>
      </c>
      <c r="DI31">
        <f t="shared" si="29"/>
        <v>0</v>
      </c>
      <c r="DJ31">
        <f t="shared" si="10"/>
        <v>0</v>
      </c>
      <c r="DK31">
        <f t="shared" si="11"/>
        <v>0</v>
      </c>
      <c r="DL31">
        <f t="shared" si="12"/>
        <v>0</v>
      </c>
      <c r="DM31">
        <f t="shared" si="13"/>
        <v>0</v>
      </c>
      <c r="DN31">
        <f t="shared" si="14"/>
        <v>0</v>
      </c>
      <c r="DO31">
        <f t="shared" si="15"/>
        <v>1</v>
      </c>
      <c r="DP31">
        <f t="shared" si="16"/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f t="shared" si="30"/>
        <v>1</v>
      </c>
      <c r="DX31">
        <f t="shared" si="31"/>
        <v>1</v>
      </c>
      <c r="DZ31">
        <f t="shared" si="32"/>
        <v>0</v>
      </c>
      <c r="EA31">
        <f t="shared" si="17"/>
        <v>0</v>
      </c>
      <c r="EB31">
        <f t="shared" si="18"/>
        <v>0</v>
      </c>
      <c r="EC31">
        <f t="shared" si="19"/>
        <v>0</v>
      </c>
      <c r="ED31">
        <f t="shared" si="20"/>
        <v>0</v>
      </c>
      <c r="EE31">
        <f t="shared" si="21"/>
        <v>1</v>
      </c>
    </row>
    <row r="32" spans="1:135" x14ac:dyDescent="0.35">
      <c r="A32" t="s">
        <v>392</v>
      </c>
      <c r="B32">
        <f>[1]Population!$BB40</f>
        <v>14364931</v>
      </c>
      <c r="C32">
        <f>[1]RealGDP!$BB40</f>
        <v>8693197235.5684757</v>
      </c>
      <c r="D32" s="10">
        <f>[1]GDPcap!$BB40</f>
        <v>605.16804679176505</v>
      </c>
      <c r="F32" t="s">
        <v>392</v>
      </c>
      <c r="H32">
        <v>24.7</v>
      </c>
      <c r="I32">
        <v>26.4</v>
      </c>
      <c r="J32">
        <v>27.7</v>
      </c>
      <c r="K32">
        <v>28.9</v>
      </c>
      <c r="L32">
        <v>28.4</v>
      </c>
      <c r="M32">
        <v>27.7</v>
      </c>
      <c r="N32">
        <v>27.2</v>
      </c>
      <c r="O32">
        <v>27.2</v>
      </c>
      <c r="P32">
        <v>26.9</v>
      </c>
      <c r="Q32">
        <v>26.5</v>
      </c>
      <c r="R32">
        <v>25.7</v>
      </c>
      <c r="S32">
        <v>24.7</v>
      </c>
      <c r="T32">
        <v>28.3</v>
      </c>
      <c r="U32">
        <v>27.4</v>
      </c>
      <c r="V32">
        <v>26.3</v>
      </c>
      <c r="W32">
        <v>24.4</v>
      </c>
      <c r="X32">
        <v>26.8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f t="shared" si="1"/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f t="shared" si="22"/>
        <v>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0</v>
      </c>
      <c r="CD32">
        <v>0</v>
      </c>
      <c r="CE32">
        <f t="shared" si="23"/>
        <v>1</v>
      </c>
      <c r="CG32">
        <f t="shared" si="24"/>
        <v>0</v>
      </c>
      <c r="CH32">
        <f t="shared" si="2"/>
        <v>0</v>
      </c>
      <c r="CI32">
        <f t="shared" si="3"/>
        <v>0</v>
      </c>
      <c r="CJ32">
        <f t="shared" si="4"/>
        <v>0</v>
      </c>
      <c r="CK32">
        <f t="shared" si="5"/>
        <v>0</v>
      </c>
      <c r="CL32">
        <f t="shared" si="6"/>
        <v>0</v>
      </c>
      <c r="CM32">
        <f t="shared" si="7"/>
        <v>1</v>
      </c>
      <c r="CN32">
        <f t="shared" si="8"/>
        <v>0</v>
      </c>
      <c r="CO32">
        <f t="shared" si="9"/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f t="shared" si="25"/>
        <v>1</v>
      </c>
      <c r="CW32">
        <f t="shared" si="26"/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f t="shared" si="27"/>
        <v>0</v>
      </c>
      <c r="DF32">
        <v>0</v>
      </c>
      <c r="DG32">
        <f t="shared" si="28"/>
        <v>1</v>
      </c>
      <c r="DI32">
        <f t="shared" si="29"/>
        <v>0</v>
      </c>
      <c r="DJ32">
        <f t="shared" si="10"/>
        <v>0</v>
      </c>
      <c r="DK32">
        <f t="shared" si="11"/>
        <v>0</v>
      </c>
      <c r="DL32">
        <f t="shared" si="12"/>
        <v>0</v>
      </c>
      <c r="DM32">
        <f t="shared" si="13"/>
        <v>0</v>
      </c>
      <c r="DN32">
        <f t="shared" si="14"/>
        <v>1</v>
      </c>
      <c r="DO32">
        <f t="shared" si="15"/>
        <v>0</v>
      </c>
      <c r="DP32">
        <f t="shared" si="16"/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f t="shared" si="30"/>
        <v>1</v>
      </c>
      <c r="DX32">
        <f t="shared" si="31"/>
        <v>1</v>
      </c>
      <c r="DZ32">
        <f t="shared" si="32"/>
        <v>0</v>
      </c>
      <c r="EA32">
        <f t="shared" si="17"/>
        <v>0</v>
      </c>
      <c r="EB32">
        <f t="shared" si="18"/>
        <v>0</v>
      </c>
      <c r="EC32">
        <f t="shared" si="19"/>
        <v>0</v>
      </c>
      <c r="ED32">
        <f t="shared" si="20"/>
        <v>0</v>
      </c>
      <c r="EE32">
        <f t="shared" si="21"/>
        <v>1</v>
      </c>
    </row>
    <row r="33" spans="1:135" x14ac:dyDescent="0.35">
      <c r="A33" t="s">
        <v>156</v>
      </c>
      <c r="B33">
        <f>[1]Population!$BB41</f>
        <v>20624343</v>
      </c>
      <c r="C33">
        <f>[1]RealGDP!$BB41</f>
        <v>19209829592.645119</v>
      </c>
      <c r="D33" s="10">
        <f>[1]GDPcap!$BB41</f>
        <v>931.41534703166633</v>
      </c>
      <c r="F33" t="s">
        <v>156</v>
      </c>
      <c r="H33">
        <v>23.9</v>
      </c>
      <c r="I33">
        <v>25.5</v>
      </c>
      <c r="J33">
        <v>26.4</v>
      </c>
      <c r="K33">
        <v>26.5</v>
      </c>
      <c r="L33">
        <v>25.6</v>
      </c>
      <c r="M33">
        <v>24.4</v>
      </c>
      <c r="N33">
        <v>23.4</v>
      </c>
      <c r="O33">
        <v>23.3</v>
      </c>
      <c r="P33">
        <v>23.7</v>
      </c>
      <c r="Q33">
        <v>24.3</v>
      </c>
      <c r="R33">
        <v>24.2</v>
      </c>
      <c r="S33">
        <v>23.6</v>
      </c>
      <c r="T33">
        <v>26.2</v>
      </c>
      <c r="U33">
        <v>23.7</v>
      </c>
      <c r="V33">
        <v>24.1</v>
      </c>
      <c r="W33">
        <v>23.5</v>
      </c>
      <c r="X33">
        <v>24.6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f t="shared" si="1"/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f t="shared" si="22"/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f t="shared" si="23"/>
        <v>1</v>
      </c>
      <c r="CG33">
        <f t="shared" si="24"/>
        <v>0</v>
      </c>
      <c r="CH33">
        <f t="shared" si="2"/>
        <v>0</v>
      </c>
      <c r="CI33">
        <f t="shared" si="3"/>
        <v>0</v>
      </c>
      <c r="CJ33">
        <f t="shared" si="4"/>
        <v>0</v>
      </c>
      <c r="CK33">
        <f t="shared" si="5"/>
        <v>0</v>
      </c>
      <c r="CL33">
        <f t="shared" si="6"/>
        <v>0</v>
      </c>
      <c r="CM33">
        <f t="shared" si="7"/>
        <v>0</v>
      </c>
      <c r="CN33">
        <f t="shared" si="8"/>
        <v>0</v>
      </c>
      <c r="CO33">
        <f t="shared" si="9"/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f t="shared" si="25"/>
        <v>1</v>
      </c>
      <c r="CW33">
        <f t="shared" si="26"/>
        <v>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f t="shared" si="27"/>
        <v>1</v>
      </c>
      <c r="DF33">
        <v>0</v>
      </c>
      <c r="DG33">
        <f t="shared" si="28"/>
        <v>1</v>
      </c>
      <c r="DI33">
        <f t="shared" si="29"/>
        <v>0</v>
      </c>
      <c r="DJ33">
        <f t="shared" si="10"/>
        <v>0</v>
      </c>
      <c r="DK33">
        <f t="shared" si="11"/>
        <v>0</v>
      </c>
      <c r="DL33">
        <f t="shared" si="12"/>
        <v>0</v>
      </c>
      <c r="DM33">
        <f t="shared" si="13"/>
        <v>0</v>
      </c>
      <c r="DN33">
        <f t="shared" si="14"/>
        <v>0</v>
      </c>
      <c r="DO33">
        <f t="shared" si="15"/>
        <v>1</v>
      </c>
      <c r="DP33">
        <f t="shared" si="16"/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f t="shared" si="30"/>
        <v>1</v>
      </c>
      <c r="DX33">
        <f t="shared" si="31"/>
        <v>1</v>
      </c>
      <c r="DZ33">
        <f t="shared" si="32"/>
        <v>0</v>
      </c>
      <c r="EA33">
        <f t="shared" si="17"/>
        <v>0</v>
      </c>
      <c r="EB33">
        <f t="shared" si="18"/>
        <v>0</v>
      </c>
      <c r="EC33">
        <f t="shared" si="19"/>
        <v>0</v>
      </c>
      <c r="ED33">
        <f t="shared" si="20"/>
        <v>0</v>
      </c>
      <c r="EE33">
        <f t="shared" si="21"/>
        <v>1</v>
      </c>
    </row>
    <row r="34" spans="1:135" x14ac:dyDescent="0.35">
      <c r="A34" t="s">
        <v>157</v>
      </c>
      <c r="B34">
        <f>[1]Population!$BB42</f>
        <v>34126547</v>
      </c>
      <c r="C34">
        <f>[1]RealGDP!$BB42</f>
        <v>1240064039807.2598</v>
      </c>
      <c r="D34" s="10">
        <f>[1]GDPcap!$BB42</f>
        <v>36337.22567382102</v>
      </c>
      <c r="F34" t="s">
        <v>157</v>
      </c>
      <c r="H34">
        <v>-22.7</v>
      </c>
      <c r="I34">
        <v>-21.2</v>
      </c>
      <c r="J34">
        <v>-16.3</v>
      </c>
      <c r="K34">
        <v>-7.5</v>
      </c>
      <c r="L34">
        <v>1.3</v>
      </c>
      <c r="M34">
        <v>8.3000000000000007</v>
      </c>
      <c r="N34">
        <v>12</v>
      </c>
      <c r="O34">
        <v>10.6</v>
      </c>
      <c r="P34">
        <v>4.9000000000000004</v>
      </c>
      <c r="Q34">
        <v>-2.4</v>
      </c>
      <c r="R34">
        <v>-12.1</v>
      </c>
      <c r="S34">
        <v>-19.5</v>
      </c>
      <c r="T34">
        <v>-7.5</v>
      </c>
      <c r="U34">
        <v>10.3</v>
      </c>
      <c r="V34">
        <v>-3.2</v>
      </c>
      <c r="W34">
        <v>-20.399999999999999</v>
      </c>
      <c r="X34">
        <v>-5.4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f t="shared" si="0"/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f t="shared" si="1"/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 t="shared" si="22"/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f t="shared" si="23"/>
        <v>1</v>
      </c>
      <c r="CG34">
        <f t="shared" si="24"/>
        <v>1</v>
      </c>
      <c r="CH34">
        <f t="shared" si="2"/>
        <v>0</v>
      </c>
      <c r="CI34">
        <f t="shared" si="3"/>
        <v>0</v>
      </c>
      <c r="CJ34">
        <f t="shared" si="4"/>
        <v>0</v>
      </c>
      <c r="CK34">
        <f t="shared" si="5"/>
        <v>0</v>
      </c>
      <c r="CL34">
        <f t="shared" si="6"/>
        <v>0</v>
      </c>
      <c r="CM34">
        <f t="shared" si="7"/>
        <v>0</v>
      </c>
      <c r="CN34">
        <f t="shared" si="8"/>
        <v>0</v>
      </c>
      <c r="CO34">
        <f t="shared" si="9"/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f t="shared" si="25"/>
        <v>1</v>
      </c>
      <c r="CW34">
        <f t="shared" si="26"/>
        <v>1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f t="shared" si="27"/>
        <v>0</v>
      </c>
      <c r="DF34">
        <v>0</v>
      </c>
      <c r="DG34">
        <f t="shared" si="28"/>
        <v>1</v>
      </c>
      <c r="DI34">
        <f t="shared" si="29"/>
        <v>0</v>
      </c>
      <c r="DJ34">
        <f t="shared" si="10"/>
        <v>0</v>
      </c>
      <c r="DK34">
        <f t="shared" si="11"/>
        <v>1</v>
      </c>
      <c r="DL34">
        <f t="shared" si="12"/>
        <v>0</v>
      </c>
      <c r="DM34">
        <f t="shared" si="13"/>
        <v>0</v>
      </c>
      <c r="DN34">
        <f t="shared" si="14"/>
        <v>0</v>
      </c>
      <c r="DO34">
        <f t="shared" si="15"/>
        <v>0</v>
      </c>
      <c r="DP34">
        <f t="shared" si="16"/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f t="shared" si="30"/>
        <v>0</v>
      </c>
      <c r="DX34">
        <f t="shared" si="31"/>
        <v>1</v>
      </c>
      <c r="DZ34">
        <f t="shared" si="32"/>
        <v>0</v>
      </c>
      <c r="EA34">
        <f t="shared" si="17"/>
        <v>0</v>
      </c>
      <c r="EB34">
        <f t="shared" si="18"/>
        <v>1</v>
      </c>
      <c r="EC34">
        <f t="shared" si="19"/>
        <v>0</v>
      </c>
      <c r="ED34">
        <f t="shared" si="20"/>
        <v>0</v>
      </c>
      <c r="EE34">
        <f t="shared" si="21"/>
        <v>0</v>
      </c>
    </row>
    <row r="35" spans="1:135" x14ac:dyDescent="0.35">
      <c r="A35" t="s">
        <v>393</v>
      </c>
      <c r="B35">
        <f>[1]Population!$BB43</f>
        <v>487601</v>
      </c>
      <c r="C35">
        <f>[1]RealGDP!$BB43</f>
        <v>1291490221.8474941</v>
      </c>
      <c r="D35" s="10">
        <f>[1]GDPcap!$BB43</f>
        <v>2648.6619630548216</v>
      </c>
      <c r="F35" t="s">
        <v>495</v>
      </c>
      <c r="G35" t="s">
        <v>496</v>
      </c>
      <c r="H35">
        <v>21.2</v>
      </c>
      <c r="I35">
        <v>21.2</v>
      </c>
      <c r="J35">
        <v>21.7</v>
      </c>
      <c r="K35">
        <v>22.1</v>
      </c>
      <c r="L35">
        <v>22.7</v>
      </c>
      <c r="M35">
        <v>23.4</v>
      </c>
      <c r="N35">
        <v>24.3</v>
      </c>
      <c r="O35">
        <v>25.4</v>
      </c>
      <c r="P35">
        <v>25.8</v>
      </c>
      <c r="Q35">
        <v>25.3</v>
      </c>
      <c r="R35">
        <v>24</v>
      </c>
      <c r="S35">
        <v>22.2</v>
      </c>
      <c r="T35">
        <v>22.2</v>
      </c>
      <c r="U35">
        <v>24.4</v>
      </c>
      <c r="V35">
        <v>25</v>
      </c>
      <c r="W35">
        <v>20.8</v>
      </c>
      <c r="X35">
        <v>23.3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f t="shared" si="1"/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f t="shared" si="22"/>
        <v>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f t="shared" si="23"/>
        <v>1</v>
      </c>
      <c r="CG35">
        <f t="shared" si="24"/>
        <v>0</v>
      </c>
      <c r="CH35">
        <f t="shared" si="2"/>
        <v>0</v>
      </c>
      <c r="CI35">
        <f t="shared" si="3"/>
        <v>0</v>
      </c>
      <c r="CJ35">
        <f t="shared" si="4"/>
        <v>0</v>
      </c>
      <c r="CK35">
        <f t="shared" si="5"/>
        <v>0</v>
      </c>
      <c r="CL35">
        <f t="shared" si="6"/>
        <v>0</v>
      </c>
      <c r="CM35">
        <f t="shared" si="7"/>
        <v>0</v>
      </c>
      <c r="CN35">
        <f t="shared" si="8"/>
        <v>0</v>
      </c>
      <c r="CO35">
        <f t="shared" si="9"/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f t="shared" si="25"/>
        <v>1</v>
      </c>
      <c r="CW35">
        <f t="shared" si="26"/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f t="shared" si="27"/>
        <v>1</v>
      </c>
      <c r="DF35">
        <v>0</v>
      </c>
      <c r="DG35">
        <f t="shared" si="28"/>
        <v>1</v>
      </c>
      <c r="DI35">
        <f t="shared" si="29"/>
        <v>0</v>
      </c>
      <c r="DJ35">
        <f t="shared" si="10"/>
        <v>0</v>
      </c>
      <c r="DK35">
        <f t="shared" si="11"/>
        <v>0</v>
      </c>
      <c r="DL35">
        <f t="shared" si="12"/>
        <v>0</v>
      </c>
      <c r="DM35">
        <f t="shared" si="13"/>
        <v>0</v>
      </c>
      <c r="DN35">
        <f t="shared" si="14"/>
        <v>0</v>
      </c>
      <c r="DO35">
        <f t="shared" si="15"/>
        <v>1</v>
      </c>
      <c r="DP35">
        <f t="shared" si="16"/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f t="shared" si="30"/>
        <v>1</v>
      </c>
      <c r="DX35">
        <f t="shared" si="31"/>
        <v>1</v>
      </c>
      <c r="DZ35">
        <f t="shared" si="32"/>
        <v>0</v>
      </c>
      <c r="EA35">
        <f t="shared" si="17"/>
        <v>0</v>
      </c>
      <c r="EB35">
        <f t="shared" si="18"/>
        <v>0</v>
      </c>
      <c r="EC35">
        <f t="shared" si="19"/>
        <v>0</v>
      </c>
      <c r="ED35">
        <f t="shared" si="20"/>
        <v>0</v>
      </c>
      <c r="EE35">
        <f t="shared" si="21"/>
        <v>1</v>
      </c>
    </row>
    <row r="36" spans="1:135" x14ac:dyDescent="0.35">
      <c r="A36" t="s">
        <v>394</v>
      </c>
      <c r="B36">
        <f>[1]Population!$BB45</f>
        <v>4349921</v>
      </c>
      <c r="C36">
        <f>[1]RealGDP!$BB45</f>
        <v>1895403784.9660907</v>
      </c>
      <c r="D36" s="10">
        <f>[1]GDPcap!$BB45</f>
        <v>435.73292134870741</v>
      </c>
      <c r="F36" t="s">
        <v>498</v>
      </c>
      <c r="G36" t="s">
        <v>499</v>
      </c>
      <c r="H36">
        <v>24.2</v>
      </c>
      <c r="I36">
        <v>26.1</v>
      </c>
      <c r="J36">
        <v>27.1</v>
      </c>
      <c r="K36">
        <v>26.9</v>
      </c>
      <c r="L36">
        <v>26</v>
      </c>
      <c r="M36">
        <v>24.7</v>
      </c>
      <c r="N36">
        <v>23.8</v>
      </c>
      <c r="O36">
        <v>23.7</v>
      </c>
      <c r="P36">
        <v>23.9</v>
      </c>
      <c r="Q36">
        <v>24.3</v>
      </c>
      <c r="R36">
        <v>24.3</v>
      </c>
      <c r="S36">
        <v>23.6</v>
      </c>
      <c r="T36">
        <v>26.6</v>
      </c>
      <c r="U36">
        <v>24.1</v>
      </c>
      <c r="V36">
        <v>24.2</v>
      </c>
      <c r="W36">
        <v>23.8</v>
      </c>
      <c r="X36">
        <v>24.9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</v>
      </c>
      <c r="BA36">
        <v>0</v>
      </c>
      <c r="BB36">
        <v>0</v>
      </c>
      <c r="BC36">
        <v>0</v>
      </c>
      <c r="BD36">
        <v>0</v>
      </c>
      <c r="BE36">
        <f t="shared" si="1"/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f t="shared" si="22"/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f t="shared" si="23"/>
        <v>1</v>
      </c>
      <c r="CG36">
        <f t="shared" si="24"/>
        <v>0</v>
      </c>
      <c r="CH36">
        <f t="shared" si="2"/>
        <v>0</v>
      </c>
      <c r="CI36">
        <f t="shared" si="3"/>
        <v>0</v>
      </c>
      <c r="CJ36">
        <f t="shared" si="4"/>
        <v>0</v>
      </c>
      <c r="CK36">
        <f t="shared" si="5"/>
        <v>0</v>
      </c>
      <c r="CL36">
        <f t="shared" si="6"/>
        <v>0</v>
      </c>
      <c r="CM36">
        <f t="shared" si="7"/>
        <v>0</v>
      </c>
      <c r="CN36">
        <f t="shared" si="8"/>
        <v>0</v>
      </c>
      <c r="CO36">
        <f t="shared" si="9"/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f t="shared" si="25"/>
        <v>1</v>
      </c>
      <c r="CW36">
        <f t="shared" si="26"/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f t="shared" si="27"/>
        <v>1</v>
      </c>
      <c r="DF36">
        <v>0</v>
      </c>
      <c r="DG36">
        <f t="shared" si="28"/>
        <v>1</v>
      </c>
      <c r="DI36">
        <f t="shared" si="29"/>
        <v>0</v>
      </c>
      <c r="DJ36">
        <f t="shared" si="10"/>
        <v>0</v>
      </c>
      <c r="DK36">
        <f t="shared" si="11"/>
        <v>0</v>
      </c>
      <c r="DL36">
        <f t="shared" si="12"/>
        <v>0</v>
      </c>
      <c r="DM36">
        <f t="shared" si="13"/>
        <v>0</v>
      </c>
      <c r="DN36">
        <f t="shared" si="14"/>
        <v>0</v>
      </c>
      <c r="DO36">
        <f t="shared" si="15"/>
        <v>1</v>
      </c>
      <c r="DP36">
        <f t="shared" si="16"/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f t="shared" si="30"/>
        <v>1</v>
      </c>
      <c r="DX36">
        <f t="shared" si="31"/>
        <v>1</v>
      </c>
      <c r="DZ36">
        <f t="shared" si="32"/>
        <v>0</v>
      </c>
      <c r="EA36">
        <f t="shared" si="17"/>
        <v>0</v>
      </c>
      <c r="EB36">
        <f t="shared" si="18"/>
        <v>0</v>
      </c>
      <c r="EC36">
        <f t="shared" si="19"/>
        <v>0</v>
      </c>
      <c r="ED36">
        <f t="shared" si="20"/>
        <v>0</v>
      </c>
      <c r="EE36">
        <f t="shared" si="21"/>
        <v>1</v>
      </c>
    </row>
    <row r="37" spans="1:135" x14ac:dyDescent="0.35">
      <c r="A37" t="s">
        <v>395</v>
      </c>
      <c r="B37">
        <f>[1]Population!$BB46</f>
        <v>11720781</v>
      </c>
      <c r="C37">
        <f>[1]RealGDP!$BB46</f>
        <v>8425171572.2620554</v>
      </c>
      <c r="D37" s="10">
        <f>[1]GDPcap!$BB46</f>
        <v>718.82339344639706</v>
      </c>
      <c r="F37" t="s">
        <v>395</v>
      </c>
      <c r="H37">
        <v>20.5</v>
      </c>
      <c r="I37">
        <v>22.9</v>
      </c>
      <c r="J37">
        <v>26.4</v>
      </c>
      <c r="K37">
        <v>29.4</v>
      </c>
      <c r="L37">
        <v>30.9</v>
      </c>
      <c r="M37">
        <v>30.7</v>
      </c>
      <c r="N37">
        <v>29.2</v>
      </c>
      <c r="O37">
        <v>28.1</v>
      </c>
      <c r="P37">
        <v>28.3</v>
      </c>
      <c r="Q37">
        <v>27.1</v>
      </c>
      <c r="R37">
        <v>23.7</v>
      </c>
      <c r="S37">
        <v>21.1</v>
      </c>
      <c r="T37">
        <v>28.9</v>
      </c>
      <c r="U37">
        <v>29.3</v>
      </c>
      <c r="V37">
        <v>26.4</v>
      </c>
      <c r="W37">
        <v>20.8</v>
      </c>
      <c r="X37">
        <v>26.5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0"/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f t="shared" si="1"/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f t="shared" si="22"/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f t="shared" si="23"/>
        <v>1</v>
      </c>
      <c r="CG37">
        <f t="shared" si="24"/>
        <v>0</v>
      </c>
      <c r="CH37">
        <f t="shared" si="2"/>
        <v>0</v>
      </c>
      <c r="CI37">
        <f t="shared" si="3"/>
        <v>0</v>
      </c>
      <c r="CJ37">
        <f t="shared" si="4"/>
        <v>0</v>
      </c>
      <c r="CK37">
        <f t="shared" si="5"/>
        <v>0</v>
      </c>
      <c r="CL37">
        <f t="shared" si="6"/>
        <v>0</v>
      </c>
      <c r="CM37">
        <f t="shared" si="7"/>
        <v>0</v>
      </c>
      <c r="CN37">
        <f t="shared" si="8"/>
        <v>0</v>
      </c>
      <c r="CO37">
        <f t="shared" si="9"/>
        <v>1</v>
      </c>
      <c r="CQ37">
        <v>0</v>
      </c>
      <c r="CR37">
        <v>0</v>
      </c>
      <c r="CS37">
        <v>0</v>
      </c>
      <c r="CT37">
        <v>0</v>
      </c>
      <c r="CU37">
        <v>0</v>
      </c>
      <c r="CV37">
        <f t="shared" si="25"/>
        <v>1</v>
      </c>
      <c r="CW37">
        <f t="shared" si="26"/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f t="shared" si="27"/>
        <v>1</v>
      </c>
      <c r="DF37">
        <v>0</v>
      </c>
      <c r="DG37">
        <f t="shared" si="28"/>
        <v>1</v>
      </c>
      <c r="DI37">
        <f t="shared" si="29"/>
        <v>0</v>
      </c>
      <c r="DJ37">
        <f t="shared" si="10"/>
        <v>0</v>
      </c>
      <c r="DK37">
        <f t="shared" si="11"/>
        <v>0</v>
      </c>
      <c r="DL37">
        <f t="shared" si="12"/>
        <v>0</v>
      </c>
      <c r="DM37">
        <f t="shared" si="13"/>
        <v>0</v>
      </c>
      <c r="DN37">
        <f t="shared" si="14"/>
        <v>0</v>
      </c>
      <c r="DO37">
        <f t="shared" si="15"/>
        <v>1</v>
      </c>
      <c r="DP37">
        <f t="shared" si="16"/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f t="shared" si="30"/>
        <v>1</v>
      </c>
      <c r="DX37">
        <f t="shared" si="31"/>
        <v>1</v>
      </c>
      <c r="DZ37">
        <f t="shared" si="32"/>
        <v>0</v>
      </c>
      <c r="EA37">
        <f t="shared" si="17"/>
        <v>0</v>
      </c>
      <c r="EB37">
        <f t="shared" si="18"/>
        <v>0</v>
      </c>
      <c r="EC37">
        <f t="shared" si="19"/>
        <v>0</v>
      </c>
      <c r="ED37">
        <f t="shared" si="20"/>
        <v>0</v>
      </c>
      <c r="EE37">
        <f t="shared" si="21"/>
        <v>1</v>
      </c>
    </row>
    <row r="38" spans="1:135" x14ac:dyDescent="0.35">
      <c r="A38" t="s">
        <v>158</v>
      </c>
      <c r="B38">
        <f>[1]Population!$BB47</f>
        <v>17150760</v>
      </c>
      <c r="C38">
        <f>[1]RealGDP!$BB47</f>
        <v>147668421646.38379</v>
      </c>
      <c r="D38" s="10">
        <f>[1]GDPcap!$BB47</f>
        <v>8610.0220425441075</v>
      </c>
      <c r="F38" t="s">
        <v>158</v>
      </c>
      <c r="H38">
        <v>12.6</v>
      </c>
      <c r="I38">
        <v>12.2</v>
      </c>
      <c r="J38">
        <v>10.9</v>
      </c>
      <c r="K38">
        <v>8.8000000000000007</v>
      </c>
      <c r="L38">
        <v>6.6</v>
      </c>
      <c r="M38">
        <v>4.7</v>
      </c>
      <c r="N38">
        <v>4.3</v>
      </c>
      <c r="O38">
        <v>5</v>
      </c>
      <c r="P38">
        <v>6.4</v>
      </c>
      <c r="Q38">
        <v>8.1999999999999993</v>
      </c>
      <c r="R38">
        <v>10.1</v>
      </c>
      <c r="S38">
        <v>11.7</v>
      </c>
      <c r="T38">
        <v>8.8000000000000007</v>
      </c>
      <c r="U38">
        <v>4.7</v>
      </c>
      <c r="V38">
        <v>8.1999999999999993</v>
      </c>
      <c r="W38">
        <v>11.8</v>
      </c>
      <c r="X38">
        <v>8.5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f t="shared" si="0"/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f t="shared" si="1"/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f t="shared" si="22"/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0</v>
      </c>
      <c r="CC38">
        <v>0</v>
      </c>
      <c r="CD38">
        <v>0</v>
      </c>
      <c r="CE38">
        <f t="shared" si="23"/>
        <v>1</v>
      </c>
      <c r="CG38">
        <f t="shared" si="24"/>
        <v>0</v>
      </c>
      <c r="CH38">
        <f t="shared" si="2"/>
        <v>0</v>
      </c>
      <c r="CI38">
        <f t="shared" si="3"/>
        <v>0</v>
      </c>
      <c r="CJ38">
        <f t="shared" si="4"/>
        <v>0</v>
      </c>
      <c r="CK38">
        <f t="shared" si="5"/>
        <v>0</v>
      </c>
      <c r="CL38">
        <f t="shared" si="6"/>
        <v>1</v>
      </c>
      <c r="CM38">
        <f t="shared" si="7"/>
        <v>0</v>
      </c>
      <c r="CN38">
        <f t="shared" si="8"/>
        <v>0</v>
      </c>
      <c r="CO38">
        <f t="shared" si="9"/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f t="shared" si="25"/>
        <v>1</v>
      </c>
      <c r="CW38">
        <f t="shared" si="26"/>
        <v>1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f t="shared" si="27"/>
        <v>0</v>
      </c>
      <c r="DF38">
        <v>1</v>
      </c>
      <c r="DG38">
        <f t="shared" si="28"/>
        <v>1</v>
      </c>
      <c r="DI38">
        <f t="shared" si="29"/>
        <v>0</v>
      </c>
      <c r="DJ38">
        <f t="shared" si="10"/>
        <v>0</v>
      </c>
      <c r="DK38">
        <f t="shared" si="11"/>
        <v>0</v>
      </c>
      <c r="DL38">
        <f t="shared" si="12"/>
        <v>0</v>
      </c>
      <c r="DM38">
        <f t="shared" si="13"/>
        <v>0</v>
      </c>
      <c r="DN38">
        <f t="shared" si="14"/>
        <v>0</v>
      </c>
      <c r="DO38">
        <f t="shared" si="15"/>
        <v>0</v>
      </c>
      <c r="DP38">
        <f t="shared" si="16"/>
        <v>1</v>
      </c>
      <c r="DR38">
        <v>0</v>
      </c>
      <c r="DS38">
        <v>0</v>
      </c>
      <c r="DT38">
        <v>0</v>
      </c>
      <c r="DU38">
        <v>0</v>
      </c>
      <c r="DV38">
        <v>0</v>
      </c>
      <c r="DW38">
        <f t="shared" si="30"/>
        <v>1</v>
      </c>
      <c r="DX38">
        <f t="shared" si="31"/>
        <v>1</v>
      </c>
      <c r="DZ38">
        <f t="shared" si="32"/>
        <v>0</v>
      </c>
      <c r="EA38">
        <f t="shared" si="17"/>
        <v>0</v>
      </c>
      <c r="EB38">
        <f t="shared" si="18"/>
        <v>0</v>
      </c>
      <c r="EC38">
        <f t="shared" si="19"/>
        <v>0</v>
      </c>
      <c r="ED38">
        <f t="shared" si="20"/>
        <v>0</v>
      </c>
      <c r="EE38">
        <f t="shared" si="21"/>
        <v>1</v>
      </c>
    </row>
    <row r="39" spans="1:135" x14ac:dyDescent="0.35">
      <c r="A39" t="s">
        <v>91</v>
      </c>
      <c r="B39">
        <f>[1]Population!$BB48</f>
        <v>1337705000</v>
      </c>
      <c r="C39">
        <f>[1]RealGDP!$BB48</f>
        <v>3839284159376.0742</v>
      </c>
      <c r="D39" s="10">
        <f>[1]GDPcap!$BB48</f>
        <v>2870.0529334764196</v>
      </c>
      <c r="F39" t="s">
        <v>91</v>
      </c>
      <c r="H39">
        <v>-7.4</v>
      </c>
      <c r="I39">
        <v>-5</v>
      </c>
      <c r="J39">
        <v>1.2</v>
      </c>
      <c r="K39">
        <v>8.1</v>
      </c>
      <c r="L39">
        <v>13.5</v>
      </c>
      <c r="M39">
        <v>17.399999999999999</v>
      </c>
      <c r="N39">
        <v>19.7</v>
      </c>
      <c r="O39">
        <v>18.8</v>
      </c>
      <c r="P39">
        <v>14.4</v>
      </c>
      <c r="Q39">
        <v>8</v>
      </c>
      <c r="R39">
        <v>0.4</v>
      </c>
      <c r="S39">
        <v>-5.5</v>
      </c>
      <c r="T39">
        <v>7.6</v>
      </c>
      <c r="U39">
        <v>18.600000000000001</v>
      </c>
      <c r="V39">
        <v>7.6</v>
      </c>
      <c r="W39">
        <v>-5.8</v>
      </c>
      <c r="X39">
        <v>6.9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0"/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f t="shared" si="1"/>
        <v>1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 t="shared" si="22"/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f t="shared" si="23"/>
        <v>1</v>
      </c>
      <c r="CG39">
        <f t="shared" si="24"/>
        <v>0</v>
      </c>
      <c r="CH39">
        <f t="shared" si="2"/>
        <v>0</v>
      </c>
      <c r="CI39">
        <f t="shared" si="3"/>
        <v>0</v>
      </c>
      <c r="CJ39">
        <f t="shared" si="4"/>
        <v>0</v>
      </c>
      <c r="CK39">
        <f t="shared" si="5"/>
        <v>0</v>
      </c>
      <c r="CL39">
        <f t="shared" si="6"/>
        <v>0</v>
      </c>
      <c r="CM39">
        <f t="shared" si="7"/>
        <v>0</v>
      </c>
      <c r="CN39">
        <f t="shared" si="8"/>
        <v>1</v>
      </c>
      <c r="CO39">
        <f t="shared" si="9"/>
        <v>0</v>
      </c>
      <c r="CQ39">
        <v>0</v>
      </c>
      <c r="CR39">
        <v>0</v>
      </c>
      <c r="CS39">
        <v>1</v>
      </c>
      <c r="CT39">
        <v>0</v>
      </c>
      <c r="CU39">
        <v>0</v>
      </c>
      <c r="CV39">
        <f t="shared" si="25"/>
        <v>0</v>
      </c>
      <c r="CW39">
        <f t="shared" si="26"/>
        <v>1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0</v>
      </c>
      <c r="DE39">
        <f t="shared" si="27"/>
        <v>0</v>
      </c>
      <c r="DF39">
        <v>0</v>
      </c>
      <c r="DG39">
        <f t="shared" si="28"/>
        <v>1</v>
      </c>
      <c r="DI39">
        <f t="shared" si="29"/>
        <v>0</v>
      </c>
      <c r="DJ39">
        <f t="shared" si="10"/>
        <v>0</v>
      </c>
      <c r="DK39">
        <f t="shared" si="11"/>
        <v>0</v>
      </c>
      <c r="DL39">
        <f t="shared" si="12"/>
        <v>0</v>
      </c>
      <c r="DM39">
        <f t="shared" si="13"/>
        <v>1</v>
      </c>
      <c r="DN39">
        <f t="shared" si="14"/>
        <v>0</v>
      </c>
      <c r="DO39">
        <f t="shared" si="15"/>
        <v>0</v>
      </c>
      <c r="DP39">
        <f t="shared" si="16"/>
        <v>0</v>
      </c>
      <c r="DR39">
        <v>0</v>
      </c>
      <c r="DS39">
        <v>0</v>
      </c>
      <c r="DT39">
        <v>0</v>
      </c>
      <c r="DU39">
        <v>0</v>
      </c>
      <c r="DV39">
        <v>1</v>
      </c>
      <c r="DW39">
        <f t="shared" si="30"/>
        <v>0</v>
      </c>
      <c r="DX39">
        <f t="shared" si="31"/>
        <v>1</v>
      </c>
      <c r="DZ39">
        <f t="shared" si="32"/>
        <v>0</v>
      </c>
      <c r="EA39">
        <f t="shared" si="17"/>
        <v>0</v>
      </c>
      <c r="EB39">
        <f t="shared" si="18"/>
        <v>0</v>
      </c>
      <c r="EC39">
        <f t="shared" si="19"/>
        <v>0</v>
      </c>
      <c r="ED39">
        <f t="shared" si="20"/>
        <v>1</v>
      </c>
      <c r="EE39">
        <f t="shared" si="21"/>
        <v>0</v>
      </c>
    </row>
    <row r="40" spans="1:135" x14ac:dyDescent="0.35">
      <c r="A40" t="s">
        <v>159</v>
      </c>
      <c r="B40">
        <f>[1]Population!$BB51</f>
        <v>46444798</v>
      </c>
      <c r="C40">
        <f>[1]RealGDP!$BB51</f>
        <v>182893446717.7428</v>
      </c>
      <c r="D40" s="10">
        <f>[1]GDPcap!$BB51</f>
        <v>3937.8672013546661</v>
      </c>
      <c r="F40" t="s">
        <v>159</v>
      </c>
      <c r="H40">
        <v>24.7</v>
      </c>
      <c r="I40">
        <v>25.1</v>
      </c>
      <c r="J40">
        <v>25.2</v>
      </c>
      <c r="K40">
        <v>24.8</v>
      </c>
      <c r="L40">
        <v>24.4</v>
      </c>
      <c r="M40">
        <v>24</v>
      </c>
      <c r="N40">
        <v>23.9</v>
      </c>
      <c r="O40">
        <v>24.1</v>
      </c>
      <c r="P40">
        <v>24.3</v>
      </c>
      <c r="Q40">
        <v>24.3</v>
      </c>
      <c r="R40">
        <v>24.5</v>
      </c>
      <c r="S40">
        <v>24.4</v>
      </c>
      <c r="T40">
        <v>24.8</v>
      </c>
      <c r="U40">
        <v>24</v>
      </c>
      <c r="V40">
        <v>24.4</v>
      </c>
      <c r="W40">
        <v>23.9</v>
      </c>
      <c r="X40">
        <v>24.5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f t="shared" si="0"/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f t="shared" si="1"/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f t="shared" si="22"/>
        <v>1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f t="shared" si="23"/>
        <v>1</v>
      </c>
      <c r="CG40">
        <f t="shared" si="24"/>
        <v>0</v>
      </c>
      <c r="CH40">
        <f t="shared" si="2"/>
        <v>0</v>
      </c>
      <c r="CI40">
        <f t="shared" si="3"/>
        <v>0</v>
      </c>
      <c r="CJ40">
        <f t="shared" si="4"/>
        <v>0</v>
      </c>
      <c r="CK40">
        <f t="shared" si="5"/>
        <v>0</v>
      </c>
      <c r="CL40">
        <f t="shared" si="6"/>
        <v>1</v>
      </c>
      <c r="CM40">
        <f t="shared" si="7"/>
        <v>0</v>
      </c>
      <c r="CN40">
        <f t="shared" si="8"/>
        <v>0</v>
      </c>
      <c r="CO40">
        <f t="shared" si="9"/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f t="shared" si="25"/>
        <v>1</v>
      </c>
      <c r="CW40">
        <f t="shared" si="26"/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f t="shared" si="27"/>
        <v>0</v>
      </c>
      <c r="DF40">
        <v>1</v>
      </c>
      <c r="DG40">
        <f t="shared" si="28"/>
        <v>1</v>
      </c>
      <c r="DI40">
        <f t="shared" si="29"/>
        <v>0</v>
      </c>
      <c r="DJ40">
        <f t="shared" si="10"/>
        <v>0</v>
      </c>
      <c r="DK40">
        <f t="shared" si="11"/>
        <v>0</v>
      </c>
      <c r="DL40">
        <f t="shared" si="12"/>
        <v>0</v>
      </c>
      <c r="DM40">
        <f t="shared" si="13"/>
        <v>0</v>
      </c>
      <c r="DN40">
        <f t="shared" si="14"/>
        <v>0</v>
      </c>
      <c r="DO40">
        <f t="shared" si="15"/>
        <v>0</v>
      </c>
      <c r="DP40">
        <f t="shared" si="16"/>
        <v>1</v>
      </c>
      <c r="DR40">
        <v>0</v>
      </c>
      <c r="DS40">
        <v>0</v>
      </c>
      <c r="DT40">
        <v>0</v>
      </c>
      <c r="DU40">
        <v>0</v>
      </c>
      <c r="DV40">
        <v>0</v>
      </c>
      <c r="DW40">
        <f t="shared" si="30"/>
        <v>1</v>
      </c>
      <c r="DX40">
        <f t="shared" si="31"/>
        <v>1</v>
      </c>
      <c r="DZ40">
        <f t="shared" si="32"/>
        <v>0</v>
      </c>
      <c r="EA40">
        <f t="shared" si="17"/>
        <v>0</v>
      </c>
      <c r="EB40">
        <f t="shared" si="18"/>
        <v>0</v>
      </c>
      <c r="EC40">
        <f t="shared" si="19"/>
        <v>0</v>
      </c>
      <c r="ED40">
        <f t="shared" si="20"/>
        <v>0</v>
      </c>
      <c r="EE40">
        <f t="shared" si="21"/>
        <v>1</v>
      </c>
    </row>
    <row r="41" spans="1:135" x14ac:dyDescent="0.35">
      <c r="A41" t="s">
        <v>396</v>
      </c>
      <c r="B41">
        <f>[1]Population!$BB52</f>
        <v>683081</v>
      </c>
      <c r="C41">
        <f>[1]RealGDP!$BB52</f>
        <v>413107576.03941357</v>
      </c>
      <c r="D41" s="10">
        <f>[1]GDPcap!$BB52</f>
        <v>604.77099500559018</v>
      </c>
      <c r="F41" t="s">
        <v>396</v>
      </c>
      <c r="H41">
        <v>26.6</v>
      </c>
      <c r="I41">
        <v>26.6</v>
      </c>
      <c r="J41">
        <v>26.8</v>
      </c>
      <c r="K41">
        <v>26.6</v>
      </c>
      <c r="L41">
        <v>25.7</v>
      </c>
      <c r="M41">
        <v>24.1</v>
      </c>
      <c r="N41">
        <v>23.6</v>
      </c>
      <c r="O41">
        <v>23.8</v>
      </c>
      <c r="P41">
        <v>24.4</v>
      </c>
      <c r="Q41">
        <v>25.6</v>
      </c>
      <c r="R41">
        <v>26.4</v>
      </c>
      <c r="S41">
        <v>26.6</v>
      </c>
      <c r="T41">
        <v>26.3</v>
      </c>
      <c r="U41">
        <v>23.8</v>
      </c>
      <c r="V41">
        <v>25.5</v>
      </c>
      <c r="W41">
        <v>25.7</v>
      </c>
      <c r="X41">
        <v>25.6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0</v>
      </c>
      <c r="BC41">
        <v>0</v>
      </c>
      <c r="BD41">
        <v>0</v>
      </c>
      <c r="BE41">
        <f t="shared" si="1"/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f t="shared" si="22"/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f t="shared" si="23"/>
        <v>1</v>
      </c>
      <c r="CG41">
        <f t="shared" si="24"/>
        <v>0</v>
      </c>
      <c r="CH41">
        <f t="shared" si="2"/>
        <v>0</v>
      </c>
      <c r="CI41">
        <f t="shared" si="3"/>
        <v>0</v>
      </c>
      <c r="CJ41">
        <f t="shared" si="4"/>
        <v>0</v>
      </c>
      <c r="CK41">
        <f t="shared" si="5"/>
        <v>0</v>
      </c>
      <c r="CL41">
        <f t="shared" si="6"/>
        <v>0</v>
      </c>
      <c r="CM41">
        <f t="shared" si="7"/>
        <v>0</v>
      </c>
      <c r="CN41">
        <f t="shared" si="8"/>
        <v>0</v>
      </c>
      <c r="CO41">
        <f t="shared" si="9"/>
        <v>1</v>
      </c>
      <c r="CQ41">
        <v>0</v>
      </c>
      <c r="CR41">
        <v>0</v>
      </c>
      <c r="CS41">
        <v>0</v>
      </c>
      <c r="CT41">
        <v>0</v>
      </c>
      <c r="CU41">
        <v>0</v>
      </c>
      <c r="CV41">
        <f t="shared" si="25"/>
        <v>1</v>
      </c>
      <c r="CW41">
        <f t="shared" si="26"/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f t="shared" si="27"/>
        <v>1</v>
      </c>
      <c r="DF41">
        <v>0</v>
      </c>
      <c r="DG41">
        <f t="shared" si="28"/>
        <v>1</v>
      </c>
      <c r="DI41">
        <f t="shared" si="29"/>
        <v>0</v>
      </c>
      <c r="DJ41">
        <f t="shared" si="10"/>
        <v>0</v>
      </c>
      <c r="DK41">
        <f t="shared" si="11"/>
        <v>0</v>
      </c>
      <c r="DL41">
        <f t="shared" si="12"/>
        <v>0</v>
      </c>
      <c r="DM41">
        <f t="shared" si="13"/>
        <v>0</v>
      </c>
      <c r="DN41">
        <f t="shared" si="14"/>
        <v>0</v>
      </c>
      <c r="DO41">
        <f t="shared" si="15"/>
        <v>1</v>
      </c>
      <c r="DP41">
        <f t="shared" si="16"/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f t="shared" si="30"/>
        <v>1</v>
      </c>
      <c r="DX41">
        <f t="shared" si="31"/>
        <v>1</v>
      </c>
      <c r="DZ41">
        <f t="shared" si="32"/>
        <v>0</v>
      </c>
      <c r="EA41">
        <f t="shared" si="17"/>
        <v>0</v>
      </c>
      <c r="EB41">
        <f t="shared" si="18"/>
        <v>0</v>
      </c>
      <c r="EC41">
        <f t="shared" si="19"/>
        <v>0</v>
      </c>
      <c r="ED41">
        <f t="shared" si="20"/>
        <v>0</v>
      </c>
      <c r="EE41">
        <f t="shared" si="21"/>
        <v>1</v>
      </c>
    </row>
    <row r="42" spans="1:135" x14ac:dyDescent="0.35">
      <c r="A42" t="s">
        <v>397</v>
      </c>
      <c r="B42">
        <f>[1]Population!$BB53</f>
        <v>62191161</v>
      </c>
      <c r="C42">
        <f>[1]RealGDP!$BB53</f>
        <v>15665220568.04055</v>
      </c>
      <c r="D42" s="10">
        <f>[1]GDPcap!$BB53</f>
        <v>251.88821556234575</v>
      </c>
      <c r="F42" t="s">
        <v>604</v>
      </c>
      <c r="H42">
        <v>24.1</v>
      </c>
      <c r="I42">
        <v>24.4</v>
      </c>
      <c r="J42">
        <v>24.7</v>
      </c>
      <c r="K42">
        <v>24.6</v>
      </c>
      <c r="L42">
        <v>24.3</v>
      </c>
      <c r="M42">
        <v>23.3</v>
      </c>
      <c r="N42">
        <v>22.8</v>
      </c>
      <c r="O42">
        <v>23.4</v>
      </c>
      <c r="P42">
        <v>24</v>
      </c>
      <c r="Q42">
        <v>24.2</v>
      </c>
      <c r="R42">
        <v>24.1</v>
      </c>
      <c r="S42">
        <v>23.9</v>
      </c>
      <c r="T42">
        <v>24.5</v>
      </c>
      <c r="U42">
        <v>23.2</v>
      </c>
      <c r="V42">
        <v>24.1</v>
      </c>
      <c r="W42">
        <v>23.3</v>
      </c>
      <c r="X42">
        <v>24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0"/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f t="shared" si="1"/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0</v>
      </c>
      <c r="BT42">
        <f t="shared" si="22"/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f t="shared" si="23"/>
        <v>1</v>
      </c>
      <c r="CG42">
        <f t="shared" si="24"/>
        <v>0</v>
      </c>
      <c r="CH42">
        <f t="shared" si="2"/>
        <v>0</v>
      </c>
      <c r="CI42">
        <f t="shared" si="3"/>
        <v>0</v>
      </c>
      <c r="CJ42">
        <f t="shared" si="4"/>
        <v>0</v>
      </c>
      <c r="CK42">
        <f t="shared" si="5"/>
        <v>0</v>
      </c>
      <c r="CL42">
        <f t="shared" si="6"/>
        <v>0</v>
      </c>
      <c r="CM42">
        <f t="shared" si="7"/>
        <v>0</v>
      </c>
      <c r="CN42">
        <f t="shared" si="8"/>
        <v>0</v>
      </c>
      <c r="CO42">
        <f t="shared" si="9"/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f t="shared" si="25"/>
        <v>1</v>
      </c>
      <c r="CW42">
        <f t="shared" si="26"/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f t="shared" si="27"/>
        <v>1</v>
      </c>
      <c r="DF42">
        <v>0</v>
      </c>
      <c r="DG42">
        <f t="shared" si="28"/>
        <v>1</v>
      </c>
      <c r="DI42">
        <f t="shared" si="29"/>
        <v>0</v>
      </c>
      <c r="DJ42">
        <f t="shared" si="10"/>
        <v>0</v>
      </c>
      <c r="DK42">
        <f t="shared" si="11"/>
        <v>0</v>
      </c>
      <c r="DL42">
        <f t="shared" si="12"/>
        <v>0</v>
      </c>
      <c r="DM42">
        <f t="shared" si="13"/>
        <v>0</v>
      </c>
      <c r="DN42">
        <f t="shared" si="14"/>
        <v>0</v>
      </c>
      <c r="DO42">
        <f t="shared" si="15"/>
        <v>1</v>
      </c>
      <c r="DP42">
        <f t="shared" si="16"/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f t="shared" si="30"/>
        <v>1</v>
      </c>
      <c r="DX42">
        <f t="shared" si="31"/>
        <v>1</v>
      </c>
      <c r="DZ42">
        <f t="shared" si="32"/>
        <v>0</v>
      </c>
      <c r="EA42">
        <f t="shared" si="17"/>
        <v>0</v>
      </c>
      <c r="EB42">
        <f t="shared" si="18"/>
        <v>0</v>
      </c>
      <c r="EC42">
        <f t="shared" si="19"/>
        <v>0</v>
      </c>
      <c r="ED42">
        <f t="shared" si="20"/>
        <v>0</v>
      </c>
      <c r="EE42">
        <f t="shared" si="21"/>
        <v>1</v>
      </c>
    </row>
    <row r="43" spans="1:135" x14ac:dyDescent="0.35">
      <c r="A43" t="s">
        <v>398</v>
      </c>
      <c r="B43">
        <f>[1]Population!$BB54</f>
        <v>4111715</v>
      </c>
      <c r="C43">
        <f>[1]RealGDP!$BB54</f>
        <v>7852666838.4847937</v>
      </c>
      <c r="D43" s="10">
        <f>[1]GDPcap!$BB54</f>
        <v>1909.827611710635</v>
      </c>
      <c r="F43" t="s">
        <v>160</v>
      </c>
      <c r="H43">
        <v>24.7</v>
      </c>
      <c r="I43">
        <v>25.3</v>
      </c>
      <c r="J43">
        <v>25.6</v>
      </c>
      <c r="K43">
        <v>25.6</v>
      </c>
      <c r="L43">
        <v>25.2</v>
      </c>
      <c r="M43">
        <v>23.8</v>
      </c>
      <c r="N43">
        <v>23.1</v>
      </c>
      <c r="O43">
        <v>23.4</v>
      </c>
      <c r="P43">
        <v>24</v>
      </c>
      <c r="Q43">
        <v>24.5</v>
      </c>
      <c r="R43">
        <v>24.5</v>
      </c>
      <c r="S43">
        <v>24.5</v>
      </c>
      <c r="T43">
        <v>25.5</v>
      </c>
      <c r="U43">
        <v>23.4</v>
      </c>
      <c r="V43">
        <v>24.3</v>
      </c>
      <c r="W43">
        <v>24</v>
      </c>
      <c r="X43">
        <v>24.5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f t="shared" si="1"/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f t="shared" si="22"/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f t="shared" si="23"/>
        <v>1</v>
      </c>
      <c r="CG43">
        <f t="shared" si="24"/>
        <v>0</v>
      </c>
      <c r="CH43">
        <f t="shared" si="2"/>
        <v>0</v>
      </c>
      <c r="CI43">
        <f t="shared" si="3"/>
        <v>0</v>
      </c>
      <c r="CJ43">
        <f t="shared" si="4"/>
        <v>0</v>
      </c>
      <c r="CK43">
        <f t="shared" si="5"/>
        <v>0</v>
      </c>
      <c r="CL43">
        <f t="shared" si="6"/>
        <v>0</v>
      </c>
      <c r="CM43">
        <f t="shared" si="7"/>
        <v>0</v>
      </c>
      <c r="CN43">
        <f t="shared" si="8"/>
        <v>0</v>
      </c>
      <c r="CO43">
        <f t="shared" si="9"/>
        <v>1</v>
      </c>
      <c r="CQ43">
        <v>0</v>
      </c>
      <c r="CR43">
        <v>0</v>
      </c>
      <c r="CS43">
        <v>0</v>
      </c>
      <c r="CT43">
        <v>0</v>
      </c>
      <c r="CU43">
        <v>0</v>
      </c>
      <c r="CV43">
        <f t="shared" si="25"/>
        <v>1</v>
      </c>
      <c r="CW43">
        <f t="shared" si="26"/>
        <v>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f t="shared" si="27"/>
        <v>1</v>
      </c>
      <c r="DF43">
        <v>0</v>
      </c>
      <c r="DG43">
        <f t="shared" si="28"/>
        <v>1</v>
      </c>
      <c r="DI43">
        <f t="shared" si="29"/>
        <v>0</v>
      </c>
      <c r="DJ43">
        <f t="shared" si="10"/>
        <v>0</v>
      </c>
      <c r="DK43">
        <f t="shared" si="11"/>
        <v>0</v>
      </c>
      <c r="DL43">
        <f t="shared" si="12"/>
        <v>0</v>
      </c>
      <c r="DM43">
        <f t="shared" si="13"/>
        <v>0</v>
      </c>
      <c r="DN43">
        <f t="shared" si="14"/>
        <v>0</v>
      </c>
      <c r="DO43">
        <f t="shared" si="15"/>
        <v>1</v>
      </c>
      <c r="DP43">
        <f t="shared" si="16"/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f t="shared" si="30"/>
        <v>1</v>
      </c>
      <c r="DX43">
        <f t="shared" si="31"/>
        <v>1</v>
      </c>
      <c r="DZ43">
        <f t="shared" si="32"/>
        <v>0</v>
      </c>
      <c r="EA43">
        <f t="shared" si="17"/>
        <v>0</v>
      </c>
      <c r="EB43">
        <f t="shared" si="18"/>
        <v>0</v>
      </c>
      <c r="EC43">
        <f t="shared" si="19"/>
        <v>0</v>
      </c>
      <c r="ED43">
        <f t="shared" si="20"/>
        <v>0</v>
      </c>
      <c r="EE43">
        <f t="shared" si="21"/>
        <v>1</v>
      </c>
    </row>
    <row r="44" spans="1:135" x14ac:dyDescent="0.35">
      <c r="A44" t="s">
        <v>161</v>
      </c>
      <c r="B44">
        <f>[1]Population!$BB56</f>
        <v>4669685</v>
      </c>
      <c r="C44">
        <f>[1]RealGDP!$BB56</f>
        <v>25017792422.605213</v>
      </c>
      <c r="D44" s="10">
        <f>[1]GDPcap!$BB56</f>
        <v>5357.4903708933716</v>
      </c>
      <c r="F44" t="s">
        <v>502</v>
      </c>
      <c r="G44" t="s">
        <v>503</v>
      </c>
      <c r="H44">
        <v>24.3</v>
      </c>
      <c r="I44">
        <v>24.8</v>
      </c>
      <c r="J44">
        <v>25.6</v>
      </c>
      <c r="K44">
        <v>26.1</v>
      </c>
      <c r="L44">
        <v>25.5</v>
      </c>
      <c r="M44">
        <v>24.7</v>
      </c>
      <c r="N44">
        <v>24.9</v>
      </c>
      <c r="O44">
        <v>24.7</v>
      </c>
      <c r="P44">
        <v>24.4</v>
      </c>
      <c r="Q44">
        <v>24.2</v>
      </c>
      <c r="R44">
        <v>24</v>
      </c>
      <c r="S44">
        <v>23.9</v>
      </c>
      <c r="T44">
        <v>25.7</v>
      </c>
      <c r="U44">
        <v>24.8</v>
      </c>
      <c r="V44">
        <v>24.2</v>
      </c>
      <c r="W44">
        <v>23.5</v>
      </c>
      <c r="X44">
        <v>24.8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f t="shared" si="0"/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</v>
      </c>
      <c r="BE44">
        <f t="shared" si="1"/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f t="shared" si="22"/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f t="shared" si="23"/>
        <v>1</v>
      </c>
      <c r="CG44">
        <f t="shared" si="24"/>
        <v>0</v>
      </c>
      <c r="CH44">
        <f t="shared" si="2"/>
        <v>0</v>
      </c>
      <c r="CI44">
        <f t="shared" si="3"/>
        <v>0</v>
      </c>
      <c r="CJ44">
        <f t="shared" si="4"/>
        <v>0</v>
      </c>
      <c r="CK44">
        <f t="shared" si="5"/>
        <v>0</v>
      </c>
      <c r="CL44">
        <f t="shared" si="6"/>
        <v>1</v>
      </c>
      <c r="CM44">
        <f t="shared" si="7"/>
        <v>0</v>
      </c>
      <c r="CN44">
        <f t="shared" si="8"/>
        <v>0</v>
      </c>
      <c r="CO44">
        <f t="shared" si="9"/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f t="shared" si="25"/>
        <v>1</v>
      </c>
      <c r="CW44">
        <f t="shared" si="26"/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f t="shared" si="27"/>
        <v>0</v>
      </c>
      <c r="DF44">
        <v>1</v>
      </c>
      <c r="DG44">
        <f t="shared" si="28"/>
        <v>1</v>
      </c>
      <c r="DI44">
        <f t="shared" si="29"/>
        <v>0</v>
      </c>
      <c r="DJ44">
        <f t="shared" si="10"/>
        <v>0</v>
      </c>
      <c r="DK44">
        <f t="shared" si="11"/>
        <v>0</v>
      </c>
      <c r="DL44">
        <f t="shared" si="12"/>
        <v>0</v>
      </c>
      <c r="DM44">
        <f t="shared" si="13"/>
        <v>0</v>
      </c>
      <c r="DN44">
        <f t="shared" si="14"/>
        <v>0</v>
      </c>
      <c r="DO44">
        <f t="shared" si="15"/>
        <v>0</v>
      </c>
      <c r="DP44">
        <f t="shared" si="16"/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f t="shared" si="30"/>
        <v>1</v>
      </c>
      <c r="DX44">
        <f t="shared" si="31"/>
        <v>1</v>
      </c>
      <c r="DZ44">
        <f t="shared" si="32"/>
        <v>0</v>
      </c>
      <c r="EA44">
        <f t="shared" si="17"/>
        <v>0</v>
      </c>
      <c r="EB44">
        <f t="shared" si="18"/>
        <v>0</v>
      </c>
      <c r="EC44">
        <f t="shared" si="19"/>
        <v>0</v>
      </c>
      <c r="ED44">
        <f t="shared" si="20"/>
        <v>0</v>
      </c>
      <c r="EE44">
        <f t="shared" si="21"/>
        <v>1</v>
      </c>
    </row>
    <row r="45" spans="1:135" x14ac:dyDescent="0.35">
      <c r="A45" t="s">
        <v>245</v>
      </c>
      <c r="B45">
        <f>[1]Population!$BB57</f>
        <v>4417800</v>
      </c>
      <c r="C45">
        <f>[1]RealGDP!$BB57</f>
        <v>45872253522.123985</v>
      </c>
      <c r="D45" s="10">
        <f>[1]GDPcap!$BB57</f>
        <v>10383.506161918598</v>
      </c>
      <c r="F45" t="s">
        <v>245</v>
      </c>
      <c r="H45">
        <v>0.9</v>
      </c>
      <c r="I45">
        <v>2.8</v>
      </c>
      <c r="J45">
        <v>6.1</v>
      </c>
      <c r="K45">
        <v>10.199999999999999</v>
      </c>
      <c r="L45">
        <v>14.7</v>
      </c>
      <c r="M45">
        <v>18</v>
      </c>
      <c r="N45">
        <v>20.3</v>
      </c>
      <c r="O45">
        <v>19.899999999999999</v>
      </c>
      <c r="P45">
        <v>16.7</v>
      </c>
      <c r="Q45">
        <v>11.9</v>
      </c>
      <c r="R45">
        <v>6.6</v>
      </c>
      <c r="S45">
        <v>2.4</v>
      </c>
      <c r="T45">
        <v>10.3</v>
      </c>
      <c r="U45">
        <v>19.399999999999999</v>
      </c>
      <c r="V45">
        <v>11.7</v>
      </c>
      <c r="W45">
        <v>1.9</v>
      </c>
      <c r="X45">
        <v>10.9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0"/>
        <v>1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1"/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0</v>
      </c>
      <c r="BQ45">
        <v>0</v>
      </c>
      <c r="BR45">
        <v>0</v>
      </c>
      <c r="BS45">
        <v>0</v>
      </c>
      <c r="BT45">
        <f t="shared" si="22"/>
        <v>1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f t="shared" si="23"/>
        <v>1</v>
      </c>
      <c r="CG45">
        <f t="shared" si="24"/>
        <v>0</v>
      </c>
      <c r="CH45">
        <f t="shared" si="2"/>
        <v>0</v>
      </c>
      <c r="CI45">
        <f t="shared" si="3"/>
        <v>0</v>
      </c>
      <c r="CJ45">
        <f t="shared" si="4"/>
        <v>1</v>
      </c>
      <c r="CK45">
        <f t="shared" si="5"/>
        <v>0</v>
      </c>
      <c r="CL45">
        <f t="shared" si="6"/>
        <v>0</v>
      </c>
      <c r="CM45">
        <f t="shared" si="7"/>
        <v>0</v>
      </c>
      <c r="CN45">
        <f t="shared" si="8"/>
        <v>0</v>
      </c>
      <c r="CO45">
        <f t="shared" si="9"/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f t="shared" si="25"/>
        <v>1</v>
      </c>
      <c r="CW45">
        <f t="shared" si="26"/>
        <v>1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f t="shared" si="27"/>
        <v>0</v>
      </c>
      <c r="DF45">
        <v>0</v>
      </c>
      <c r="DG45">
        <f t="shared" si="28"/>
        <v>1</v>
      </c>
      <c r="DI45">
        <f t="shared" si="29"/>
        <v>0</v>
      </c>
      <c r="DJ45">
        <f t="shared" si="10"/>
        <v>0</v>
      </c>
      <c r="DK45">
        <f t="shared" si="11"/>
        <v>0</v>
      </c>
      <c r="DL45">
        <f t="shared" si="12"/>
        <v>1</v>
      </c>
      <c r="DM45">
        <f t="shared" si="13"/>
        <v>0</v>
      </c>
      <c r="DN45">
        <f t="shared" si="14"/>
        <v>0</v>
      </c>
      <c r="DO45">
        <f t="shared" si="15"/>
        <v>0</v>
      </c>
      <c r="DP45">
        <f t="shared" si="16"/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f t="shared" si="30"/>
        <v>1</v>
      </c>
      <c r="DX45">
        <f t="shared" si="31"/>
        <v>1</v>
      </c>
      <c r="DZ45">
        <f t="shared" si="32"/>
        <v>0</v>
      </c>
      <c r="EA45">
        <f t="shared" si="17"/>
        <v>0</v>
      </c>
      <c r="EB45">
        <f t="shared" si="18"/>
        <v>0</v>
      </c>
      <c r="EC45">
        <f t="shared" si="19"/>
        <v>0</v>
      </c>
      <c r="ED45">
        <f t="shared" si="20"/>
        <v>0</v>
      </c>
      <c r="EE45">
        <f t="shared" si="21"/>
        <v>1</v>
      </c>
    </row>
    <row r="46" spans="1:135" x14ac:dyDescent="0.35">
      <c r="A46" t="s">
        <v>399</v>
      </c>
      <c r="B46">
        <f>[1]Population!$BB58</f>
        <v>11281768</v>
      </c>
      <c r="C46">
        <f>[1]RealGDP!$BB58</f>
        <v>55436887630.693001</v>
      </c>
      <c r="D46" s="10">
        <f>[1]GDPcap!$BB58</f>
        <v>4913.8475131462556</v>
      </c>
      <c r="F46" t="s">
        <v>399</v>
      </c>
      <c r="H46">
        <v>22.3</v>
      </c>
      <c r="I46">
        <v>22.5</v>
      </c>
      <c r="J46">
        <v>23.7</v>
      </c>
      <c r="K46">
        <v>24.7</v>
      </c>
      <c r="L46">
        <v>26</v>
      </c>
      <c r="M46">
        <v>26.9</v>
      </c>
      <c r="N46">
        <v>27.4</v>
      </c>
      <c r="O46">
        <v>27.4</v>
      </c>
      <c r="P46">
        <v>27</v>
      </c>
      <c r="Q46">
        <v>26.1</v>
      </c>
      <c r="R46">
        <v>24.6</v>
      </c>
      <c r="S46">
        <v>23.1</v>
      </c>
      <c r="T46">
        <v>24.8</v>
      </c>
      <c r="U46">
        <v>27.3</v>
      </c>
      <c r="V46">
        <v>25.9</v>
      </c>
      <c r="W46">
        <v>21.9</v>
      </c>
      <c r="X46">
        <v>25.2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f t="shared" si="0"/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f t="shared" si="1"/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f t="shared" si="22"/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f t="shared" si="23"/>
        <v>1</v>
      </c>
      <c r="CG46">
        <f t="shared" si="24"/>
        <v>0</v>
      </c>
      <c r="CH46">
        <f t="shared" si="2"/>
        <v>0</v>
      </c>
      <c r="CI46">
        <f t="shared" si="3"/>
        <v>0</v>
      </c>
      <c r="CJ46">
        <f t="shared" si="4"/>
        <v>0</v>
      </c>
      <c r="CK46">
        <f t="shared" si="5"/>
        <v>0</v>
      </c>
      <c r="CL46">
        <f t="shared" si="6"/>
        <v>1</v>
      </c>
      <c r="CM46">
        <f t="shared" si="7"/>
        <v>0</v>
      </c>
      <c r="CN46">
        <f t="shared" si="8"/>
        <v>0</v>
      </c>
      <c r="CO46">
        <f t="shared" si="9"/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f t="shared" si="25"/>
        <v>1</v>
      </c>
      <c r="CW46">
        <f t="shared" si="26"/>
        <v>1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f t="shared" si="27"/>
        <v>0</v>
      </c>
      <c r="DF46">
        <v>1</v>
      </c>
      <c r="DG46">
        <f t="shared" si="28"/>
        <v>1</v>
      </c>
      <c r="DI46">
        <f t="shared" si="29"/>
        <v>0</v>
      </c>
      <c r="DJ46">
        <f t="shared" si="10"/>
        <v>0</v>
      </c>
      <c r="DK46">
        <f t="shared" si="11"/>
        <v>0</v>
      </c>
      <c r="DL46">
        <f t="shared" si="12"/>
        <v>0</v>
      </c>
      <c r="DM46">
        <f t="shared" si="13"/>
        <v>0</v>
      </c>
      <c r="DN46">
        <f t="shared" si="14"/>
        <v>0</v>
      </c>
      <c r="DO46">
        <f t="shared" si="15"/>
        <v>0</v>
      </c>
      <c r="DP46">
        <f t="shared" si="16"/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f t="shared" si="30"/>
        <v>1</v>
      </c>
      <c r="DX46">
        <f t="shared" si="31"/>
        <v>1</v>
      </c>
      <c r="DZ46">
        <f t="shared" si="32"/>
        <v>0</v>
      </c>
      <c r="EA46">
        <f t="shared" si="17"/>
        <v>0</v>
      </c>
      <c r="EB46">
        <f t="shared" si="18"/>
        <v>0</v>
      </c>
      <c r="EC46">
        <f t="shared" si="19"/>
        <v>0</v>
      </c>
      <c r="ED46">
        <f t="shared" si="20"/>
        <v>0</v>
      </c>
      <c r="EE46">
        <f t="shared" si="21"/>
        <v>1</v>
      </c>
    </row>
    <row r="47" spans="1:135" x14ac:dyDescent="0.35">
      <c r="A47" t="s">
        <v>276</v>
      </c>
      <c r="B47">
        <f>[1]Population!$BB59</f>
        <v>1103685</v>
      </c>
      <c r="C47">
        <f>[1]RealGDP!$BB59</f>
        <v>19207097486.442326</v>
      </c>
      <c r="D47" s="10">
        <f>[1]GDPcap!$BB59</f>
        <v>17402.698674388368</v>
      </c>
      <c r="F47" t="s">
        <v>276</v>
      </c>
      <c r="H47">
        <v>10</v>
      </c>
      <c r="I47">
        <v>10.6</v>
      </c>
      <c r="J47">
        <v>12.7</v>
      </c>
      <c r="K47">
        <v>16.5</v>
      </c>
      <c r="L47">
        <v>20.399999999999999</v>
      </c>
      <c r="M47">
        <v>24.5</v>
      </c>
      <c r="N47">
        <v>27.1</v>
      </c>
      <c r="O47">
        <v>27.1</v>
      </c>
      <c r="P47">
        <v>24.7</v>
      </c>
      <c r="Q47">
        <v>20.399999999999999</v>
      </c>
      <c r="R47">
        <v>15.6</v>
      </c>
      <c r="S47">
        <v>11.6</v>
      </c>
      <c r="T47">
        <v>16.600000000000001</v>
      </c>
      <c r="U47">
        <v>26.2</v>
      </c>
      <c r="V47">
        <v>20.2</v>
      </c>
      <c r="W47">
        <v>10.3</v>
      </c>
      <c r="X47">
        <v>18.399999999999999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f t="shared" si="0"/>
        <v>1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1"/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0</v>
      </c>
      <c r="BT47">
        <f t="shared" si="22"/>
        <v>1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f t="shared" si="23"/>
        <v>1</v>
      </c>
      <c r="CG47">
        <f t="shared" si="24"/>
        <v>0</v>
      </c>
      <c r="CH47">
        <f t="shared" si="2"/>
        <v>1</v>
      </c>
      <c r="CI47">
        <f t="shared" si="3"/>
        <v>0</v>
      </c>
      <c r="CJ47">
        <f t="shared" si="4"/>
        <v>0</v>
      </c>
      <c r="CK47">
        <f t="shared" si="5"/>
        <v>0</v>
      </c>
      <c r="CL47">
        <f t="shared" si="6"/>
        <v>0</v>
      </c>
      <c r="CM47">
        <f t="shared" si="7"/>
        <v>0</v>
      </c>
      <c r="CN47">
        <f t="shared" si="8"/>
        <v>0</v>
      </c>
      <c r="CO47">
        <f t="shared" si="9"/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f t="shared" si="25"/>
        <v>1</v>
      </c>
      <c r="CW47">
        <f t="shared" si="26"/>
        <v>1</v>
      </c>
      <c r="CY47">
        <v>0</v>
      </c>
      <c r="CZ47">
        <v>0</v>
      </c>
      <c r="DA47">
        <v>1</v>
      </c>
      <c r="DB47">
        <v>0</v>
      </c>
      <c r="DC47">
        <v>0</v>
      </c>
      <c r="DD47">
        <v>0</v>
      </c>
      <c r="DE47">
        <f t="shared" si="27"/>
        <v>0</v>
      </c>
      <c r="DF47">
        <v>0</v>
      </c>
      <c r="DG47">
        <f t="shared" si="28"/>
        <v>1</v>
      </c>
      <c r="DI47">
        <f t="shared" si="29"/>
        <v>0</v>
      </c>
      <c r="DJ47">
        <f t="shared" si="10"/>
        <v>0</v>
      </c>
      <c r="DK47">
        <f t="shared" si="11"/>
        <v>1</v>
      </c>
      <c r="DL47">
        <f t="shared" si="12"/>
        <v>0</v>
      </c>
      <c r="DM47">
        <f t="shared" si="13"/>
        <v>0</v>
      </c>
      <c r="DN47">
        <f t="shared" si="14"/>
        <v>0</v>
      </c>
      <c r="DO47">
        <f t="shared" si="15"/>
        <v>0</v>
      </c>
      <c r="DP47">
        <f t="shared" si="16"/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f t="shared" si="30"/>
        <v>0</v>
      </c>
      <c r="DX47">
        <f t="shared" si="31"/>
        <v>1</v>
      </c>
      <c r="DZ47">
        <f t="shared" si="32"/>
        <v>0</v>
      </c>
      <c r="EA47">
        <f t="shared" si="17"/>
        <v>0</v>
      </c>
      <c r="EB47">
        <f t="shared" si="18"/>
        <v>1</v>
      </c>
      <c r="EC47">
        <f t="shared" si="19"/>
        <v>0</v>
      </c>
      <c r="ED47">
        <f t="shared" si="20"/>
        <v>0</v>
      </c>
      <c r="EE47">
        <f t="shared" si="21"/>
        <v>0</v>
      </c>
    </row>
    <row r="48" spans="1:135" x14ac:dyDescent="0.35">
      <c r="A48" t="s">
        <v>277</v>
      </c>
      <c r="B48">
        <f>[1]Population!$BB60</f>
        <v>10519792</v>
      </c>
      <c r="C48">
        <f>[1]RealGDP!$BB60</f>
        <v>148480783612.59024</v>
      </c>
      <c r="D48" s="10">
        <f>[1]GDPcap!$BB60</f>
        <v>14114.421997373165</v>
      </c>
      <c r="F48" t="s">
        <v>505</v>
      </c>
      <c r="G48" t="s">
        <v>506</v>
      </c>
      <c r="H48">
        <v>-2.9</v>
      </c>
      <c r="I48">
        <v>-1.2</v>
      </c>
      <c r="J48">
        <v>2.7</v>
      </c>
      <c r="K48">
        <v>7.4</v>
      </c>
      <c r="L48">
        <v>12.2</v>
      </c>
      <c r="M48">
        <v>15.3</v>
      </c>
      <c r="N48">
        <v>17</v>
      </c>
      <c r="O48">
        <v>16.8</v>
      </c>
      <c r="P48">
        <v>13.3</v>
      </c>
      <c r="Q48">
        <v>8.5</v>
      </c>
      <c r="R48">
        <v>2.7</v>
      </c>
      <c r="S48">
        <v>-1.1000000000000001</v>
      </c>
      <c r="T48">
        <v>7.4</v>
      </c>
      <c r="U48">
        <v>16.3</v>
      </c>
      <c r="V48">
        <v>8.1999999999999993</v>
      </c>
      <c r="W48">
        <v>-1.7</v>
      </c>
      <c r="X48">
        <v>7.5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0"/>
        <v>1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1"/>
        <v>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f t="shared" si="22"/>
        <v>1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f t="shared" si="23"/>
        <v>1</v>
      </c>
      <c r="CG48">
        <f t="shared" si="24"/>
        <v>0</v>
      </c>
      <c r="CH48">
        <f t="shared" si="2"/>
        <v>0</v>
      </c>
      <c r="CI48">
        <f t="shared" si="3"/>
        <v>0</v>
      </c>
      <c r="CJ48">
        <f t="shared" si="4"/>
        <v>1</v>
      </c>
      <c r="CK48">
        <f t="shared" si="5"/>
        <v>0</v>
      </c>
      <c r="CL48">
        <f t="shared" si="6"/>
        <v>0</v>
      </c>
      <c r="CM48">
        <f t="shared" si="7"/>
        <v>0</v>
      </c>
      <c r="CN48">
        <f t="shared" si="8"/>
        <v>0</v>
      </c>
      <c r="CO48">
        <f t="shared" si="9"/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f t="shared" si="25"/>
        <v>1</v>
      </c>
      <c r="CW48">
        <f t="shared" si="26"/>
        <v>1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f t="shared" si="27"/>
        <v>0</v>
      </c>
      <c r="DF48">
        <v>0</v>
      </c>
      <c r="DG48">
        <f t="shared" si="28"/>
        <v>1</v>
      </c>
      <c r="DI48">
        <f t="shared" si="29"/>
        <v>0</v>
      </c>
      <c r="DJ48">
        <f t="shared" si="10"/>
        <v>0</v>
      </c>
      <c r="DK48">
        <f t="shared" si="11"/>
        <v>0</v>
      </c>
      <c r="DL48">
        <f t="shared" si="12"/>
        <v>1</v>
      </c>
      <c r="DM48">
        <f t="shared" si="13"/>
        <v>0</v>
      </c>
      <c r="DN48">
        <f t="shared" si="14"/>
        <v>0</v>
      </c>
      <c r="DO48">
        <f t="shared" si="15"/>
        <v>0</v>
      </c>
      <c r="DP48">
        <f t="shared" si="16"/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f t="shared" si="30"/>
        <v>1</v>
      </c>
      <c r="DX48">
        <f t="shared" si="31"/>
        <v>1</v>
      </c>
      <c r="DZ48">
        <f t="shared" si="32"/>
        <v>0</v>
      </c>
      <c r="EA48">
        <f t="shared" si="17"/>
        <v>0</v>
      </c>
      <c r="EB48">
        <f t="shared" si="18"/>
        <v>0</v>
      </c>
      <c r="EC48">
        <f t="shared" si="19"/>
        <v>0</v>
      </c>
      <c r="ED48">
        <f t="shared" si="20"/>
        <v>0</v>
      </c>
      <c r="EE48">
        <f t="shared" si="21"/>
        <v>1</v>
      </c>
    </row>
    <row r="49" spans="1:135" x14ac:dyDescent="0.35">
      <c r="A49" t="s">
        <v>162</v>
      </c>
      <c r="B49">
        <f>[1]Population!$BB61</f>
        <v>5547683</v>
      </c>
      <c r="C49">
        <f>[1]RealGDP!$BB61</f>
        <v>256817427641.90231</v>
      </c>
      <c r="D49" s="10">
        <f>[1]GDPcap!$BB61</f>
        <v>46292.736560813282</v>
      </c>
      <c r="F49" t="s">
        <v>162</v>
      </c>
      <c r="H49">
        <v>-1</v>
      </c>
      <c r="I49">
        <v>-0.9</v>
      </c>
      <c r="J49">
        <v>1.8</v>
      </c>
      <c r="K49">
        <v>5.7</v>
      </c>
      <c r="L49">
        <v>10.9</v>
      </c>
      <c r="M49">
        <v>14.8</v>
      </c>
      <c r="N49">
        <v>16.2</v>
      </c>
      <c r="O49">
        <v>16</v>
      </c>
      <c r="P49">
        <v>12.7</v>
      </c>
      <c r="Q49">
        <v>8.8000000000000007</v>
      </c>
      <c r="R49">
        <v>4.0999999999999996</v>
      </c>
      <c r="S49">
        <v>0.7</v>
      </c>
      <c r="T49">
        <v>6.2</v>
      </c>
      <c r="U49">
        <v>15.7</v>
      </c>
      <c r="V49">
        <v>8.6</v>
      </c>
      <c r="W49">
        <v>-0.4</v>
      </c>
      <c r="X49">
        <v>7.5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f t="shared" si="0"/>
        <v>1</v>
      </c>
      <c r="AQ49">
        <v>0</v>
      </c>
      <c r="AR49">
        <v>0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1"/>
        <v>1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 t="shared" si="22"/>
        <v>1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f t="shared" si="23"/>
        <v>1</v>
      </c>
      <c r="CG49">
        <f t="shared" si="24"/>
        <v>0</v>
      </c>
      <c r="CH49">
        <f t="shared" si="2"/>
        <v>1</v>
      </c>
      <c r="CI49">
        <f t="shared" si="3"/>
        <v>0</v>
      </c>
      <c r="CJ49">
        <f t="shared" si="4"/>
        <v>0</v>
      </c>
      <c r="CK49">
        <f t="shared" si="5"/>
        <v>0</v>
      </c>
      <c r="CL49">
        <f t="shared" si="6"/>
        <v>0</v>
      </c>
      <c r="CM49">
        <f t="shared" si="7"/>
        <v>0</v>
      </c>
      <c r="CN49">
        <f t="shared" si="8"/>
        <v>0</v>
      </c>
      <c r="CO49">
        <f t="shared" si="9"/>
        <v>0</v>
      </c>
      <c r="CQ49">
        <v>0</v>
      </c>
      <c r="CR49">
        <v>0</v>
      </c>
      <c r="CS49">
        <v>0</v>
      </c>
      <c r="CT49">
        <v>1</v>
      </c>
      <c r="CU49">
        <v>0</v>
      </c>
      <c r="CV49">
        <f t="shared" si="25"/>
        <v>0</v>
      </c>
      <c r="CW49">
        <f t="shared" si="26"/>
        <v>1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0</v>
      </c>
      <c r="DE49">
        <f t="shared" si="27"/>
        <v>0</v>
      </c>
      <c r="DF49">
        <v>0</v>
      </c>
      <c r="DG49">
        <f t="shared" si="28"/>
        <v>1</v>
      </c>
      <c r="DI49">
        <f t="shared" si="29"/>
        <v>1</v>
      </c>
      <c r="DJ49">
        <f t="shared" si="10"/>
        <v>0</v>
      </c>
      <c r="DK49">
        <f t="shared" si="11"/>
        <v>0</v>
      </c>
      <c r="DL49">
        <f t="shared" si="12"/>
        <v>0</v>
      </c>
      <c r="DM49">
        <f t="shared" si="13"/>
        <v>0</v>
      </c>
      <c r="DN49">
        <f t="shared" si="14"/>
        <v>0</v>
      </c>
      <c r="DO49">
        <f t="shared" si="15"/>
        <v>0</v>
      </c>
      <c r="DP49">
        <f t="shared" si="16"/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f t="shared" si="30"/>
        <v>0</v>
      </c>
      <c r="DX49">
        <f t="shared" si="31"/>
        <v>1</v>
      </c>
      <c r="DZ49">
        <f t="shared" si="32"/>
        <v>1</v>
      </c>
      <c r="EA49">
        <f t="shared" si="17"/>
        <v>0</v>
      </c>
      <c r="EB49">
        <f t="shared" si="18"/>
        <v>0</v>
      </c>
      <c r="EC49">
        <f t="shared" si="19"/>
        <v>0</v>
      </c>
      <c r="ED49">
        <f t="shared" si="20"/>
        <v>0</v>
      </c>
      <c r="EE49">
        <f t="shared" si="21"/>
        <v>0</v>
      </c>
    </row>
    <row r="50" spans="1:135" x14ac:dyDescent="0.35">
      <c r="A50" t="s">
        <v>400</v>
      </c>
      <c r="B50">
        <f>[1]Population!$BB62</f>
        <v>834036</v>
      </c>
      <c r="C50">
        <f>[1]RealGDP!$BB62</f>
        <v>905664174.69392717</v>
      </c>
      <c r="D50" s="10">
        <f>[1]GDPcap!$BB62</f>
        <v>1085.8813944409201</v>
      </c>
      <c r="F50" t="s">
        <v>400</v>
      </c>
      <c r="H50">
        <v>23.7</v>
      </c>
      <c r="I50">
        <v>24.6</v>
      </c>
      <c r="J50">
        <v>26.3</v>
      </c>
      <c r="K50">
        <v>27.9</v>
      </c>
      <c r="L50">
        <v>29.7</v>
      </c>
      <c r="M50">
        <v>31.7</v>
      </c>
      <c r="N50">
        <v>32.4</v>
      </c>
      <c r="O50">
        <v>31.8</v>
      </c>
      <c r="P50">
        <v>30.4</v>
      </c>
      <c r="Q50">
        <v>27.7</v>
      </c>
      <c r="R50">
        <v>25.5</v>
      </c>
      <c r="S50">
        <v>23.9</v>
      </c>
      <c r="T50">
        <v>28</v>
      </c>
      <c r="U50">
        <v>32</v>
      </c>
      <c r="V50">
        <v>27.9</v>
      </c>
      <c r="W50">
        <v>23.3</v>
      </c>
      <c r="X50">
        <v>28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0"/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f t="shared" si="1"/>
        <v>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0</v>
      </c>
      <c r="BT50">
        <f t="shared" si="22"/>
        <v>1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f t="shared" si="23"/>
        <v>1</v>
      </c>
      <c r="CG50">
        <f t="shared" si="24"/>
        <v>0</v>
      </c>
      <c r="CH50">
        <f t="shared" si="2"/>
        <v>0</v>
      </c>
      <c r="CI50">
        <f t="shared" si="3"/>
        <v>0</v>
      </c>
      <c r="CJ50">
        <f t="shared" si="4"/>
        <v>0</v>
      </c>
      <c r="CK50">
        <f t="shared" si="5"/>
        <v>0</v>
      </c>
      <c r="CL50">
        <f t="shared" si="6"/>
        <v>0</v>
      </c>
      <c r="CM50">
        <f t="shared" si="7"/>
        <v>0</v>
      </c>
      <c r="CN50">
        <f t="shared" si="8"/>
        <v>0</v>
      </c>
      <c r="CO50">
        <f t="shared" si="9"/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f t="shared" si="25"/>
        <v>1</v>
      </c>
      <c r="CW50">
        <f t="shared" si="26"/>
        <v>1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f t="shared" si="27"/>
        <v>1</v>
      </c>
      <c r="DF50">
        <v>0</v>
      </c>
      <c r="DG50">
        <f t="shared" si="28"/>
        <v>1</v>
      </c>
      <c r="DI50">
        <f t="shared" si="29"/>
        <v>0</v>
      </c>
      <c r="DJ50">
        <f t="shared" si="10"/>
        <v>0</v>
      </c>
      <c r="DK50">
        <f t="shared" si="11"/>
        <v>0</v>
      </c>
      <c r="DL50">
        <f t="shared" si="12"/>
        <v>0</v>
      </c>
      <c r="DM50">
        <f t="shared" si="13"/>
        <v>0</v>
      </c>
      <c r="DN50">
        <f t="shared" si="14"/>
        <v>0</v>
      </c>
      <c r="DO50">
        <f t="shared" si="15"/>
        <v>1</v>
      </c>
      <c r="DP50">
        <f t="shared" si="16"/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f t="shared" si="30"/>
        <v>1</v>
      </c>
      <c r="DX50">
        <f t="shared" si="31"/>
        <v>1</v>
      </c>
      <c r="DZ50">
        <f t="shared" si="32"/>
        <v>0</v>
      </c>
      <c r="EA50">
        <f t="shared" si="17"/>
        <v>0</v>
      </c>
      <c r="EB50">
        <f t="shared" si="18"/>
        <v>0</v>
      </c>
      <c r="EC50">
        <f t="shared" si="19"/>
        <v>0</v>
      </c>
      <c r="ED50">
        <f t="shared" si="20"/>
        <v>0</v>
      </c>
      <c r="EE50">
        <f t="shared" si="21"/>
        <v>1</v>
      </c>
    </row>
    <row r="51" spans="1:135" x14ac:dyDescent="0.35">
      <c r="A51" t="s">
        <v>163</v>
      </c>
      <c r="B51">
        <f>[1]Population!$BB63</f>
        <v>71167</v>
      </c>
      <c r="C51">
        <f>[1]RealGDP!$BB63</f>
        <v>452332573.93279916</v>
      </c>
      <c r="D51" s="10">
        <f>[1]GDPcap!$BB63</f>
        <v>6355.9314560512476</v>
      </c>
      <c r="F51" t="s">
        <v>163</v>
      </c>
      <c r="H51">
        <v>21.1</v>
      </c>
      <c r="I51">
        <v>20.9</v>
      </c>
      <c r="J51">
        <v>21.2</v>
      </c>
      <c r="K51">
        <v>21.6</v>
      </c>
      <c r="L51">
        <v>22.5</v>
      </c>
      <c r="M51">
        <v>23.3</v>
      </c>
      <c r="N51">
        <v>23.3</v>
      </c>
      <c r="O51">
        <v>23.4</v>
      </c>
      <c r="P51">
        <v>23.3</v>
      </c>
      <c r="Q51">
        <v>23</v>
      </c>
      <c r="R51">
        <v>22.4</v>
      </c>
      <c r="S51">
        <v>21.6</v>
      </c>
      <c r="T51">
        <v>21.8</v>
      </c>
      <c r="U51">
        <v>23.3</v>
      </c>
      <c r="V51">
        <v>22.9</v>
      </c>
      <c r="W51">
        <v>20.5</v>
      </c>
      <c r="X51">
        <v>22.3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f t="shared" si="0"/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f t="shared" si="1"/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f t="shared" si="22"/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f t="shared" si="23"/>
        <v>1</v>
      </c>
      <c r="CG51">
        <f t="shared" si="24"/>
        <v>0</v>
      </c>
      <c r="CH51">
        <f t="shared" si="2"/>
        <v>0</v>
      </c>
      <c r="CI51">
        <f t="shared" si="3"/>
        <v>0</v>
      </c>
      <c r="CJ51">
        <f t="shared" si="4"/>
        <v>0</v>
      </c>
      <c r="CK51">
        <f t="shared" si="5"/>
        <v>0</v>
      </c>
      <c r="CL51">
        <f t="shared" si="6"/>
        <v>1</v>
      </c>
      <c r="CM51">
        <f t="shared" si="7"/>
        <v>0</v>
      </c>
      <c r="CN51">
        <f t="shared" si="8"/>
        <v>0</v>
      </c>
      <c r="CO51">
        <f t="shared" si="9"/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f t="shared" si="25"/>
        <v>1</v>
      </c>
      <c r="CW51">
        <f t="shared" si="26"/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f t="shared" si="27"/>
        <v>0</v>
      </c>
      <c r="DF51">
        <v>1</v>
      </c>
      <c r="DG51">
        <f t="shared" si="28"/>
        <v>1</v>
      </c>
      <c r="DI51">
        <f t="shared" si="29"/>
        <v>0</v>
      </c>
      <c r="DJ51">
        <f t="shared" si="10"/>
        <v>0</v>
      </c>
      <c r="DK51">
        <f t="shared" si="11"/>
        <v>0</v>
      </c>
      <c r="DL51">
        <f t="shared" si="12"/>
        <v>0</v>
      </c>
      <c r="DM51">
        <f t="shared" si="13"/>
        <v>0</v>
      </c>
      <c r="DN51">
        <f t="shared" si="14"/>
        <v>0</v>
      </c>
      <c r="DO51">
        <f t="shared" si="15"/>
        <v>0</v>
      </c>
      <c r="DP51">
        <f t="shared" si="16"/>
        <v>1</v>
      </c>
      <c r="DR51">
        <v>0</v>
      </c>
      <c r="DS51">
        <v>0</v>
      </c>
      <c r="DT51">
        <v>0</v>
      </c>
      <c r="DU51">
        <v>0</v>
      </c>
      <c r="DV51">
        <v>0</v>
      </c>
      <c r="DW51">
        <f t="shared" si="30"/>
        <v>1</v>
      </c>
      <c r="DX51">
        <f t="shared" si="31"/>
        <v>1</v>
      </c>
      <c r="DZ51">
        <f t="shared" si="32"/>
        <v>0</v>
      </c>
      <c r="EA51">
        <f t="shared" si="17"/>
        <v>0</v>
      </c>
      <c r="EB51">
        <f t="shared" si="18"/>
        <v>0</v>
      </c>
      <c r="EC51">
        <f t="shared" si="19"/>
        <v>0</v>
      </c>
      <c r="ED51">
        <f t="shared" si="20"/>
        <v>0</v>
      </c>
      <c r="EE51">
        <f t="shared" si="21"/>
        <v>1</v>
      </c>
    </row>
    <row r="52" spans="1:135" x14ac:dyDescent="0.35">
      <c r="A52" t="s">
        <v>248</v>
      </c>
      <c r="B52">
        <f>[1]Population!$BB64</f>
        <v>10016797</v>
      </c>
      <c r="C52">
        <f>[1]RealGDP!$BB64</f>
        <v>47848657632.10955</v>
      </c>
      <c r="D52" s="10">
        <f>[1]GDPcap!$BB64</f>
        <v>4776.8421015330105</v>
      </c>
      <c r="F52" t="s">
        <v>507</v>
      </c>
      <c r="G52" t="s">
        <v>506</v>
      </c>
      <c r="H52">
        <v>22.4</v>
      </c>
      <c r="I52">
        <v>22.7</v>
      </c>
      <c r="J52">
        <v>23.5</v>
      </c>
      <c r="K52">
        <v>24.3</v>
      </c>
      <c r="L52">
        <v>25</v>
      </c>
      <c r="M52">
        <v>25.6</v>
      </c>
      <c r="N52">
        <v>25.8</v>
      </c>
      <c r="O52">
        <v>26.1</v>
      </c>
      <c r="P52">
        <v>26</v>
      </c>
      <c r="Q52">
        <v>25.4</v>
      </c>
      <c r="R52">
        <v>24.4</v>
      </c>
      <c r="S52">
        <v>23.1</v>
      </c>
      <c r="T52">
        <v>24.3</v>
      </c>
      <c r="U52">
        <v>25.8</v>
      </c>
      <c r="V52">
        <v>25.3</v>
      </c>
      <c r="W52">
        <v>22</v>
      </c>
      <c r="X52">
        <v>24.5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f t="shared" si="0"/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f t="shared" si="1"/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f t="shared" si="22"/>
        <v>1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f t="shared" si="23"/>
        <v>1</v>
      </c>
      <c r="CG52">
        <f t="shared" si="24"/>
        <v>0</v>
      </c>
      <c r="CH52">
        <f t="shared" si="2"/>
        <v>0</v>
      </c>
      <c r="CI52">
        <f t="shared" si="3"/>
        <v>0</v>
      </c>
      <c r="CJ52">
        <f t="shared" si="4"/>
        <v>0</v>
      </c>
      <c r="CK52">
        <f t="shared" si="5"/>
        <v>0</v>
      </c>
      <c r="CL52">
        <f t="shared" si="6"/>
        <v>1</v>
      </c>
      <c r="CM52">
        <f t="shared" si="7"/>
        <v>0</v>
      </c>
      <c r="CN52">
        <f t="shared" si="8"/>
        <v>0</v>
      </c>
      <c r="CO52">
        <f t="shared" si="9"/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f t="shared" si="25"/>
        <v>1</v>
      </c>
      <c r="CW52">
        <f t="shared" si="26"/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f t="shared" si="27"/>
        <v>0</v>
      </c>
      <c r="DF52">
        <v>1</v>
      </c>
      <c r="DG52">
        <f t="shared" si="28"/>
        <v>1</v>
      </c>
      <c r="DI52">
        <f t="shared" si="29"/>
        <v>0</v>
      </c>
      <c r="DJ52">
        <f t="shared" si="10"/>
        <v>0</v>
      </c>
      <c r="DK52">
        <f t="shared" si="11"/>
        <v>0</v>
      </c>
      <c r="DL52">
        <f t="shared" si="12"/>
        <v>0</v>
      </c>
      <c r="DM52">
        <f t="shared" si="13"/>
        <v>0</v>
      </c>
      <c r="DN52">
        <f t="shared" si="14"/>
        <v>0</v>
      </c>
      <c r="DO52">
        <f t="shared" si="15"/>
        <v>0</v>
      </c>
      <c r="DP52">
        <f t="shared" si="16"/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f t="shared" si="30"/>
        <v>1</v>
      </c>
      <c r="DX52">
        <f t="shared" si="31"/>
        <v>1</v>
      </c>
      <c r="DZ52">
        <f t="shared" si="32"/>
        <v>0</v>
      </c>
      <c r="EA52">
        <f t="shared" si="17"/>
        <v>0</v>
      </c>
      <c r="EB52">
        <f t="shared" si="18"/>
        <v>0</v>
      </c>
      <c r="EC52">
        <f t="shared" si="19"/>
        <v>0</v>
      </c>
      <c r="ED52">
        <f t="shared" si="20"/>
        <v>0</v>
      </c>
      <c r="EE52">
        <f t="shared" si="21"/>
        <v>1</v>
      </c>
    </row>
    <row r="53" spans="1:135" x14ac:dyDescent="0.35">
      <c r="A53" t="s">
        <v>164</v>
      </c>
      <c r="B53">
        <f>[1]Population!$BB65</f>
        <v>15001072</v>
      </c>
      <c r="C53">
        <f>[1]RealGDP!$BB65</f>
        <v>48764673104.869774</v>
      </c>
      <c r="D53" s="10">
        <f>[1]GDPcap!$BB65</f>
        <v>3250.7458870185928</v>
      </c>
      <c r="F53" t="s">
        <v>164</v>
      </c>
      <c r="H53">
        <v>22.2</v>
      </c>
      <c r="I53">
        <v>22.3</v>
      </c>
      <c r="J53">
        <v>22.4</v>
      </c>
      <c r="K53">
        <v>22.4</v>
      </c>
      <c r="L53">
        <v>22</v>
      </c>
      <c r="M53">
        <v>21.3</v>
      </c>
      <c r="N53">
        <v>20.9</v>
      </c>
      <c r="O53">
        <v>21.2</v>
      </c>
      <c r="P53">
        <v>21.5</v>
      </c>
      <c r="Q53">
        <v>21.7</v>
      </c>
      <c r="R53">
        <v>21.8</v>
      </c>
      <c r="S53">
        <v>22</v>
      </c>
      <c r="T53">
        <v>22.3</v>
      </c>
      <c r="U53">
        <v>21.1</v>
      </c>
      <c r="V53">
        <v>21.7</v>
      </c>
      <c r="W53">
        <v>21.4</v>
      </c>
      <c r="X53">
        <v>21.8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f t="shared" si="0"/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>
        <f t="shared" si="1"/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f t="shared" si="22"/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f t="shared" si="23"/>
        <v>1</v>
      </c>
      <c r="CG53">
        <f t="shared" si="24"/>
        <v>0</v>
      </c>
      <c r="CH53">
        <f t="shared" si="2"/>
        <v>0</v>
      </c>
      <c r="CI53">
        <f t="shared" si="3"/>
        <v>0</v>
      </c>
      <c r="CJ53">
        <f t="shared" si="4"/>
        <v>0</v>
      </c>
      <c r="CK53">
        <f t="shared" si="5"/>
        <v>0</v>
      </c>
      <c r="CL53">
        <f t="shared" si="6"/>
        <v>1</v>
      </c>
      <c r="CM53">
        <f t="shared" si="7"/>
        <v>0</v>
      </c>
      <c r="CN53">
        <f t="shared" si="8"/>
        <v>0</v>
      </c>
      <c r="CO53">
        <f t="shared" si="9"/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f t="shared" si="25"/>
        <v>1</v>
      </c>
      <c r="CW53">
        <f t="shared" si="26"/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f t="shared" si="27"/>
        <v>0</v>
      </c>
      <c r="DF53">
        <v>1</v>
      </c>
      <c r="DG53">
        <f t="shared" si="28"/>
        <v>1</v>
      </c>
      <c r="DI53">
        <f t="shared" si="29"/>
        <v>0</v>
      </c>
      <c r="DJ53">
        <f t="shared" si="10"/>
        <v>0</v>
      </c>
      <c r="DK53">
        <f t="shared" si="11"/>
        <v>0</v>
      </c>
      <c r="DL53">
        <f t="shared" si="12"/>
        <v>0</v>
      </c>
      <c r="DM53">
        <f t="shared" si="13"/>
        <v>0</v>
      </c>
      <c r="DN53">
        <f t="shared" si="14"/>
        <v>0</v>
      </c>
      <c r="DO53">
        <f t="shared" si="15"/>
        <v>0</v>
      </c>
      <c r="DP53">
        <f t="shared" si="16"/>
        <v>1</v>
      </c>
      <c r="DR53">
        <v>0</v>
      </c>
      <c r="DS53">
        <v>0</v>
      </c>
      <c r="DT53">
        <v>0</v>
      </c>
      <c r="DU53">
        <v>0</v>
      </c>
      <c r="DV53">
        <v>0</v>
      </c>
      <c r="DW53">
        <f t="shared" si="30"/>
        <v>1</v>
      </c>
      <c r="DX53">
        <f t="shared" si="31"/>
        <v>1</v>
      </c>
      <c r="DZ53">
        <f t="shared" si="32"/>
        <v>0</v>
      </c>
      <c r="EA53">
        <f t="shared" si="17"/>
        <v>0</v>
      </c>
      <c r="EB53">
        <f t="shared" si="18"/>
        <v>0</v>
      </c>
      <c r="EC53">
        <f t="shared" si="19"/>
        <v>0</v>
      </c>
      <c r="ED53">
        <f t="shared" si="20"/>
        <v>0</v>
      </c>
      <c r="EE53">
        <f t="shared" si="21"/>
        <v>1</v>
      </c>
    </row>
    <row r="54" spans="1:135" x14ac:dyDescent="0.35">
      <c r="A54" t="s">
        <v>165</v>
      </c>
      <c r="B54">
        <f>[1]Population!$BB66</f>
        <v>78075705</v>
      </c>
      <c r="C54">
        <f>[1]RealGDP!$BB66</f>
        <v>121036124473.08067</v>
      </c>
      <c r="D54" s="10">
        <f>[1]GDPcap!$BB66</f>
        <v>1550.2405578416574</v>
      </c>
      <c r="F54" t="s">
        <v>165</v>
      </c>
      <c r="H54">
        <v>12.9</v>
      </c>
      <c r="I54">
        <v>14.6</v>
      </c>
      <c r="J54">
        <v>17.7</v>
      </c>
      <c r="K54">
        <v>22.4</v>
      </c>
      <c r="L54">
        <v>26.2</v>
      </c>
      <c r="M54">
        <v>28.7</v>
      </c>
      <c r="N54">
        <v>29.1</v>
      </c>
      <c r="O54">
        <v>29.1</v>
      </c>
      <c r="P54">
        <v>27.3</v>
      </c>
      <c r="Q54">
        <v>24.1</v>
      </c>
      <c r="R54">
        <v>18.7</v>
      </c>
      <c r="S54">
        <v>14.3</v>
      </c>
      <c r="T54">
        <v>22.1</v>
      </c>
      <c r="U54">
        <v>29</v>
      </c>
      <c r="V54">
        <v>23.3</v>
      </c>
      <c r="W54">
        <v>13.5</v>
      </c>
      <c r="X54">
        <v>22.1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f t="shared" si="0"/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1"/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f t="shared" si="22"/>
        <v>1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f t="shared" si="23"/>
        <v>1</v>
      </c>
      <c r="CG54">
        <f t="shared" si="24"/>
        <v>0</v>
      </c>
      <c r="CH54">
        <f t="shared" si="2"/>
        <v>0</v>
      </c>
      <c r="CI54">
        <f t="shared" si="3"/>
        <v>0</v>
      </c>
      <c r="CJ54">
        <f t="shared" si="4"/>
        <v>0</v>
      </c>
      <c r="CK54">
        <f t="shared" si="5"/>
        <v>0</v>
      </c>
      <c r="CL54">
        <f t="shared" si="6"/>
        <v>0</v>
      </c>
      <c r="CM54">
        <f t="shared" si="7"/>
        <v>0</v>
      </c>
      <c r="CN54">
        <f t="shared" si="8"/>
        <v>0</v>
      </c>
      <c r="CO54">
        <f t="shared" si="9"/>
        <v>1</v>
      </c>
      <c r="CQ54">
        <v>0</v>
      </c>
      <c r="CR54">
        <v>0</v>
      </c>
      <c r="CS54">
        <v>0</v>
      </c>
      <c r="CT54">
        <v>0</v>
      </c>
      <c r="CU54">
        <v>0</v>
      </c>
      <c r="CV54">
        <f t="shared" si="25"/>
        <v>1</v>
      </c>
      <c r="CW54">
        <f t="shared" si="26"/>
        <v>1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f t="shared" si="27"/>
        <v>1</v>
      </c>
      <c r="DF54">
        <v>0</v>
      </c>
      <c r="DG54">
        <f t="shared" si="28"/>
        <v>1</v>
      </c>
      <c r="DI54">
        <f t="shared" si="29"/>
        <v>0</v>
      </c>
      <c r="DJ54">
        <f t="shared" si="10"/>
        <v>0</v>
      </c>
      <c r="DK54">
        <f t="shared" si="11"/>
        <v>0</v>
      </c>
      <c r="DL54">
        <f t="shared" si="12"/>
        <v>0</v>
      </c>
      <c r="DM54">
        <f t="shared" si="13"/>
        <v>0</v>
      </c>
      <c r="DN54">
        <f t="shared" si="14"/>
        <v>0</v>
      </c>
      <c r="DO54">
        <f t="shared" si="15"/>
        <v>1</v>
      </c>
      <c r="DP54">
        <f t="shared" si="16"/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f t="shared" si="30"/>
        <v>1</v>
      </c>
      <c r="DX54">
        <f t="shared" si="31"/>
        <v>1</v>
      </c>
      <c r="DZ54">
        <f t="shared" si="32"/>
        <v>0</v>
      </c>
      <c r="EA54">
        <f t="shared" si="17"/>
        <v>0</v>
      </c>
      <c r="EB54">
        <f t="shared" si="18"/>
        <v>0</v>
      </c>
      <c r="EC54">
        <f t="shared" si="19"/>
        <v>0</v>
      </c>
      <c r="ED54">
        <f t="shared" si="20"/>
        <v>0</v>
      </c>
      <c r="EE54">
        <f t="shared" si="21"/>
        <v>1</v>
      </c>
    </row>
    <row r="55" spans="1:135" x14ac:dyDescent="0.35">
      <c r="A55" t="s">
        <v>166</v>
      </c>
      <c r="B55">
        <f>[1]Population!$BB67</f>
        <v>6218195</v>
      </c>
      <c r="C55">
        <f>[1]RealGDP!$BB67</f>
        <v>18341273339.874924</v>
      </c>
      <c r="D55" s="10">
        <f>[1]GDPcap!$BB67</f>
        <v>2949.613728722712</v>
      </c>
      <c r="F55" t="s">
        <v>510</v>
      </c>
      <c r="G55" t="s">
        <v>511</v>
      </c>
      <c r="H55">
        <v>23.5</v>
      </c>
      <c r="I55">
        <v>24</v>
      </c>
      <c r="J55">
        <v>25.3</v>
      </c>
      <c r="K55">
        <v>26</v>
      </c>
      <c r="L55">
        <v>25.7</v>
      </c>
      <c r="M55">
        <v>24.7</v>
      </c>
      <c r="N55">
        <v>24.8</v>
      </c>
      <c r="O55">
        <v>24.7</v>
      </c>
      <c r="P55">
        <v>24.1</v>
      </c>
      <c r="Q55">
        <v>23.9</v>
      </c>
      <c r="R55">
        <v>23.4</v>
      </c>
      <c r="S55">
        <v>23.2</v>
      </c>
      <c r="T55">
        <v>25.7</v>
      </c>
      <c r="U55">
        <v>24.7</v>
      </c>
      <c r="V55">
        <v>23.8</v>
      </c>
      <c r="W55">
        <v>22.7</v>
      </c>
      <c r="X55">
        <v>24.4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  <c r="AO55">
        <f t="shared" ref="AO55:AO85" si="34">SUM(Z55:AN55)</f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f t="shared" ref="BE55:BE102" si="35">SUM(AP55:BD55)</f>
        <v>1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f t="shared" si="22"/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1</v>
      </c>
      <c r="CB55">
        <v>0</v>
      </c>
      <c r="CC55">
        <v>0</v>
      </c>
      <c r="CD55">
        <v>0</v>
      </c>
      <c r="CE55">
        <f t="shared" si="23"/>
        <v>1</v>
      </c>
      <c r="CG55">
        <f t="shared" si="24"/>
        <v>0</v>
      </c>
      <c r="CH55">
        <f t="shared" si="2"/>
        <v>0</v>
      </c>
      <c r="CI55">
        <f t="shared" si="3"/>
        <v>0</v>
      </c>
      <c r="CJ55">
        <f t="shared" si="4"/>
        <v>0</v>
      </c>
      <c r="CK55">
        <f t="shared" si="5"/>
        <v>0</v>
      </c>
      <c r="CL55">
        <f t="shared" si="6"/>
        <v>1</v>
      </c>
      <c r="CM55">
        <f t="shared" si="7"/>
        <v>0</v>
      </c>
      <c r="CN55">
        <f t="shared" si="8"/>
        <v>0</v>
      </c>
      <c r="CO55">
        <f t="shared" si="9"/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f t="shared" si="25"/>
        <v>1</v>
      </c>
      <c r="CW55">
        <f t="shared" si="26"/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f t="shared" si="27"/>
        <v>0</v>
      </c>
      <c r="DF55">
        <v>1</v>
      </c>
      <c r="DG55">
        <f t="shared" si="28"/>
        <v>1</v>
      </c>
      <c r="DI55">
        <f t="shared" si="29"/>
        <v>0</v>
      </c>
      <c r="DJ55">
        <f t="shared" si="10"/>
        <v>0</v>
      </c>
      <c r="DK55">
        <f t="shared" si="11"/>
        <v>0</v>
      </c>
      <c r="DL55">
        <f t="shared" si="12"/>
        <v>0</v>
      </c>
      <c r="DM55">
        <f t="shared" si="13"/>
        <v>0</v>
      </c>
      <c r="DN55">
        <f t="shared" si="14"/>
        <v>0</v>
      </c>
      <c r="DO55">
        <f t="shared" si="15"/>
        <v>0</v>
      </c>
      <c r="DP55">
        <f t="shared" si="16"/>
        <v>1</v>
      </c>
      <c r="DR55">
        <v>0</v>
      </c>
      <c r="DS55">
        <v>0</v>
      </c>
      <c r="DT55">
        <v>0</v>
      </c>
      <c r="DU55">
        <v>0</v>
      </c>
      <c r="DV55">
        <v>0</v>
      </c>
      <c r="DW55">
        <f t="shared" si="30"/>
        <v>1</v>
      </c>
      <c r="DX55">
        <f t="shared" si="31"/>
        <v>1</v>
      </c>
      <c r="DZ55">
        <f t="shared" si="32"/>
        <v>0</v>
      </c>
      <c r="EA55">
        <f t="shared" si="17"/>
        <v>0</v>
      </c>
      <c r="EB55">
        <f t="shared" si="18"/>
        <v>0</v>
      </c>
      <c r="EC55">
        <f t="shared" si="19"/>
        <v>0</v>
      </c>
      <c r="ED55">
        <f t="shared" si="20"/>
        <v>0</v>
      </c>
      <c r="EE55">
        <f t="shared" si="21"/>
        <v>1</v>
      </c>
    </row>
    <row r="56" spans="1:135" x14ac:dyDescent="0.35">
      <c r="A56" t="s">
        <v>401</v>
      </c>
      <c r="B56">
        <f>[1]Population!$BB68</f>
        <v>696167</v>
      </c>
      <c r="C56">
        <f>[1]RealGDP!$BB68</f>
        <v>8071655046.0093536</v>
      </c>
      <c r="D56" s="10">
        <f>[1]GDPcap!$BB68</f>
        <v>11594.42353057435</v>
      </c>
      <c r="F56" t="s">
        <v>512</v>
      </c>
      <c r="G56" t="s">
        <v>406</v>
      </c>
      <c r="H56">
        <v>25.1</v>
      </c>
      <c r="I56">
        <v>25.5</v>
      </c>
      <c r="J56">
        <v>25.3</v>
      </c>
      <c r="K56">
        <v>25.2</v>
      </c>
      <c r="L56">
        <v>25.1</v>
      </c>
      <c r="M56">
        <v>24.2</v>
      </c>
      <c r="N56">
        <v>23.1</v>
      </c>
      <c r="O56">
        <v>23.3</v>
      </c>
      <c r="P56">
        <v>24.1</v>
      </c>
      <c r="Q56">
        <v>24.2</v>
      </c>
      <c r="R56">
        <v>24.5</v>
      </c>
      <c r="S56">
        <v>24.6</v>
      </c>
      <c r="T56">
        <v>25.2</v>
      </c>
      <c r="U56">
        <v>23.5</v>
      </c>
      <c r="V56">
        <v>24.3</v>
      </c>
      <c r="W56">
        <v>24.2</v>
      </c>
      <c r="X56">
        <v>24.5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34"/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f t="shared" si="35"/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</v>
      </c>
      <c r="BS56">
        <v>0</v>
      </c>
      <c r="BT56">
        <f t="shared" ref="BT56:BT103" si="36">SUM(BG56:BS56)</f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f t="shared" ref="CE56:CE103" si="37">SUM(BV56:CD56)</f>
        <v>1</v>
      </c>
      <c r="CG56">
        <f t="shared" si="24"/>
        <v>0</v>
      </c>
      <c r="CH56">
        <f t="shared" si="2"/>
        <v>0</v>
      </c>
      <c r="CI56">
        <f t="shared" si="3"/>
        <v>0</v>
      </c>
      <c r="CJ56">
        <f t="shared" si="4"/>
        <v>0</v>
      </c>
      <c r="CK56">
        <f t="shared" si="5"/>
        <v>0</v>
      </c>
      <c r="CL56">
        <f t="shared" si="6"/>
        <v>0</v>
      </c>
      <c r="CM56">
        <f t="shared" si="7"/>
        <v>0</v>
      </c>
      <c r="CN56">
        <f t="shared" si="8"/>
        <v>0</v>
      </c>
      <c r="CO56">
        <f t="shared" si="9"/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f t="shared" ref="CV56:CV103" si="38">1-SUM(CQ56:CU56)</f>
        <v>1</v>
      </c>
      <c r="CW56">
        <f t="shared" ref="CW56:CW103" si="39">SUM(CQ56:CV56)</f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f t="shared" ref="DE56:DE103" si="40">BZ56+CD56</f>
        <v>1</v>
      </c>
      <c r="DF56">
        <v>0</v>
      </c>
      <c r="DG56">
        <f t="shared" ref="DG56:DG103" si="41">SUM(CY56:DF56)</f>
        <v>1</v>
      </c>
      <c r="DI56">
        <f t="shared" si="29"/>
        <v>0</v>
      </c>
      <c r="DJ56">
        <f t="shared" si="10"/>
        <v>0</v>
      </c>
      <c r="DK56">
        <f t="shared" si="11"/>
        <v>0</v>
      </c>
      <c r="DL56">
        <f t="shared" si="12"/>
        <v>0</v>
      </c>
      <c r="DM56">
        <f t="shared" si="13"/>
        <v>0</v>
      </c>
      <c r="DN56">
        <f t="shared" si="14"/>
        <v>0</v>
      </c>
      <c r="DO56">
        <f t="shared" si="15"/>
        <v>1</v>
      </c>
      <c r="DP56">
        <f t="shared" si="16"/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f t="shared" ref="DW56:DW103" si="42">1-SUM(DR56:DV56)</f>
        <v>1</v>
      </c>
      <c r="DX56">
        <f t="shared" ref="DX56:DX103" si="43">SUM(DR56:DW56)</f>
        <v>1</v>
      </c>
      <c r="DZ56">
        <f t="shared" si="32"/>
        <v>0</v>
      </c>
      <c r="EA56">
        <f t="shared" si="17"/>
        <v>0</v>
      </c>
      <c r="EB56">
        <f t="shared" si="18"/>
        <v>0</v>
      </c>
      <c r="EC56">
        <f t="shared" si="19"/>
        <v>0</v>
      </c>
      <c r="ED56">
        <f t="shared" si="20"/>
        <v>0</v>
      </c>
      <c r="EE56">
        <f t="shared" si="21"/>
        <v>1</v>
      </c>
    </row>
    <row r="57" spans="1:135" x14ac:dyDescent="0.35">
      <c r="A57" t="s">
        <v>402</v>
      </c>
      <c r="B57">
        <f>[1]Population!$BB69</f>
        <v>5741159</v>
      </c>
      <c r="C57">
        <f>[1]RealGDP!$BB69</f>
        <v>1056636372.397827</v>
      </c>
      <c r="D57" s="10">
        <f>[1]GDPcap!$BB69</f>
        <v>184.04582983990289</v>
      </c>
      <c r="F57" t="s">
        <v>402</v>
      </c>
      <c r="H57">
        <v>22.2</v>
      </c>
      <c r="I57">
        <v>23.1</v>
      </c>
      <c r="J57">
        <v>24.8</v>
      </c>
      <c r="K57">
        <v>26.5</v>
      </c>
      <c r="L57">
        <v>27.8</v>
      </c>
      <c r="M57">
        <v>28.3</v>
      </c>
      <c r="N57">
        <v>27.4</v>
      </c>
      <c r="O57">
        <v>26.8</v>
      </c>
      <c r="P57">
        <v>26.6</v>
      </c>
      <c r="Q57">
        <v>25.8</v>
      </c>
      <c r="R57">
        <v>24.3</v>
      </c>
      <c r="S57">
        <v>22.6</v>
      </c>
      <c r="T57">
        <v>26.4</v>
      </c>
      <c r="U57">
        <v>27.5</v>
      </c>
      <c r="V57">
        <v>25.6</v>
      </c>
      <c r="W57">
        <v>21.8</v>
      </c>
      <c r="X57">
        <v>25.5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34"/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f t="shared" si="35"/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f t="shared" si="36"/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f t="shared" si="37"/>
        <v>1</v>
      </c>
      <c r="CG57">
        <f t="shared" si="24"/>
        <v>0</v>
      </c>
      <c r="CH57">
        <f t="shared" si="2"/>
        <v>0</v>
      </c>
      <c r="CI57">
        <f t="shared" si="3"/>
        <v>0</v>
      </c>
      <c r="CJ57">
        <f t="shared" si="4"/>
        <v>0</v>
      </c>
      <c r="CK57">
        <f t="shared" si="5"/>
        <v>0</v>
      </c>
      <c r="CL57">
        <f t="shared" si="6"/>
        <v>0</v>
      </c>
      <c r="CM57">
        <f t="shared" si="7"/>
        <v>0</v>
      </c>
      <c r="CN57">
        <f t="shared" si="8"/>
        <v>0</v>
      </c>
      <c r="CO57">
        <f t="shared" si="9"/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f t="shared" si="38"/>
        <v>1</v>
      </c>
      <c r="CW57">
        <f t="shared" si="39"/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f t="shared" si="40"/>
        <v>1</v>
      </c>
      <c r="DF57">
        <v>0</v>
      </c>
      <c r="DG57">
        <f t="shared" si="41"/>
        <v>1</v>
      </c>
      <c r="DI57">
        <f t="shared" si="29"/>
        <v>0</v>
      </c>
      <c r="DJ57">
        <f t="shared" si="10"/>
        <v>0</v>
      </c>
      <c r="DK57">
        <f t="shared" si="11"/>
        <v>0</v>
      </c>
      <c r="DL57">
        <f t="shared" si="12"/>
        <v>0</v>
      </c>
      <c r="DM57">
        <f t="shared" si="13"/>
        <v>0</v>
      </c>
      <c r="DN57">
        <f t="shared" si="14"/>
        <v>0</v>
      </c>
      <c r="DO57">
        <f t="shared" si="15"/>
        <v>1</v>
      </c>
      <c r="DP57">
        <f t="shared" si="16"/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f t="shared" si="42"/>
        <v>1</v>
      </c>
      <c r="DX57">
        <f t="shared" si="43"/>
        <v>1</v>
      </c>
      <c r="DZ57">
        <f t="shared" si="32"/>
        <v>0</v>
      </c>
      <c r="EA57">
        <f t="shared" si="17"/>
        <v>0</v>
      </c>
      <c r="EB57">
        <f t="shared" si="18"/>
        <v>0</v>
      </c>
      <c r="EC57">
        <f t="shared" si="19"/>
        <v>0</v>
      </c>
      <c r="ED57">
        <f t="shared" si="20"/>
        <v>0</v>
      </c>
      <c r="EE57">
        <f t="shared" si="21"/>
        <v>1</v>
      </c>
    </row>
    <row r="58" spans="1:135" x14ac:dyDescent="0.35">
      <c r="A58" t="s">
        <v>249</v>
      </c>
      <c r="B58">
        <f>[1]Population!$BB70</f>
        <v>1340161</v>
      </c>
      <c r="C58">
        <f>[1]RealGDP!$BB70</f>
        <v>13897254466.99498</v>
      </c>
      <c r="D58" s="10">
        <f>[1]GDPcap!$BB70</f>
        <v>10369.839494653985</v>
      </c>
      <c r="F58" t="s">
        <v>249</v>
      </c>
      <c r="H58">
        <v>-6.3</v>
      </c>
      <c r="I58">
        <v>-6.1</v>
      </c>
      <c r="J58">
        <v>-2.2000000000000002</v>
      </c>
      <c r="K58">
        <v>3.8</v>
      </c>
      <c r="L58">
        <v>10.199999999999999</v>
      </c>
      <c r="M58">
        <v>14.6</v>
      </c>
      <c r="N58">
        <v>16.5</v>
      </c>
      <c r="O58">
        <v>15.5</v>
      </c>
      <c r="P58">
        <v>11.1</v>
      </c>
      <c r="Q58">
        <v>6.3</v>
      </c>
      <c r="R58">
        <v>1</v>
      </c>
      <c r="S58">
        <v>-3.5</v>
      </c>
      <c r="T58">
        <v>3.9</v>
      </c>
      <c r="U58">
        <v>15.6</v>
      </c>
      <c r="V58">
        <v>6.1</v>
      </c>
      <c r="W58">
        <v>-5.2</v>
      </c>
      <c r="X58">
        <v>5.0999999999999996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34"/>
        <v>1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f t="shared" si="35"/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</v>
      </c>
      <c r="BP58">
        <v>0</v>
      </c>
      <c r="BQ58">
        <v>0</v>
      </c>
      <c r="BR58">
        <v>0</v>
      </c>
      <c r="BS58">
        <v>0</v>
      </c>
      <c r="BT58">
        <f t="shared" si="36"/>
        <v>1</v>
      </c>
      <c r="BV58">
        <v>0</v>
      </c>
      <c r="BW58">
        <v>0</v>
      </c>
      <c r="BX58">
        <v>0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0</v>
      </c>
      <c r="CE58">
        <f t="shared" si="37"/>
        <v>1</v>
      </c>
      <c r="CG58">
        <f t="shared" si="24"/>
        <v>0</v>
      </c>
      <c r="CH58">
        <f t="shared" si="2"/>
        <v>0</v>
      </c>
      <c r="CI58">
        <f t="shared" si="3"/>
        <v>0</v>
      </c>
      <c r="CJ58">
        <f t="shared" si="4"/>
        <v>1</v>
      </c>
      <c r="CK58">
        <f t="shared" si="5"/>
        <v>0</v>
      </c>
      <c r="CL58">
        <f t="shared" si="6"/>
        <v>0</v>
      </c>
      <c r="CM58">
        <f t="shared" si="7"/>
        <v>0</v>
      </c>
      <c r="CN58">
        <f t="shared" si="8"/>
        <v>0</v>
      </c>
      <c r="CO58">
        <f t="shared" si="9"/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f t="shared" si="38"/>
        <v>0</v>
      </c>
      <c r="CW58">
        <f t="shared" si="39"/>
        <v>1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f t="shared" si="40"/>
        <v>0</v>
      </c>
      <c r="DF58">
        <v>0</v>
      </c>
      <c r="DG58">
        <f t="shared" si="41"/>
        <v>1</v>
      </c>
      <c r="DI58">
        <f t="shared" si="29"/>
        <v>0</v>
      </c>
      <c r="DJ58">
        <f t="shared" si="10"/>
        <v>0</v>
      </c>
      <c r="DK58">
        <f t="shared" si="11"/>
        <v>0</v>
      </c>
      <c r="DL58">
        <f t="shared" si="12"/>
        <v>1</v>
      </c>
      <c r="DM58">
        <f t="shared" si="13"/>
        <v>0</v>
      </c>
      <c r="DN58">
        <f t="shared" si="14"/>
        <v>0</v>
      </c>
      <c r="DO58">
        <f t="shared" si="15"/>
        <v>0</v>
      </c>
      <c r="DP58">
        <f t="shared" si="16"/>
        <v>0</v>
      </c>
      <c r="DR58">
        <v>0</v>
      </c>
      <c r="DS58">
        <v>0</v>
      </c>
      <c r="DT58">
        <v>0</v>
      </c>
      <c r="DU58">
        <v>1</v>
      </c>
      <c r="DV58">
        <v>0</v>
      </c>
      <c r="DW58">
        <f t="shared" si="42"/>
        <v>0</v>
      </c>
      <c r="DX58">
        <f t="shared" si="43"/>
        <v>1</v>
      </c>
      <c r="DZ58">
        <f t="shared" si="32"/>
        <v>0</v>
      </c>
      <c r="EA58">
        <f t="shared" si="17"/>
        <v>0</v>
      </c>
      <c r="EB58">
        <f t="shared" si="18"/>
        <v>0</v>
      </c>
      <c r="EC58">
        <f t="shared" si="19"/>
        <v>1</v>
      </c>
      <c r="ED58">
        <f t="shared" si="20"/>
        <v>0</v>
      </c>
      <c r="EE58">
        <f t="shared" si="21"/>
        <v>0</v>
      </c>
    </row>
    <row r="59" spans="1:135" x14ac:dyDescent="0.35">
      <c r="A59" t="s">
        <v>167</v>
      </c>
      <c r="B59">
        <f>[1]Population!$BB71</f>
        <v>87095281</v>
      </c>
      <c r="C59">
        <f>[1]RealGDP!$BB71</f>
        <v>20402844449.621059</v>
      </c>
      <c r="D59" s="10">
        <f>[1]GDPcap!$BB71</f>
        <v>234.25889686975188</v>
      </c>
      <c r="F59" t="s">
        <v>167</v>
      </c>
      <c r="H59">
        <v>20.9</v>
      </c>
      <c r="I59">
        <v>22.1</v>
      </c>
      <c r="J59">
        <v>23.3</v>
      </c>
      <c r="K59">
        <v>23.5</v>
      </c>
      <c r="L59">
        <v>23.3</v>
      </c>
      <c r="M59">
        <v>23</v>
      </c>
      <c r="N59">
        <v>22.1</v>
      </c>
      <c r="O59">
        <v>22</v>
      </c>
      <c r="P59">
        <v>22.4</v>
      </c>
      <c r="Q59">
        <v>21.8</v>
      </c>
      <c r="R59">
        <v>21</v>
      </c>
      <c r="S59">
        <v>20.5</v>
      </c>
      <c r="T59">
        <v>23.4</v>
      </c>
      <c r="U59">
        <v>22.4</v>
      </c>
      <c r="V59">
        <v>21.7</v>
      </c>
      <c r="W59">
        <v>20.5</v>
      </c>
      <c r="X59">
        <v>22.2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34"/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0</v>
      </c>
      <c r="BB59">
        <v>0</v>
      </c>
      <c r="BC59">
        <v>0</v>
      </c>
      <c r="BD59">
        <v>0</v>
      </c>
      <c r="BE59">
        <f t="shared" si="35"/>
        <v>1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f t="shared" si="36"/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f t="shared" si="37"/>
        <v>1</v>
      </c>
      <c r="CG59">
        <f t="shared" si="24"/>
        <v>0</v>
      </c>
      <c r="CH59">
        <f t="shared" si="2"/>
        <v>0</v>
      </c>
      <c r="CI59">
        <f t="shared" si="3"/>
        <v>0</v>
      </c>
      <c r="CJ59">
        <f t="shared" si="4"/>
        <v>0</v>
      </c>
      <c r="CK59">
        <f t="shared" si="5"/>
        <v>0</v>
      </c>
      <c r="CL59">
        <f t="shared" si="6"/>
        <v>0</v>
      </c>
      <c r="CM59">
        <f t="shared" si="7"/>
        <v>0</v>
      </c>
      <c r="CN59">
        <f t="shared" si="8"/>
        <v>0</v>
      </c>
      <c r="CO59">
        <f t="shared" si="9"/>
        <v>1</v>
      </c>
      <c r="CQ59">
        <v>0</v>
      </c>
      <c r="CR59">
        <v>0</v>
      </c>
      <c r="CS59">
        <v>0</v>
      </c>
      <c r="CT59">
        <v>0</v>
      </c>
      <c r="CU59">
        <v>0</v>
      </c>
      <c r="CV59">
        <f t="shared" si="38"/>
        <v>1</v>
      </c>
      <c r="CW59">
        <f t="shared" si="39"/>
        <v>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f t="shared" si="40"/>
        <v>1</v>
      </c>
      <c r="DF59">
        <v>0</v>
      </c>
      <c r="DG59">
        <f t="shared" si="41"/>
        <v>1</v>
      </c>
      <c r="DI59">
        <f t="shared" si="29"/>
        <v>0</v>
      </c>
      <c r="DJ59">
        <f t="shared" si="10"/>
        <v>0</v>
      </c>
      <c r="DK59">
        <f t="shared" si="11"/>
        <v>0</v>
      </c>
      <c r="DL59">
        <f t="shared" si="12"/>
        <v>0</v>
      </c>
      <c r="DM59">
        <f t="shared" si="13"/>
        <v>0</v>
      </c>
      <c r="DN59">
        <f t="shared" si="14"/>
        <v>0</v>
      </c>
      <c r="DO59">
        <f t="shared" si="15"/>
        <v>1</v>
      </c>
      <c r="DP59">
        <f t="shared" si="16"/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f t="shared" si="42"/>
        <v>1</v>
      </c>
      <c r="DX59">
        <f t="shared" si="43"/>
        <v>1</v>
      </c>
      <c r="DZ59">
        <f t="shared" si="32"/>
        <v>0</v>
      </c>
      <c r="EA59">
        <f t="shared" si="17"/>
        <v>0</v>
      </c>
      <c r="EB59">
        <f t="shared" si="18"/>
        <v>0</v>
      </c>
      <c r="EC59">
        <f t="shared" si="19"/>
        <v>0</v>
      </c>
      <c r="ED59">
        <f t="shared" si="20"/>
        <v>0</v>
      </c>
      <c r="EE59">
        <f t="shared" si="21"/>
        <v>1</v>
      </c>
    </row>
    <row r="60" spans="1:135" x14ac:dyDescent="0.35">
      <c r="A60" t="s">
        <v>403</v>
      </c>
      <c r="B60">
        <f>[1]Population!$BB74</f>
        <v>860559</v>
      </c>
      <c r="C60">
        <f>[1]RealGDP!$BB74</f>
        <v>3032066121.2225323</v>
      </c>
      <c r="D60" s="10">
        <f>[1]GDPcap!$BB74</f>
        <v>3523.3680912320156</v>
      </c>
      <c r="F60" t="s">
        <v>403</v>
      </c>
      <c r="H60">
        <v>25.9</v>
      </c>
      <c r="I60">
        <v>26.1</v>
      </c>
      <c r="J60">
        <v>26</v>
      </c>
      <c r="K60">
        <v>25.4</v>
      </c>
      <c r="L60">
        <v>24.1</v>
      </c>
      <c r="M60">
        <v>23.3</v>
      </c>
      <c r="N60">
        <v>22.5</v>
      </c>
      <c r="O60">
        <v>22.6</v>
      </c>
      <c r="P60">
        <v>23</v>
      </c>
      <c r="Q60">
        <v>23.8</v>
      </c>
      <c r="R60">
        <v>24.6</v>
      </c>
      <c r="S60">
        <v>25.4</v>
      </c>
      <c r="T60">
        <v>25.2</v>
      </c>
      <c r="U60">
        <v>22.8</v>
      </c>
      <c r="V60">
        <v>23.8</v>
      </c>
      <c r="W60">
        <v>24.9</v>
      </c>
      <c r="X60">
        <v>24.4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</v>
      </c>
      <c r="AO60">
        <f t="shared" si="34"/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f t="shared" si="35"/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f t="shared" si="36"/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f t="shared" si="37"/>
        <v>1</v>
      </c>
      <c r="CG60">
        <f t="shared" si="24"/>
        <v>0</v>
      </c>
      <c r="CH60">
        <f t="shared" si="2"/>
        <v>0</v>
      </c>
      <c r="CI60">
        <f t="shared" si="3"/>
        <v>0</v>
      </c>
      <c r="CJ60">
        <f t="shared" si="4"/>
        <v>0</v>
      </c>
      <c r="CK60">
        <f t="shared" si="5"/>
        <v>0</v>
      </c>
      <c r="CL60">
        <f t="shared" si="6"/>
        <v>0</v>
      </c>
      <c r="CM60">
        <f t="shared" si="7"/>
        <v>1</v>
      </c>
      <c r="CN60">
        <f t="shared" si="8"/>
        <v>0</v>
      </c>
      <c r="CO60">
        <f t="shared" si="9"/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f t="shared" si="38"/>
        <v>1</v>
      </c>
      <c r="CW60">
        <f t="shared" si="39"/>
        <v>1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1</v>
      </c>
      <c r="DE60">
        <f t="shared" si="40"/>
        <v>0</v>
      </c>
      <c r="DF60">
        <v>0</v>
      </c>
      <c r="DG60">
        <f t="shared" si="41"/>
        <v>1</v>
      </c>
      <c r="DI60">
        <f t="shared" si="29"/>
        <v>0</v>
      </c>
      <c r="DJ60">
        <f t="shared" si="10"/>
        <v>0</v>
      </c>
      <c r="DK60">
        <f t="shared" si="11"/>
        <v>0</v>
      </c>
      <c r="DL60">
        <f t="shared" si="12"/>
        <v>0</v>
      </c>
      <c r="DM60">
        <f t="shared" si="13"/>
        <v>0</v>
      </c>
      <c r="DN60">
        <f t="shared" si="14"/>
        <v>1</v>
      </c>
      <c r="DO60">
        <f t="shared" si="15"/>
        <v>0</v>
      </c>
      <c r="DP60">
        <f t="shared" si="16"/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f t="shared" si="42"/>
        <v>1</v>
      </c>
      <c r="DX60">
        <f t="shared" si="43"/>
        <v>1</v>
      </c>
      <c r="DZ60">
        <f t="shared" si="32"/>
        <v>0</v>
      </c>
      <c r="EA60">
        <f t="shared" si="17"/>
        <v>0</v>
      </c>
      <c r="EB60">
        <f t="shared" si="18"/>
        <v>0</v>
      </c>
      <c r="EC60">
        <f t="shared" si="19"/>
        <v>0</v>
      </c>
      <c r="ED60">
        <f t="shared" si="20"/>
        <v>0</v>
      </c>
      <c r="EE60">
        <f t="shared" si="21"/>
        <v>1</v>
      </c>
    </row>
    <row r="61" spans="1:135" x14ac:dyDescent="0.35">
      <c r="A61" t="s">
        <v>168</v>
      </c>
      <c r="B61">
        <f>[1]Population!$BB75</f>
        <v>5363352</v>
      </c>
      <c r="C61">
        <f>[1]RealGDP!$BB75</f>
        <v>204154134528.24445</v>
      </c>
      <c r="D61" s="10">
        <f>[1]GDPcap!$BB75</f>
        <v>38064.653322818347</v>
      </c>
      <c r="F61" t="s">
        <v>168</v>
      </c>
      <c r="H61">
        <v>-11.3</v>
      </c>
      <c r="I61">
        <v>-10.6</v>
      </c>
      <c r="J61">
        <v>-5.7</v>
      </c>
      <c r="K61">
        <v>0.4</v>
      </c>
      <c r="L61">
        <v>7.3</v>
      </c>
      <c r="M61">
        <v>13</v>
      </c>
      <c r="N61">
        <v>15.3</v>
      </c>
      <c r="O61">
        <v>13.3</v>
      </c>
      <c r="P61">
        <v>8.1999999999999993</v>
      </c>
      <c r="Q61">
        <v>2.6</v>
      </c>
      <c r="R61">
        <v>-3.5</v>
      </c>
      <c r="S61">
        <v>-8.6</v>
      </c>
      <c r="T61">
        <v>0.7</v>
      </c>
      <c r="U61">
        <v>13.9</v>
      </c>
      <c r="V61">
        <v>2.4</v>
      </c>
      <c r="W61">
        <v>-10</v>
      </c>
      <c r="X61">
        <v>1.7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f t="shared" si="34"/>
        <v>1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f t="shared" si="35"/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 t="shared" si="36"/>
        <v>1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f t="shared" si="37"/>
        <v>1</v>
      </c>
      <c r="CG61">
        <f t="shared" si="24"/>
        <v>0</v>
      </c>
      <c r="CH61">
        <f t="shared" si="2"/>
        <v>1</v>
      </c>
      <c r="CI61">
        <f t="shared" si="3"/>
        <v>0</v>
      </c>
      <c r="CJ61">
        <f t="shared" si="4"/>
        <v>0</v>
      </c>
      <c r="CK61">
        <f t="shared" si="5"/>
        <v>0</v>
      </c>
      <c r="CL61">
        <f t="shared" si="6"/>
        <v>0</v>
      </c>
      <c r="CM61">
        <f t="shared" si="7"/>
        <v>0</v>
      </c>
      <c r="CN61">
        <f t="shared" si="8"/>
        <v>0</v>
      </c>
      <c r="CO61">
        <f t="shared" si="9"/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f t="shared" si="38"/>
        <v>0</v>
      </c>
      <c r="CW61">
        <f t="shared" si="39"/>
        <v>1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f t="shared" si="40"/>
        <v>0</v>
      </c>
      <c r="DF61">
        <v>0</v>
      </c>
      <c r="DG61">
        <f t="shared" si="41"/>
        <v>1</v>
      </c>
      <c r="DI61">
        <f t="shared" si="29"/>
        <v>1</v>
      </c>
      <c r="DJ61">
        <f t="shared" si="10"/>
        <v>0</v>
      </c>
      <c r="DK61">
        <f t="shared" si="11"/>
        <v>0</v>
      </c>
      <c r="DL61">
        <f t="shared" si="12"/>
        <v>0</v>
      </c>
      <c r="DM61">
        <f t="shared" si="13"/>
        <v>0</v>
      </c>
      <c r="DN61">
        <f t="shared" si="14"/>
        <v>0</v>
      </c>
      <c r="DO61">
        <f t="shared" si="15"/>
        <v>0</v>
      </c>
      <c r="DP61">
        <f t="shared" si="16"/>
        <v>0</v>
      </c>
      <c r="DR61">
        <v>1</v>
      </c>
      <c r="DS61">
        <v>0</v>
      </c>
      <c r="DT61">
        <v>0</v>
      </c>
      <c r="DU61">
        <v>0</v>
      </c>
      <c r="DV61">
        <v>0</v>
      </c>
      <c r="DW61">
        <f t="shared" si="42"/>
        <v>0</v>
      </c>
      <c r="DX61">
        <f t="shared" si="43"/>
        <v>1</v>
      </c>
      <c r="DZ61">
        <f t="shared" si="32"/>
        <v>1</v>
      </c>
      <c r="EA61">
        <f t="shared" si="17"/>
        <v>0</v>
      </c>
      <c r="EB61">
        <f t="shared" si="18"/>
        <v>0</v>
      </c>
      <c r="EC61">
        <f t="shared" si="19"/>
        <v>0</v>
      </c>
      <c r="ED61">
        <f t="shared" si="20"/>
        <v>0</v>
      </c>
      <c r="EE61">
        <f t="shared" si="21"/>
        <v>0</v>
      </c>
    </row>
    <row r="62" spans="1:135" x14ac:dyDescent="0.35">
      <c r="A62" t="s">
        <v>169</v>
      </c>
      <c r="B62">
        <f>[1]Population!$BB76</f>
        <v>65031235</v>
      </c>
      <c r="C62">
        <f>[1]RealGDP!$BB76</f>
        <v>2204446339914.4404</v>
      </c>
      <c r="D62" s="10">
        <f>[1]GDPcap!$BB76</f>
        <v>33898.26965325878</v>
      </c>
      <c r="F62" t="s">
        <v>169</v>
      </c>
      <c r="H62">
        <v>3.4</v>
      </c>
      <c r="I62">
        <v>4.4000000000000004</v>
      </c>
      <c r="J62">
        <v>6.5</v>
      </c>
      <c r="K62">
        <v>9.1</v>
      </c>
      <c r="L62">
        <v>12.8</v>
      </c>
      <c r="M62">
        <v>16.100000000000001</v>
      </c>
      <c r="N62">
        <v>18.600000000000001</v>
      </c>
      <c r="O62">
        <v>18.2</v>
      </c>
      <c r="P62">
        <v>15.9</v>
      </c>
      <c r="Q62">
        <v>11.9</v>
      </c>
      <c r="R62">
        <v>6.9</v>
      </c>
      <c r="S62">
        <v>4.2</v>
      </c>
      <c r="T62">
        <v>9.5</v>
      </c>
      <c r="U62">
        <v>17.600000000000001</v>
      </c>
      <c r="V62">
        <v>11.6</v>
      </c>
      <c r="W62">
        <v>3.8</v>
      </c>
      <c r="X62">
        <v>10.7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f t="shared" si="34"/>
        <v>1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f t="shared" si="35"/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 t="shared" si="36"/>
        <v>1</v>
      </c>
      <c r="BV62">
        <v>0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f t="shared" si="37"/>
        <v>1</v>
      </c>
      <c r="CG62">
        <f t="shared" si="24"/>
        <v>0</v>
      </c>
      <c r="CH62">
        <f t="shared" si="2"/>
        <v>1</v>
      </c>
      <c r="CI62">
        <f t="shared" si="3"/>
        <v>0</v>
      </c>
      <c r="CJ62">
        <f t="shared" si="4"/>
        <v>0</v>
      </c>
      <c r="CK62">
        <f t="shared" si="5"/>
        <v>0</v>
      </c>
      <c r="CL62">
        <f t="shared" si="6"/>
        <v>0</v>
      </c>
      <c r="CM62">
        <f t="shared" si="7"/>
        <v>0</v>
      </c>
      <c r="CN62">
        <f t="shared" si="8"/>
        <v>0</v>
      </c>
      <c r="CO62">
        <f t="shared" si="9"/>
        <v>0</v>
      </c>
      <c r="CQ62">
        <v>0</v>
      </c>
      <c r="CR62">
        <v>0</v>
      </c>
      <c r="CS62">
        <v>0</v>
      </c>
      <c r="CT62">
        <v>1</v>
      </c>
      <c r="CU62">
        <v>0</v>
      </c>
      <c r="CV62">
        <f t="shared" si="38"/>
        <v>0</v>
      </c>
      <c r="CW62">
        <f t="shared" si="39"/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0</v>
      </c>
      <c r="DE62">
        <f t="shared" si="40"/>
        <v>0</v>
      </c>
      <c r="DF62">
        <v>0</v>
      </c>
      <c r="DG62">
        <f t="shared" si="41"/>
        <v>1</v>
      </c>
      <c r="DI62">
        <f t="shared" si="29"/>
        <v>1</v>
      </c>
      <c r="DJ62">
        <f t="shared" si="10"/>
        <v>0</v>
      </c>
      <c r="DK62">
        <f t="shared" si="11"/>
        <v>0</v>
      </c>
      <c r="DL62">
        <f t="shared" si="12"/>
        <v>0</v>
      </c>
      <c r="DM62">
        <f t="shared" si="13"/>
        <v>0</v>
      </c>
      <c r="DN62">
        <f t="shared" si="14"/>
        <v>0</v>
      </c>
      <c r="DO62">
        <f t="shared" si="15"/>
        <v>0</v>
      </c>
      <c r="DP62">
        <f t="shared" si="16"/>
        <v>0</v>
      </c>
      <c r="DR62">
        <v>1</v>
      </c>
      <c r="DS62">
        <v>0</v>
      </c>
      <c r="DT62">
        <v>0</v>
      </c>
      <c r="DU62">
        <v>0</v>
      </c>
      <c r="DV62">
        <v>0</v>
      </c>
      <c r="DW62">
        <f t="shared" si="42"/>
        <v>0</v>
      </c>
      <c r="DX62">
        <f t="shared" si="43"/>
        <v>1</v>
      </c>
      <c r="DZ62">
        <f t="shared" si="32"/>
        <v>1</v>
      </c>
      <c r="EA62">
        <f t="shared" si="17"/>
        <v>0</v>
      </c>
      <c r="EB62">
        <f t="shared" si="18"/>
        <v>0</v>
      </c>
      <c r="EC62">
        <f t="shared" si="19"/>
        <v>0</v>
      </c>
      <c r="ED62">
        <f t="shared" si="20"/>
        <v>0</v>
      </c>
      <c r="EE62">
        <f t="shared" si="21"/>
        <v>0</v>
      </c>
    </row>
    <row r="63" spans="1:135" x14ac:dyDescent="0.35">
      <c r="A63" t="s">
        <v>404</v>
      </c>
      <c r="B63">
        <f>[1]Population!$BB80</f>
        <v>1556222</v>
      </c>
      <c r="C63">
        <f>[1]RealGDP!$BB80</f>
        <v>9684595588.4366875</v>
      </c>
      <c r="D63" s="10">
        <f>[1]GDPcap!$BB80</f>
        <v>6223.1452764687092</v>
      </c>
      <c r="F63" t="s">
        <v>404</v>
      </c>
      <c r="H63">
        <v>25.7</v>
      </c>
      <c r="I63">
        <v>25.9</v>
      </c>
      <c r="J63">
        <v>26.2</v>
      </c>
      <c r="K63">
        <v>26.1</v>
      </c>
      <c r="L63">
        <v>25.7</v>
      </c>
      <c r="M63">
        <v>24.1</v>
      </c>
      <c r="N63">
        <v>23</v>
      </c>
      <c r="O63">
        <v>23.4</v>
      </c>
      <c r="P63">
        <v>24.5</v>
      </c>
      <c r="Q63">
        <v>25.2</v>
      </c>
      <c r="R63">
        <v>25.1</v>
      </c>
      <c r="S63">
        <v>25.1</v>
      </c>
      <c r="T63">
        <v>26</v>
      </c>
      <c r="U63">
        <v>23.5</v>
      </c>
      <c r="V63">
        <v>24.9</v>
      </c>
      <c r="W63">
        <v>24.7</v>
      </c>
      <c r="X63">
        <v>25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34"/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1</v>
      </c>
      <c r="BA63">
        <v>0</v>
      </c>
      <c r="BB63">
        <v>0</v>
      </c>
      <c r="BC63">
        <v>0</v>
      </c>
      <c r="BD63">
        <v>0</v>
      </c>
      <c r="BE63">
        <f t="shared" si="35"/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f t="shared" si="36"/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f t="shared" si="37"/>
        <v>1</v>
      </c>
      <c r="CG63">
        <f t="shared" si="24"/>
        <v>0</v>
      </c>
      <c r="CH63">
        <f t="shared" si="2"/>
        <v>0</v>
      </c>
      <c r="CI63">
        <f t="shared" si="3"/>
        <v>0</v>
      </c>
      <c r="CJ63">
        <f t="shared" si="4"/>
        <v>0</v>
      </c>
      <c r="CK63">
        <f t="shared" si="5"/>
        <v>0</v>
      </c>
      <c r="CL63">
        <f t="shared" si="6"/>
        <v>0</v>
      </c>
      <c r="CM63">
        <f t="shared" si="7"/>
        <v>0</v>
      </c>
      <c r="CN63">
        <f t="shared" si="8"/>
        <v>0</v>
      </c>
      <c r="CO63">
        <f t="shared" si="9"/>
        <v>1</v>
      </c>
      <c r="CQ63">
        <v>0</v>
      </c>
      <c r="CR63">
        <v>0</v>
      </c>
      <c r="CS63">
        <v>0</v>
      </c>
      <c r="CT63">
        <v>0</v>
      </c>
      <c r="CU63">
        <v>0</v>
      </c>
      <c r="CV63">
        <f t="shared" si="38"/>
        <v>1</v>
      </c>
      <c r="CW63">
        <f t="shared" si="39"/>
        <v>1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f t="shared" si="40"/>
        <v>1</v>
      </c>
      <c r="DF63">
        <v>0</v>
      </c>
      <c r="DG63">
        <f t="shared" si="41"/>
        <v>1</v>
      </c>
      <c r="DI63">
        <f t="shared" si="29"/>
        <v>0</v>
      </c>
      <c r="DJ63">
        <f t="shared" si="10"/>
        <v>0</v>
      </c>
      <c r="DK63">
        <f t="shared" si="11"/>
        <v>0</v>
      </c>
      <c r="DL63">
        <f t="shared" si="12"/>
        <v>0</v>
      </c>
      <c r="DM63">
        <f t="shared" si="13"/>
        <v>0</v>
      </c>
      <c r="DN63">
        <f t="shared" si="14"/>
        <v>0</v>
      </c>
      <c r="DO63">
        <f t="shared" si="15"/>
        <v>1</v>
      </c>
      <c r="DP63">
        <f t="shared" si="16"/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f t="shared" si="42"/>
        <v>1</v>
      </c>
      <c r="DX63">
        <f t="shared" si="43"/>
        <v>1</v>
      </c>
      <c r="DZ63">
        <f t="shared" si="32"/>
        <v>0</v>
      </c>
      <c r="EA63">
        <f t="shared" si="17"/>
        <v>0</v>
      </c>
      <c r="EB63">
        <f t="shared" si="18"/>
        <v>0</v>
      </c>
      <c r="EC63">
        <f t="shared" si="19"/>
        <v>0</v>
      </c>
      <c r="ED63">
        <f t="shared" si="20"/>
        <v>0</v>
      </c>
      <c r="EE63">
        <f t="shared" si="21"/>
        <v>1</v>
      </c>
    </row>
    <row r="64" spans="1:135" x14ac:dyDescent="0.35">
      <c r="A64" t="s">
        <v>405</v>
      </c>
      <c r="B64">
        <f>[1]Population!$BB81</f>
        <v>1680640</v>
      </c>
      <c r="C64">
        <f>[1]RealGDP!$BB81</f>
        <v>784275580.67721629</v>
      </c>
      <c r="D64" s="10">
        <f>[1]GDPcap!$BB81</f>
        <v>466.6529302392043</v>
      </c>
      <c r="F64" t="s">
        <v>405</v>
      </c>
      <c r="H64">
        <v>24.2</v>
      </c>
      <c r="I64">
        <v>26.5</v>
      </c>
      <c r="J64">
        <v>28.3</v>
      </c>
      <c r="K64">
        <v>29.6</v>
      </c>
      <c r="L64">
        <v>30.5</v>
      </c>
      <c r="M64">
        <v>29.6</v>
      </c>
      <c r="N64">
        <v>28.1</v>
      </c>
      <c r="O64">
        <v>27.2</v>
      </c>
      <c r="P64">
        <v>27.1</v>
      </c>
      <c r="Q64">
        <v>28.1</v>
      </c>
      <c r="R64">
        <v>26.8</v>
      </c>
      <c r="S64">
        <v>24.1</v>
      </c>
      <c r="T64">
        <v>29.5</v>
      </c>
      <c r="U64">
        <v>28.3</v>
      </c>
      <c r="V64">
        <v>27.3</v>
      </c>
      <c r="W64">
        <v>24.1</v>
      </c>
      <c r="X64">
        <v>27.5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34"/>
        <v>1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f t="shared" si="35"/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0</v>
      </c>
      <c r="BT64">
        <f t="shared" si="36"/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f t="shared" si="37"/>
        <v>1</v>
      </c>
      <c r="CG64">
        <f t="shared" si="24"/>
        <v>0</v>
      </c>
      <c r="CH64">
        <f t="shared" si="2"/>
        <v>0</v>
      </c>
      <c r="CI64">
        <f t="shared" si="3"/>
        <v>0</v>
      </c>
      <c r="CJ64">
        <f t="shared" si="4"/>
        <v>0</v>
      </c>
      <c r="CK64">
        <f t="shared" si="5"/>
        <v>0</v>
      </c>
      <c r="CL64">
        <f t="shared" si="6"/>
        <v>0</v>
      </c>
      <c r="CM64">
        <f t="shared" si="7"/>
        <v>0</v>
      </c>
      <c r="CN64">
        <f t="shared" si="8"/>
        <v>0</v>
      </c>
      <c r="CO64">
        <f t="shared" si="9"/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f t="shared" si="38"/>
        <v>1</v>
      </c>
      <c r="CW64">
        <f t="shared" si="39"/>
        <v>1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f t="shared" si="40"/>
        <v>1</v>
      </c>
      <c r="DF64">
        <v>0</v>
      </c>
      <c r="DG64">
        <f t="shared" si="41"/>
        <v>1</v>
      </c>
      <c r="DI64">
        <f t="shared" si="29"/>
        <v>0</v>
      </c>
      <c r="DJ64">
        <f t="shared" si="10"/>
        <v>0</v>
      </c>
      <c r="DK64">
        <f t="shared" si="11"/>
        <v>0</v>
      </c>
      <c r="DL64">
        <f t="shared" si="12"/>
        <v>0</v>
      </c>
      <c r="DM64">
        <f t="shared" si="13"/>
        <v>0</v>
      </c>
      <c r="DN64">
        <f t="shared" si="14"/>
        <v>0</v>
      </c>
      <c r="DO64">
        <f t="shared" si="15"/>
        <v>1</v>
      </c>
      <c r="DP64">
        <f t="shared" si="16"/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f t="shared" si="42"/>
        <v>1</v>
      </c>
      <c r="DX64">
        <f t="shared" si="43"/>
        <v>1</v>
      </c>
      <c r="DZ64">
        <f t="shared" si="32"/>
        <v>0</v>
      </c>
      <c r="EA64">
        <f t="shared" si="17"/>
        <v>0</v>
      </c>
      <c r="EB64">
        <f t="shared" si="18"/>
        <v>0</v>
      </c>
      <c r="EC64">
        <f t="shared" si="19"/>
        <v>0</v>
      </c>
      <c r="ED64">
        <f t="shared" si="20"/>
        <v>0</v>
      </c>
      <c r="EE64">
        <f t="shared" si="21"/>
        <v>1</v>
      </c>
    </row>
    <row r="65" spans="1:135" x14ac:dyDescent="0.35">
      <c r="A65" t="s">
        <v>250</v>
      </c>
      <c r="B65">
        <f>[1]Population!$BB83</f>
        <v>4452800</v>
      </c>
      <c r="C65">
        <f>[1]RealGDP!$BB83</f>
        <v>8241335082.6298161</v>
      </c>
      <c r="D65" s="10">
        <f>[1]GDPcap!$BB83</f>
        <v>1850.8208503929698</v>
      </c>
      <c r="F65" t="s">
        <v>250</v>
      </c>
      <c r="H65">
        <v>-7</v>
      </c>
      <c r="I65">
        <v>-5.7</v>
      </c>
      <c r="J65">
        <v>-1.1000000000000001</v>
      </c>
      <c r="K65">
        <v>6</v>
      </c>
      <c r="L65">
        <v>10.9</v>
      </c>
      <c r="M65">
        <v>14.3</v>
      </c>
      <c r="N65">
        <v>17.3</v>
      </c>
      <c r="O65">
        <v>17</v>
      </c>
      <c r="P65">
        <v>13.1</v>
      </c>
      <c r="Q65">
        <v>7</v>
      </c>
      <c r="R65">
        <v>1.4</v>
      </c>
      <c r="S65">
        <v>-4</v>
      </c>
      <c r="T65">
        <v>5.3</v>
      </c>
      <c r="U65">
        <v>16.2</v>
      </c>
      <c r="V65">
        <v>7.2</v>
      </c>
      <c r="W65">
        <v>-5.4</v>
      </c>
      <c r="X65">
        <v>5.8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34"/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f t="shared" si="35"/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f t="shared" si="36"/>
        <v>1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0</v>
      </c>
      <c r="CE65">
        <f t="shared" si="37"/>
        <v>1</v>
      </c>
      <c r="CG65">
        <f t="shared" si="24"/>
        <v>0</v>
      </c>
      <c r="CH65">
        <f t="shared" si="2"/>
        <v>0</v>
      </c>
      <c r="CI65">
        <f t="shared" si="3"/>
        <v>0</v>
      </c>
      <c r="CJ65">
        <f t="shared" si="4"/>
        <v>1</v>
      </c>
      <c r="CK65">
        <f t="shared" si="5"/>
        <v>0</v>
      </c>
      <c r="CL65">
        <f t="shared" si="6"/>
        <v>0</v>
      </c>
      <c r="CM65">
        <f t="shared" si="7"/>
        <v>0</v>
      </c>
      <c r="CN65">
        <f t="shared" si="8"/>
        <v>0</v>
      </c>
      <c r="CO65">
        <f t="shared" si="9"/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f t="shared" si="38"/>
        <v>0</v>
      </c>
      <c r="CW65">
        <f t="shared" si="39"/>
        <v>1</v>
      </c>
      <c r="CY65">
        <v>0</v>
      </c>
      <c r="CZ65">
        <v>0</v>
      </c>
      <c r="DA65">
        <v>0</v>
      </c>
      <c r="DB65">
        <v>1</v>
      </c>
      <c r="DC65">
        <v>0</v>
      </c>
      <c r="DD65">
        <v>0</v>
      </c>
      <c r="DE65">
        <f t="shared" si="40"/>
        <v>0</v>
      </c>
      <c r="DF65">
        <v>0</v>
      </c>
      <c r="DG65">
        <f t="shared" si="41"/>
        <v>1</v>
      </c>
      <c r="DI65">
        <f t="shared" si="29"/>
        <v>0</v>
      </c>
      <c r="DJ65">
        <f t="shared" si="10"/>
        <v>0</v>
      </c>
      <c r="DK65">
        <f t="shared" si="11"/>
        <v>0</v>
      </c>
      <c r="DL65">
        <f t="shared" si="12"/>
        <v>1</v>
      </c>
      <c r="DM65">
        <f t="shared" si="13"/>
        <v>0</v>
      </c>
      <c r="DN65">
        <f t="shared" si="14"/>
        <v>0</v>
      </c>
      <c r="DO65">
        <f t="shared" si="15"/>
        <v>0</v>
      </c>
      <c r="DP65">
        <f t="shared" si="16"/>
        <v>0</v>
      </c>
      <c r="DR65">
        <v>0</v>
      </c>
      <c r="DS65">
        <v>0</v>
      </c>
      <c r="DT65">
        <v>0</v>
      </c>
      <c r="DU65">
        <v>1</v>
      </c>
      <c r="DV65">
        <v>0</v>
      </c>
      <c r="DW65">
        <f t="shared" si="42"/>
        <v>0</v>
      </c>
      <c r="DX65">
        <f t="shared" si="43"/>
        <v>1</v>
      </c>
      <c r="DZ65">
        <f t="shared" si="32"/>
        <v>0</v>
      </c>
      <c r="EA65">
        <f t="shared" si="17"/>
        <v>0</v>
      </c>
      <c r="EB65">
        <f t="shared" si="18"/>
        <v>0</v>
      </c>
      <c r="EC65">
        <f t="shared" si="19"/>
        <v>1</v>
      </c>
      <c r="ED65">
        <f t="shared" si="20"/>
        <v>0</v>
      </c>
      <c r="EE65">
        <f t="shared" si="21"/>
        <v>0</v>
      </c>
    </row>
    <row r="66" spans="1:135" x14ac:dyDescent="0.35">
      <c r="A66" t="s">
        <v>170</v>
      </c>
      <c r="B66">
        <f>[1]Population!$BB84</f>
        <v>81776930</v>
      </c>
      <c r="C66">
        <f>[1]RealGDP!$BB84</f>
        <v>2954359050887.9268</v>
      </c>
      <c r="D66" s="10">
        <f>[1]GDPcap!$BB84</f>
        <v>36127.047700224583</v>
      </c>
      <c r="F66" t="s">
        <v>170</v>
      </c>
      <c r="H66">
        <v>-0.5</v>
      </c>
      <c r="I66">
        <v>0.4</v>
      </c>
      <c r="J66">
        <v>3.7</v>
      </c>
      <c r="K66">
        <v>7.6</v>
      </c>
      <c r="L66">
        <v>12.2</v>
      </c>
      <c r="M66">
        <v>15.5</v>
      </c>
      <c r="N66">
        <v>17.2</v>
      </c>
      <c r="O66">
        <v>16.899999999999999</v>
      </c>
      <c r="P66">
        <v>13.8</v>
      </c>
      <c r="Q66">
        <v>9.4</v>
      </c>
      <c r="R66">
        <v>4.2</v>
      </c>
      <c r="S66">
        <v>0.8</v>
      </c>
      <c r="T66">
        <v>7.8</v>
      </c>
      <c r="U66">
        <v>16.5</v>
      </c>
      <c r="V66">
        <v>9.1</v>
      </c>
      <c r="W66">
        <v>0.2</v>
      </c>
      <c r="X66">
        <v>8.4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0</v>
      </c>
      <c r="AN66">
        <v>0</v>
      </c>
      <c r="AO66">
        <f t="shared" si="34"/>
        <v>1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f t="shared" si="35"/>
        <v>1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 t="shared" si="36"/>
        <v>1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f t="shared" si="37"/>
        <v>1</v>
      </c>
      <c r="CG66">
        <f t="shared" si="24"/>
        <v>0</v>
      </c>
      <c r="CH66">
        <f t="shared" si="2"/>
        <v>1</v>
      </c>
      <c r="CI66">
        <f t="shared" si="3"/>
        <v>0</v>
      </c>
      <c r="CJ66">
        <f t="shared" si="4"/>
        <v>0</v>
      </c>
      <c r="CK66">
        <f t="shared" si="5"/>
        <v>0</v>
      </c>
      <c r="CL66">
        <f t="shared" si="6"/>
        <v>0</v>
      </c>
      <c r="CM66">
        <f t="shared" si="7"/>
        <v>0</v>
      </c>
      <c r="CN66">
        <f t="shared" si="8"/>
        <v>0</v>
      </c>
      <c r="CO66">
        <f t="shared" si="9"/>
        <v>0</v>
      </c>
      <c r="CQ66">
        <v>0</v>
      </c>
      <c r="CR66">
        <v>0</v>
      </c>
      <c r="CS66">
        <v>0</v>
      </c>
      <c r="CT66">
        <v>1</v>
      </c>
      <c r="CU66">
        <v>0</v>
      </c>
      <c r="CV66">
        <f t="shared" si="38"/>
        <v>0</v>
      </c>
      <c r="CW66">
        <f t="shared" si="39"/>
        <v>1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f t="shared" si="40"/>
        <v>0</v>
      </c>
      <c r="DF66">
        <v>0</v>
      </c>
      <c r="DG66">
        <f t="shared" si="41"/>
        <v>1</v>
      </c>
      <c r="DI66">
        <f t="shared" si="29"/>
        <v>1</v>
      </c>
      <c r="DJ66">
        <f t="shared" si="10"/>
        <v>0</v>
      </c>
      <c r="DK66">
        <f t="shared" si="11"/>
        <v>0</v>
      </c>
      <c r="DL66">
        <f t="shared" si="12"/>
        <v>0</v>
      </c>
      <c r="DM66">
        <f t="shared" si="13"/>
        <v>0</v>
      </c>
      <c r="DN66">
        <f t="shared" si="14"/>
        <v>0</v>
      </c>
      <c r="DO66">
        <f t="shared" si="15"/>
        <v>0</v>
      </c>
      <c r="DP66">
        <f t="shared" si="16"/>
        <v>0</v>
      </c>
      <c r="DR66">
        <v>1</v>
      </c>
      <c r="DS66">
        <v>0</v>
      </c>
      <c r="DT66">
        <v>0</v>
      </c>
      <c r="DU66">
        <v>0</v>
      </c>
      <c r="DV66">
        <v>0</v>
      </c>
      <c r="DW66">
        <f t="shared" si="42"/>
        <v>0</v>
      </c>
      <c r="DX66">
        <f t="shared" si="43"/>
        <v>1</v>
      </c>
      <c r="DZ66">
        <f t="shared" si="32"/>
        <v>1</v>
      </c>
      <c r="EA66">
        <f t="shared" si="17"/>
        <v>0</v>
      </c>
      <c r="EB66">
        <f t="shared" si="18"/>
        <v>0</v>
      </c>
      <c r="EC66">
        <f t="shared" si="19"/>
        <v>0</v>
      </c>
      <c r="ED66">
        <f t="shared" si="20"/>
        <v>0</v>
      </c>
      <c r="EE66">
        <f t="shared" si="21"/>
        <v>0</v>
      </c>
    </row>
    <row r="67" spans="1:135" x14ac:dyDescent="0.35">
      <c r="A67" t="s">
        <v>252</v>
      </c>
      <c r="B67">
        <f>[1]Population!$BB85</f>
        <v>24262901</v>
      </c>
      <c r="C67">
        <f>[1]RealGDP!$BB85</f>
        <v>14804825656.667994</v>
      </c>
      <c r="D67" s="10">
        <f>[1]GDPcap!$BB85</f>
        <v>610.18365679635724</v>
      </c>
      <c r="F67" t="s">
        <v>252</v>
      </c>
      <c r="H67">
        <v>26.8</v>
      </c>
      <c r="I67">
        <v>28.9</v>
      </c>
      <c r="J67">
        <v>29.4</v>
      </c>
      <c r="K67">
        <v>29.1</v>
      </c>
      <c r="L67">
        <v>28.1</v>
      </c>
      <c r="M67">
        <v>26.6</v>
      </c>
      <c r="N67">
        <v>25.6</v>
      </c>
      <c r="O67">
        <v>25.3</v>
      </c>
      <c r="P67">
        <v>25.8</v>
      </c>
      <c r="Q67">
        <v>26.8</v>
      </c>
      <c r="R67">
        <v>27.2</v>
      </c>
      <c r="S67">
        <v>26.4</v>
      </c>
      <c r="T67">
        <v>28.9</v>
      </c>
      <c r="U67">
        <v>25.8</v>
      </c>
      <c r="V67">
        <v>26.6</v>
      </c>
      <c r="W67">
        <v>26.5</v>
      </c>
      <c r="X67">
        <v>27.2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34"/>
        <v>1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f t="shared" si="35"/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0</v>
      </c>
      <c r="BT67">
        <f t="shared" si="36"/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f t="shared" si="37"/>
        <v>1</v>
      </c>
      <c r="CG67">
        <f t="shared" si="24"/>
        <v>0</v>
      </c>
      <c r="CH67">
        <f t="shared" ref="CH67:CH130" si="44">BW67</f>
        <v>0</v>
      </c>
      <c r="CI67">
        <f t="shared" ref="CI67:CI130" si="45">BX67</f>
        <v>0</v>
      </c>
      <c r="CJ67">
        <f t="shared" ref="CJ67:CJ130" si="46">BY67</f>
        <v>0</v>
      </c>
      <c r="CK67">
        <f t="shared" ref="CK67:CK130" si="47">BZ67</f>
        <v>0</v>
      </c>
      <c r="CL67">
        <f t="shared" ref="CL67:CL130" si="48">CA67</f>
        <v>0</v>
      </c>
      <c r="CM67">
        <f t="shared" ref="CM67:CM130" si="49">CB67</f>
        <v>0</v>
      </c>
      <c r="CN67">
        <f t="shared" ref="CN67:CN130" si="50">CC67</f>
        <v>0</v>
      </c>
      <c r="CO67">
        <f t="shared" ref="CO67:CO130" si="51">CD67</f>
        <v>1</v>
      </c>
      <c r="CQ67">
        <v>0</v>
      </c>
      <c r="CR67">
        <v>0</v>
      </c>
      <c r="CS67">
        <v>0</v>
      </c>
      <c r="CT67">
        <v>0</v>
      </c>
      <c r="CU67">
        <v>0</v>
      </c>
      <c r="CV67">
        <f t="shared" si="38"/>
        <v>1</v>
      </c>
      <c r="CW67">
        <f t="shared" si="39"/>
        <v>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f t="shared" si="40"/>
        <v>1</v>
      </c>
      <c r="DF67">
        <v>0</v>
      </c>
      <c r="DG67">
        <f t="shared" si="41"/>
        <v>1</v>
      </c>
      <c r="DI67">
        <f t="shared" si="29"/>
        <v>0</v>
      </c>
      <c r="DJ67">
        <f t="shared" ref="DJ67:DJ130" si="52">CZ67</f>
        <v>0</v>
      </c>
      <c r="DK67">
        <f t="shared" ref="DK67:DK130" si="53">DA67</f>
        <v>0</v>
      </c>
      <c r="DL67">
        <f t="shared" ref="DL67:DL130" si="54">DB67</f>
        <v>0</v>
      </c>
      <c r="DM67">
        <f t="shared" ref="DM67:DM130" si="55">DC67</f>
        <v>0</v>
      </c>
      <c r="DN67">
        <f t="shared" ref="DN67:DN130" si="56">DD67</f>
        <v>0</v>
      </c>
      <c r="DO67">
        <f t="shared" ref="DO67:DO130" si="57">DE67</f>
        <v>1</v>
      </c>
      <c r="DP67">
        <f t="shared" ref="DP67:DP130" si="58">DF67</f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f t="shared" si="42"/>
        <v>1</v>
      </c>
      <c r="DX67">
        <f t="shared" si="43"/>
        <v>1</v>
      </c>
      <c r="DZ67">
        <f t="shared" si="32"/>
        <v>0</v>
      </c>
      <c r="EA67">
        <f t="shared" ref="EA67:EA130" si="59">DS67</f>
        <v>0</v>
      </c>
      <c r="EB67">
        <f t="shared" ref="EB67:EB130" si="60">DT67</f>
        <v>0</v>
      </c>
      <c r="EC67">
        <f t="shared" ref="EC67:EC130" si="61">DU67</f>
        <v>0</v>
      </c>
      <c r="ED67">
        <f t="shared" ref="ED67:ED130" si="62">DV67</f>
        <v>0</v>
      </c>
      <c r="EE67">
        <f t="shared" ref="EE67:EE130" si="63">DW67</f>
        <v>1</v>
      </c>
    </row>
    <row r="68" spans="1:135" x14ac:dyDescent="0.35">
      <c r="A68" t="s">
        <v>171</v>
      </c>
      <c r="B68">
        <f>[1]Population!$BB87</f>
        <v>11307502</v>
      </c>
      <c r="C68">
        <f>[1]RealGDP!$BB87</f>
        <v>240951131470.42734</v>
      </c>
      <c r="D68" s="10">
        <f>[1]GDPcap!$BB87</f>
        <v>21308.962091753539</v>
      </c>
      <c r="F68" t="s">
        <v>171</v>
      </c>
      <c r="H68">
        <v>6.8</v>
      </c>
      <c r="I68">
        <v>7.7</v>
      </c>
      <c r="J68">
        <v>9.8000000000000007</v>
      </c>
      <c r="K68">
        <v>13.4</v>
      </c>
      <c r="L68">
        <v>17.8</v>
      </c>
      <c r="M68">
        <v>21.9</v>
      </c>
      <c r="N68">
        <v>24.4</v>
      </c>
      <c r="O68">
        <v>24.2</v>
      </c>
      <c r="P68">
        <v>21.2</v>
      </c>
      <c r="Q68">
        <v>16.399999999999999</v>
      </c>
      <c r="R68">
        <v>12.2</v>
      </c>
      <c r="S68">
        <v>8.5</v>
      </c>
      <c r="T68">
        <v>13.7</v>
      </c>
      <c r="U68">
        <v>23.5</v>
      </c>
      <c r="V68">
        <v>16.600000000000001</v>
      </c>
      <c r="W68">
        <v>7.5</v>
      </c>
      <c r="X68">
        <v>15.4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0</v>
      </c>
      <c r="AO68">
        <f t="shared" si="34"/>
        <v>1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f t="shared" si="35"/>
        <v>1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 t="shared" si="36"/>
        <v>1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f t="shared" si="37"/>
        <v>1</v>
      </c>
      <c r="CG68">
        <f t="shared" ref="CG68:CG131" si="64">BV68</f>
        <v>0</v>
      </c>
      <c r="CH68">
        <f t="shared" si="44"/>
        <v>1</v>
      </c>
      <c r="CI68">
        <f t="shared" si="45"/>
        <v>0</v>
      </c>
      <c r="CJ68">
        <f t="shared" si="46"/>
        <v>0</v>
      </c>
      <c r="CK68">
        <f t="shared" si="47"/>
        <v>0</v>
      </c>
      <c r="CL68">
        <f t="shared" si="48"/>
        <v>0</v>
      </c>
      <c r="CM68">
        <f t="shared" si="49"/>
        <v>0</v>
      </c>
      <c r="CN68">
        <f t="shared" si="50"/>
        <v>0</v>
      </c>
      <c r="CO68">
        <f t="shared" si="51"/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f t="shared" si="38"/>
        <v>0</v>
      </c>
      <c r="CW68">
        <f t="shared" si="39"/>
        <v>1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f t="shared" si="40"/>
        <v>0</v>
      </c>
      <c r="DF68">
        <v>0</v>
      </c>
      <c r="DG68">
        <f t="shared" si="41"/>
        <v>1</v>
      </c>
      <c r="DI68">
        <f t="shared" ref="DI68:DI131" si="65">CY68</f>
        <v>1</v>
      </c>
      <c r="DJ68">
        <f t="shared" si="52"/>
        <v>0</v>
      </c>
      <c r="DK68">
        <f t="shared" si="53"/>
        <v>0</v>
      </c>
      <c r="DL68">
        <f t="shared" si="54"/>
        <v>0</v>
      </c>
      <c r="DM68">
        <f t="shared" si="55"/>
        <v>0</v>
      </c>
      <c r="DN68">
        <f t="shared" si="56"/>
        <v>0</v>
      </c>
      <c r="DO68">
        <f t="shared" si="57"/>
        <v>0</v>
      </c>
      <c r="DP68">
        <f t="shared" si="58"/>
        <v>0</v>
      </c>
      <c r="DR68">
        <v>1</v>
      </c>
      <c r="DS68">
        <v>0</v>
      </c>
      <c r="DT68">
        <v>0</v>
      </c>
      <c r="DU68">
        <v>0</v>
      </c>
      <c r="DV68">
        <v>0</v>
      </c>
      <c r="DW68">
        <f t="shared" si="42"/>
        <v>0</v>
      </c>
      <c r="DX68">
        <f t="shared" si="43"/>
        <v>1</v>
      </c>
      <c r="DZ68">
        <f t="shared" ref="DZ68:DZ131" si="66">DR68</f>
        <v>1</v>
      </c>
      <c r="EA68">
        <f t="shared" si="59"/>
        <v>0</v>
      </c>
      <c r="EB68">
        <f t="shared" si="60"/>
        <v>0</v>
      </c>
      <c r="EC68">
        <f t="shared" si="61"/>
        <v>0</v>
      </c>
      <c r="ED68">
        <f t="shared" si="62"/>
        <v>0</v>
      </c>
      <c r="EE68">
        <f t="shared" si="63"/>
        <v>0</v>
      </c>
    </row>
    <row r="69" spans="1:135" x14ac:dyDescent="0.35">
      <c r="A69" t="s">
        <v>172</v>
      </c>
      <c r="B69">
        <f>[1]Population!$BB89</f>
        <v>104677</v>
      </c>
      <c r="C69">
        <f>[1]RealGDP!$BB89</f>
        <v>664521216.22512019</v>
      </c>
      <c r="D69" s="10">
        <f>[1]GDPcap!$BB89</f>
        <v>6348.3020742390418</v>
      </c>
      <c r="F69" t="s">
        <v>172</v>
      </c>
      <c r="H69">
        <v>25.2</v>
      </c>
      <c r="I69">
        <v>25.2</v>
      </c>
      <c r="J69">
        <v>25.9</v>
      </c>
      <c r="K69">
        <v>26.6</v>
      </c>
      <c r="L69">
        <v>27.5</v>
      </c>
      <c r="M69">
        <v>27.4</v>
      </c>
      <c r="N69">
        <v>27.2</v>
      </c>
      <c r="O69">
        <v>27.4</v>
      </c>
      <c r="P69">
        <v>27.4</v>
      </c>
      <c r="Q69">
        <v>27.1</v>
      </c>
      <c r="R69">
        <v>26.6</v>
      </c>
      <c r="S69">
        <v>25.8</v>
      </c>
      <c r="T69">
        <v>26.7</v>
      </c>
      <c r="U69">
        <v>27.3</v>
      </c>
      <c r="V69">
        <v>27</v>
      </c>
      <c r="W69">
        <v>24.5</v>
      </c>
      <c r="X69">
        <v>26.6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f t="shared" si="34"/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f t="shared" si="35"/>
        <v>1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f t="shared" si="36"/>
        <v>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0</v>
      </c>
      <c r="CC69">
        <v>0</v>
      </c>
      <c r="CD69">
        <v>0</v>
      </c>
      <c r="CE69">
        <f t="shared" si="37"/>
        <v>1</v>
      </c>
      <c r="CG69">
        <f t="shared" si="64"/>
        <v>0</v>
      </c>
      <c r="CH69">
        <f t="shared" si="44"/>
        <v>0</v>
      </c>
      <c r="CI69">
        <f t="shared" si="45"/>
        <v>0</v>
      </c>
      <c r="CJ69">
        <f t="shared" si="46"/>
        <v>0</v>
      </c>
      <c r="CK69">
        <f t="shared" si="47"/>
        <v>0</v>
      </c>
      <c r="CL69">
        <f t="shared" si="48"/>
        <v>1</v>
      </c>
      <c r="CM69">
        <f t="shared" si="49"/>
        <v>0</v>
      </c>
      <c r="CN69">
        <f t="shared" si="50"/>
        <v>0</v>
      </c>
      <c r="CO69">
        <f t="shared" si="51"/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f t="shared" si="38"/>
        <v>1</v>
      </c>
      <c r="CW69">
        <f t="shared" si="39"/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f t="shared" si="40"/>
        <v>0</v>
      </c>
      <c r="DF69">
        <v>1</v>
      </c>
      <c r="DG69">
        <f t="shared" si="41"/>
        <v>1</v>
      </c>
      <c r="DI69">
        <f t="shared" si="65"/>
        <v>0</v>
      </c>
      <c r="DJ69">
        <f t="shared" si="52"/>
        <v>0</v>
      </c>
      <c r="DK69">
        <f t="shared" si="53"/>
        <v>0</v>
      </c>
      <c r="DL69">
        <f t="shared" si="54"/>
        <v>0</v>
      </c>
      <c r="DM69">
        <f t="shared" si="55"/>
        <v>0</v>
      </c>
      <c r="DN69">
        <f t="shared" si="56"/>
        <v>0</v>
      </c>
      <c r="DO69">
        <f t="shared" si="57"/>
        <v>0</v>
      </c>
      <c r="DP69">
        <f t="shared" si="58"/>
        <v>1</v>
      </c>
      <c r="DR69">
        <v>0</v>
      </c>
      <c r="DS69">
        <v>0</v>
      </c>
      <c r="DT69">
        <v>0</v>
      </c>
      <c r="DU69">
        <v>0</v>
      </c>
      <c r="DV69">
        <v>0</v>
      </c>
      <c r="DW69">
        <f t="shared" si="42"/>
        <v>1</v>
      </c>
      <c r="DX69">
        <f t="shared" si="43"/>
        <v>1</v>
      </c>
      <c r="DZ69">
        <f t="shared" si="66"/>
        <v>0</v>
      </c>
      <c r="EA69">
        <f t="shared" si="59"/>
        <v>0</v>
      </c>
      <c r="EB69">
        <f t="shared" si="60"/>
        <v>0</v>
      </c>
      <c r="EC69">
        <f t="shared" si="61"/>
        <v>0</v>
      </c>
      <c r="ED69">
        <f t="shared" si="62"/>
        <v>0</v>
      </c>
      <c r="EE69">
        <f t="shared" si="63"/>
        <v>1</v>
      </c>
    </row>
    <row r="70" spans="1:135" x14ac:dyDescent="0.35">
      <c r="A70" t="s">
        <v>173</v>
      </c>
      <c r="B70">
        <f>[1]Population!$BB92</f>
        <v>14341576</v>
      </c>
      <c r="C70">
        <f>[1]RealGDP!$BB92</f>
        <v>32556756308.965832</v>
      </c>
      <c r="D70" s="10">
        <f>[1]GDPcap!$BB92</f>
        <v>2270.0961392922113</v>
      </c>
      <c r="F70" t="s">
        <v>173</v>
      </c>
      <c r="H70">
        <v>21.1</v>
      </c>
      <c r="I70">
        <v>21.9</v>
      </c>
      <c r="J70">
        <v>23.3</v>
      </c>
      <c r="K70">
        <v>24.7</v>
      </c>
      <c r="L70">
        <v>25.2</v>
      </c>
      <c r="M70">
        <v>24.8</v>
      </c>
      <c r="N70">
        <v>24.3</v>
      </c>
      <c r="O70">
        <v>24.4</v>
      </c>
      <c r="P70">
        <v>24.1</v>
      </c>
      <c r="Q70">
        <v>23.4</v>
      </c>
      <c r="R70">
        <v>22.3</v>
      </c>
      <c r="S70">
        <v>21.5</v>
      </c>
      <c r="T70">
        <v>24.4</v>
      </c>
      <c r="U70">
        <v>24.5</v>
      </c>
      <c r="V70">
        <v>23.2</v>
      </c>
      <c r="W70">
        <v>20.8</v>
      </c>
      <c r="X70">
        <v>23.4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f t="shared" si="34"/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f t="shared" si="35"/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f t="shared" si="36"/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f t="shared" si="37"/>
        <v>1</v>
      </c>
      <c r="CG70">
        <f t="shared" si="64"/>
        <v>0</v>
      </c>
      <c r="CH70">
        <f t="shared" si="44"/>
        <v>0</v>
      </c>
      <c r="CI70">
        <f t="shared" si="45"/>
        <v>0</v>
      </c>
      <c r="CJ70">
        <f t="shared" si="46"/>
        <v>0</v>
      </c>
      <c r="CK70">
        <f t="shared" si="47"/>
        <v>0</v>
      </c>
      <c r="CL70">
        <f t="shared" si="48"/>
        <v>1</v>
      </c>
      <c r="CM70">
        <f t="shared" si="49"/>
        <v>0</v>
      </c>
      <c r="CN70">
        <f t="shared" si="50"/>
        <v>0</v>
      </c>
      <c r="CO70">
        <f t="shared" si="51"/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f t="shared" si="38"/>
        <v>1</v>
      </c>
      <c r="CW70">
        <f t="shared" si="39"/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f t="shared" si="40"/>
        <v>0</v>
      </c>
      <c r="DF70">
        <v>1</v>
      </c>
      <c r="DG70">
        <f t="shared" si="41"/>
        <v>1</v>
      </c>
      <c r="DI70">
        <f t="shared" si="65"/>
        <v>0</v>
      </c>
      <c r="DJ70">
        <f t="shared" si="52"/>
        <v>0</v>
      </c>
      <c r="DK70">
        <f t="shared" si="53"/>
        <v>0</v>
      </c>
      <c r="DL70">
        <f t="shared" si="54"/>
        <v>0</v>
      </c>
      <c r="DM70">
        <f t="shared" si="55"/>
        <v>0</v>
      </c>
      <c r="DN70">
        <f t="shared" si="56"/>
        <v>0</v>
      </c>
      <c r="DO70">
        <f t="shared" si="57"/>
        <v>0</v>
      </c>
      <c r="DP70">
        <f t="shared" si="58"/>
        <v>1</v>
      </c>
      <c r="DR70">
        <v>0</v>
      </c>
      <c r="DS70">
        <v>0</v>
      </c>
      <c r="DT70">
        <v>0</v>
      </c>
      <c r="DU70">
        <v>0</v>
      </c>
      <c r="DV70">
        <v>0</v>
      </c>
      <c r="DW70">
        <f t="shared" si="42"/>
        <v>1</v>
      </c>
      <c r="DX70">
        <f t="shared" si="43"/>
        <v>1</v>
      </c>
      <c r="DZ70">
        <f t="shared" si="66"/>
        <v>0</v>
      </c>
      <c r="EA70">
        <f t="shared" si="59"/>
        <v>0</v>
      </c>
      <c r="EB70">
        <f t="shared" si="60"/>
        <v>0</v>
      </c>
      <c r="EC70">
        <f t="shared" si="61"/>
        <v>0</v>
      </c>
      <c r="ED70">
        <f t="shared" si="62"/>
        <v>0</v>
      </c>
      <c r="EE70">
        <f t="shared" si="63"/>
        <v>1</v>
      </c>
    </row>
    <row r="71" spans="1:135" x14ac:dyDescent="0.35">
      <c r="A71" t="s">
        <v>406</v>
      </c>
      <c r="B71">
        <f>[1]Population!$BB94</f>
        <v>10876033</v>
      </c>
      <c r="C71">
        <f>[1]RealGDP!$BB94</f>
        <v>3267609254.7415366</v>
      </c>
      <c r="D71" s="10">
        <f>[1]GDPcap!$BB94</f>
        <v>300.44127805988973</v>
      </c>
      <c r="F71" t="s">
        <v>406</v>
      </c>
      <c r="H71">
        <v>24.3</v>
      </c>
      <c r="I71">
        <v>26.3</v>
      </c>
      <c r="J71">
        <v>27.8</v>
      </c>
      <c r="K71">
        <v>28.5</v>
      </c>
      <c r="L71">
        <v>27.8</v>
      </c>
      <c r="M71">
        <v>25.8</v>
      </c>
      <c r="N71">
        <v>24.6</v>
      </c>
      <c r="O71">
        <v>24.3</v>
      </c>
      <c r="P71">
        <v>24.7</v>
      </c>
      <c r="Q71">
        <v>25.3</v>
      </c>
      <c r="R71">
        <v>25.2</v>
      </c>
      <c r="S71">
        <v>23.7</v>
      </c>
      <c r="T71">
        <v>28</v>
      </c>
      <c r="U71">
        <v>24.9</v>
      </c>
      <c r="V71">
        <v>25.1</v>
      </c>
      <c r="W71">
        <v>24</v>
      </c>
      <c r="X71">
        <v>25.7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34"/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0</v>
      </c>
      <c r="BE71">
        <f t="shared" si="35"/>
        <v>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0</v>
      </c>
      <c r="BT71">
        <f t="shared" si="36"/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f t="shared" si="37"/>
        <v>1</v>
      </c>
      <c r="CG71">
        <f t="shared" si="64"/>
        <v>0</v>
      </c>
      <c r="CH71">
        <f t="shared" si="44"/>
        <v>0</v>
      </c>
      <c r="CI71">
        <f t="shared" si="45"/>
        <v>0</v>
      </c>
      <c r="CJ71">
        <f t="shared" si="46"/>
        <v>0</v>
      </c>
      <c r="CK71">
        <f t="shared" si="47"/>
        <v>0</v>
      </c>
      <c r="CL71">
        <f t="shared" si="48"/>
        <v>0</v>
      </c>
      <c r="CM71">
        <f t="shared" si="49"/>
        <v>0</v>
      </c>
      <c r="CN71">
        <f t="shared" si="50"/>
        <v>0</v>
      </c>
      <c r="CO71">
        <f t="shared" si="51"/>
        <v>1</v>
      </c>
      <c r="CQ71">
        <v>0</v>
      </c>
      <c r="CR71">
        <v>0</v>
      </c>
      <c r="CS71">
        <v>0</v>
      </c>
      <c r="CT71">
        <v>0</v>
      </c>
      <c r="CU71">
        <v>0</v>
      </c>
      <c r="CV71">
        <f t="shared" si="38"/>
        <v>1</v>
      </c>
      <c r="CW71">
        <f t="shared" si="39"/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f t="shared" si="40"/>
        <v>1</v>
      </c>
      <c r="DF71">
        <v>0</v>
      </c>
      <c r="DG71">
        <f t="shared" si="41"/>
        <v>1</v>
      </c>
      <c r="DI71">
        <f t="shared" si="65"/>
        <v>0</v>
      </c>
      <c r="DJ71">
        <f t="shared" si="52"/>
        <v>0</v>
      </c>
      <c r="DK71">
        <f t="shared" si="53"/>
        <v>0</v>
      </c>
      <c r="DL71">
        <f t="shared" si="54"/>
        <v>0</v>
      </c>
      <c r="DM71">
        <f t="shared" si="55"/>
        <v>0</v>
      </c>
      <c r="DN71">
        <f t="shared" si="56"/>
        <v>0</v>
      </c>
      <c r="DO71">
        <f t="shared" si="57"/>
        <v>1</v>
      </c>
      <c r="DP71">
        <f t="shared" si="58"/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f t="shared" si="42"/>
        <v>1</v>
      </c>
      <c r="DX71">
        <f t="shared" si="43"/>
        <v>1</v>
      </c>
      <c r="DZ71">
        <f t="shared" si="66"/>
        <v>0</v>
      </c>
      <c r="EA71">
        <f t="shared" si="59"/>
        <v>0</v>
      </c>
      <c r="EB71">
        <f t="shared" si="60"/>
        <v>0</v>
      </c>
      <c r="EC71">
        <f t="shared" si="61"/>
        <v>0</v>
      </c>
      <c r="ED71">
        <f t="shared" si="62"/>
        <v>0</v>
      </c>
      <c r="EE71">
        <f t="shared" si="63"/>
        <v>1</v>
      </c>
    </row>
    <row r="72" spans="1:135" x14ac:dyDescent="0.35">
      <c r="A72" t="s">
        <v>407</v>
      </c>
      <c r="B72">
        <f>[1]Population!$BB95</f>
        <v>1586624</v>
      </c>
      <c r="C72">
        <f>[1]RealGDP!$BB95</f>
        <v>654977405.69626474</v>
      </c>
      <c r="D72" s="10">
        <f>[1]GDPcap!$BB95</f>
        <v>412.81198676955898</v>
      </c>
      <c r="F72" t="s">
        <v>407</v>
      </c>
      <c r="H72">
        <v>24.3</v>
      </c>
      <c r="I72">
        <v>26.2</v>
      </c>
      <c r="J72">
        <v>27.9</v>
      </c>
      <c r="K72">
        <v>28.9</v>
      </c>
      <c r="L72">
        <v>29.1</v>
      </c>
      <c r="M72">
        <v>27.8</v>
      </c>
      <c r="N72">
        <v>26.4</v>
      </c>
      <c r="O72">
        <v>25.9</v>
      </c>
      <c r="P72">
        <v>26.3</v>
      </c>
      <c r="Q72">
        <v>27</v>
      </c>
      <c r="R72">
        <v>26.5</v>
      </c>
      <c r="S72">
        <v>24.2</v>
      </c>
      <c r="T72">
        <v>28.7</v>
      </c>
      <c r="U72">
        <v>26.7</v>
      </c>
      <c r="V72">
        <v>26.6</v>
      </c>
      <c r="W72">
        <v>24.1</v>
      </c>
      <c r="X72">
        <v>26.7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34"/>
        <v>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0</v>
      </c>
      <c r="BB72">
        <v>0</v>
      </c>
      <c r="BC72">
        <v>0</v>
      </c>
      <c r="BD72">
        <v>0</v>
      </c>
      <c r="BE72">
        <f t="shared" si="35"/>
        <v>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</v>
      </c>
      <c r="BS72">
        <v>0</v>
      </c>
      <c r="BT72">
        <f t="shared" si="36"/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f t="shared" si="37"/>
        <v>1</v>
      </c>
      <c r="CG72">
        <f t="shared" si="64"/>
        <v>0</v>
      </c>
      <c r="CH72">
        <f t="shared" si="44"/>
        <v>0</v>
      </c>
      <c r="CI72">
        <f t="shared" si="45"/>
        <v>0</v>
      </c>
      <c r="CJ72">
        <f t="shared" si="46"/>
        <v>0</v>
      </c>
      <c r="CK72">
        <f t="shared" si="47"/>
        <v>0</v>
      </c>
      <c r="CL72">
        <f t="shared" si="48"/>
        <v>0</v>
      </c>
      <c r="CM72">
        <f t="shared" si="49"/>
        <v>0</v>
      </c>
      <c r="CN72">
        <f t="shared" si="50"/>
        <v>0</v>
      </c>
      <c r="CO72">
        <f t="shared" si="51"/>
        <v>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f t="shared" si="38"/>
        <v>1</v>
      </c>
      <c r="CW72">
        <f t="shared" si="39"/>
        <v>1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f t="shared" si="40"/>
        <v>1</v>
      </c>
      <c r="DF72">
        <v>0</v>
      </c>
      <c r="DG72">
        <f t="shared" si="41"/>
        <v>1</v>
      </c>
      <c r="DI72">
        <f t="shared" si="65"/>
        <v>0</v>
      </c>
      <c r="DJ72">
        <f t="shared" si="52"/>
        <v>0</v>
      </c>
      <c r="DK72">
        <f t="shared" si="53"/>
        <v>0</v>
      </c>
      <c r="DL72">
        <f t="shared" si="54"/>
        <v>0</v>
      </c>
      <c r="DM72">
        <f t="shared" si="55"/>
        <v>0</v>
      </c>
      <c r="DN72">
        <f t="shared" si="56"/>
        <v>0</v>
      </c>
      <c r="DO72">
        <f t="shared" si="57"/>
        <v>1</v>
      </c>
      <c r="DP72">
        <f t="shared" si="58"/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f t="shared" si="42"/>
        <v>1</v>
      </c>
      <c r="DX72">
        <f t="shared" si="43"/>
        <v>1</v>
      </c>
      <c r="DZ72">
        <f t="shared" si="66"/>
        <v>0</v>
      </c>
      <c r="EA72">
        <f t="shared" si="59"/>
        <v>0</v>
      </c>
      <c r="EB72">
        <f t="shared" si="60"/>
        <v>0</v>
      </c>
      <c r="EC72">
        <f t="shared" si="61"/>
        <v>0</v>
      </c>
      <c r="ED72">
        <f t="shared" si="62"/>
        <v>0</v>
      </c>
      <c r="EE72">
        <f t="shared" si="63"/>
        <v>1</v>
      </c>
    </row>
    <row r="73" spans="1:135" x14ac:dyDescent="0.35">
      <c r="A73" t="s">
        <v>408</v>
      </c>
      <c r="B73">
        <f>[1]Population!$BB96</f>
        <v>786126</v>
      </c>
      <c r="C73">
        <f>[1]RealGDP!$BB96</f>
        <v>918902044.7624557</v>
      </c>
      <c r="D73" s="10">
        <f>[1]GDPcap!$BB96</f>
        <v>1168.8991901583915</v>
      </c>
      <c r="F73" t="s">
        <v>408</v>
      </c>
      <c r="H73">
        <v>25.3</v>
      </c>
      <c r="I73">
        <v>25.4</v>
      </c>
      <c r="J73">
        <v>25.8</v>
      </c>
      <c r="K73">
        <v>26</v>
      </c>
      <c r="L73">
        <v>25.9</v>
      </c>
      <c r="M73">
        <v>25.6</v>
      </c>
      <c r="N73">
        <v>25.6</v>
      </c>
      <c r="O73">
        <v>26</v>
      </c>
      <c r="P73">
        <v>26.5</v>
      </c>
      <c r="Q73">
        <v>26.8</v>
      </c>
      <c r="R73">
        <v>26.5</v>
      </c>
      <c r="S73">
        <v>25.8</v>
      </c>
      <c r="T73">
        <v>25.9</v>
      </c>
      <c r="U73">
        <v>25.7</v>
      </c>
      <c r="V73">
        <v>26.6</v>
      </c>
      <c r="W73">
        <v>24.7</v>
      </c>
      <c r="X73">
        <v>25.9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</v>
      </c>
      <c r="AO73">
        <f t="shared" si="34"/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1</v>
      </c>
      <c r="BE73">
        <f t="shared" si="35"/>
        <v>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f t="shared" si="36"/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0</v>
      </c>
      <c r="CC73">
        <v>0</v>
      </c>
      <c r="CD73">
        <v>0</v>
      </c>
      <c r="CE73">
        <f t="shared" si="37"/>
        <v>1</v>
      </c>
      <c r="CG73">
        <f t="shared" si="64"/>
        <v>0</v>
      </c>
      <c r="CH73">
        <f t="shared" si="44"/>
        <v>0</v>
      </c>
      <c r="CI73">
        <f t="shared" si="45"/>
        <v>0</v>
      </c>
      <c r="CJ73">
        <f t="shared" si="46"/>
        <v>0</v>
      </c>
      <c r="CK73">
        <f t="shared" si="47"/>
        <v>0</v>
      </c>
      <c r="CL73">
        <f t="shared" si="48"/>
        <v>1</v>
      </c>
      <c r="CM73">
        <f t="shared" si="49"/>
        <v>0</v>
      </c>
      <c r="CN73">
        <f t="shared" si="50"/>
        <v>0</v>
      </c>
      <c r="CO73">
        <f t="shared" si="51"/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f t="shared" si="38"/>
        <v>1</v>
      </c>
      <c r="CW73">
        <f t="shared" si="39"/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f t="shared" si="40"/>
        <v>0</v>
      </c>
      <c r="DF73">
        <v>1</v>
      </c>
      <c r="DG73">
        <f t="shared" si="41"/>
        <v>1</v>
      </c>
      <c r="DI73">
        <f t="shared" si="65"/>
        <v>0</v>
      </c>
      <c r="DJ73">
        <f t="shared" si="52"/>
        <v>0</v>
      </c>
      <c r="DK73">
        <f t="shared" si="53"/>
        <v>0</v>
      </c>
      <c r="DL73">
        <f t="shared" si="54"/>
        <v>0</v>
      </c>
      <c r="DM73">
        <f t="shared" si="55"/>
        <v>0</v>
      </c>
      <c r="DN73">
        <f t="shared" si="56"/>
        <v>0</v>
      </c>
      <c r="DO73">
        <f t="shared" si="57"/>
        <v>0</v>
      </c>
      <c r="DP73">
        <f t="shared" si="58"/>
        <v>1</v>
      </c>
      <c r="DR73">
        <v>0</v>
      </c>
      <c r="DS73">
        <v>0</v>
      </c>
      <c r="DT73">
        <v>0</v>
      </c>
      <c r="DU73">
        <v>0</v>
      </c>
      <c r="DV73">
        <v>0</v>
      </c>
      <c r="DW73">
        <f t="shared" si="42"/>
        <v>1</v>
      </c>
      <c r="DX73">
        <f t="shared" si="43"/>
        <v>1</v>
      </c>
      <c r="DZ73">
        <f t="shared" si="66"/>
        <v>0</v>
      </c>
      <c r="EA73">
        <f t="shared" si="59"/>
        <v>0</v>
      </c>
      <c r="EB73">
        <f t="shared" si="60"/>
        <v>0</v>
      </c>
      <c r="EC73">
        <f t="shared" si="61"/>
        <v>0</v>
      </c>
      <c r="ED73">
        <f t="shared" si="62"/>
        <v>0</v>
      </c>
      <c r="EE73">
        <f t="shared" si="63"/>
        <v>1</v>
      </c>
    </row>
    <row r="74" spans="1:135" x14ac:dyDescent="0.35">
      <c r="A74" t="s">
        <v>409</v>
      </c>
      <c r="B74">
        <f>[1]Population!$BB97</f>
        <v>9896400</v>
      </c>
      <c r="C74">
        <f>[1]RealGDP!$BB97</f>
        <v>4312557777.9740305</v>
      </c>
      <c r="D74" s="10">
        <f>[1]GDPcap!$BB97</f>
        <v>435.77035871367673</v>
      </c>
      <c r="F74" t="s">
        <v>409</v>
      </c>
      <c r="H74">
        <v>22.8</v>
      </c>
      <c r="I74">
        <v>23.1</v>
      </c>
      <c r="J74">
        <v>23.8</v>
      </c>
      <c r="K74">
        <v>24.5</v>
      </c>
      <c r="L74">
        <v>25.3</v>
      </c>
      <c r="M74">
        <v>26.1</v>
      </c>
      <c r="N74">
        <v>26.3</v>
      </c>
      <c r="O74">
        <v>26.5</v>
      </c>
      <c r="P74">
        <v>26.3</v>
      </c>
      <c r="Q74">
        <v>25.7</v>
      </c>
      <c r="R74">
        <v>24.6</v>
      </c>
      <c r="S74">
        <v>23.3</v>
      </c>
      <c r="T74">
        <v>24.6</v>
      </c>
      <c r="U74">
        <v>26.3</v>
      </c>
      <c r="V74">
        <v>25.5</v>
      </c>
      <c r="W74">
        <v>22.3</v>
      </c>
      <c r="X74">
        <v>24.8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f t="shared" si="34"/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f t="shared" si="35"/>
        <v>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f t="shared" si="36"/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f t="shared" si="37"/>
        <v>1</v>
      </c>
      <c r="CG74">
        <f t="shared" si="64"/>
        <v>0</v>
      </c>
      <c r="CH74">
        <f t="shared" si="44"/>
        <v>0</v>
      </c>
      <c r="CI74">
        <f t="shared" si="45"/>
        <v>0</v>
      </c>
      <c r="CJ74">
        <f t="shared" si="46"/>
        <v>0</v>
      </c>
      <c r="CK74">
        <f t="shared" si="47"/>
        <v>0</v>
      </c>
      <c r="CL74">
        <f t="shared" si="48"/>
        <v>1</v>
      </c>
      <c r="CM74">
        <f t="shared" si="49"/>
        <v>0</v>
      </c>
      <c r="CN74">
        <f t="shared" si="50"/>
        <v>0</v>
      </c>
      <c r="CO74">
        <f t="shared" si="51"/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f t="shared" si="38"/>
        <v>1</v>
      </c>
      <c r="CW74">
        <f t="shared" si="39"/>
        <v>1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f t="shared" si="40"/>
        <v>0</v>
      </c>
      <c r="DF74">
        <v>1</v>
      </c>
      <c r="DG74">
        <f t="shared" si="41"/>
        <v>1</v>
      </c>
      <c r="DI74">
        <f t="shared" si="65"/>
        <v>0</v>
      </c>
      <c r="DJ74">
        <f t="shared" si="52"/>
        <v>0</v>
      </c>
      <c r="DK74">
        <f t="shared" si="53"/>
        <v>0</v>
      </c>
      <c r="DL74">
        <f t="shared" si="54"/>
        <v>0</v>
      </c>
      <c r="DM74">
        <f t="shared" si="55"/>
        <v>0</v>
      </c>
      <c r="DN74">
        <f t="shared" si="56"/>
        <v>0</v>
      </c>
      <c r="DO74">
        <f t="shared" si="57"/>
        <v>0</v>
      </c>
      <c r="DP74">
        <f t="shared" si="58"/>
        <v>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f t="shared" si="42"/>
        <v>1</v>
      </c>
      <c r="DX74">
        <f t="shared" si="43"/>
        <v>1</v>
      </c>
      <c r="DZ74">
        <f t="shared" si="66"/>
        <v>0</v>
      </c>
      <c r="EA74">
        <f t="shared" si="59"/>
        <v>0</v>
      </c>
      <c r="EB74">
        <f t="shared" si="60"/>
        <v>0</v>
      </c>
      <c r="EC74">
        <f t="shared" si="61"/>
        <v>0</v>
      </c>
      <c r="ED74">
        <f t="shared" si="62"/>
        <v>0</v>
      </c>
      <c r="EE74">
        <f t="shared" si="63"/>
        <v>1</v>
      </c>
    </row>
    <row r="75" spans="1:135" x14ac:dyDescent="0.35">
      <c r="A75" t="s">
        <v>174</v>
      </c>
      <c r="B75">
        <f>[1]Population!$BB99</f>
        <v>7621204</v>
      </c>
      <c r="C75">
        <f>[1]RealGDP!$BB99</f>
        <v>11546063422.563662</v>
      </c>
      <c r="D75" s="10">
        <f>[1]GDPcap!$BB99</f>
        <v>1514.9920435883439</v>
      </c>
      <c r="F75" t="s">
        <v>174</v>
      </c>
      <c r="H75">
        <v>21.3</v>
      </c>
      <c r="I75">
        <v>22</v>
      </c>
      <c r="J75">
        <v>23.4</v>
      </c>
      <c r="K75">
        <v>24.4</v>
      </c>
      <c r="L75">
        <v>25.1</v>
      </c>
      <c r="M75">
        <v>24.6</v>
      </c>
      <c r="N75">
        <v>24.1</v>
      </c>
      <c r="O75">
        <v>24.4</v>
      </c>
      <c r="P75">
        <v>24.4</v>
      </c>
      <c r="Q75">
        <v>23.6</v>
      </c>
      <c r="R75">
        <v>22.5</v>
      </c>
      <c r="S75">
        <v>21.8</v>
      </c>
      <c r="T75">
        <v>24.3</v>
      </c>
      <c r="U75">
        <v>24.3</v>
      </c>
      <c r="V75">
        <v>23.5</v>
      </c>
      <c r="W75">
        <v>21</v>
      </c>
      <c r="X75">
        <v>23.5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f t="shared" si="34"/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f t="shared" si="35"/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f t="shared" si="36"/>
        <v>1</v>
      </c>
      <c r="BV75">
        <v>0</v>
      </c>
      <c r="BW75">
        <v>0</v>
      </c>
      <c r="BX75">
        <v>0</v>
      </c>
      <c r="BY75">
        <v>1</v>
      </c>
      <c r="BZ75">
        <v>0</v>
      </c>
      <c r="CA75">
        <v>0</v>
      </c>
      <c r="CB75">
        <v>0</v>
      </c>
      <c r="CC75">
        <v>0</v>
      </c>
      <c r="CD75">
        <v>0</v>
      </c>
      <c r="CE75">
        <f t="shared" si="37"/>
        <v>1</v>
      </c>
      <c r="CG75">
        <f t="shared" si="64"/>
        <v>0</v>
      </c>
      <c r="CH75">
        <f t="shared" si="44"/>
        <v>0</v>
      </c>
      <c r="CI75">
        <f t="shared" si="45"/>
        <v>0</v>
      </c>
      <c r="CJ75">
        <f t="shared" si="46"/>
        <v>1</v>
      </c>
      <c r="CK75">
        <f t="shared" si="47"/>
        <v>0</v>
      </c>
      <c r="CL75">
        <f t="shared" si="48"/>
        <v>0</v>
      </c>
      <c r="CM75">
        <f t="shared" si="49"/>
        <v>0</v>
      </c>
      <c r="CN75">
        <f t="shared" si="50"/>
        <v>0</v>
      </c>
      <c r="CO75">
        <f t="shared" si="51"/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f t="shared" si="38"/>
        <v>1</v>
      </c>
      <c r="CW75">
        <f t="shared" si="39"/>
        <v>1</v>
      </c>
      <c r="CY75">
        <v>0</v>
      </c>
      <c r="CZ75">
        <v>0</v>
      </c>
      <c r="DA75">
        <v>0</v>
      </c>
      <c r="DB75">
        <v>1</v>
      </c>
      <c r="DC75">
        <v>0</v>
      </c>
      <c r="DD75">
        <v>0</v>
      </c>
      <c r="DE75">
        <f t="shared" si="40"/>
        <v>0</v>
      </c>
      <c r="DF75">
        <v>0</v>
      </c>
      <c r="DG75">
        <f t="shared" si="41"/>
        <v>1</v>
      </c>
      <c r="DI75">
        <f t="shared" si="65"/>
        <v>0</v>
      </c>
      <c r="DJ75">
        <f t="shared" si="52"/>
        <v>0</v>
      </c>
      <c r="DK75">
        <f t="shared" si="53"/>
        <v>0</v>
      </c>
      <c r="DL75">
        <f t="shared" si="54"/>
        <v>1</v>
      </c>
      <c r="DM75">
        <f t="shared" si="55"/>
        <v>0</v>
      </c>
      <c r="DN75">
        <f t="shared" si="56"/>
        <v>0</v>
      </c>
      <c r="DO75">
        <f t="shared" si="57"/>
        <v>0</v>
      </c>
      <c r="DP75">
        <f t="shared" si="58"/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f t="shared" si="42"/>
        <v>1</v>
      </c>
      <c r="DX75">
        <f t="shared" si="43"/>
        <v>1</v>
      </c>
      <c r="DZ75">
        <f t="shared" si="66"/>
        <v>0</v>
      </c>
      <c r="EA75">
        <f t="shared" si="59"/>
        <v>0</v>
      </c>
      <c r="EB75">
        <f t="shared" si="60"/>
        <v>0</v>
      </c>
      <c r="EC75">
        <f t="shared" si="61"/>
        <v>0</v>
      </c>
      <c r="ED75">
        <f t="shared" si="62"/>
        <v>0</v>
      </c>
      <c r="EE75">
        <f t="shared" si="63"/>
        <v>1</v>
      </c>
    </row>
    <row r="76" spans="1:135" x14ac:dyDescent="0.35">
      <c r="A76" t="s">
        <v>175</v>
      </c>
      <c r="B76">
        <f>[1]Population!$BB100</f>
        <v>7024200</v>
      </c>
      <c r="C76">
        <f>[1]RealGDP!$BB100</f>
        <v>220058248223.22446</v>
      </c>
      <c r="D76" s="10">
        <f>[1]GDPcap!$BB100</f>
        <v>31328.585208738998</v>
      </c>
      <c r="F76" t="s">
        <v>523</v>
      </c>
      <c r="G76" t="s">
        <v>524</v>
      </c>
      <c r="H76">
        <v>15.2</v>
      </c>
      <c r="I76">
        <v>15.5</v>
      </c>
      <c r="J76">
        <v>18.600000000000001</v>
      </c>
      <c r="K76">
        <v>22.5</v>
      </c>
      <c r="L76">
        <v>26</v>
      </c>
      <c r="M76">
        <v>27.6</v>
      </c>
      <c r="N76">
        <v>28.6</v>
      </c>
      <c r="O76">
        <v>28.5</v>
      </c>
      <c r="P76">
        <v>27.4</v>
      </c>
      <c r="Q76">
        <v>24.6</v>
      </c>
      <c r="R76">
        <v>20.6</v>
      </c>
      <c r="S76">
        <v>16.7</v>
      </c>
      <c r="T76">
        <v>22.4</v>
      </c>
      <c r="U76">
        <v>28.2</v>
      </c>
      <c r="V76">
        <v>24.2</v>
      </c>
      <c r="W76">
        <v>15.3</v>
      </c>
      <c r="X76">
        <v>22.7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f t="shared" si="34"/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f t="shared" si="35"/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 t="shared" si="36"/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0</v>
      </c>
      <c r="CE76">
        <f t="shared" si="37"/>
        <v>1</v>
      </c>
      <c r="CG76">
        <f t="shared" si="64"/>
        <v>0</v>
      </c>
      <c r="CH76">
        <f t="shared" si="44"/>
        <v>0</v>
      </c>
      <c r="CI76">
        <f t="shared" si="45"/>
        <v>0</v>
      </c>
      <c r="CJ76">
        <f t="shared" si="46"/>
        <v>0</v>
      </c>
      <c r="CK76">
        <f t="shared" si="47"/>
        <v>0</v>
      </c>
      <c r="CL76">
        <f t="shared" si="48"/>
        <v>0</v>
      </c>
      <c r="CM76">
        <f t="shared" si="49"/>
        <v>0</v>
      </c>
      <c r="CN76">
        <f t="shared" si="50"/>
        <v>1</v>
      </c>
      <c r="CO76">
        <f t="shared" si="51"/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f t="shared" si="38"/>
        <v>1</v>
      </c>
      <c r="CW76">
        <f t="shared" si="39"/>
        <v>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1</v>
      </c>
      <c r="DE76">
        <f t="shared" si="40"/>
        <v>0</v>
      </c>
      <c r="DF76">
        <v>0</v>
      </c>
      <c r="DG76">
        <f t="shared" si="41"/>
        <v>1</v>
      </c>
      <c r="DI76">
        <f t="shared" si="65"/>
        <v>0</v>
      </c>
      <c r="DJ76">
        <f t="shared" si="52"/>
        <v>0</v>
      </c>
      <c r="DK76">
        <f t="shared" si="53"/>
        <v>0</v>
      </c>
      <c r="DL76">
        <f t="shared" si="54"/>
        <v>0</v>
      </c>
      <c r="DM76">
        <f t="shared" si="55"/>
        <v>0</v>
      </c>
      <c r="DN76">
        <f t="shared" si="56"/>
        <v>1</v>
      </c>
      <c r="DO76">
        <f t="shared" si="57"/>
        <v>0</v>
      </c>
      <c r="DP76">
        <f t="shared" si="58"/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f t="shared" si="42"/>
        <v>1</v>
      </c>
      <c r="DX76">
        <f t="shared" si="43"/>
        <v>1</v>
      </c>
      <c r="DZ76">
        <f t="shared" si="66"/>
        <v>0</v>
      </c>
      <c r="EA76">
        <f t="shared" si="59"/>
        <v>0</v>
      </c>
      <c r="EB76">
        <f t="shared" si="60"/>
        <v>0</v>
      </c>
      <c r="EC76">
        <f t="shared" si="61"/>
        <v>0</v>
      </c>
      <c r="ED76">
        <f t="shared" si="62"/>
        <v>0</v>
      </c>
      <c r="EE76">
        <f t="shared" si="63"/>
        <v>1</v>
      </c>
    </row>
    <row r="77" spans="1:135" x14ac:dyDescent="0.35">
      <c r="A77" t="s">
        <v>176</v>
      </c>
      <c r="B77">
        <f>[1]Population!$BB101</f>
        <v>10000023</v>
      </c>
      <c r="C77">
        <f>[1]RealGDP!$BB101</f>
        <v>109264940823.83978</v>
      </c>
      <c r="D77" s="10">
        <f>[1]GDPcap!$BB101</f>
        <v>10926.468951505391</v>
      </c>
      <c r="F77" t="s">
        <v>176</v>
      </c>
      <c r="H77">
        <v>-2.2000000000000002</v>
      </c>
      <c r="I77">
        <v>0.6</v>
      </c>
      <c r="J77">
        <v>5.0999999999999996</v>
      </c>
      <c r="K77">
        <v>10.4</v>
      </c>
      <c r="L77">
        <v>15.2</v>
      </c>
      <c r="M77">
        <v>18.2</v>
      </c>
      <c r="N77">
        <v>19.8</v>
      </c>
      <c r="O77">
        <v>19.399999999999999</v>
      </c>
      <c r="P77">
        <v>15.8</v>
      </c>
      <c r="Q77">
        <v>10.5</v>
      </c>
      <c r="R77">
        <v>4.5999999999999996</v>
      </c>
      <c r="S77">
        <v>-0.1</v>
      </c>
      <c r="T77">
        <v>10.199999999999999</v>
      </c>
      <c r="U77">
        <v>19.100000000000001</v>
      </c>
      <c r="V77">
        <v>10.3</v>
      </c>
      <c r="W77">
        <v>-0.6</v>
      </c>
      <c r="X77">
        <v>9.8000000000000007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34"/>
        <v>1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f t="shared" si="35"/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0</v>
      </c>
      <c r="BR77">
        <v>0</v>
      </c>
      <c r="BS77">
        <v>0</v>
      </c>
      <c r="BT77">
        <f t="shared" si="36"/>
        <v>1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f t="shared" si="37"/>
        <v>1</v>
      </c>
      <c r="CG77">
        <f t="shared" si="64"/>
        <v>0</v>
      </c>
      <c r="CH77">
        <f t="shared" si="44"/>
        <v>0</v>
      </c>
      <c r="CI77">
        <f t="shared" si="45"/>
        <v>0</v>
      </c>
      <c r="CJ77">
        <f t="shared" si="46"/>
        <v>1</v>
      </c>
      <c r="CK77">
        <f t="shared" si="47"/>
        <v>0</v>
      </c>
      <c r="CL77">
        <f t="shared" si="48"/>
        <v>0</v>
      </c>
      <c r="CM77">
        <f t="shared" si="49"/>
        <v>0</v>
      </c>
      <c r="CN77">
        <f t="shared" si="50"/>
        <v>0</v>
      </c>
      <c r="CO77">
        <f t="shared" si="51"/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f t="shared" si="38"/>
        <v>1</v>
      </c>
      <c r="CW77">
        <f t="shared" si="39"/>
        <v>1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0</v>
      </c>
      <c r="DE77">
        <f t="shared" si="40"/>
        <v>0</v>
      </c>
      <c r="DF77">
        <v>0</v>
      </c>
      <c r="DG77">
        <f t="shared" si="41"/>
        <v>1</v>
      </c>
      <c r="DI77">
        <f t="shared" si="65"/>
        <v>0</v>
      </c>
      <c r="DJ77">
        <f t="shared" si="52"/>
        <v>0</v>
      </c>
      <c r="DK77">
        <f t="shared" si="53"/>
        <v>0</v>
      </c>
      <c r="DL77">
        <f t="shared" si="54"/>
        <v>1</v>
      </c>
      <c r="DM77">
        <f t="shared" si="55"/>
        <v>0</v>
      </c>
      <c r="DN77">
        <f t="shared" si="56"/>
        <v>0</v>
      </c>
      <c r="DO77">
        <f t="shared" si="57"/>
        <v>0</v>
      </c>
      <c r="DP77">
        <f t="shared" si="58"/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f t="shared" si="42"/>
        <v>1</v>
      </c>
      <c r="DX77">
        <f t="shared" si="43"/>
        <v>1</v>
      </c>
      <c r="DZ77">
        <f t="shared" si="66"/>
        <v>0</v>
      </c>
      <c r="EA77">
        <f t="shared" si="59"/>
        <v>0</v>
      </c>
      <c r="EB77">
        <f t="shared" si="60"/>
        <v>0</v>
      </c>
      <c r="EC77">
        <f t="shared" si="61"/>
        <v>0</v>
      </c>
      <c r="ED77">
        <f t="shared" si="62"/>
        <v>0</v>
      </c>
      <c r="EE77">
        <f t="shared" si="63"/>
        <v>1</v>
      </c>
    </row>
    <row r="78" spans="1:135" x14ac:dyDescent="0.35">
      <c r="A78" t="s">
        <v>177</v>
      </c>
      <c r="B78">
        <f>[1]Population!$BB102</f>
        <v>318041</v>
      </c>
      <c r="C78">
        <f>[1]RealGDP!$BB102</f>
        <v>16388138908.052595</v>
      </c>
      <c r="D78" s="10">
        <f>[1]GDPcap!$BB102</f>
        <v>51528.384416011126</v>
      </c>
      <c r="F78" t="s">
        <v>177</v>
      </c>
      <c r="H78">
        <v>-2.8</v>
      </c>
      <c r="I78">
        <v>-2.4</v>
      </c>
      <c r="J78">
        <v>-2.2999999999999998</v>
      </c>
      <c r="K78">
        <v>0</v>
      </c>
      <c r="L78">
        <v>3.4</v>
      </c>
      <c r="M78">
        <v>6.7</v>
      </c>
      <c r="N78">
        <v>8.5</v>
      </c>
      <c r="O78">
        <v>7.9</v>
      </c>
      <c r="P78">
        <v>4.8</v>
      </c>
      <c r="Q78">
        <v>1.7</v>
      </c>
      <c r="R78">
        <v>-1.7</v>
      </c>
      <c r="S78">
        <v>-2.8</v>
      </c>
      <c r="T78">
        <v>0.4</v>
      </c>
      <c r="U78">
        <v>7.7</v>
      </c>
      <c r="V78">
        <v>1.6</v>
      </c>
      <c r="W78">
        <v>-2.6</v>
      </c>
      <c r="X78">
        <v>1.7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v>0</v>
      </c>
      <c r="AO78">
        <f t="shared" si="34"/>
        <v>1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f t="shared" si="35"/>
        <v>1</v>
      </c>
      <c r="BG78">
        <v>0</v>
      </c>
      <c r="BH78">
        <v>0</v>
      </c>
      <c r="BI78">
        <v>0</v>
      </c>
      <c r="BJ78">
        <v>1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 t="shared" si="36"/>
        <v>1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f t="shared" si="37"/>
        <v>1</v>
      </c>
      <c r="CG78">
        <f t="shared" si="64"/>
        <v>0</v>
      </c>
      <c r="CH78">
        <f t="shared" si="44"/>
        <v>1</v>
      </c>
      <c r="CI78">
        <f t="shared" si="45"/>
        <v>0</v>
      </c>
      <c r="CJ78">
        <f t="shared" si="46"/>
        <v>0</v>
      </c>
      <c r="CK78">
        <f t="shared" si="47"/>
        <v>0</v>
      </c>
      <c r="CL78">
        <f t="shared" si="48"/>
        <v>0</v>
      </c>
      <c r="CM78">
        <f t="shared" si="49"/>
        <v>0</v>
      </c>
      <c r="CN78">
        <f t="shared" si="50"/>
        <v>0</v>
      </c>
      <c r="CO78">
        <f t="shared" si="51"/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f t="shared" si="38"/>
        <v>1</v>
      </c>
      <c r="CW78">
        <f t="shared" si="39"/>
        <v>1</v>
      </c>
      <c r="CY78">
        <v>0</v>
      </c>
      <c r="CZ78">
        <v>0</v>
      </c>
      <c r="DA78">
        <v>1</v>
      </c>
      <c r="DB78">
        <v>0</v>
      </c>
      <c r="DC78">
        <v>0</v>
      </c>
      <c r="DD78">
        <v>0</v>
      </c>
      <c r="DE78">
        <f t="shared" si="40"/>
        <v>0</v>
      </c>
      <c r="DF78">
        <v>0</v>
      </c>
      <c r="DG78">
        <f t="shared" si="41"/>
        <v>1</v>
      </c>
      <c r="DI78">
        <f t="shared" si="65"/>
        <v>0</v>
      </c>
      <c r="DJ78">
        <f t="shared" si="52"/>
        <v>0</v>
      </c>
      <c r="DK78">
        <f t="shared" si="53"/>
        <v>1</v>
      </c>
      <c r="DL78">
        <f t="shared" si="54"/>
        <v>0</v>
      </c>
      <c r="DM78">
        <f t="shared" si="55"/>
        <v>0</v>
      </c>
      <c r="DN78">
        <f t="shared" si="56"/>
        <v>0</v>
      </c>
      <c r="DO78">
        <f t="shared" si="57"/>
        <v>0</v>
      </c>
      <c r="DP78">
        <f t="shared" si="58"/>
        <v>0</v>
      </c>
      <c r="DR78">
        <v>0</v>
      </c>
      <c r="DS78">
        <v>0</v>
      </c>
      <c r="DT78">
        <v>1</v>
      </c>
      <c r="DU78">
        <v>0</v>
      </c>
      <c r="DV78">
        <v>0</v>
      </c>
      <c r="DW78">
        <f t="shared" si="42"/>
        <v>0</v>
      </c>
      <c r="DX78">
        <f t="shared" si="43"/>
        <v>1</v>
      </c>
      <c r="DZ78">
        <f t="shared" si="66"/>
        <v>0</v>
      </c>
      <c r="EA78">
        <f t="shared" si="59"/>
        <v>0</v>
      </c>
      <c r="EB78">
        <f t="shared" si="60"/>
        <v>1</v>
      </c>
      <c r="EC78">
        <f t="shared" si="61"/>
        <v>0</v>
      </c>
      <c r="ED78">
        <f t="shared" si="62"/>
        <v>0</v>
      </c>
      <c r="EE78">
        <f t="shared" si="63"/>
        <v>0</v>
      </c>
    </row>
    <row r="79" spans="1:135" x14ac:dyDescent="0.35">
      <c r="A79" t="s">
        <v>178</v>
      </c>
      <c r="B79">
        <f>[1]Population!$BB103</f>
        <v>1205624648</v>
      </c>
      <c r="C79">
        <f>[1]RealGDP!$BB103</f>
        <v>1243675499465.8105</v>
      </c>
      <c r="D79" s="10">
        <f>[1]GDPcap!$BB103</f>
        <v>1031.5611094455749</v>
      </c>
      <c r="F79" t="s">
        <v>178</v>
      </c>
      <c r="H79">
        <v>16.7</v>
      </c>
      <c r="I79">
        <v>19</v>
      </c>
      <c r="J79">
        <v>23.2</v>
      </c>
      <c r="K79">
        <v>27</v>
      </c>
      <c r="L79">
        <v>29.1</v>
      </c>
      <c r="M79">
        <v>28.5</v>
      </c>
      <c r="N79">
        <v>26.6</v>
      </c>
      <c r="O79">
        <v>26</v>
      </c>
      <c r="P79">
        <v>25.7</v>
      </c>
      <c r="Q79">
        <v>24.2</v>
      </c>
      <c r="R79">
        <v>20.5</v>
      </c>
      <c r="S79">
        <v>17.399999999999999</v>
      </c>
      <c r="T79">
        <v>26.4</v>
      </c>
      <c r="U79">
        <v>27</v>
      </c>
      <c r="V79">
        <v>23.5</v>
      </c>
      <c r="W79">
        <v>17.100000000000001</v>
      </c>
      <c r="X79">
        <v>23.7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34"/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f t="shared" si="35"/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 t="shared" si="36"/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f t="shared" si="37"/>
        <v>1</v>
      </c>
      <c r="CG79">
        <f t="shared" si="64"/>
        <v>0</v>
      </c>
      <c r="CH79">
        <f t="shared" si="44"/>
        <v>0</v>
      </c>
      <c r="CI79">
        <f t="shared" si="45"/>
        <v>0</v>
      </c>
      <c r="CJ79">
        <f t="shared" si="46"/>
        <v>0</v>
      </c>
      <c r="CK79">
        <f t="shared" si="47"/>
        <v>0</v>
      </c>
      <c r="CL79">
        <f t="shared" si="48"/>
        <v>0</v>
      </c>
      <c r="CM79">
        <f t="shared" si="49"/>
        <v>1</v>
      </c>
      <c r="CN79">
        <f t="shared" si="50"/>
        <v>0</v>
      </c>
      <c r="CO79">
        <f t="shared" si="51"/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f t="shared" si="38"/>
        <v>1</v>
      </c>
      <c r="CW79">
        <f t="shared" si="39"/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f t="shared" si="40"/>
        <v>0</v>
      </c>
      <c r="DF79">
        <v>0</v>
      </c>
      <c r="DG79">
        <f t="shared" si="41"/>
        <v>1</v>
      </c>
      <c r="DI79">
        <f t="shared" si="65"/>
        <v>0</v>
      </c>
      <c r="DJ79">
        <f t="shared" si="52"/>
        <v>0</v>
      </c>
      <c r="DK79">
        <f t="shared" si="53"/>
        <v>0</v>
      </c>
      <c r="DL79">
        <f t="shared" si="54"/>
        <v>0</v>
      </c>
      <c r="DM79">
        <f t="shared" si="55"/>
        <v>0</v>
      </c>
      <c r="DN79">
        <f t="shared" si="56"/>
        <v>1</v>
      </c>
      <c r="DO79">
        <f t="shared" si="57"/>
        <v>0</v>
      </c>
      <c r="DP79">
        <f t="shared" si="58"/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f t="shared" si="42"/>
        <v>1</v>
      </c>
      <c r="DX79">
        <f t="shared" si="43"/>
        <v>1</v>
      </c>
      <c r="DZ79">
        <f t="shared" si="66"/>
        <v>0</v>
      </c>
      <c r="EA79">
        <f t="shared" si="59"/>
        <v>0</v>
      </c>
      <c r="EB79">
        <f t="shared" si="60"/>
        <v>0</v>
      </c>
      <c r="EC79">
        <f t="shared" si="61"/>
        <v>0</v>
      </c>
      <c r="ED79">
        <f t="shared" si="62"/>
        <v>0</v>
      </c>
      <c r="EE79">
        <f t="shared" si="63"/>
        <v>1</v>
      </c>
    </row>
    <row r="80" spans="1:135" x14ac:dyDescent="0.35">
      <c r="A80" t="s">
        <v>179</v>
      </c>
      <c r="B80">
        <f>[1]Population!$BB104</f>
        <v>240676485</v>
      </c>
      <c r="C80">
        <f>[1]RealGDP!$BB104</f>
        <v>377898889669.60541</v>
      </c>
      <c r="D80" s="10">
        <f>[1]GDPcap!$BB104</f>
        <v>1570.1529365014842</v>
      </c>
      <c r="F80" t="s">
        <v>179</v>
      </c>
      <c r="H80">
        <v>25.6</v>
      </c>
      <c r="I80">
        <v>25.7</v>
      </c>
      <c r="J80">
        <v>25.9</v>
      </c>
      <c r="K80">
        <v>26.1</v>
      </c>
      <c r="L80">
        <v>26.1</v>
      </c>
      <c r="M80">
        <v>25.6</v>
      </c>
      <c r="N80">
        <v>25.3</v>
      </c>
      <c r="O80">
        <v>25.5</v>
      </c>
      <c r="P80">
        <v>25.7</v>
      </c>
      <c r="Q80">
        <v>26.1</v>
      </c>
      <c r="R80">
        <v>26.2</v>
      </c>
      <c r="S80">
        <v>25.9</v>
      </c>
      <c r="T80">
        <v>26.1</v>
      </c>
      <c r="U80">
        <v>25.5</v>
      </c>
      <c r="V80">
        <v>26</v>
      </c>
      <c r="W80">
        <v>24.9</v>
      </c>
      <c r="X80">
        <v>25.8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34"/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f t="shared" si="35"/>
        <v>1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f t="shared" si="36"/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f t="shared" si="37"/>
        <v>1</v>
      </c>
      <c r="CG80">
        <f t="shared" si="64"/>
        <v>0</v>
      </c>
      <c r="CH80">
        <f t="shared" si="44"/>
        <v>0</v>
      </c>
      <c r="CI80">
        <f t="shared" si="45"/>
        <v>0</v>
      </c>
      <c r="CJ80">
        <f t="shared" si="46"/>
        <v>0</v>
      </c>
      <c r="CK80">
        <f t="shared" si="47"/>
        <v>0</v>
      </c>
      <c r="CL80">
        <f t="shared" si="48"/>
        <v>0</v>
      </c>
      <c r="CM80">
        <f t="shared" si="49"/>
        <v>1</v>
      </c>
      <c r="CN80">
        <f t="shared" si="50"/>
        <v>0</v>
      </c>
      <c r="CO80">
        <f t="shared" si="51"/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f t="shared" si="38"/>
        <v>1</v>
      </c>
      <c r="CW80">
        <f t="shared" si="39"/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f t="shared" si="40"/>
        <v>0</v>
      </c>
      <c r="DF80">
        <v>0</v>
      </c>
      <c r="DG80">
        <f t="shared" si="41"/>
        <v>1</v>
      </c>
      <c r="DI80">
        <f t="shared" si="65"/>
        <v>0</v>
      </c>
      <c r="DJ80">
        <f t="shared" si="52"/>
        <v>0</v>
      </c>
      <c r="DK80">
        <f t="shared" si="53"/>
        <v>0</v>
      </c>
      <c r="DL80">
        <f t="shared" si="54"/>
        <v>0</v>
      </c>
      <c r="DM80">
        <f t="shared" si="55"/>
        <v>0</v>
      </c>
      <c r="DN80">
        <f t="shared" si="56"/>
        <v>1</v>
      </c>
      <c r="DO80">
        <f t="shared" si="57"/>
        <v>0</v>
      </c>
      <c r="DP80">
        <f t="shared" si="58"/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f t="shared" si="42"/>
        <v>1</v>
      </c>
      <c r="DX80">
        <f t="shared" si="43"/>
        <v>1</v>
      </c>
      <c r="DZ80">
        <f t="shared" si="66"/>
        <v>0</v>
      </c>
      <c r="EA80">
        <f t="shared" si="59"/>
        <v>0</v>
      </c>
      <c r="EB80">
        <f t="shared" si="60"/>
        <v>0</v>
      </c>
      <c r="EC80">
        <f t="shared" si="61"/>
        <v>0</v>
      </c>
      <c r="ED80">
        <f t="shared" si="62"/>
        <v>0</v>
      </c>
      <c r="EE80">
        <f t="shared" si="63"/>
        <v>1</v>
      </c>
    </row>
    <row r="81" spans="1:135" x14ac:dyDescent="0.35">
      <c r="A81" t="s">
        <v>180</v>
      </c>
      <c r="B81">
        <f>[1]Population!$BB105</f>
        <v>74462314</v>
      </c>
      <c r="C81">
        <f>[1]RealGDP!$BB105</f>
        <v>242702371179.19858</v>
      </c>
      <c r="D81" s="10">
        <f>[1]GDPcap!$BB105</f>
        <v>3259.3987232145187</v>
      </c>
      <c r="F81" t="s">
        <v>180</v>
      </c>
      <c r="H81">
        <v>4.8</v>
      </c>
      <c r="I81">
        <v>6.8</v>
      </c>
      <c r="J81">
        <v>11.7</v>
      </c>
      <c r="K81">
        <v>17.2</v>
      </c>
      <c r="L81">
        <v>22.4</v>
      </c>
      <c r="M81">
        <v>26.8</v>
      </c>
      <c r="N81">
        <v>28.7</v>
      </c>
      <c r="O81">
        <v>27.4</v>
      </c>
      <c r="P81">
        <v>23.7</v>
      </c>
      <c r="Q81">
        <v>18.100000000000001</v>
      </c>
      <c r="R81">
        <v>12.1</v>
      </c>
      <c r="S81">
        <v>7</v>
      </c>
      <c r="T81">
        <v>17.100000000000001</v>
      </c>
      <c r="U81">
        <v>27.6</v>
      </c>
      <c r="V81">
        <v>17.899999999999999</v>
      </c>
      <c r="W81">
        <v>6</v>
      </c>
      <c r="X81">
        <v>17.2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0</v>
      </c>
      <c r="AN81">
        <v>0</v>
      </c>
      <c r="AO81">
        <f t="shared" si="34"/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f t="shared" si="35"/>
        <v>1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f t="shared" si="36"/>
        <v>1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f t="shared" si="37"/>
        <v>1</v>
      </c>
      <c r="CG81">
        <f t="shared" si="64"/>
        <v>0</v>
      </c>
      <c r="CH81">
        <f t="shared" si="44"/>
        <v>0</v>
      </c>
      <c r="CI81">
        <f t="shared" si="45"/>
        <v>0</v>
      </c>
      <c r="CJ81">
        <f t="shared" si="46"/>
        <v>0</v>
      </c>
      <c r="CK81">
        <f t="shared" si="47"/>
        <v>1</v>
      </c>
      <c r="CL81">
        <f t="shared" si="48"/>
        <v>0</v>
      </c>
      <c r="CM81">
        <f t="shared" si="49"/>
        <v>0</v>
      </c>
      <c r="CN81">
        <f t="shared" si="50"/>
        <v>0</v>
      </c>
      <c r="CO81">
        <f t="shared" si="51"/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f t="shared" si="38"/>
        <v>1</v>
      </c>
      <c r="CW81">
        <f t="shared" si="39"/>
        <v>1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f t="shared" si="40"/>
        <v>1</v>
      </c>
      <c r="DF81">
        <v>0</v>
      </c>
      <c r="DG81">
        <f t="shared" si="41"/>
        <v>1</v>
      </c>
      <c r="DI81">
        <f t="shared" si="65"/>
        <v>0</v>
      </c>
      <c r="DJ81">
        <f t="shared" si="52"/>
        <v>0</v>
      </c>
      <c r="DK81">
        <f t="shared" si="53"/>
        <v>0</v>
      </c>
      <c r="DL81">
        <f t="shared" si="54"/>
        <v>0</v>
      </c>
      <c r="DM81">
        <f t="shared" si="55"/>
        <v>0</v>
      </c>
      <c r="DN81">
        <f t="shared" si="56"/>
        <v>0</v>
      </c>
      <c r="DO81">
        <f t="shared" si="57"/>
        <v>1</v>
      </c>
      <c r="DP81">
        <f t="shared" si="58"/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f t="shared" si="42"/>
        <v>1</v>
      </c>
      <c r="DX81">
        <f t="shared" si="43"/>
        <v>1</v>
      </c>
      <c r="DZ81">
        <f t="shared" si="66"/>
        <v>0</v>
      </c>
      <c r="EA81">
        <f t="shared" si="59"/>
        <v>0</v>
      </c>
      <c r="EB81">
        <f t="shared" si="60"/>
        <v>0</v>
      </c>
      <c r="EC81">
        <f t="shared" si="61"/>
        <v>0</v>
      </c>
      <c r="ED81">
        <f t="shared" si="62"/>
        <v>0</v>
      </c>
      <c r="EE81">
        <f t="shared" si="63"/>
        <v>1</v>
      </c>
    </row>
    <row r="82" spans="1:135" x14ac:dyDescent="0.35">
      <c r="A82" t="s">
        <v>278</v>
      </c>
      <c r="B82">
        <f>[1]Population!$BB106</f>
        <v>30962380</v>
      </c>
      <c r="C82">
        <f>[1]RealGDP!$BB106</f>
        <v>67270649065.243828</v>
      </c>
      <c r="D82" s="10">
        <f>[1]GDPcap!$BB106</f>
        <v>2172.6575626694016</v>
      </c>
      <c r="F82" t="s">
        <v>278</v>
      </c>
      <c r="H82">
        <v>8.6</v>
      </c>
      <c r="I82">
        <v>10.8</v>
      </c>
      <c r="J82">
        <v>14.9</v>
      </c>
      <c r="K82">
        <v>20.5</v>
      </c>
      <c r="L82">
        <v>26.3</v>
      </c>
      <c r="M82">
        <v>30.6</v>
      </c>
      <c r="N82">
        <v>33.200000000000003</v>
      </c>
      <c r="O82">
        <v>32.700000000000003</v>
      </c>
      <c r="P82">
        <v>29.2</v>
      </c>
      <c r="Q82">
        <v>23.4</v>
      </c>
      <c r="R82">
        <v>15.9</v>
      </c>
      <c r="S82">
        <v>10.3</v>
      </c>
      <c r="T82">
        <v>20.5</v>
      </c>
      <c r="U82">
        <v>32.200000000000003</v>
      </c>
      <c r="V82">
        <v>22.8</v>
      </c>
      <c r="W82">
        <v>9.5</v>
      </c>
      <c r="X82">
        <v>21.4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f t="shared" si="34"/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f t="shared" si="35"/>
        <v>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f t="shared" si="36"/>
        <v>1</v>
      </c>
      <c r="BV82">
        <v>0</v>
      </c>
      <c r="BW82">
        <v>0</v>
      </c>
      <c r="BX82">
        <v>0</v>
      </c>
      <c r="BY82">
        <v>0</v>
      </c>
      <c r="BZ82">
        <v>1</v>
      </c>
      <c r="CA82">
        <v>0</v>
      </c>
      <c r="CB82">
        <v>0</v>
      </c>
      <c r="CC82">
        <v>0</v>
      </c>
      <c r="CD82">
        <v>0</v>
      </c>
      <c r="CE82">
        <f t="shared" si="37"/>
        <v>1</v>
      </c>
      <c r="CG82">
        <f t="shared" si="64"/>
        <v>0</v>
      </c>
      <c r="CH82">
        <f t="shared" si="44"/>
        <v>0</v>
      </c>
      <c r="CI82">
        <f t="shared" si="45"/>
        <v>0</v>
      </c>
      <c r="CJ82">
        <f t="shared" si="46"/>
        <v>0</v>
      </c>
      <c r="CK82">
        <f t="shared" si="47"/>
        <v>1</v>
      </c>
      <c r="CL82">
        <f t="shared" si="48"/>
        <v>0</v>
      </c>
      <c r="CM82">
        <f t="shared" si="49"/>
        <v>0</v>
      </c>
      <c r="CN82">
        <f t="shared" si="50"/>
        <v>0</v>
      </c>
      <c r="CO82">
        <f t="shared" si="51"/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f t="shared" si="38"/>
        <v>1</v>
      </c>
      <c r="CW82">
        <f t="shared" si="39"/>
        <v>1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f t="shared" si="40"/>
        <v>1</v>
      </c>
      <c r="DF82">
        <v>0</v>
      </c>
      <c r="DG82">
        <f t="shared" si="41"/>
        <v>1</v>
      </c>
      <c r="DI82">
        <f t="shared" si="65"/>
        <v>0</v>
      </c>
      <c r="DJ82">
        <f t="shared" si="52"/>
        <v>0</v>
      </c>
      <c r="DK82">
        <f t="shared" si="53"/>
        <v>0</v>
      </c>
      <c r="DL82">
        <f t="shared" si="54"/>
        <v>0</v>
      </c>
      <c r="DM82">
        <f t="shared" si="55"/>
        <v>0</v>
      </c>
      <c r="DN82">
        <f t="shared" si="56"/>
        <v>0</v>
      </c>
      <c r="DO82">
        <f t="shared" si="57"/>
        <v>1</v>
      </c>
      <c r="DP82">
        <f t="shared" si="58"/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f t="shared" si="42"/>
        <v>1</v>
      </c>
      <c r="DX82">
        <f t="shared" si="43"/>
        <v>1</v>
      </c>
      <c r="DZ82">
        <f t="shared" si="66"/>
        <v>0</v>
      </c>
      <c r="EA82">
        <f t="shared" si="59"/>
        <v>0</v>
      </c>
      <c r="EB82">
        <f t="shared" si="60"/>
        <v>0</v>
      </c>
      <c r="EC82">
        <f t="shared" si="61"/>
        <v>0</v>
      </c>
      <c r="ED82">
        <f t="shared" si="62"/>
        <v>0</v>
      </c>
      <c r="EE82">
        <f t="shared" si="63"/>
        <v>1</v>
      </c>
    </row>
    <row r="83" spans="1:135" x14ac:dyDescent="0.35">
      <c r="A83" t="s">
        <v>181</v>
      </c>
      <c r="B83">
        <f>[1]Population!$BB107</f>
        <v>4474356</v>
      </c>
      <c r="C83">
        <f>[1]RealGDP!$BB107</f>
        <v>203306959563.6236</v>
      </c>
      <c r="D83" s="10">
        <f>[1]GDPcap!$BB107</f>
        <v>45438.261855700264</v>
      </c>
      <c r="F83" t="s">
        <v>181</v>
      </c>
      <c r="H83">
        <v>4.8</v>
      </c>
      <c r="I83">
        <v>4.8</v>
      </c>
      <c r="J83">
        <v>6.2</v>
      </c>
      <c r="K83">
        <v>7.9</v>
      </c>
      <c r="L83">
        <v>10.199999999999999</v>
      </c>
      <c r="M83">
        <v>13</v>
      </c>
      <c r="N83">
        <v>14.6</v>
      </c>
      <c r="O83">
        <v>14.4</v>
      </c>
      <c r="P83">
        <v>12.6</v>
      </c>
      <c r="Q83">
        <v>10.199999999999999</v>
      </c>
      <c r="R83">
        <v>6.8</v>
      </c>
      <c r="S83">
        <v>5.6</v>
      </c>
      <c r="T83">
        <v>8.1</v>
      </c>
      <c r="U83">
        <v>14</v>
      </c>
      <c r="V83">
        <v>9.9</v>
      </c>
      <c r="W83">
        <v>4.9000000000000004</v>
      </c>
      <c r="X83">
        <v>9.3000000000000007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0</v>
      </c>
      <c r="AN83">
        <v>0</v>
      </c>
      <c r="AO83">
        <f t="shared" si="34"/>
        <v>1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f t="shared" si="35"/>
        <v>1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 t="shared" si="36"/>
        <v>1</v>
      </c>
      <c r="BV83">
        <v>0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f t="shared" si="37"/>
        <v>1</v>
      </c>
      <c r="CG83">
        <f t="shared" si="64"/>
        <v>0</v>
      </c>
      <c r="CH83">
        <f t="shared" si="44"/>
        <v>1</v>
      </c>
      <c r="CI83">
        <f t="shared" si="45"/>
        <v>0</v>
      </c>
      <c r="CJ83">
        <f t="shared" si="46"/>
        <v>0</v>
      </c>
      <c r="CK83">
        <f t="shared" si="47"/>
        <v>0</v>
      </c>
      <c r="CL83">
        <f t="shared" si="48"/>
        <v>0</v>
      </c>
      <c r="CM83">
        <f t="shared" si="49"/>
        <v>0</v>
      </c>
      <c r="CN83">
        <f t="shared" si="50"/>
        <v>0</v>
      </c>
      <c r="CO83">
        <f t="shared" si="51"/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f t="shared" si="38"/>
        <v>0</v>
      </c>
      <c r="CW83">
        <f t="shared" si="39"/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f t="shared" si="40"/>
        <v>0</v>
      </c>
      <c r="DF83">
        <v>0</v>
      </c>
      <c r="DG83">
        <f t="shared" si="41"/>
        <v>1</v>
      </c>
      <c r="DI83">
        <f t="shared" si="65"/>
        <v>1</v>
      </c>
      <c r="DJ83">
        <f t="shared" si="52"/>
        <v>0</v>
      </c>
      <c r="DK83">
        <f t="shared" si="53"/>
        <v>0</v>
      </c>
      <c r="DL83">
        <f t="shared" si="54"/>
        <v>0</v>
      </c>
      <c r="DM83">
        <f t="shared" si="55"/>
        <v>0</v>
      </c>
      <c r="DN83">
        <f t="shared" si="56"/>
        <v>0</v>
      </c>
      <c r="DO83">
        <f t="shared" si="57"/>
        <v>0</v>
      </c>
      <c r="DP83">
        <f t="shared" si="58"/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f t="shared" si="42"/>
        <v>0</v>
      </c>
      <c r="DX83">
        <f t="shared" si="43"/>
        <v>1</v>
      </c>
      <c r="DZ83">
        <f t="shared" si="66"/>
        <v>1</v>
      </c>
      <c r="EA83">
        <f t="shared" si="59"/>
        <v>0</v>
      </c>
      <c r="EB83">
        <f t="shared" si="60"/>
        <v>0</v>
      </c>
      <c r="EC83">
        <f t="shared" si="61"/>
        <v>0</v>
      </c>
      <c r="ED83">
        <f t="shared" si="62"/>
        <v>0</v>
      </c>
      <c r="EE83">
        <f t="shared" si="63"/>
        <v>0</v>
      </c>
    </row>
    <row r="84" spans="1:135" x14ac:dyDescent="0.35">
      <c r="A84" t="s">
        <v>182</v>
      </c>
      <c r="B84">
        <f>[1]Population!$BB109</f>
        <v>7623600</v>
      </c>
      <c r="C84">
        <f>[1]RealGDP!$BB109</f>
        <v>169010664818.13025</v>
      </c>
      <c r="D84" s="10">
        <f>[1]GDPcap!$BB109</f>
        <v>22169.403538765182</v>
      </c>
      <c r="F84" t="s">
        <v>182</v>
      </c>
      <c r="H84">
        <v>11.3</v>
      </c>
      <c r="I84">
        <v>12.2</v>
      </c>
      <c r="J84">
        <v>14.3</v>
      </c>
      <c r="K84">
        <v>18</v>
      </c>
      <c r="L84">
        <v>21.2</v>
      </c>
      <c r="M84">
        <v>24.2</v>
      </c>
      <c r="N84">
        <v>26</v>
      </c>
      <c r="O84">
        <v>26.3</v>
      </c>
      <c r="P84">
        <v>24.7</v>
      </c>
      <c r="Q84">
        <v>21.8</v>
      </c>
      <c r="R84">
        <v>17.2</v>
      </c>
      <c r="S84">
        <v>12.9</v>
      </c>
      <c r="T84">
        <v>17.8</v>
      </c>
      <c r="U84">
        <v>25.5</v>
      </c>
      <c r="V84">
        <v>21.2</v>
      </c>
      <c r="W84">
        <v>11.7</v>
      </c>
      <c r="X84">
        <v>19.2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f t="shared" si="34"/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f t="shared" si="35"/>
        <v>1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 t="shared" si="36"/>
        <v>1</v>
      </c>
      <c r="BV84">
        <v>0</v>
      </c>
      <c r="BW84">
        <v>1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f t="shared" si="37"/>
        <v>1</v>
      </c>
      <c r="CG84">
        <f t="shared" si="64"/>
        <v>0</v>
      </c>
      <c r="CH84">
        <f t="shared" si="44"/>
        <v>1</v>
      </c>
      <c r="CI84">
        <f t="shared" si="45"/>
        <v>0</v>
      </c>
      <c r="CJ84">
        <f t="shared" si="46"/>
        <v>0</v>
      </c>
      <c r="CK84">
        <f t="shared" si="47"/>
        <v>0</v>
      </c>
      <c r="CL84">
        <f t="shared" si="48"/>
        <v>0</v>
      </c>
      <c r="CM84">
        <f t="shared" si="49"/>
        <v>0</v>
      </c>
      <c r="CN84">
        <f t="shared" si="50"/>
        <v>0</v>
      </c>
      <c r="CO84">
        <f t="shared" si="51"/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f t="shared" si="38"/>
        <v>1</v>
      </c>
      <c r="CW84">
        <f t="shared" si="39"/>
        <v>1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f t="shared" si="41"/>
        <v>1</v>
      </c>
      <c r="DI84">
        <f t="shared" si="65"/>
        <v>0</v>
      </c>
      <c r="DJ84">
        <f t="shared" si="52"/>
        <v>0</v>
      </c>
      <c r="DK84">
        <f t="shared" si="53"/>
        <v>0</v>
      </c>
      <c r="DL84">
        <f t="shared" si="54"/>
        <v>0</v>
      </c>
      <c r="DM84">
        <f t="shared" si="55"/>
        <v>0</v>
      </c>
      <c r="DN84">
        <f t="shared" si="56"/>
        <v>0</v>
      </c>
      <c r="DO84">
        <f t="shared" si="57"/>
        <v>1</v>
      </c>
      <c r="DP84">
        <f t="shared" si="58"/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f t="shared" si="42"/>
        <v>1</v>
      </c>
      <c r="DX84">
        <f t="shared" si="43"/>
        <v>1</v>
      </c>
      <c r="DZ84">
        <f t="shared" si="66"/>
        <v>0</v>
      </c>
      <c r="EA84">
        <f t="shared" si="59"/>
        <v>0</v>
      </c>
      <c r="EB84">
        <f t="shared" si="60"/>
        <v>0</v>
      </c>
      <c r="EC84">
        <f t="shared" si="61"/>
        <v>0</v>
      </c>
      <c r="ED84">
        <f t="shared" si="62"/>
        <v>0</v>
      </c>
      <c r="EE84">
        <f t="shared" si="63"/>
        <v>1</v>
      </c>
    </row>
    <row r="85" spans="1:135" x14ac:dyDescent="0.35">
      <c r="A85" t="s">
        <v>183</v>
      </c>
      <c r="B85">
        <f>[1]Population!$BB110</f>
        <v>60483385</v>
      </c>
      <c r="C85">
        <f>[1]RealGDP!$BB110</f>
        <v>1763885790470.2776</v>
      </c>
      <c r="D85" s="10">
        <f>[1]GDPcap!$BB110</f>
        <v>29163.146051932734</v>
      </c>
      <c r="F85" t="s">
        <v>183</v>
      </c>
      <c r="H85">
        <v>5.7</v>
      </c>
      <c r="I85">
        <v>6.5</v>
      </c>
      <c r="J85">
        <v>8.4</v>
      </c>
      <c r="K85">
        <v>11.2</v>
      </c>
      <c r="L85">
        <v>15.3</v>
      </c>
      <c r="M85">
        <v>19.100000000000001</v>
      </c>
      <c r="N85">
        <v>21.9</v>
      </c>
      <c r="O85">
        <v>21.9</v>
      </c>
      <c r="P85">
        <v>19.100000000000001</v>
      </c>
      <c r="Q85">
        <v>14.8</v>
      </c>
      <c r="R85">
        <v>10.3</v>
      </c>
      <c r="S85">
        <v>6.8</v>
      </c>
      <c r="T85">
        <v>11.6</v>
      </c>
      <c r="U85">
        <v>21</v>
      </c>
      <c r="V85">
        <v>14.7</v>
      </c>
      <c r="W85">
        <v>6.1</v>
      </c>
      <c r="X85">
        <v>13.4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0</v>
      </c>
      <c r="AN85">
        <v>0</v>
      </c>
      <c r="AO85">
        <f t="shared" si="34"/>
        <v>1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f t="shared" si="35"/>
        <v>1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 t="shared" si="36"/>
        <v>1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f t="shared" si="37"/>
        <v>1</v>
      </c>
      <c r="CG85">
        <f t="shared" si="64"/>
        <v>0</v>
      </c>
      <c r="CH85">
        <f t="shared" si="44"/>
        <v>1</v>
      </c>
      <c r="CI85">
        <f t="shared" si="45"/>
        <v>0</v>
      </c>
      <c r="CJ85">
        <f t="shared" si="46"/>
        <v>0</v>
      </c>
      <c r="CK85">
        <f t="shared" si="47"/>
        <v>0</v>
      </c>
      <c r="CL85">
        <f t="shared" si="48"/>
        <v>0</v>
      </c>
      <c r="CM85">
        <f t="shared" si="49"/>
        <v>0</v>
      </c>
      <c r="CN85">
        <f t="shared" si="50"/>
        <v>0</v>
      </c>
      <c r="CO85">
        <f t="shared" si="51"/>
        <v>0</v>
      </c>
      <c r="CQ85">
        <v>0</v>
      </c>
      <c r="CR85">
        <v>0</v>
      </c>
      <c r="CS85">
        <v>0</v>
      </c>
      <c r="CT85">
        <v>1</v>
      </c>
      <c r="CU85">
        <v>0</v>
      </c>
      <c r="CV85">
        <f t="shared" si="38"/>
        <v>0</v>
      </c>
      <c r="CW85">
        <f t="shared" si="39"/>
        <v>1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f t="shared" si="40"/>
        <v>0</v>
      </c>
      <c r="DF85">
        <v>0</v>
      </c>
      <c r="DG85">
        <f t="shared" si="41"/>
        <v>1</v>
      </c>
      <c r="DI85">
        <f t="shared" si="65"/>
        <v>1</v>
      </c>
      <c r="DJ85">
        <f t="shared" si="52"/>
        <v>0</v>
      </c>
      <c r="DK85">
        <f t="shared" si="53"/>
        <v>0</v>
      </c>
      <c r="DL85">
        <f t="shared" si="54"/>
        <v>0</v>
      </c>
      <c r="DM85">
        <f t="shared" si="55"/>
        <v>0</v>
      </c>
      <c r="DN85">
        <f t="shared" si="56"/>
        <v>0</v>
      </c>
      <c r="DO85">
        <f t="shared" si="57"/>
        <v>0</v>
      </c>
      <c r="DP85">
        <f t="shared" si="58"/>
        <v>0</v>
      </c>
      <c r="DR85">
        <v>1</v>
      </c>
      <c r="DS85">
        <v>0</v>
      </c>
      <c r="DT85">
        <v>0</v>
      </c>
      <c r="DU85">
        <v>0</v>
      </c>
      <c r="DV85">
        <v>0</v>
      </c>
      <c r="DW85">
        <f t="shared" si="42"/>
        <v>0</v>
      </c>
      <c r="DX85">
        <f t="shared" si="43"/>
        <v>1</v>
      </c>
      <c r="DZ85">
        <f t="shared" si="66"/>
        <v>1</v>
      </c>
      <c r="EA85">
        <f t="shared" si="59"/>
        <v>0</v>
      </c>
      <c r="EB85">
        <f t="shared" si="60"/>
        <v>0</v>
      </c>
      <c r="EC85">
        <f t="shared" si="61"/>
        <v>0</v>
      </c>
      <c r="ED85">
        <f t="shared" si="62"/>
        <v>0</v>
      </c>
      <c r="EE85">
        <f t="shared" si="63"/>
        <v>0</v>
      </c>
    </row>
    <row r="86" spans="1:135" x14ac:dyDescent="0.35">
      <c r="A86" t="s">
        <v>90</v>
      </c>
      <c r="B86">
        <f>[1]Population!$BB112</f>
        <v>127450459</v>
      </c>
      <c r="C86">
        <f>[1]RealGDP!$BB112</f>
        <v>4648468621132.7568</v>
      </c>
      <c r="D86" s="10">
        <f>[1]GDPcap!$BB112</f>
        <v>36472.749157637452</v>
      </c>
      <c r="F86" t="s">
        <v>90</v>
      </c>
      <c r="H86">
        <v>-0.3</v>
      </c>
      <c r="I86">
        <v>0.1</v>
      </c>
      <c r="J86">
        <v>3.4</v>
      </c>
      <c r="K86">
        <v>9.4</v>
      </c>
      <c r="L86">
        <v>14.2</v>
      </c>
      <c r="M86">
        <v>17.899999999999999</v>
      </c>
      <c r="N86">
        <v>21.9</v>
      </c>
      <c r="O86">
        <v>23.3</v>
      </c>
      <c r="P86">
        <v>19.5</v>
      </c>
      <c r="Q86">
        <v>13.5</v>
      </c>
      <c r="R86">
        <v>7.9</v>
      </c>
      <c r="S86">
        <v>2.6</v>
      </c>
      <c r="T86">
        <v>9</v>
      </c>
      <c r="U86">
        <v>21.1</v>
      </c>
      <c r="V86">
        <v>13.6</v>
      </c>
      <c r="W86">
        <v>0.8</v>
      </c>
      <c r="X86">
        <v>11.1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ref="AO86:AO127" si="67">SUM(Z86:AN86)</f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f t="shared" si="35"/>
        <v>1</v>
      </c>
      <c r="BG86">
        <v>0</v>
      </c>
      <c r="BH86">
        <v>0</v>
      </c>
      <c r="BI86">
        <v>1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 t="shared" si="36"/>
        <v>1</v>
      </c>
      <c r="BV86">
        <v>0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f t="shared" si="37"/>
        <v>1</v>
      </c>
      <c r="CG86">
        <f t="shared" si="64"/>
        <v>0</v>
      </c>
      <c r="CH86">
        <f t="shared" si="44"/>
        <v>0</v>
      </c>
      <c r="CI86">
        <f t="shared" si="45"/>
        <v>1</v>
      </c>
      <c r="CJ86">
        <f t="shared" si="46"/>
        <v>0</v>
      </c>
      <c r="CK86">
        <f t="shared" si="47"/>
        <v>0</v>
      </c>
      <c r="CL86">
        <f t="shared" si="48"/>
        <v>0</v>
      </c>
      <c r="CM86">
        <f t="shared" si="49"/>
        <v>0</v>
      </c>
      <c r="CN86">
        <f t="shared" si="50"/>
        <v>0</v>
      </c>
      <c r="CO86">
        <f t="shared" si="51"/>
        <v>0</v>
      </c>
      <c r="CQ86">
        <v>0</v>
      </c>
      <c r="CR86">
        <v>1</v>
      </c>
      <c r="CS86">
        <v>0</v>
      </c>
      <c r="CT86">
        <v>0</v>
      </c>
      <c r="CU86">
        <v>0</v>
      </c>
      <c r="CV86">
        <f t="shared" si="38"/>
        <v>0</v>
      </c>
      <c r="CW86">
        <f t="shared" si="39"/>
        <v>1</v>
      </c>
      <c r="CY86">
        <v>0</v>
      </c>
      <c r="CZ86">
        <v>0</v>
      </c>
      <c r="DA86">
        <v>1</v>
      </c>
      <c r="DB86">
        <v>0</v>
      </c>
      <c r="DC86">
        <v>0</v>
      </c>
      <c r="DD86">
        <v>0</v>
      </c>
      <c r="DE86">
        <f t="shared" si="40"/>
        <v>0</v>
      </c>
      <c r="DF86">
        <v>0</v>
      </c>
      <c r="DG86">
        <f t="shared" si="41"/>
        <v>1</v>
      </c>
      <c r="DI86">
        <f t="shared" si="65"/>
        <v>0</v>
      </c>
      <c r="DJ86">
        <f t="shared" si="52"/>
        <v>0</v>
      </c>
      <c r="DK86">
        <f t="shared" si="53"/>
        <v>1</v>
      </c>
      <c r="DL86">
        <f t="shared" si="54"/>
        <v>0</v>
      </c>
      <c r="DM86">
        <f t="shared" si="55"/>
        <v>0</v>
      </c>
      <c r="DN86">
        <f t="shared" si="56"/>
        <v>0</v>
      </c>
      <c r="DO86">
        <f t="shared" si="57"/>
        <v>0</v>
      </c>
      <c r="DP86">
        <f t="shared" si="58"/>
        <v>0</v>
      </c>
      <c r="DR86">
        <v>0</v>
      </c>
      <c r="DS86">
        <v>0</v>
      </c>
      <c r="DT86">
        <v>1</v>
      </c>
      <c r="DU86">
        <v>0</v>
      </c>
      <c r="DV86">
        <v>0</v>
      </c>
      <c r="DW86">
        <f t="shared" si="42"/>
        <v>0</v>
      </c>
      <c r="DX86">
        <f t="shared" si="43"/>
        <v>1</v>
      </c>
      <c r="DZ86">
        <f t="shared" si="66"/>
        <v>0</v>
      </c>
      <c r="EA86">
        <f t="shared" si="59"/>
        <v>0</v>
      </c>
      <c r="EB86">
        <f t="shared" si="60"/>
        <v>1</v>
      </c>
      <c r="EC86">
        <f t="shared" si="61"/>
        <v>0</v>
      </c>
      <c r="ED86">
        <f t="shared" si="62"/>
        <v>0</v>
      </c>
      <c r="EE86">
        <f t="shared" si="63"/>
        <v>0</v>
      </c>
    </row>
    <row r="87" spans="1:135" x14ac:dyDescent="0.35">
      <c r="A87" t="s">
        <v>279</v>
      </c>
      <c r="B87">
        <f>[1]Population!$BB114</f>
        <v>6046000</v>
      </c>
      <c r="C87">
        <f>[1]RealGDP!$BB114</f>
        <v>17034536275.580128</v>
      </c>
      <c r="D87" s="10">
        <f>[1]GDPcap!$BB114</f>
        <v>2817.4886330764352</v>
      </c>
      <c r="F87" t="s">
        <v>279</v>
      </c>
      <c r="H87">
        <v>8.1999999999999993</v>
      </c>
      <c r="I87">
        <v>9.8000000000000007</v>
      </c>
      <c r="J87">
        <v>13</v>
      </c>
      <c r="K87">
        <v>17.600000000000001</v>
      </c>
      <c r="L87">
        <v>21.9</v>
      </c>
      <c r="M87">
        <v>25.3</v>
      </c>
      <c r="N87">
        <v>27</v>
      </c>
      <c r="O87">
        <v>27</v>
      </c>
      <c r="P87">
        <v>24.8</v>
      </c>
      <c r="Q87">
        <v>20.6</v>
      </c>
      <c r="R87">
        <v>14.6</v>
      </c>
      <c r="S87">
        <v>9.6999999999999993</v>
      </c>
      <c r="T87">
        <v>17.5</v>
      </c>
      <c r="U87">
        <v>26.4</v>
      </c>
      <c r="V87">
        <v>20</v>
      </c>
      <c r="W87">
        <v>8.9</v>
      </c>
      <c r="X87">
        <v>18.3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f t="shared" si="67"/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0</v>
      </c>
      <c r="BE87">
        <f t="shared" si="35"/>
        <v>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f t="shared" si="36"/>
        <v>1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f t="shared" si="37"/>
        <v>1</v>
      </c>
      <c r="CG87">
        <f t="shared" si="64"/>
        <v>0</v>
      </c>
      <c r="CH87">
        <f t="shared" si="44"/>
        <v>0</v>
      </c>
      <c r="CI87">
        <f t="shared" si="45"/>
        <v>0</v>
      </c>
      <c r="CJ87">
        <f t="shared" si="46"/>
        <v>0</v>
      </c>
      <c r="CK87">
        <f t="shared" si="47"/>
        <v>1</v>
      </c>
      <c r="CL87">
        <f t="shared" si="48"/>
        <v>0</v>
      </c>
      <c r="CM87">
        <f t="shared" si="49"/>
        <v>0</v>
      </c>
      <c r="CN87">
        <f t="shared" si="50"/>
        <v>0</v>
      </c>
      <c r="CO87">
        <f t="shared" si="51"/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f t="shared" si="38"/>
        <v>1</v>
      </c>
      <c r="CW87">
        <f t="shared" si="39"/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f t="shared" si="40"/>
        <v>1</v>
      </c>
      <c r="DF87">
        <v>0</v>
      </c>
      <c r="DG87">
        <f t="shared" si="41"/>
        <v>1</v>
      </c>
      <c r="DI87">
        <f t="shared" si="65"/>
        <v>0</v>
      </c>
      <c r="DJ87">
        <f t="shared" si="52"/>
        <v>0</v>
      </c>
      <c r="DK87">
        <f t="shared" si="53"/>
        <v>0</v>
      </c>
      <c r="DL87">
        <f t="shared" si="54"/>
        <v>0</v>
      </c>
      <c r="DM87">
        <f t="shared" si="55"/>
        <v>0</v>
      </c>
      <c r="DN87">
        <f t="shared" si="56"/>
        <v>0</v>
      </c>
      <c r="DO87">
        <f t="shared" si="57"/>
        <v>1</v>
      </c>
      <c r="DP87">
        <f t="shared" si="58"/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f t="shared" si="42"/>
        <v>1</v>
      </c>
      <c r="DX87">
        <f t="shared" si="43"/>
        <v>1</v>
      </c>
      <c r="DZ87">
        <f t="shared" si="66"/>
        <v>0</v>
      </c>
      <c r="EA87">
        <f t="shared" si="59"/>
        <v>0</v>
      </c>
      <c r="EB87">
        <f t="shared" si="60"/>
        <v>0</v>
      </c>
      <c r="EC87">
        <f t="shared" si="61"/>
        <v>0</v>
      </c>
      <c r="ED87">
        <f t="shared" si="62"/>
        <v>0</v>
      </c>
      <c r="EE87">
        <f t="shared" si="63"/>
        <v>1</v>
      </c>
    </row>
    <row r="88" spans="1:135" x14ac:dyDescent="0.35">
      <c r="A88" t="s">
        <v>410</v>
      </c>
      <c r="B88">
        <f>[1]Population!$BB115</f>
        <v>16323287</v>
      </c>
      <c r="C88">
        <f>[1]RealGDP!$BB115</f>
        <v>77245319067.247726</v>
      </c>
      <c r="D88" s="10">
        <f>[1]GDPcap!$BB115</f>
        <v>4732.2159481266071</v>
      </c>
      <c r="F88" t="s">
        <v>410</v>
      </c>
      <c r="H88">
        <v>-11.8</v>
      </c>
      <c r="I88">
        <v>-11.3</v>
      </c>
      <c r="J88">
        <v>-3.5</v>
      </c>
      <c r="K88">
        <v>8.6</v>
      </c>
      <c r="L88">
        <v>16.100000000000001</v>
      </c>
      <c r="M88">
        <v>21.2</v>
      </c>
      <c r="N88">
        <v>23.7</v>
      </c>
      <c r="O88">
        <v>21.2</v>
      </c>
      <c r="P88">
        <v>15.3</v>
      </c>
      <c r="Q88">
        <v>6.5</v>
      </c>
      <c r="R88">
        <v>-1.4</v>
      </c>
      <c r="S88">
        <v>-8.1</v>
      </c>
      <c r="T88">
        <v>7.1</v>
      </c>
      <c r="U88">
        <v>22</v>
      </c>
      <c r="V88">
        <v>6.8</v>
      </c>
      <c r="W88">
        <v>-10.1</v>
      </c>
      <c r="X88">
        <v>6.4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67"/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f t="shared" si="35"/>
        <v>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f t="shared" si="36"/>
        <v>1</v>
      </c>
      <c r="BV88">
        <v>0</v>
      </c>
      <c r="BW88">
        <v>0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0</v>
      </c>
      <c r="CE88">
        <f t="shared" si="37"/>
        <v>1</v>
      </c>
      <c r="CG88">
        <f t="shared" si="64"/>
        <v>0</v>
      </c>
      <c r="CH88">
        <f t="shared" si="44"/>
        <v>0</v>
      </c>
      <c r="CI88">
        <f t="shared" si="45"/>
        <v>0</v>
      </c>
      <c r="CJ88">
        <f t="shared" si="46"/>
        <v>1</v>
      </c>
      <c r="CK88">
        <f t="shared" si="47"/>
        <v>0</v>
      </c>
      <c r="CL88">
        <f t="shared" si="48"/>
        <v>0</v>
      </c>
      <c r="CM88">
        <f t="shared" si="49"/>
        <v>0</v>
      </c>
      <c r="CN88">
        <f t="shared" si="50"/>
        <v>0</v>
      </c>
      <c r="CO88">
        <f t="shared" si="51"/>
        <v>0</v>
      </c>
      <c r="CQ88">
        <v>0</v>
      </c>
      <c r="CR88">
        <v>0</v>
      </c>
      <c r="CS88">
        <v>0</v>
      </c>
      <c r="CT88">
        <v>0</v>
      </c>
      <c r="CU88">
        <v>1</v>
      </c>
      <c r="CV88">
        <f t="shared" si="38"/>
        <v>0</v>
      </c>
      <c r="CW88">
        <f t="shared" si="39"/>
        <v>1</v>
      </c>
      <c r="CY88">
        <v>0</v>
      </c>
      <c r="CZ88">
        <v>0</v>
      </c>
      <c r="DA88">
        <v>0</v>
      </c>
      <c r="DB88">
        <v>1</v>
      </c>
      <c r="DC88">
        <v>0</v>
      </c>
      <c r="DD88">
        <v>0</v>
      </c>
      <c r="DE88">
        <f t="shared" si="40"/>
        <v>0</v>
      </c>
      <c r="DF88">
        <v>0</v>
      </c>
      <c r="DG88">
        <f t="shared" si="41"/>
        <v>1</v>
      </c>
      <c r="DI88">
        <f t="shared" si="65"/>
        <v>0</v>
      </c>
      <c r="DJ88">
        <f t="shared" si="52"/>
        <v>0</v>
      </c>
      <c r="DK88">
        <f t="shared" si="53"/>
        <v>0</v>
      </c>
      <c r="DL88">
        <f t="shared" si="54"/>
        <v>1</v>
      </c>
      <c r="DM88">
        <f t="shared" si="55"/>
        <v>0</v>
      </c>
      <c r="DN88">
        <f t="shared" si="56"/>
        <v>0</v>
      </c>
      <c r="DO88">
        <f t="shared" si="57"/>
        <v>0</v>
      </c>
      <c r="DP88">
        <f t="shared" si="58"/>
        <v>0</v>
      </c>
      <c r="DR88">
        <v>0</v>
      </c>
      <c r="DS88">
        <v>0</v>
      </c>
      <c r="DT88">
        <v>0</v>
      </c>
      <c r="DU88">
        <v>1</v>
      </c>
      <c r="DV88">
        <v>0</v>
      </c>
      <c r="DW88">
        <f t="shared" si="42"/>
        <v>0</v>
      </c>
      <c r="DX88">
        <f t="shared" si="43"/>
        <v>1</v>
      </c>
      <c r="DZ88">
        <f t="shared" si="66"/>
        <v>0</v>
      </c>
      <c r="EA88">
        <f t="shared" si="59"/>
        <v>0</v>
      </c>
      <c r="EB88">
        <f t="shared" si="60"/>
        <v>0</v>
      </c>
      <c r="EC88">
        <f t="shared" si="61"/>
        <v>1</v>
      </c>
      <c r="ED88">
        <f t="shared" si="62"/>
        <v>0</v>
      </c>
      <c r="EE88">
        <f t="shared" si="63"/>
        <v>0</v>
      </c>
    </row>
    <row r="89" spans="1:135" x14ac:dyDescent="0.35">
      <c r="A89" t="s">
        <v>186</v>
      </c>
      <c r="B89">
        <f>[1]Population!$BB116</f>
        <v>40909194</v>
      </c>
      <c r="C89">
        <f>[1]RealGDP!$BB116</f>
        <v>23525253225.790203</v>
      </c>
      <c r="D89" s="10">
        <f>[1]GDPcap!$BB116</f>
        <v>575.06029636736923</v>
      </c>
      <c r="F89" t="s">
        <v>186</v>
      </c>
      <c r="H89">
        <v>25.1</v>
      </c>
      <c r="I89">
        <v>25.9</v>
      </c>
      <c r="J89">
        <v>26.3</v>
      </c>
      <c r="K89">
        <v>25.7</v>
      </c>
      <c r="L89">
        <v>24.7</v>
      </c>
      <c r="M89">
        <v>23.7</v>
      </c>
      <c r="N89">
        <v>23.1</v>
      </c>
      <c r="O89">
        <v>23.4</v>
      </c>
      <c r="P89">
        <v>24.2</v>
      </c>
      <c r="Q89">
        <v>25</v>
      </c>
      <c r="R89">
        <v>24.8</v>
      </c>
      <c r="S89">
        <v>24.8</v>
      </c>
      <c r="T89">
        <v>25.6</v>
      </c>
      <c r="U89">
        <v>23.4</v>
      </c>
      <c r="V89">
        <v>24.7</v>
      </c>
      <c r="W89">
        <v>24.4</v>
      </c>
      <c r="X89">
        <v>24.7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67"/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f t="shared" si="35"/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</v>
      </c>
      <c r="BS89">
        <v>0</v>
      </c>
      <c r="BT89">
        <f t="shared" si="36"/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f t="shared" si="37"/>
        <v>1</v>
      </c>
      <c r="CG89">
        <f t="shared" si="64"/>
        <v>0</v>
      </c>
      <c r="CH89">
        <f t="shared" si="44"/>
        <v>0</v>
      </c>
      <c r="CI89">
        <f t="shared" si="45"/>
        <v>0</v>
      </c>
      <c r="CJ89">
        <f t="shared" si="46"/>
        <v>0</v>
      </c>
      <c r="CK89">
        <f t="shared" si="47"/>
        <v>0</v>
      </c>
      <c r="CL89">
        <f t="shared" si="48"/>
        <v>0</v>
      </c>
      <c r="CM89">
        <f t="shared" si="49"/>
        <v>0</v>
      </c>
      <c r="CN89">
        <f t="shared" si="50"/>
        <v>0</v>
      </c>
      <c r="CO89">
        <f t="shared" si="51"/>
        <v>1</v>
      </c>
      <c r="CQ89">
        <v>0</v>
      </c>
      <c r="CR89">
        <v>0</v>
      </c>
      <c r="CS89">
        <v>0</v>
      </c>
      <c r="CT89">
        <v>0</v>
      </c>
      <c r="CU89">
        <v>0</v>
      </c>
      <c r="CV89">
        <f t="shared" si="38"/>
        <v>1</v>
      </c>
      <c r="CW89">
        <f t="shared" si="39"/>
        <v>1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f t="shared" si="40"/>
        <v>1</v>
      </c>
      <c r="DF89">
        <v>0</v>
      </c>
      <c r="DG89">
        <f t="shared" si="41"/>
        <v>1</v>
      </c>
      <c r="DI89">
        <f t="shared" si="65"/>
        <v>0</v>
      </c>
      <c r="DJ89">
        <f t="shared" si="52"/>
        <v>0</v>
      </c>
      <c r="DK89">
        <f t="shared" si="53"/>
        <v>0</v>
      </c>
      <c r="DL89">
        <f t="shared" si="54"/>
        <v>0</v>
      </c>
      <c r="DM89">
        <f t="shared" si="55"/>
        <v>0</v>
      </c>
      <c r="DN89">
        <f t="shared" si="56"/>
        <v>0</v>
      </c>
      <c r="DO89">
        <f t="shared" si="57"/>
        <v>1</v>
      </c>
      <c r="DP89">
        <f t="shared" si="58"/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f t="shared" si="42"/>
        <v>1</v>
      </c>
      <c r="DX89">
        <f t="shared" si="43"/>
        <v>1</v>
      </c>
      <c r="DZ89">
        <f t="shared" si="66"/>
        <v>0</v>
      </c>
      <c r="EA89">
        <f t="shared" si="59"/>
        <v>0</v>
      </c>
      <c r="EB89">
        <f t="shared" si="60"/>
        <v>0</v>
      </c>
      <c r="EC89">
        <f t="shared" si="61"/>
        <v>0</v>
      </c>
      <c r="ED89">
        <f t="shared" si="62"/>
        <v>0</v>
      </c>
      <c r="EE89">
        <f t="shared" si="63"/>
        <v>1</v>
      </c>
    </row>
    <row r="90" spans="1:135" x14ac:dyDescent="0.35">
      <c r="A90" t="s">
        <v>411</v>
      </c>
      <c r="B90">
        <f>[1]Population!$BB117</f>
        <v>97743</v>
      </c>
      <c r="C90">
        <f>[1]RealGDP!$BB117</f>
        <v>110681568.59474988</v>
      </c>
      <c r="D90" s="10">
        <f>[1]GDPcap!$BB117</f>
        <v>1132.3733525137338</v>
      </c>
      <c r="F90" t="s">
        <v>411</v>
      </c>
      <c r="H90">
        <v>28.1</v>
      </c>
      <c r="I90">
        <v>28.2</v>
      </c>
      <c r="J90">
        <v>28.2</v>
      </c>
      <c r="K90">
        <v>28.1</v>
      </c>
      <c r="L90">
        <v>28.5</v>
      </c>
      <c r="M90">
        <v>28.2</v>
      </c>
      <c r="N90">
        <v>28</v>
      </c>
      <c r="O90">
        <v>28</v>
      </c>
      <c r="P90">
        <v>28.1</v>
      </c>
      <c r="Q90">
        <v>28</v>
      </c>
      <c r="R90">
        <v>28.3</v>
      </c>
      <c r="S90">
        <v>28.2</v>
      </c>
      <c r="T90">
        <v>28.3</v>
      </c>
      <c r="U90">
        <v>28.1</v>
      </c>
      <c r="V90">
        <v>28.2</v>
      </c>
      <c r="W90">
        <v>27.2</v>
      </c>
      <c r="X90">
        <v>28.2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f t="shared" si="67"/>
        <v>1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1</v>
      </c>
      <c r="BD90">
        <v>0</v>
      </c>
      <c r="BE90">
        <f t="shared" si="35"/>
        <v>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f t="shared" si="36"/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0</v>
      </c>
      <c r="CD90">
        <v>0</v>
      </c>
      <c r="CE90">
        <f t="shared" si="37"/>
        <v>1</v>
      </c>
      <c r="CG90">
        <f t="shared" si="64"/>
        <v>0</v>
      </c>
      <c r="CH90">
        <f t="shared" si="44"/>
        <v>0</v>
      </c>
      <c r="CI90">
        <f t="shared" si="45"/>
        <v>0</v>
      </c>
      <c r="CJ90">
        <f t="shared" si="46"/>
        <v>0</v>
      </c>
      <c r="CK90">
        <f t="shared" si="47"/>
        <v>0</v>
      </c>
      <c r="CL90">
        <f t="shared" si="48"/>
        <v>0</v>
      </c>
      <c r="CM90">
        <f t="shared" si="49"/>
        <v>1</v>
      </c>
      <c r="CN90">
        <f t="shared" si="50"/>
        <v>0</v>
      </c>
      <c r="CO90">
        <f t="shared" si="51"/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f t="shared" si="38"/>
        <v>1</v>
      </c>
      <c r="CW90">
        <f t="shared" si="39"/>
        <v>1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1</v>
      </c>
      <c r="DE90">
        <f t="shared" si="40"/>
        <v>0</v>
      </c>
      <c r="DF90">
        <v>0</v>
      </c>
      <c r="DG90">
        <f t="shared" si="41"/>
        <v>1</v>
      </c>
      <c r="DI90">
        <f t="shared" si="65"/>
        <v>0</v>
      </c>
      <c r="DJ90">
        <f t="shared" si="52"/>
        <v>0</v>
      </c>
      <c r="DK90">
        <f t="shared" si="53"/>
        <v>0</v>
      </c>
      <c r="DL90">
        <f t="shared" si="54"/>
        <v>0</v>
      </c>
      <c r="DM90">
        <f t="shared" si="55"/>
        <v>0</v>
      </c>
      <c r="DN90">
        <f t="shared" si="56"/>
        <v>1</v>
      </c>
      <c r="DO90">
        <f t="shared" si="57"/>
        <v>0</v>
      </c>
      <c r="DP90">
        <f t="shared" si="58"/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f t="shared" si="42"/>
        <v>1</v>
      </c>
      <c r="DX90">
        <f t="shared" si="43"/>
        <v>1</v>
      </c>
      <c r="DZ90">
        <f t="shared" si="66"/>
        <v>0</v>
      </c>
      <c r="EA90">
        <f t="shared" si="59"/>
        <v>0</v>
      </c>
      <c r="EB90">
        <f t="shared" si="60"/>
        <v>0</v>
      </c>
      <c r="EC90">
        <f t="shared" si="61"/>
        <v>0</v>
      </c>
      <c r="ED90">
        <f t="shared" si="62"/>
        <v>0</v>
      </c>
      <c r="EE90">
        <f t="shared" si="63"/>
        <v>1</v>
      </c>
    </row>
    <row r="91" spans="1:135" x14ac:dyDescent="0.35">
      <c r="A91" t="s">
        <v>412</v>
      </c>
      <c r="B91">
        <f>[1]Population!$BB118</f>
        <v>1775680</v>
      </c>
      <c r="C91">
        <f>[1]RealGDP!$BB118</f>
        <v>4776327556.26161</v>
      </c>
      <c r="D91" s="10">
        <f>[1]GDPcap!$BB118</f>
        <v>2689.8582831712979</v>
      </c>
      <c r="F91" t="s">
        <v>229</v>
      </c>
      <c r="H91">
        <v>-1.6</v>
      </c>
      <c r="I91">
        <v>0.5</v>
      </c>
      <c r="J91">
        <v>4.5999999999999996</v>
      </c>
      <c r="K91">
        <v>9.9</v>
      </c>
      <c r="L91">
        <v>14.7</v>
      </c>
      <c r="M91">
        <v>17.899999999999999</v>
      </c>
      <c r="N91">
        <v>19.899999999999999</v>
      </c>
      <c r="O91">
        <v>19.7</v>
      </c>
      <c r="P91">
        <v>16.100000000000001</v>
      </c>
      <c r="Q91">
        <v>10.7</v>
      </c>
      <c r="R91">
        <v>5.2</v>
      </c>
      <c r="S91">
        <v>0.8</v>
      </c>
      <c r="T91">
        <v>9.6999999999999993</v>
      </c>
      <c r="U91">
        <v>19.2</v>
      </c>
      <c r="V91">
        <v>10.6</v>
      </c>
      <c r="W91">
        <v>-0.1</v>
      </c>
      <c r="X91">
        <v>9.9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67"/>
        <v>1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f t="shared" si="35"/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f t="shared" si="36"/>
        <v>1</v>
      </c>
      <c r="BV91">
        <v>0</v>
      </c>
      <c r="BW91">
        <v>0</v>
      </c>
      <c r="BX91">
        <v>0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f t="shared" si="37"/>
        <v>1</v>
      </c>
      <c r="CG91">
        <f t="shared" si="64"/>
        <v>0</v>
      </c>
      <c r="CH91">
        <f t="shared" si="44"/>
        <v>0</v>
      </c>
      <c r="CI91">
        <f t="shared" si="45"/>
        <v>0</v>
      </c>
      <c r="CJ91">
        <f t="shared" si="46"/>
        <v>1</v>
      </c>
      <c r="CK91">
        <f t="shared" si="47"/>
        <v>0</v>
      </c>
      <c r="CL91">
        <f t="shared" si="48"/>
        <v>0</v>
      </c>
      <c r="CM91">
        <f t="shared" si="49"/>
        <v>0</v>
      </c>
      <c r="CN91">
        <f t="shared" si="50"/>
        <v>0</v>
      </c>
      <c r="CO91">
        <f t="shared" si="51"/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f t="shared" si="38"/>
        <v>1</v>
      </c>
      <c r="CW91">
        <f t="shared" si="39"/>
        <v>1</v>
      </c>
      <c r="CY91">
        <v>0</v>
      </c>
      <c r="CZ91">
        <v>0</v>
      </c>
      <c r="DA91">
        <v>0</v>
      </c>
      <c r="DB91">
        <v>1</v>
      </c>
      <c r="DC91">
        <v>0</v>
      </c>
      <c r="DD91">
        <v>0</v>
      </c>
      <c r="DE91">
        <f t="shared" si="40"/>
        <v>0</v>
      </c>
      <c r="DF91">
        <v>0</v>
      </c>
      <c r="DG91">
        <f t="shared" si="41"/>
        <v>1</v>
      </c>
      <c r="DI91">
        <f t="shared" si="65"/>
        <v>0</v>
      </c>
      <c r="DJ91">
        <f t="shared" si="52"/>
        <v>0</v>
      </c>
      <c r="DK91">
        <f t="shared" si="53"/>
        <v>0</v>
      </c>
      <c r="DL91">
        <f t="shared" si="54"/>
        <v>1</v>
      </c>
      <c r="DM91">
        <f t="shared" si="55"/>
        <v>0</v>
      </c>
      <c r="DN91">
        <f t="shared" si="56"/>
        <v>0</v>
      </c>
      <c r="DO91">
        <f t="shared" si="57"/>
        <v>0</v>
      </c>
      <c r="DP91">
        <f t="shared" si="58"/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f t="shared" si="42"/>
        <v>1</v>
      </c>
      <c r="DX91">
        <f t="shared" si="43"/>
        <v>1</v>
      </c>
      <c r="DZ91">
        <f t="shared" si="66"/>
        <v>0</v>
      </c>
      <c r="EA91">
        <f t="shared" si="59"/>
        <v>0</v>
      </c>
      <c r="EB91">
        <f t="shared" si="60"/>
        <v>0</v>
      </c>
      <c r="EC91">
        <f t="shared" si="61"/>
        <v>0</v>
      </c>
      <c r="ED91">
        <f t="shared" si="62"/>
        <v>0</v>
      </c>
      <c r="EE91">
        <f t="shared" si="63"/>
        <v>1</v>
      </c>
    </row>
    <row r="92" spans="1:135" x14ac:dyDescent="0.35">
      <c r="A92" t="s">
        <v>413</v>
      </c>
      <c r="B92">
        <f>[1]Population!$BB119</f>
        <v>2991580</v>
      </c>
      <c r="C92">
        <f>[1]RealGDP!$BB119</f>
        <v>85606896366.229919</v>
      </c>
      <c r="D92" s="10">
        <f>[1]GDPcap!$BB119</f>
        <v>28615.94754819524</v>
      </c>
      <c r="F92" t="s">
        <v>413</v>
      </c>
      <c r="H92">
        <v>12.8</v>
      </c>
      <c r="I92">
        <v>15</v>
      </c>
      <c r="J92">
        <v>19.399999999999999</v>
      </c>
      <c r="K92">
        <v>24.4</v>
      </c>
      <c r="L92">
        <v>30.8</v>
      </c>
      <c r="M92">
        <v>34.700000000000003</v>
      </c>
      <c r="N92">
        <v>36.299999999999997</v>
      </c>
      <c r="O92">
        <v>35.799999999999997</v>
      </c>
      <c r="P92">
        <v>32.799999999999997</v>
      </c>
      <c r="Q92">
        <v>27.4</v>
      </c>
      <c r="R92">
        <v>20.2</v>
      </c>
      <c r="S92">
        <v>14.5</v>
      </c>
      <c r="T92">
        <v>24.9</v>
      </c>
      <c r="U92">
        <v>35.6</v>
      </c>
      <c r="V92">
        <v>26.8</v>
      </c>
      <c r="W92">
        <v>13.6</v>
      </c>
      <c r="X92">
        <v>25.3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0</v>
      </c>
      <c r="AN92">
        <v>0</v>
      </c>
      <c r="AO92">
        <f t="shared" si="67"/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f t="shared" si="35"/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0</v>
      </c>
      <c r="BR92">
        <v>0</v>
      </c>
      <c r="BS92">
        <v>0</v>
      </c>
      <c r="BT92">
        <f t="shared" si="36"/>
        <v>1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f t="shared" si="37"/>
        <v>1</v>
      </c>
      <c r="CG92">
        <f t="shared" si="64"/>
        <v>0</v>
      </c>
      <c r="CH92">
        <f t="shared" si="44"/>
        <v>0</v>
      </c>
      <c r="CI92">
        <f t="shared" si="45"/>
        <v>0</v>
      </c>
      <c r="CJ92">
        <f t="shared" si="46"/>
        <v>0</v>
      </c>
      <c r="CK92">
        <f t="shared" si="47"/>
        <v>1</v>
      </c>
      <c r="CL92">
        <f t="shared" si="48"/>
        <v>0</v>
      </c>
      <c r="CM92">
        <f t="shared" si="49"/>
        <v>0</v>
      </c>
      <c r="CN92">
        <f t="shared" si="50"/>
        <v>0</v>
      </c>
      <c r="CO92">
        <f t="shared" si="51"/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f t="shared" si="38"/>
        <v>1</v>
      </c>
      <c r="CW92">
        <f t="shared" si="39"/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f t="shared" si="40"/>
        <v>1</v>
      </c>
      <c r="DF92">
        <v>0</v>
      </c>
      <c r="DG92">
        <f t="shared" si="41"/>
        <v>1</v>
      </c>
      <c r="DI92">
        <f t="shared" si="65"/>
        <v>0</v>
      </c>
      <c r="DJ92">
        <f t="shared" si="52"/>
        <v>0</v>
      </c>
      <c r="DK92">
        <f t="shared" si="53"/>
        <v>0</v>
      </c>
      <c r="DL92">
        <f t="shared" si="54"/>
        <v>0</v>
      </c>
      <c r="DM92">
        <f t="shared" si="55"/>
        <v>0</v>
      </c>
      <c r="DN92">
        <f t="shared" si="56"/>
        <v>0</v>
      </c>
      <c r="DO92">
        <f t="shared" si="57"/>
        <v>1</v>
      </c>
      <c r="DP92">
        <f t="shared" si="58"/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f t="shared" si="42"/>
        <v>1</v>
      </c>
      <c r="DX92">
        <f t="shared" si="43"/>
        <v>1</v>
      </c>
      <c r="DZ92">
        <f t="shared" si="66"/>
        <v>0</v>
      </c>
      <c r="EA92">
        <f t="shared" si="59"/>
        <v>0</v>
      </c>
      <c r="EB92">
        <f t="shared" si="60"/>
        <v>0</v>
      </c>
      <c r="EC92">
        <f t="shared" si="61"/>
        <v>0</v>
      </c>
      <c r="ED92">
        <f t="shared" si="62"/>
        <v>0</v>
      </c>
      <c r="EE92">
        <f t="shared" si="63"/>
        <v>1</v>
      </c>
    </row>
    <row r="93" spans="1:135" x14ac:dyDescent="0.35">
      <c r="A93" t="s">
        <v>280</v>
      </c>
      <c r="B93">
        <f>[1]Population!$BB120</f>
        <v>5447900</v>
      </c>
      <c r="C93">
        <f>[1]RealGDP!$BB120</f>
        <v>3055806771.435782</v>
      </c>
      <c r="D93" s="10">
        <f>[1]GDPcap!$BB120</f>
        <v>560.91462241153135</v>
      </c>
      <c r="F93" t="s">
        <v>280</v>
      </c>
      <c r="H93">
        <v>-13.8</v>
      </c>
      <c r="I93">
        <v>-12.3</v>
      </c>
      <c r="J93">
        <v>-4.5999999999999996</v>
      </c>
      <c r="K93">
        <v>3.7</v>
      </c>
      <c r="L93">
        <v>8.1</v>
      </c>
      <c r="M93">
        <v>12.1</v>
      </c>
      <c r="N93">
        <v>14.9</v>
      </c>
      <c r="O93">
        <v>14.2</v>
      </c>
      <c r="P93">
        <v>9.4</v>
      </c>
      <c r="Q93">
        <v>2.6</v>
      </c>
      <c r="R93">
        <v>-4.8</v>
      </c>
      <c r="S93">
        <v>-10.6</v>
      </c>
      <c r="T93">
        <v>2.4</v>
      </c>
      <c r="U93">
        <v>13.7</v>
      </c>
      <c r="V93">
        <v>2.4</v>
      </c>
      <c r="W93">
        <v>-11.9</v>
      </c>
      <c r="X93">
        <v>1.6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67"/>
        <v>1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f t="shared" si="35"/>
        <v>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f t="shared" si="36"/>
        <v>1</v>
      </c>
      <c r="BV93">
        <v>0</v>
      </c>
      <c r="BW93">
        <v>0</v>
      </c>
      <c r="BX93">
        <v>0</v>
      </c>
      <c r="BY9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f t="shared" si="37"/>
        <v>1</v>
      </c>
      <c r="CG93">
        <f t="shared" si="64"/>
        <v>0</v>
      </c>
      <c r="CH93">
        <f t="shared" si="44"/>
        <v>0</v>
      </c>
      <c r="CI93">
        <f t="shared" si="45"/>
        <v>0</v>
      </c>
      <c r="CJ93">
        <f t="shared" si="46"/>
        <v>1</v>
      </c>
      <c r="CK93">
        <f t="shared" si="47"/>
        <v>0</v>
      </c>
      <c r="CL93">
        <f t="shared" si="48"/>
        <v>0</v>
      </c>
      <c r="CM93">
        <f t="shared" si="49"/>
        <v>0</v>
      </c>
      <c r="CN93">
        <f t="shared" si="50"/>
        <v>0</v>
      </c>
      <c r="CO93">
        <f t="shared" si="51"/>
        <v>0</v>
      </c>
      <c r="CQ93">
        <v>0</v>
      </c>
      <c r="CR93">
        <v>0</v>
      </c>
      <c r="CS93">
        <v>0</v>
      </c>
      <c r="CT93">
        <v>0</v>
      </c>
      <c r="CU93">
        <v>1</v>
      </c>
      <c r="CV93">
        <f t="shared" si="38"/>
        <v>0</v>
      </c>
      <c r="CW93">
        <f t="shared" si="39"/>
        <v>1</v>
      </c>
      <c r="CY93">
        <v>0</v>
      </c>
      <c r="CZ93">
        <v>0</v>
      </c>
      <c r="DA93">
        <v>0</v>
      </c>
      <c r="DB93">
        <v>1</v>
      </c>
      <c r="DC93">
        <v>0</v>
      </c>
      <c r="DD93">
        <v>0</v>
      </c>
      <c r="DE93">
        <f t="shared" si="40"/>
        <v>0</v>
      </c>
      <c r="DF93">
        <v>0</v>
      </c>
      <c r="DG93">
        <f t="shared" si="41"/>
        <v>1</v>
      </c>
      <c r="DI93">
        <f t="shared" si="65"/>
        <v>0</v>
      </c>
      <c r="DJ93">
        <f t="shared" si="52"/>
        <v>0</v>
      </c>
      <c r="DK93">
        <f t="shared" si="53"/>
        <v>0</v>
      </c>
      <c r="DL93">
        <f t="shared" si="54"/>
        <v>1</v>
      </c>
      <c r="DM93">
        <f t="shared" si="55"/>
        <v>0</v>
      </c>
      <c r="DN93">
        <f t="shared" si="56"/>
        <v>0</v>
      </c>
      <c r="DO93">
        <f t="shared" si="57"/>
        <v>0</v>
      </c>
      <c r="DP93">
        <f t="shared" si="58"/>
        <v>0</v>
      </c>
      <c r="DR93">
        <v>0</v>
      </c>
      <c r="DS93">
        <v>0</v>
      </c>
      <c r="DT93">
        <v>0</v>
      </c>
      <c r="DU93">
        <v>1</v>
      </c>
      <c r="DV93">
        <v>0</v>
      </c>
      <c r="DW93">
        <f t="shared" si="42"/>
        <v>0</v>
      </c>
      <c r="DX93">
        <f t="shared" si="43"/>
        <v>1</v>
      </c>
      <c r="DZ93">
        <f t="shared" si="66"/>
        <v>0</v>
      </c>
      <c r="EA93">
        <f t="shared" si="59"/>
        <v>0</v>
      </c>
      <c r="EB93">
        <f t="shared" si="60"/>
        <v>0</v>
      </c>
      <c r="EC93">
        <f t="shared" si="61"/>
        <v>1</v>
      </c>
      <c r="ED93">
        <f t="shared" si="62"/>
        <v>0</v>
      </c>
      <c r="EE93">
        <f t="shared" si="63"/>
        <v>0</v>
      </c>
    </row>
    <row r="94" spans="1:135" x14ac:dyDescent="0.35">
      <c r="A94" t="s">
        <v>414</v>
      </c>
      <c r="B94">
        <f>[1]Population!$BB121</f>
        <v>6395713</v>
      </c>
      <c r="C94">
        <f>[1]RealGDP!$BB121</f>
        <v>4021824831.5087829</v>
      </c>
      <c r="D94" s="10">
        <f>[1]GDPcap!$BB121</f>
        <v>628.83134867195929</v>
      </c>
      <c r="F94" t="s">
        <v>414</v>
      </c>
      <c r="H94">
        <v>18.100000000000001</v>
      </c>
      <c r="I94">
        <v>19.8</v>
      </c>
      <c r="J94">
        <v>22.1</v>
      </c>
      <c r="K94">
        <v>24.5</v>
      </c>
      <c r="L94">
        <v>25.5</v>
      </c>
      <c r="M94">
        <v>25.5</v>
      </c>
      <c r="N94">
        <v>25.4</v>
      </c>
      <c r="O94">
        <v>25</v>
      </c>
      <c r="P94">
        <v>24.6</v>
      </c>
      <c r="Q94">
        <v>23.2</v>
      </c>
      <c r="R94">
        <v>20.8</v>
      </c>
      <c r="S94">
        <v>18.399999999999999</v>
      </c>
      <c r="T94">
        <v>24</v>
      </c>
      <c r="U94">
        <v>25.3</v>
      </c>
      <c r="V94">
        <v>22.9</v>
      </c>
      <c r="W94">
        <v>18.100000000000001</v>
      </c>
      <c r="X94">
        <v>22.7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67"/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1</v>
      </c>
      <c r="BD94">
        <v>0</v>
      </c>
      <c r="BE94">
        <f t="shared" si="35"/>
        <v>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f t="shared" si="36"/>
        <v>1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1</v>
      </c>
      <c r="CC94">
        <v>0</v>
      </c>
      <c r="CD94">
        <v>0</v>
      </c>
      <c r="CE94">
        <f t="shared" si="37"/>
        <v>1</v>
      </c>
      <c r="CG94">
        <f t="shared" si="64"/>
        <v>0</v>
      </c>
      <c r="CH94">
        <f t="shared" si="44"/>
        <v>0</v>
      </c>
      <c r="CI94">
        <f t="shared" si="45"/>
        <v>0</v>
      </c>
      <c r="CJ94">
        <f t="shared" si="46"/>
        <v>0</v>
      </c>
      <c r="CK94">
        <f t="shared" si="47"/>
        <v>0</v>
      </c>
      <c r="CL94">
        <f t="shared" si="48"/>
        <v>0</v>
      </c>
      <c r="CM94">
        <f t="shared" si="49"/>
        <v>1</v>
      </c>
      <c r="CN94">
        <f t="shared" si="50"/>
        <v>0</v>
      </c>
      <c r="CO94">
        <f t="shared" si="51"/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f t="shared" si="38"/>
        <v>1</v>
      </c>
      <c r="CW94">
        <f t="shared" si="39"/>
        <v>1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1</v>
      </c>
      <c r="DE94">
        <f t="shared" si="40"/>
        <v>0</v>
      </c>
      <c r="DF94">
        <v>0</v>
      </c>
      <c r="DG94">
        <f t="shared" si="41"/>
        <v>1</v>
      </c>
      <c r="DI94">
        <f t="shared" si="65"/>
        <v>0</v>
      </c>
      <c r="DJ94">
        <f t="shared" si="52"/>
        <v>0</v>
      </c>
      <c r="DK94">
        <f t="shared" si="53"/>
        <v>0</v>
      </c>
      <c r="DL94">
        <f t="shared" si="54"/>
        <v>0</v>
      </c>
      <c r="DM94">
        <f t="shared" si="55"/>
        <v>0</v>
      </c>
      <c r="DN94">
        <f t="shared" si="56"/>
        <v>1</v>
      </c>
      <c r="DO94">
        <f t="shared" si="57"/>
        <v>0</v>
      </c>
      <c r="DP94">
        <f t="shared" si="58"/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f t="shared" si="42"/>
        <v>1</v>
      </c>
      <c r="DX94">
        <f t="shared" si="43"/>
        <v>1</v>
      </c>
      <c r="DZ94">
        <f t="shared" si="66"/>
        <v>0</v>
      </c>
      <c r="EA94">
        <f t="shared" si="59"/>
        <v>0</v>
      </c>
      <c r="EB94">
        <f t="shared" si="60"/>
        <v>0</v>
      </c>
      <c r="EC94">
        <f t="shared" si="61"/>
        <v>0</v>
      </c>
      <c r="ED94">
        <f t="shared" si="62"/>
        <v>0</v>
      </c>
      <c r="EE94">
        <f t="shared" si="63"/>
        <v>1</v>
      </c>
    </row>
    <row r="95" spans="1:135" x14ac:dyDescent="0.35">
      <c r="A95" t="s">
        <v>254</v>
      </c>
      <c r="B95">
        <f>[1]Population!$BB122</f>
        <v>2239008</v>
      </c>
      <c r="C95">
        <f>[1]RealGDP!$BB122</f>
        <v>15502642580.339478</v>
      </c>
      <c r="D95" s="10">
        <f>[1]GDPcap!$BB122</f>
        <v>6923.8888741529627</v>
      </c>
      <c r="F95" t="s">
        <v>254</v>
      </c>
      <c r="H95">
        <v>-5.8</v>
      </c>
      <c r="I95">
        <v>-5.4</v>
      </c>
      <c r="J95">
        <v>-1.5</v>
      </c>
      <c r="K95">
        <v>4.8</v>
      </c>
      <c r="L95">
        <v>11.1</v>
      </c>
      <c r="M95">
        <v>15</v>
      </c>
      <c r="N95">
        <v>16.600000000000001</v>
      </c>
      <c r="O95">
        <v>15.8</v>
      </c>
      <c r="P95">
        <v>11.6</v>
      </c>
      <c r="Q95">
        <v>6.6</v>
      </c>
      <c r="R95">
        <v>1.3</v>
      </c>
      <c r="S95">
        <v>-3.2</v>
      </c>
      <c r="T95">
        <v>4.8</v>
      </c>
      <c r="U95">
        <v>15.8</v>
      </c>
      <c r="V95">
        <v>6.5</v>
      </c>
      <c r="W95">
        <v>-4.8</v>
      </c>
      <c r="X95">
        <v>5.6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67"/>
        <v>1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f t="shared" si="35"/>
        <v>1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f t="shared" si="36"/>
        <v>1</v>
      </c>
      <c r="BV95">
        <v>0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0</v>
      </c>
      <c r="CE95">
        <f t="shared" si="37"/>
        <v>1</v>
      </c>
      <c r="CG95">
        <f t="shared" si="64"/>
        <v>0</v>
      </c>
      <c r="CH95">
        <f t="shared" si="44"/>
        <v>0</v>
      </c>
      <c r="CI95">
        <f t="shared" si="45"/>
        <v>0</v>
      </c>
      <c r="CJ95">
        <f t="shared" si="46"/>
        <v>1</v>
      </c>
      <c r="CK95">
        <f t="shared" si="47"/>
        <v>0</v>
      </c>
      <c r="CL95">
        <f t="shared" si="48"/>
        <v>0</v>
      </c>
      <c r="CM95">
        <f t="shared" si="49"/>
        <v>0</v>
      </c>
      <c r="CN95">
        <f t="shared" si="50"/>
        <v>0</v>
      </c>
      <c r="CO95">
        <f t="shared" si="51"/>
        <v>0</v>
      </c>
      <c r="CQ95">
        <v>0</v>
      </c>
      <c r="CR95">
        <v>0</v>
      </c>
      <c r="CS95">
        <v>0</v>
      </c>
      <c r="CT95">
        <v>0</v>
      </c>
      <c r="CU95">
        <v>1</v>
      </c>
      <c r="CV95">
        <f t="shared" si="38"/>
        <v>0</v>
      </c>
      <c r="CW95">
        <f t="shared" si="39"/>
        <v>1</v>
      </c>
      <c r="CY95">
        <v>0</v>
      </c>
      <c r="CZ95">
        <v>0</v>
      </c>
      <c r="DA95">
        <v>0</v>
      </c>
      <c r="DB95">
        <v>1</v>
      </c>
      <c r="DC95">
        <v>0</v>
      </c>
      <c r="DD95">
        <v>0</v>
      </c>
      <c r="DE95">
        <f t="shared" si="40"/>
        <v>0</v>
      </c>
      <c r="DF95">
        <v>0</v>
      </c>
      <c r="DG95">
        <f t="shared" si="41"/>
        <v>1</v>
      </c>
      <c r="DI95">
        <f t="shared" si="65"/>
        <v>0</v>
      </c>
      <c r="DJ95">
        <f t="shared" si="52"/>
        <v>0</v>
      </c>
      <c r="DK95">
        <f t="shared" si="53"/>
        <v>0</v>
      </c>
      <c r="DL95">
        <f t="shared" si="54"/>
        <v>1</v>
      </c>
      <c r="DM95">
        <f t="shared" si="55"/>
        <v>0</v>
      </c>
      <c r="DN95">
        <f t="shared" si="56"/>
        <v>0</v>
      </c>
      <c r="DO95">
        <f t="shared" si="57"/>
        <v>0</v>
      </c>
      <c r="DP95">
        <f t="shared" si="58"/>
        <v>0</v>
      </c>
      <c r="DR95">
        <v>0</v>
      </c>
      <c r="DS95">
        <v>0</v>
      </c>
      <c r="DT95">
        <v>0</v>
      </c>
      <c r="DU95">
        <v>1</v>
      </c>
      <c r="DV95">
        <v>0</v>
      </c>
      <c r="DW95">
        <f t="shared" si="42"/>
        <v>0</v>
      </c>
      <c r="DX95">
        <f t="shared" si="43"/>
        <v>1</v>
      </c>
      <c r="DZ95">
        <f t="shared" si="66"/>
        <v>0</v>
      </c>
      <c r="EA95">
        <f t="shared" si="59"/>
        <v>0</v>
      </c>
      <c r="EB95">
        <f t="shared" si="60"/>
        <v>0</v>
      </c>
      <c r="EC95">
        <f t="shared" si="61"/>
        <v>1</v>
      </c>
      <c r="ED95">
        <f t="shared" si="62"/>
        <v>0</v>
      </c>
      <c r="EE95">
        <f t="shared" si="63"/>
        <v>0</v>
      </c>
    </row>
    <row r="96" spans="1:135" x14ac:dyDescent="0.35">
      <c r="A96" t="s">
        <v>415</v>
      </c>
      <c r="B96">
        <f>[1]Population!$BB123</f>
        <v>4341092</v>
      </c>
      <c r="C96">
        <f>[1]RealGDP!$BB123</f>
        <v>30751708803.782261</v>
      </c>
      <c r="D96" s="10">
        <f>[1]GDPcap!$BB123</f>
        <v>7083.864798023691</v>
      </c>
      <c r="F96" t="s">
        <v>415</v>
      </c>
      <c r="H96">
        <v>7.7</v>
      </c>
      <c r="I96">
        <v>8.6</v>
      </c>
      <c r="J96">
        <v>10.9</v>
      </c>
      <c r="K96">
        <v>14.8</v>
      </c>
      <c r="L96">
        <v>18.600000000000001</v>
      </c>
      <c r="M96">
        <v>22.2</v>
      </c>
      <c r="N96">
        <v>24.5</v>
      </c>
      <c r="O96">
        <v>24.8</v>
      </c>
      <c r="P96">
        <v>22.7</v>
      </c>
      <c r="Q96">
        <v>19</v>
      </c>
      <c r="R96">
        <v>13.7</v>
      </c>
      <c r="S96">
        <v>9.1</v>
      </c>
      <c r="T96">
        <v>14.7</v>
      </c>
      <c r="U96">
        <v>23.8</v>
      </c>
      <c r="V96">
        <v>18.5</v>
      </c>
      <c r="W96">
        <v>8.1999999999999993</v>
      </c>
      <c r="X96">
        <v>16.399999999999999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f t="shared" si="67"/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f t="shared" si="35"/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</v>
      </c>
      <c r="BT96">
        <f t="shared" si="36"/>
        <v>1</v>
      </c>
      <c r="BV96">
        <v>0</v>
      </c>
      <c r="BW96">
        <v>0</v>
      </c>
      <c r="BX96">
        <v>0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0</v>
      </c>
      <c r="CE96">
        <f t="shared" si="37"/>
        <v>1</v>
      </c>
      <c r="CG96">
        <f t="shared" si="64"/>
        <v>0</v>
      </c>
      <c r="CH96">
        <f t="shared" si="44"/>
        <v>0</v>
      </c>
      <c r="CI96">
        <f t="shared" si="45"/>
        <v>0</v>
      </c>
      <c r="CJ96">
        <f t="shared" si="46"/>
        <v>0</v>
      </c>
      <c r="CK96">
        <f t="shared" si="47"/>
        <v>1</v>
      </c>
      <c r="CL96">
        <f t="shared" si="48"/>
        <v>0</v>
      </c>
      <c r="CM96">
        <f t="shared" si="49"/>
        <v>0</v>
      </c>
      <c r="CN96">
        <f t="shared" si="50"/>
        <v>0</v>
      </c>
      <c r="CO96">
        <f t="shared" si="51"/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f t="shared" si="38"/>
        <v>1</v>
      </c>
      <c r="CW96">
        <f t="shared" si="39"/>
        <v>1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f t="shared" si="40"/>
        <v>1</v>
      </c>
      <c r="DF96">
        <v>0</v>
      </c>
      <c r="DG96">
        <f t="shared" si="41"/>
        <v>1</v>
      </c>
      <c r="DI96">
        <f t="shared" si="65"/>
        <v>0</v>
      </c>
      <c r="DJ96">
        <f t="shared" si="52"/>
        <v>0</v>
      </c>
      <c r="DK96">
        <f t="shared" si="53"/>
        <v>0</v>
      </c>
      <c r="DL96">
        <f t="shared" si="54"/>
        <v>0</v>
      </c>
      <c r="DM96">
        <f t="shared" si="55"/>
        <v>0</v>
      </c>
      <c r="DN96">
        <f t="shared" si="56"/>
        <v>0</v>
      </c>
      <c r="DO96">
        <f t="shared" si="57"/>
        <v>1</v>
      </c>
      <c r="DP96">
        <f t="shared" si="58"/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f t="shared" si="42"/>
        <v>1</v>
      </c>
      <c r="DX96">
        <f t="shared" si="43"/>
        <v>1</v>
      </c>
      <c r="DZ96">
        <f t="shared" si="66"/>
        <v>0</v>
      </c>
      <c r="EA96">
        <f t="shared" si="59"/>
        <v>0</v>
      </c>
      <c r="EB96">
        <f t="shared" si="60"/>
        <v>0</v>
      </c>
      <c r="EC96">
        <f t="shared" si="61"/>
        <v>0</v>
      </c>
      <c r="ED96">
        <f t="shared" si="62"/>
        <v>0</v>
      </c>
      <c r="EE96">
        <f t="shared" si="63"/>
        <v>1</v>
      </c>
    </row>
    <row r="97" spans="1:135" x14ac:dyDescent="0.35">
      <c r="A97" t="s">
        <v>416</v>
      </c>
      <c r="B97">
        <f>[1]Population!$BB124</f>
        <v>2008921</v>
      </c>
      <c r="C97">
        <f>[1]RealGDP!$BB124</f>
        <v>1749548111.1919663</v>
      </c>
      <c r="D97" s="10">
        <f>[1]GDPcap!$BB124</f>
        <v>870.88945319002903</v>
      </c>
      <c r="F97" t="s">
        <v>416</v>
      </c>
      <c r="H97">
        <v>17.2</v>
      </c>
      <c r="I97">
        <v>16.3</v>
      </c>
      <c r="J97">
        <v>15</v>
      </c>
      <c r="K97">
        <v>11.3</v>
      </c>
      <c r="L97">
        <v>8.1999999999999993</v>
      </c>
      <c r="M97">
        <v>5.4</v>
      </c>
      <c r="N97">
        <v>5.8</v>
      </c>
      <c r="O97">
        <v>7.8</v>
      </c>
      <c r="P97">
        <v>11.5</v>
      </c>
      <c r="Q97">
        <v>13</v>
      </c>
      <c r="R97">
        <v>14.3</v>
      </c>
      <c r="S97">
        <v>16</v>
      </c>
      <c r="T97">
        <v>11.5</v>
      </c>
      <c r="U97">
        <v>6.3</v>
      </c>
      <c r="V97">
        <v>13</v>
      </c>
      <c r="W97">
        <v>15.9</v>
      </c>
      <c r="X97">
        <v>11.8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67"/>
        <v>1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f t="shared" si="35"/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f t="shared" si="36"/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f t="shared" si="37"/>
        <v>1</v>
      </c>
      <c r="CG97">
        <f t="shared" si="64"/>
        <v>0</v>
      </c>
      <c r="CH97">
        <f t="shared" si="44"/>
        <v>0</v>
      </c>
      <c r="CI97">
        <f t="shared" si="45"/>
        <v>0</v>
      </c>
      <c r="CJ97">
        <f t="shared" si="46"/>
        <v>0</v>
      </c>
      <c r="CK97">
        <f t="shared" si="47"/>
        <v>0</v>
      </c>
      <c r="CL97">
        <f t="shared" si="48"/>
        <v>0</v>
      </c>
      <c r="CM97">
        <f t="shared" si="49"/>
        <v>0</v>
      </c>
      <c r="CN97">
        <f t="shared" si="50"/>
        <v>0</v>
      </c>
      <c r="CO97">
        <f t="shared" si="51"/>
        <v>1</v>
      </c>
      <c r="CQ97">
        <v>0</v>
      </c>
      <c r="CR97">
        <v>0</v>
      </c>
      <c r="CS97">
        <v>0</v>
      </c>
      <c r="CT97">
        <v>0</v>
      </c>
      <c r="CU97">
        <v>0</v>
      </c>
      <c r="CV97">
        <f t="shared" si="38"/>
        <v>1</v>
      </c>
      <c r="CW97">
        <f t="shared" si="39"/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f t="shared" si="40"/>
        <v>1</v>
      </c>
      <c r="DF97">
        <v>0</v>
      </c>
      <c r="DG97">
        <f t="shared" si="41"/>
        <v>1</v>
      </c>
      <c r="DI97">
        <f t="shared" si="65"/>
        <v>0</v>
      </c>
      <c r="DJ97">
        <f t="shared" si="52"/>
        <v>0</v>
      </c>
      <c r="DK97">
        <f t="shared" si="53"/>
        <v>0</v>
      </c>
      <c r="DL97">
        <f t="shared" si="54"/>
        <v>0</v>
      </c>
      <c r="DM97">
        <f t="shared" si="55"/>
        <v>0</v>
      </c>
      <c r="DN97">
        <f t="shared" si="56"/>
        <v>0</v>
      </c>
      <c r="DO97">
        <f t="shared" si="57"/>
        <v>1</v>
      </c>
      <c r="DP97">
        <f t="shared" si="58"/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f t="shared" si="42"/>
        <v>1</v>
      </c>
      <c r="DX97">
        <f t="shared" si="43"/>
        <v>1</v>
      </c>
      <c r="DZ97">
        <f t="shared" si="66"/>
        <v>0</v>
      </c>
      <c r="EA97">
        <f t="shared" si="59"/>
        <v>0</v>
      </c>
      <c r="EB97">
        <f t="shared" si="60"/>
        <v>0</v>
      </c>
      <c r="EC97">
        <f t="shared" si="61"/>
        <v>0</v>
      </c>
      <c r="ED97">
        <f t="shared" si="62"/>
        <v>0</v>
      </c>
      <c r="EE97">
        <f t="shared" si="63"/>
        <v>1</v>
      </c>
    </row>
    <row r="98" spans="1:135" x14ac:dyDescent="0.35">
      <c r="A98" t="s">
        <v>417</v>
      </c>
      <c r="B98">
        <f>[1]Population!$BB125</f>
        <v>3957990</v>
      </c>
      <c r="C98">
        <f>[1]RealGDP!$BB125</f>
        <v>960255604.18450153</v>
      </c>
      <c r="D98" s="10">
        <f>[1]GDPcap!$BB125</f>
        <v>242.61193287110416</v>
      </c>
      <c r="F98" t="s">
        <v>417</v>
      </c>
      <c r="H98">
        <v>25.2</v>
      </c>
      <c r="I98">
        <v>25.9</v>
      </c>
      <c r="J98">
        <v>26.4</v>
      </c>
      <c r="K98">
        <v>26.4</v>
      </c>
      <c r="L98">
        <v>25.9</v>
      </c>
      <c r="M98">
        <v>25.1</v>
      </c>
      <c r="N98">
        <v>24.1</v>
      </c>
      <c r="O98">
        <v>24</v>
      </c>
      <c r="P98">
        <v>24.6</v>
      </c>
      <c r="Q98">
        <v>25</v>
      </c>
      <c r="R98">
        <v>25.5</v>
      </c>
      <c r="S98">
        <v>25</v>
      </c>
      <c r="T98">
        <v>26.2</v>
      </c>
      <c r="U98">
        <v>24.4</v>
      </c>
      <c r="V98">
        <v>25</v>
      </c>
      <c r="W98">
        <v>24.5</v>
      </c>
      <c r="X98">
        <v>25.3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67"/>
        <v>1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0</v>
      </c>
      <c r="BE98">
        <f t="shared" si="35"/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1</v>
      </c>
      <c r="BS98">
        <v>0</v>
      </c>
      <c r="BT98">
        <f t="shared" si="36"/>
        <v>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f t="shared" si="37"/>
        <v>1</v>
      </c>
      <c r="CG98">
        <f t="shared" si="64"/>
        <v>0</v>
      </c>
      <c r="CH98">
        <f t="shared" si="44"/>
        <v>0</v>
      </c>
      <c r="CI98">
        <f t="shared" si="45"/>
        <v>0</v>
      </c>
      <c r="CJ98">
        <f t="shared" si="46"/>
        <v>0</v>
      </c>
      <c r="CK98">
        <f t="shared" si="47"/>
        <v>0</v>
      </c>
      <c r="CL98">
        <f t="shared" si="48"/>
        <v>0</v>
      </c>
      <c r="CM98">
        <f t="shared" si="49"/>
        <v>0</v>
      </c>
      <c r="CN98">
        <f t="shared" si="50"/>
        <v>0</v>
      </c>
      <c r="CO98">
        <f t="shared" si="51"/>
        <v>1</v>
      </c>
      <c r="CQ98">
        <v>0</v>
      </c>
      <c r="CR98">
        <v>0</v>
      </c>
      <c r="CS98">
        <v>0</v>
      </c>
      <c r="CT98">
        <v>0</v>
      </c>
      <c r="CU98">
        <v>0</v>
      </c>
      <c r="CV98">
        <f t="shared" si="38"/>
        <v>1</v>
      </c>
      <c r="CW98">
        <f t="shared" si="39"/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f t="shared" si="40"/>
        <v>1</v>
      </c>
      <c r="DF98">
        <v>0</v>
      </c>
      <c r="DG98">
        <f t="shared" si="41"/>
        <v>1</v>
      </c>
      <c r="DI98">
        <f t="shared" si="65"/>
        <v>0</v>
      </c>
      <c r="DJ98">
        <f t="shared" si="52"/>
        <v>0</v>
      </c>
      <c r="DK98">
        <f t="shared" si="53"/>
        <v>0</v>
      </c>
      <c r="DL98">
        <f t="shared" si="54"/>
        <v>0</v>
      </c>
      <c r="DM98">
        <f t="shared" si="55"/>
        <v>0</v>
      </c>
      <c r="DN98">
        <f t="shared" si="56"/>
        <v>0</v>
      </c>
      <c r="DO98">
        <f t="shared" si="57"/>
        <v>1</v>
      </c>
      <c r="DP98">
        <f t="shared" si="58"/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f t="shared" si="42"/>
        <v>1</v>
      </c>
      <c r="DX98">
        <f t="shared" si="43"/>
        <v>1</v>
      </c>
      <c r="DZ98">
        <f t="shared" si="66"/>
        <v>0</v>
      </c>
      <c r="EA98">
        <f t="shared" si="59"/>
        <v>0</v>
      </c>
      <c r="EB98">
        <f t="shared" si="60"/>
        <v>0</v>
      </c>
      <c r="EC98">
        <f t="shared" si="61"/>
        <v>0</v>
      </c>
      <c r="ED98">
        <f t="shared" si="62"/>
        <v>0</v>
      </c>
      <c r="EE98">
        <f t="shared" si="63"/>
        <v>1</v>
      </c>
    </row>
    <row r="99" spans="1:135" x14ac:dyDescent="0.35">
      <c r="A99" t="s">
        <v>418</v>
      </c>
      <c r="B99">
        <f>[1]Population!$BB126</f>
        <v>6040612</v>
      </c>
      <c r="C99">
        <f>[1]RealGDP!$BB126</f>
        <v>54963979226.010597</v>
      </c>
      <c r="D99" s="10">
        <f>[1]GDPcap!$BB126</f>
        <v>9099.0746013832031</v>
      </c>
      <c r="F99" t="s">
        <v>418</v>
      </c>
      <c r="H99">
        <v>12.4</v>
      </c>
      <c r="I99">
        <v>14.6</v>
      </c>
      <c r="J99">
        <v>17.7</v>
      </c>
      <c r="K99">
        <v>22</v>
      </c>
      <c r="L99">
        <v>26.2</v>
      </c>
      <c r="M99">
        <v>29</v>
      </c>
      <c r="N99">
        <v>29.1</v>
      </c>
      <c r="O99">
        <v>29</v>
      </c>
      <c r="P99">
        <v>27.2</v>
      </c>
      <c r="Q99">
        <v>23.1</v>
      </c>
      <c r="R99">
        <v>17.7</v>
      </c>
      <c r="S99">
        <v>13.5</v>
      </c>
      <c r="T99">
        <v>22</v>
      </c>
      <c r="U99">
        <v>29</v>
      </c>
      <c r="V99">
        <v>22.7</v>
      </c>
      <c r="W99">
        <v>13</v>
      </c>
      <c r="X99">
        <v>21.8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>
        <v>0</v>
      </c>
      <c r="AN99">
        <v>0</v>
      </c>
      <c r="AO99">
        <f t="shared" si="67"/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0</v>
      </c>
      <c r="BE99">
        <f t="shared" si="35"/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0</v>
      </c>
      <c r="BS99">
        <v>0</v>
      </c>
      <c r="BT99">
        <f t="shared" si="36"/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f t="shared" si="37"/>
        <v>1</v>
      </c>
      <c r="CG99">
        <f t="shared" si="64"/>
        <v>0</v>
      </c>
      <c r="CH99">
        <f t="shared" si="44"/>
        <v>0</v>
      </c>
      <c r="CI99">
        <f t="shared" si="45"/>
        <v>0</v>
      </c>
      <c r="CJ99">
        <f t="shared" si="46"/>
        <v>0</v>
      </c>
      <c r="CK99">
        <f t="shared" si="47"/>
        <v>0</v>
      </c>
      <c r="CL99">
        <f t="shared" si="48"/>
        <v>0</v>
      </c>
      <c r="CM99">
        <f t="shared" si="49"/>
        <v>0</v>
      </c>
      <c r="CN99">
        <f t="shared" si="50"/>
        <v>0</v>
      </c>
      <c r="CO99">
        <f t="shared" si="51"/>
        <v>1</v>
      </c>
      <c r="CQ99">
        <v>0</v>
      </c>
      <c r="CR99">
        <v>0</v>
      </c>
      <c r="CS99">
        <v>0</v>
      </c>
      <c r="CT99">
        <v>0</v>
      </c>
      <c r="CU99">
        <v>0</v>
      </c>
      <c r="CV99">
        <f t="shared" si="38"/>
        <v>1</v>
      </c>
      <c r="CW99">
        <f t="shared" si="39"/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f t="shared" si="40"/>
        <v>1</v>
      </c>
      <c r="DF99">
        <v>0</v>
      </c>
      <c r="DG99">
        <f t="shared" si="41"/>
        <v>1</v>
      </c>
      <c r="DI99">
        <f t="shared" si="65"/>
        <v>0</v>
      </c>
      <c r="DJ99">
        <f t="shared" si="52"/>
        <v>0</v>
      </c>
      <c r="DK99">
        <f t="shared" si="53"/>
        <v>0</v>
      </c>
      <c r="DL99">
        <f t="shared" si="54"/>
        <v>0</v>
      </c>
      <c r="DM99">
        <f t="shared" si="55"/>
        <v>0</v>
      </c>
      <c r="DN99">
        <f t="shared" si="56"/>
        <v>0</v>
      </c>
      <c r="DO99">
        <f t="shared" si="57"/>
        <v>1</v>
      </c>
      <c r="DP99">
        <f t="shared" si="58"/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f t="shared" si="42"/>
        <v>1</v>
      </c>
      <c r="DX99">
        <f t="shared" si="43"/>
        <v>1</v>
      </c>
      <c r="DZ99">
        <f t="shared" si="66"/>
        <v>0</v>
      </c>
      <c r="EA99">
        <f t="shared" si="59"/>
        <v>0</v>
      </c>
      <c r="EB99">
        <f t="shared" si="60"/>
        <v>0</v>
      </c>
      <c r="EC99">
        <f t="shared" si="61"/>
        <v>0</v>
      </c>
      <c r="ED99">
        <f t="shared" si="62"/>
        <v>0</v>
      </c>
      <c r="EE99">
        <f t="shared" si="63"/>
        <v>1</v>
      </c>
    </row>
    <row r="100" spans="1:135" x14ac:dyDescent="0.35">
      <c r="A100" t="s">
        <v>255</v>
      </c>
      <c r="B100">
        <f>[1]Population!$BB128</f>
        <v>3286820</v>
      </c>
      <c r="C100">
        <f>[1]RealGDP!$BB128</f>
        <v>27346902406.20084</v>
      </c>
      <c r="D100" s="10">
        <f>[1]GDPcap!$BB128</f>
        <v>8320.1703793334709</v>
      </c>
      <c r="F100" t="s">
        <v>255</v>
      </c>
      <c r="H100">
        <v>-5.5</v>
      </c>
      <c r="I100">
        <v>-4.7</v>
      </c>
      <c r="J100">
        <v>-0.7</v>
      </c>
      <c r="K100">
        <v>5.8</v>
      </c>
      <c r="L100">
        <v>12.1</v>
      </c>
      <c r="M100">
        <v>15.5</v>
      </c>
      <c r="N100">
        <v>16.899999999999999</v>
      </c>
      <c r="O100">
        <v>16.3</v>
      </c>
      <c r="P100">
        <v>12.1</v>
      </c>
      <c r="Q100">
        <v>7.1</v>
      </c>
      <c r="R100">
        <v>1.8</v>
      </c>
      <c r="S100">
        <v>-2.7</v>
      </c>
      <c r="T100">
        <v>5.7</v>
      </c>
      <c r="U100">
        <v>16.2</v>
      </c>
      <c r="V100">
        <v>7</v>
      </c>
      <c r="W100">
        <v>-4.3</v>
      </c>
      <c r="X100">
        <v>6.2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67"/>
        <v>1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f t="shared" si="35"/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f t="shared" si="36"/>
        <v>1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f t="shared" si="37"/>
        <v>1</v>
      </c>
      <c r="CG100">
        <f t="shared" si="64"/>
        <v>0</v>
      </c>
      <c r="CH100">
        <f t="shared" si="44"/>
        <v>0</v>
      </c>
      <c r="CI100">
        <f t="shared" si="45"/>
        <v>0</v>
      </c>
      <c r="CJ100">
        <f t="shared" si="46"/>
        <v>1</v>
      </c>
      <c r="CK100">
        <f t="shared" si="47"/>
        <v>0</v>
      </c>
      <c r="CL100">
        <f t="shared" si="48"/>
        <v>0</v>
      </c>
      <c r="CM100">
        <f t="shared" si="49"/>
        <v>0</v>
      </c>
      <c r="CN100">
        <f t="shared" si="50"/>
        <v>0</v>
      </c>
      <c r="CO100">
        <f t="shared" si="51"/>
        <v>0</v>
      </c>
      <c r="CQ100">
        <v>0</v>
      </c>
      <c r="CR100">
        <v>0</v>
      </c>
      <c r="CS100">
        <v>0</v>
      </c>
      <c r="CT100">
        <v>0</v>
      </c>
      <c r="CU100">
        <v>1</v>
      </c>
      <c r="CV100">
        <f t="shared" si="38"/>
        <v>0</v>
      </c>
      <c r="CW100">
        <f t="shared" si="39"/>
        <v>1</v>
      </c>
      <c r="CY100">
        <v>0</v>
      </c>
      <c r="CZ100">
        <v>0</v>
      </c>
      <c r="DA100">
        <v>0</v>
      </c>
      <c r="DB100">
        <v>1</v>
      </c>
      <c r="DC100">
        <v>0</v>
      </c>
      <c r="DD100">
        <v>0</v>
      </c>
      <c r="DE100">
        <f t="shared" si="40"/>
        <v>0</v>
      </c>
      <c r="DF100">
        <v>0</v>
      </c>
      <c r="DG100">
        <f t="shared" si="41"/>
        <v>1</v>
      </c>
      <c r="DI100">
        <f t="shared" si="65"/>
        <v>0</v>
      </c>
      <c r="DJ100">
        <f t="shared" si="52"/>
        <v>0</v>
      </c>
      <c r="DK100">
        <f t="shared" si="53"/>
        <v>0</v>
      </c>
      <c r="DL100">
        <f t="shared" si="54"/>
        <v>1</v>
      </c>
      <c r="DM100">
        <f t="shared" si="55"/>
        <v>0</v>
      </c>
      <c r="DN100">
        <f t="shared" si="56"/>
        <v>0</v>
      </c>
      <c r="DO100">
        <f t="shared" si="57"/>
        <v>0</v>
      </c>
      <c r="DP100">
        <f t="shared" si="58"/>
        <v>0</v>
      </c>
      <c r="DR100">
        <v>0</v>
      </c>
      <c r="DS100">
        <v>0</v>
      </c>
      <c r="DT100">
        <v>0</v>
      </c>
      <c r="DU100">
        <v>1</v>
      </c>
      <c r="DV100">
        <v>0</v>
      </c>
      <c r="DW100">
        <f t="shared" si="42"/>
        <v>0</v>
      </c>
      <c r="DX100">
        <f t="shared" si="43"/>
        <v>1</v>
      </c>
      <c r="DZ100">
        <f t="shared" si="66"/>
        <v>0</v>
      </c>
      <c r="EA100">
        <f t="shared" si="59"/>
        <v>0</v>
      </c>
      <c r="EB100">
        <f t="shared" si="60"/>
        <v>0</v>
      </c>
      <c r="EC100">
        <f t="shared" si="61"/>
        <v>1</v>
      </c>
      <c r="ED100">
        <f t="shared" si="62"/>
        <v>0</v>
      </c>
      <c r="EE100">
        <f t="shared" si="63"/>
        <v>0</v>
      </c>
    </row>
    <row r="101" spans="1:135" x14ac:dyDescent="0.35">
      <c r="A101" t="s">
        <v>187</v>
      </c>
      <c r="B101">
        <f>[1]Population!$BB129</f>
        <v>506953</v>
      </c>
      <c r="C101">
        <f>[1]RealGDP!$BB129</f>
        <v>40696164751.529617</v>
      </c>
      <c r="D101" s="10">
        <f>[1]GDPcap!$BB129</f>
        <v>80276.011290059658</v>
      </c>
      <c r="F101" t="s">
        <v>187</v>
      </c>
      <c r="H101">
        <v>0.3</v>
      </c>
      <c r="I101">
        <v>1.5</v>
      </c>
      <c r="J101">
        <v>4.5</v>
      </c>
      <c r="K101">
        <v>7.7</v>
      </c>
      <c r="L101">
        <v>12.1</v>
      </c>
      <c r="M101">
        <v>15.1</v>
      </c>
      <c r="N101">
        <v>17</v>
      </c>
      <c r="O101">
        <v>16.7</v>
      </c>
      <c r="P101">
        <v>13.7</v>
      </c>
      <c r="Q101">
        <v>9.8000000000000007</v>
      </c>
      <c r="R101">
        <v>4.3</v>
      </c>
      <c r="S101">
        <v>1.3</v>
      </c>
      <c r="T101">
        <v>8.1</v>
      </c>
      <c r="U101">
        <v>16.3</v>
      </c>
      <c r="V101">
        <v>9.3000000000000007</v>
      </c>
      <c r="W101">
        <v>1</v>
      </c>
      <c r="X101">
        <v>8.6999999999999993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f t="shared" si="67"/>
        <v>1</v>
      </c>
      <c r="AQ101">
        <v>0</v>
      </c>
      <c r="AR101">
        <v>0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f t="shared" si="35"/>
        <v>1</v>
      </c>
      <c r="BG101">
        <v>0</v>
      </c>
      <c r="BH101">
        <v>0</v>
      </c>
      <c r="BI101">
        <v>0</v>
      </c>
      <c r="BJ101">
        <v>1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f t="shared" si="36"/>
        <v>1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f t="shared" si="37"/>
        <v>1</v>
      </c>
      <c r="CG101">
        <f t="shared" si="64"/>
        <v>0</v>
      </c>
      <c r="CH101">
        <f t="shared" si="44"/>
        <v>1</v>
      </c>
      <c r="CI101">
        <f t="shared" si="45"/>
        <v>0</v>
      </c>
      <c r="CJ101">
        <f t="shared" si="46"/>
        <v>0</v>
      </c>
      <c r="CK101">
        <f t="shared" si="47"/>
        <v>0</v>
      </c>
      <c r="CL101">
        <f t="shared" si="48"/>
        <v>0</v>
      </c>
      <c r="CM101">
        <f t="shared" si="49"/>
        <v>0</v>
      </c>
      <c r="CN101">
        <f t="shared" si="50"/>
        <v>0</v>
      </c>
      <c r="CO101">
        <f t="shared" si="51"/>
        <v>0</v>
      </c>
      <c r="CQ101">
        <v>0</v>
      </c>
      <c r="CR101">
        <v>0</v>
      </c>
      <c r="CS101">
        <v>0</v>
      </c>
      <c r="CT101">
        <v>1</v>
      </c>
      <c r="CU101">
        <v>0</v>
      </c>
      <c r="CV101">
        <f t="shared" si="38"/>
        <v>0</v>
      </c>
      <c r="CW101">
        <f t="shared" si="39"/>
        <v>1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f t="shared" si="40"/>
        <v>0</v>
      </c>
      <c r="DF101">
        <v>0</v>
      </c>
      <c r="DG101">
        <f t="shared" si="41"/>
        <v>1</v>
      </c>
      <c r="DI101">
        <f t="shared" si="65"/>
        <v>1</v>
      </c>
      <c r="DJ101">
        <f t="shared" si="52"/>
        <v>0</v>
      </c>
      <c r="DK101">
        <f t="shared" si="53"/>
        <v>0</v>
      </c>
      <c r="DL101">
        <f t="shared" si="54"/>
        <v>0</v>
      </c>
      <c r="DM101">
        <f t="shared" si="55"/>
        <v>0</v>
      </c>
      <c r="DN101">
        <f t="shared" si="56"/>
        <v>0</v>
      </c>
      <c r="DO101">
        <f t="shared" si="57"/>
        <v>0</v>
      </c>
      <c r="DP101">
        <f t="shared" si="58"/>
        <v>0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f t="shared" si="42"/>
        <v>0</v>
      </c>
      <c r="DX101">
        <f t="shared" si="43"/>
        <v>1</v>
      </c>
      <c r="DZ101">
        <f t="shared" si="66"/>
        <v>1</v>
      </c>
      <c r="EA101">
        <f t="shared" si="59"/>
        <v>0</v>
      </c>
      <c r="EB101">
        <f t="shared" si="60"/>
        <v>0</v>
      </c>
      <c r="EC101">
        <f t="shared" si="61"/>
        <v>0</v>
      </c>
      <c r="ED101">
        <f t="shared" si="62"/>
        <v>0</v>
      </c>
      <c r="EE101">
        <f t="shared" si="63"/>
        <v>0</v>
      </c>
    </row>
    <row r="102" spans="1:135" x14ac:dyDescent="0.35">
      <c r="A102" t="s">
        <v>419</v>
      </c>
      <c r="B102">
        <f>[1]Population!$BB130</f>
        <v>534626</v>
      </c>
      <c r="C102">
        <f>[1]RealGDP!$BB130</f>
        <v>20684154508.54776</v>
      </c>
      <c r="D102" s="10">
        <f>[1]GDPcap!$BB130</f>
        <v>38689.01719809317</v>
      </c>
      <c r="F102" t="s">
        <v>419</v>
      </c>
      <c r="H102">
        <v>15.1</v>
      </c>
      <c r="I102">
        <v>15.6</v>
      </c>
      <c r="J102">
        <v>18.7</v>
      </c>
      <c r="K102">
        <v>22.6</v>
      </c>
      <c r="L102">
        <v>26.1</v>
      </c>
      <c r="M102">
        <v>27.8</v>
      </c>
      <c r="N102">
        <v>28.8</v>
      </c>
      <c r="O102">
        <v>28.6</v>
      </c>
      <c r="P102">
        <v>27.6</v>
      </c>
      <c r="Q102">
        <v>24.8</v>
      </c>
      <c r="R102">
        <v>20.8</v>
      </c>
      <c r="S102">
        <v>16.8</v>
      </c>
      <c r="T102">
        <v>22.5</v>
      </c>
      <c r="U102">
        <v>28.4</v>
      </c>
      <c r="V102">
        <v>24.4</v>
      </c>
      <c r="W102">
        <v>15.3</v>
      </c>
      <c r="X102">
        <v>22.8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f t="shared" si="67"/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</v>
      </c>
      <c r="BD102">
        <v>0</v>
      </c>
      <c r="BE102">
        <f t="shared" si="35"/>
        <v>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f t="shared" si="36"/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0</v>
      </c>
      <c r="CE102">
        <f t="shared" si="37"/>
        <v>1</v>
      </c>
      <c r="CG102">
        <f t="shared" si="64"/>
        <v>0</v>
      </c>
      <c r="CH102">
        <f t="shared" si="44"/>
        <v>0</v>
      </c>
      <c r="CI102">
        <f t="shared" si="45"/>
        <v>0</v>
      </c>
      <c r="CJ102">
        <f t="shared" si="46"/>
        <v>0</v>
      </c>
      <c r="CK102">
        <f t="shared" si="47"/>
        <v>0</v>
      </c>
      <c r="CL102">
        <f t="shared" si="48"/>
        <v>0</v>
      </c>
      <c r="CM102">
        <f t="shared" si="49"/>
        <v>0</v>
      </c>
      <c r="CN102">
        <f t="shared" si="50"/>
        <v>1</v>
      </c>
      <c r="CO102">
        <f t="shared" si="51"/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f t="shared" si="38"/>
        <v>1</v>
      </c>
      <c r="CW102">
        <f t="shared" si="39"/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1</v>
      </c>
      <c r="DE102">
        <f t="shared" si="40"/>
        <v>0</v>
      </c>
      <c r="DF102">
        <v>0</v>
      </c>
      <c r="DG102">
        <f t="shared" si="41"/>
        <v>1</v>
      </c>
      <c r="DI102">
        <f t="shared" si="65"/>
        <v>0</v>
      </c>
      <c r="DJ102">
        <f t="shared" si="52"/>
        <v>0</v>
      </c>
      <c r="DK102">
        <f t="shared" si="53"/>
        <v>0</v>
      </c>
      <c r="DL102">
        <f t="shared" si="54"/>
        <v>0</v>
      </c>
      <c r="DM102">
        <f t="shared" si="55"/>
        <v>0</v>
      </c>
      <c r="DN102">
        <f t="shared" si="56"/>
        <v>1</v>
      </c>
      <c r="DO102">
        <f t="shared" si="57"/>
        <v>0</v>
      </c>
      <c r="DP102">
        <f t="shared" si="58"/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f t="shared" si="42"/>
        <v>1</v>
      </c>
      <c r="DX102">
        <f t="shared" si="43"/>
        <v>1</v>
      </c>
      <c r="DZ102">
        <f t="shared" si="66"/>
        <v>0</v>
      </c>
      <c r="EA102">
        <f t="shared" si="59"/>
        <v>0</v>
      </c>
      <c r="EB102">
        <f t="shared" si="60"/>
        <v>0</v>
      </c>
      <c r="EC102">
        <f t="shared" si="61"/>
        <v>0</v>
      </c>
      <c r="ED102">
        <f t="shared" si="62"/>
        <v>0</v>
      </c>
      <c r="EE102">
        <f t="shared" si="63"/>
        <v>1</v>
      </c>
    </row>
    <row r="103" spans="1:135" x14ac:dyDescent="0.35">
      <c r="A103" t="s">
        <v>420</v>
      </c>
      <c r="B103">
        <f>[1]Population!$BB131</f>
        <v>2102216</v>
      </c>
      <c r="C103">
        <f>[1]RealGDP!$BB131</f>
        <v>7140636379.2323322</v>
      </c>
      <c r="D103" s="10">
        <f>[1]GDPcap!$BB131</f>
        <v>3396.7186907683758</v>
      </c>
      <c r="F103" t="s">
        <v>256</v>
      </c>
      <c r="H103">
        <v>-1.3</v>
      </c>
      <c r="I103">
        <v>0.9</v>
      </c>
      <c r="J103">
        <v>4.7</v>
      </c>
      <c r="K103">
        <v>9.4</v>
      </c>
      <c r="L103">
        <v>14.1</v>
      </c>
      <c r="M103">
        <v>17.399999999999999</v>
      </c>
      <c r="N103">
        <v>19.7</v>
      </c>
      <c r="O103">
        <v>19.600000000000001</v>
      </c>
      <c r="P103">
        <v>16.2</v>
      </c>
      <c r="Q103">
        <v>10.8</v>
      </c>
      <c r="R103">
        <v>5.2</v>
      </c>
      <c r="S103">
        <v>0.6</v>
      </c>
      <c r="T103">
        <v>9.4</v>
      </c>
      <c r="U103">
        <v>18.899999999999999</v>
      </c>
      <c r="V103">
        <v>10.7</v>
      </c>
      <c r="W103">
        <v>0.1</v>
      </c>
      <c r="X103">
        <v>9.8000000000000007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67"/>
        <v>1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f t="shared" ref="BE103:BE149" si="68">SUM(AP103:BD103)</f>
        <v>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</v>
      </c>
      <c r="BP103">
        <v>0</v>
      </c>
      <c r="BQ103">
        <v>0</v>
      </c>
      <c r="BR103">
        <v>0</v>
      </c>
      <c r="BS103">
        <v>0</v>
      </c>
      <c r="BT103">
        <f t="shared" si="36"/>
        <v>1</v>
      </c>
      <c r="BV103">
        <v>0</v>
      </c>
      <c r="BW103">
        <v>0</v>
      </c>
      <c r="BX103">
        <v>0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f t="shared" si="37"/>
        <v>1</v>
      </c>
      <c r="CG103">
        <f t="shared" si="64"/>
        <v>0</v>
      </c>
      <c r="CH103">
        <f t="shared" si="44"/>
        <v>0</v>
      </c>
      <c r="CI103">
        <f t="shared" si="45"/>
        <v>0</v>
      </c>
      <c r="CJ103">
        <f t="shared" si="46"/>
        <v>1</v>
      </c>
      <c r="CK103">
        <f t="shared" si="47"/>
        <v>0</v>
      </c>
      <c r="CL103">
        <f t="shared" si="48"/>
        <v>0</v>
      </c>
      <c r="CM103">
        <f t="shared" si="49"/>
        <v>0</v>
      </c>
      <c r="CN103">
        <f t="shared" si="50"/>
        <v>0</v>
      </c>
      <c r="CO103">
        <f t="shared" si="51"/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f t="shared" si="38"/>
        <v>1</v>
      </c>
      <c r="CW103">
        <f t="shared" si="39"/>
        <v>1</v>
      </c>
      <c r="CY103">
        <v>0</v>
      </c>
      <c r="CZ103">
        <v>0</v>
      </c>
      <c r="DA103">
        <v>0</v>
      </c>
      <c r="DB103">
        <v>1</v>
      </c>
      <c r="DC103">
        <v>0</v>
      </c>
      <c r="DD103">
        <v>0</v>
      </c>
      <c r="DE103">
        <f t="shared" si="40"/>
        <v>0</v>
      </c>
      <c r="DF103">
        <v>0</v>
      </c>
      <c r="DG103">
        <f t="shared" si="41"/>
        <v>1</v>
      </c>
      <c r="DI103">
        <f t="shared" si="65"/>
        <v>0</v>
      </c>
      <c r="DJ103">
        <f t="shared" si="52"/>
        <v>0</v>
      </c>
      <c r="DK103">
        <f t="shared" si="53"/>
        <v>0</v>
      </c>
      <c r="DL103">
        <f t="shared" si="54"/>
        <v>1</v>
      </c>
      <c r="DM103">
        <f t="shared" si="55"/>
        <v>0</v>
      </c>
      <c r="DN103">
        <f t="shared" si="56"/>
        <v>0</v>
      </c>
      <c r="DO103">
        <f t="shared" si="57"/>
        <v>0</v>
      </c>
      <c r="DP103">
        <f t="shared" si="58"/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f t="shared" si="42"/>
        <v>1</v>
      </c>
      <c r="DX103">
        <f t="shared" si="43"/>
        <v>1</v>
      </c>
      <c r="DZ103">
        <f t="shared" si="66"/>
        <v>0</v>
      </c>
      <c r="EA103">
        <f t="shared" si="59"/>
        <v>0</v>
      </c>
      <c r="EB103">
        <f t="shared" si="60"/>
        <v>0</v>
      </c>
      <c r="EC103">
        <f t="shared" si="61"/>
        <v>0</v>
      </c>
      <c r="ED103">
        <f t="shared" si="62"/>
        <v>0</v>
      </c>
      <c r="EE103">
        <f t="shared" si="63"/>
        <v>1</v>
      </c>
    </row>
    <row r="104" spans="1:135" x14ac:dyDescent="0.35">
      <c r="A104" t="s">
        <v>188</v>
      </c>
      <c r="B104">
        <f>[1]Population!$BB132</f>
        <v>21079532</v>
      </c>
      <c r="C104">
        <f>[1]RealGDP!$BB132</f>
        <v>5759450979.3430977</v>
      </c>
      <c r="D104" s="10">
        <f>[1]GDPcap!$BB132</f>
        <v>273.22480306218836</v>
      </c>
      <c r="F104" t="s">
        <v>188</v>
      </c>
      <c r="H104">
        <v>24.8</v>
      </c>
      <c r="I104">
        <v>24.9</v>
      </c>
      <c r="J104">
        <v>24.6</v>
      </c>
      <c r="K104">
        <v>23.7</v>
      </c>
      <c r="L104">
        <v>21.9</v>
      </c>
      <c r="M104">
        <v>20.100000000000001</v>
      </c>
      <c r="N104">
        <v>19.600000000000001</v>
      </c>
      <c r="O104">
        <v>19.899999999999999</v>
      </c>
      <c r="P104">
        <v>21.1</v>
      </c>
      <c r="Q104">
        <v>22.6</v>
      </c>
      <c r="R104">
        <v>23.8</v>
      </c>
      <c r="S104">
        <v>24.5</v>
      </c>
      <c r="T104">
        <v>23.4</v>
      </c>
      <c r="U104">
        <v>19.899999999999999</v>
      </c>
      <c r="V104">
        <v>22.5</v>
      </c>
      <c r="W104">
        <v>23.9</v>
      </c>
      <c r="X104">
        <v>22.6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67"/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f t="shared" si="68"/>
        <v>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1</v>
      </c>
      <c r="BS104">
        <v>0</v>
      </c>
      <c r="BT104">
        <f t="shared" ref="BT104:BT150" si="69">SUM(BG104:BS104)</f>
        <v>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f t="shared" ref="CE104:CE150" si="70">SUM(BV104:CD104)</f>
        <v>1</v>
      </c>
      <c r="CG104">
        <f t="shared" si="64"/>
        <v>0</v>
      </c>
      <c r="CH104">
        <f t="shared" si="44"/>
        <v>0</v>
      </c>
      <c r="CI104">
        <f t="shared" si="45"/>
        <v>0</v>
      </c>
      <c r="CJ104">
        <f t="shared" si="46"/>
        <v>0</v>
      </c>
      <c r="CK104">
        <f t="shared" si="47"/>
        <v>0</v>
      </c>
      <c r="CL104">
        <f t="shared" si="48"/>
        <v>0</v>
      </c>
      <c r="CM104">
        <f t="shared" si="49"/>
        <v>0</v>
      </c>
      <c r="CN104">
        <f t="shared" si="50"/>
        <v>0</v>
      </c>
      <c r="CO104">
        <f t="shared" si="51"/>
        <v>1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f t="shared" ref="CV104:CV150" si="71">1-SUM(CQ104:CU104)</f>
        <v>1</v>
      </c>
      <c r="CW104">
        <f t="shared" ref="CW104:CW150" si="72">SUM(CQ104:CV104)</f>
        <v>1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f t="shared" ref="DE104:DE150" si="73">BZ104+CD104</f>
        <v>1</v>
      </c>
      <c r="DF104">
        <v>0</v>
      </c>
      <c r="DG104">
        <f t="shared" ref="DG104:DG150" si="74">SUM(CY104:DF104)</f>
        <v>1</v>
      </c>
      <c r="DI104">
        <f t="shared" si="65"/>
        <v>0</v>
      </c>
      <c r="DJ104">
        <f t="shared" si="52"/>
        <v>0</v>
      </c>
      <c r="DK104">
        <f t="shared" si="53"/>
        <v>0</v>
      </c>
      <c r="DL104">
        <f t="shared" si="54"/>
        <v>0</v>
      </c>
      <c r="DM104">
        <f t="shared" si="55"/>
        <v>0</v>
      </c>
      <c r="DN104">
        <f t="shared" si="56"/>
        <v>0</v>
      </c>
      <c r="DO104">
        <f t="shared" si="57"/>
        <v>1</v>
      </c>
      <c r="DP104">
        <f t="shared" si="58"/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f t="shared" ref="DW104:DW150" si="75">1-SUM(DR104:DV104)</f>
        <v>1</v>
      </c>
      <c r="DX104">
        <f t="shared" ref="DX104:DX150" si="76">SUM(DR104:DW104)</f>
        <v>1</v>
      </c>
      <c r="DZ104">
        <f t="shared" si="66"/>
        <v>0</v>
      </c>
      <c r="EA104">
        <f t="shared" si="59"/>
        <v>0</v>
      </c>
      <c r="EB104">
        <f t="shared" si="60"/>
        <v>0</v>
      </c>
      <c r="EC104">
        <f t="shared" si="61"/>
        <v>0</v>
      </c>
      <c r="ED104">
        <f t="shared" si="62"/>
        <v>0</v>
      </c>
      <c r="EE104">
        <f t="shared" si="63"/>
        <v>1</v>
      </c>
    </row>
    <row r="105" spans="1:135" x14ac:dyDescent="0.35">
      <c r="A105" t="s">
        <v>189</v>
      </c>
      <c r="B105">
        <f>[1]Population!$BB133</f>
        <v>15013694</v>
      </c>
      <c r="C105">
        <f>[1]RealGDP!$BB133</f>
        <v>3290262502.0248256</v>
      </c>
      <c r="D105" s="10">
        <f>[1]GDPcap!$BB133</f>
        <v>219.15076343135976</v>
      </c>
      <c r="F105" t="s">
        <v>189</v>
      </c>
      <c r="H105">
        <v>23.3</v>
      </c>
      <c r="I105">
        <v>23.2</v>
      </c>
      <c r="J105">
        <v>23.1</v>
      </c>
      <c r="K105">
        <v>22.3</v>
      </c>
      <c r="L105">
        <v>20.3</v>
      </c>
      <c r="M105">
        <v>18.5</v>
      </c>
      <c r="N105">
        <v>18.100000000000001</v>
      </c>
      <c r="O105">
        <v>19.5</v>
      </c>
      <c r="P105">
        <v>21.9</v>
      </c>
      <c r="Q105">
        <v>24.1</v>
      </c>
      <c r="R105">
        <v>24.6</v>
      </c>
      <c r="S105">
        <v>23.9</v>
      </c>
      <c r="T105">
        <v>21.9</v>
      </c>
      <c r="U105">
        <v>18.7</v>
      </c>
      <c r="V105">
        <v>23.6</v>
      </c>
      <c r="W105">
        <v>22.7</v>
      </c>
      <c r="X105">
        <v>21.9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67"/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1</v>
      </c>
      <c r="BA105">
        <v>0</v>
      </c>
      <c r="BB105">
        <v>0</v>
      </c>
      <c r="BC105">
        <v>0</v>
      </c>
      <c r="BD105">
        <v>0</v>
      </c>
      <c r="BE105">
        <f t="shared" si="68"/>
        <v>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1</v>
      </c>
      <c r="BS105">
        <v>0</v>
      </c>
      <c r="BT105">
        <f t="shared" si="69"/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f t="shared" si="70"/>
        <v>1</v>
      </c>
      <c r="CG105">
        <f t="shared" si="64"/>
        <v>0</v>
      </c>
      <c r="CH105">
        <f t="shared" si="44"/>
        <v>0</v>
      </c>
      <c r="CI105">
        <f t="shared" si="45"/>
        <v>0</v>
      </c>
      <c r="CJ105">
        <f t="shared" si="46"/>
        <v>0</v>
      </c>
      <c r="CK105">
        <f t="shared" si="47"/>
        <v>0</v>
      </c>
      <c r="CL105">
        <f t="shared" si="48"/>
        <v>0</v>
      </c>
      <c r="CM105">
        <f t="shared" si="49"/>
        <v>0</v>
      </c>
      <c r="CN105">
        <f t="shared" si="50"/>
        <v>0</v>
      </c>
      <c r="CO105">
        <f t="shared" si="51"/>
        <v>1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f t="shared" si="71"/>
        <v>1</v>
      </c>
      <c r="CW105">
        <f t="shared" si="72"/>
        <v>1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f t="shared" si="73"/>
        <v>1</v>
      </c>
      <c r="DF105">
        <v>0</v>
      </c>
      <c r="DG105">
        <f t="shared" si="74"/>
        <v>1</v>
      </c>
      <c r="DI105">
        <f t="shared" si="65"/>
        <v>0</v>
      </c>
      <c r="DJ105">
        <f t="shared" si="52"/>
        <v>0</v>
      </c>
      <c r="DK105">
        <f t="shared" si="53"/>
        <v>0</v>
      </c>
      <c r="DL105">
        <f t="shared" si="54"/>
        <v>0</v>
      </c>
      <c r="DM105">
        <f t="shared" si="55"/>
        <v>0</v>
      </c>
      <c r="DN105">
        <f t="shared" si="56"/>
        <v>0</v>
      </c>
      <c r="DO105">
        <f t="shared" si="57"/>
        <v>1</v>
      </c>
      <c r="DP105">
        <f t="shared" si="58"/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f t="shared" si="75"/>
        <v>1</v>
      </c>
      <c r="DX105">
        <f t="shared" si="76"/>
        <v>1</v>
      </c>
      <c r="DZ105">
        <f t="shared" si="66"/>
        <v>0</v>
      </c>
      <c r="EA105">
        <f t="shared" si="59"/>
        <v>0</v>
      </c>
      <c r="EB105">
        <f t="shared" si="60"/>
        <v>0</v>
      </c>
      <c r="EC105">
        <f t="shared" si="61"/>
        <v>0</v>
      </c>
      <c r="ED105">
        <f t="shared" si="62"/>
        <v>0</v>
      </c>
      <c r="EE105">
        <f t="shared" si="63"/>
        <v>1</v>
      </c>
    </row>
    <row r="106" spans="1:135" x14ac:dyDescent="0.35">
      <c r="A106" t="s">
        <v>190</v>
      </c>
      <c r="B106">
        <f>[1]Population!$BB134</f>
        <v>28275835</v>
      </c>
      <c r="C106">
        <f>[1]RealGDP!$BB134</f>
        <v>178672208075.05682</v>
      </c>
      <c r="D106" s="10">
        <f>[1]GDPcap!$BB134</f>
        <v>6318.9012128220729</v>
      </c>
      <c r="F106" t="s">
        <v>190</v>
      </c>
      <c r="H106">
        <v>24.8</v>
      </c>
      <c r="I106">
        <v>25</v>
      </c>
      <c r="J106">
        <v>25.4</v>
      </c>
      <c r="K106">
        <v>25.8</v>
      </c>
      <c r="L106">
        <v>26</v>
      </c>
      <c r="M106">
        <v>25.7</v>
      </c>
      <c r="N106">
        <v>25.5</v>
      </c>
      <c r="O106">
        <v>25.4</v>
      </c>
      <c r="P106">
        <v>25.4</v>
      </c>
      <c r="Q106">
        <v>25.3</v>
      </c>
      <c r="R106">
        <v>25</v>
      </c>
      <c r="S106">
        <v>24.9</v>
      </c>
      <c r="T106">
        <v>25.8</v>
      </c>
      <c r="U106">
        <v>25.5</v>
      </c>
      <c r="V106">
        <v>25.3</v>
      </c>
      <c r="W106">
        <v>24.1</v>
      </c>
      <c r="X106">
        <v>25.4</v>
      </c>
      <c r="Z106">
        <v>0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67"/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f t="shared" si="68"/>
        <v>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1</v>
      </c>
      <c r="BQ106">
        <v>0</v>
      </c>
      <c r="BR106">
        <v>0</v>
      </c>
      <c r="BS106">
        <v>0</v>
      </c>
      <c r="BT106">
        <f t="shared" si="69"/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f t="shared" si="70"/>
        <v>1</v>
      </c>
      <c r="CG106">
        <f t="shared" si="64"/>
        <v>0</v>
      </c>
      <c r="CH106">
        <f t="shared" si="44"/>
        <v>0</v>
      </c>
      <c r="CI106">
        <f t="shared" si="45"/>
        <v>0</v>
      </c>
      <c r="CJ106">
        <f t="shared" si="46"/>
        <v>0</v>
      </c>
      <c r="CK106">
        <f t="shared" si="47"/>
        <v>0</v>
      </c>
      <c r="CL106">
        <f t="shared" si="48"/>
        <v>0</v>
      </c>
      <c r="CM106">
        <f t="shared" si="49"/>
        <v>1</v>
      </c>
      <c r="CN106">
        <f t="shared" si="50"/>
        <v>0</v>
      </c>
      <c r="CO106">
        <f t="shared" si="51"/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f t="shared" si="71"/>
        <v>1</v>
      </c>
      <c r="CW106">
        <f t="shared" si="72"/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f t="shared" si="73"/>
        <v>0</v>
      </c>
      <c r="DF106">
        <v>0</v>
      </c>
      <c r="DG106">
        <f t="shared" si="74"/>
        <v>1</v>
      </c>
      <c r="DI106">
        <f t="shared" si="65"/>
        <v>0</v>
      </c>
      <c r="DJ106">
        <f t="shared" si="52"/>
        <v>0</v>
      </c>
      <c r="DK106">
        <f t="shared" si="53"/>
        <v>0</v>
      </c>
      <c r="DL106">
        <f t="shared" si="54"/>
        <v>0</v>
      </c>
      <c r="DM106">
        <f t="shared" si="55"/>
        <v>0</v>
      </c>
      <c r="DN106">
        <f t="shared" si="56"/>
        <v>1</v>
      </c>
      <c r="DO106">
        <f t="shared" si="57"/>
        <v>0</v>
      </c>
      <c r="DP106">
        <f t="shared" si="58"/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f t="shared" si="75"/>
        <v>1</v>
      </c>
      <c r="DX106">
        <f t="shared" si="76"/>
        <v>1</v>
      </c>
      <c r="DZ106">
        <f t="shared" si="66"/>
        <v>0</v>
      </c>
      <c r="EA106">
        <f t="shared" si="59"/>
        <v>0</v>
      </c>
      <c r="EB106">
        <f t="shared" si="60"/>
        <v>0</v>
      </c>
      <c r="EC106">
        <f t="shared" si="61"/>
        <v>0</v>
      </c>
      <c r="ED106">
        <f t="shared" si="62"/>
        <v>0</v>
      </c>
      <c r="EE106">
        <f t="shared" si="63"/>
        <v>1</v>
      </c>
    </row>
    <row r="107" spans="1:135" x14ac:dyDescent="0.35">
      <c r="A107" t="s">
        <v>421</v>
      </c>
      <c r="B107">
        <f>[1]Population!$BB135</f>
        <v>325694</v>
      </c>
      <c r="C107">
        <f>[1]RealGDP!$BB135</f>
        <v>1518834121.3135984</v>
      </c>
      <c r="D107" s="10">
        <f>[1]GDPcap!$BB135</f>
        <v>4663.3776529920669</v>
      </c>
      <c r="F107" t="s">
        <v>421</v>
      </c>
      <c r="H107">
        <v>27.3</v>
      </c>
      <c r="I107">
        <v>27.6</v>
      </c>
      <c r="J107">
        <v>28</v>
      </c>
      <c r="K107">
        <v>28.6</v>
      </c>
      <c r="L107">
        <v>28.2</v>
      </c>
      <c r="M107">
        <v>27.8</v>
      </c>
      <c r="N107">
        <v>27.4</v>
      </c>
      <c r="O107">
        <v>27.3</v>
      </c>
      <c r="P107">
        <v>27.2</v>
      </c>
      <c r="Q107">
        <v>27.4</v>
      </c>
      <c r="R107">
        <v>27.4</v>
      </c>
      <c r="S107">
        <v>27.3</v>
      </c>
      <c r="T107">
        <v>28.3</v>
      </c>
      <c r="U107">
        <v>27.5</v>
      </c>
      <c r="V107">
        <v>27.3</v>
      </c>
      <c r="W107">
        <v>26.5</v>
      </c>
      <c r="X107">
        <v>27.6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</v>
      </c>
      <c r="AO107">
        <f t="shared" si="67"/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f t="shared" si="68"/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1</v>
      </c>
      <c r="BT107">
        <f t="shared" si="69"/>
        <v>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f t="shared" si="70"/>
        <v>1</v>
      </c>
      <c r="CG107">
        <f t="shared" si="64"/>
        <v>0</v>
      </c>
      <c r="CH107">
        <f t="shared" si="44"/>
        <v>0</v>
      </c>
      <c r="CI107">
        <f t="shared" si="45"/>
        <v>0</v>
      </c>
      <c r="CJ107">
        <f t="shared" si="46"/>
        <v>0</v>
      </c>
      <c r="CK107">
        <f t="shared" si="47"/>
        <v>0</v>
      </c>
      <c r="CL107">
        <f t="shared" si="48"/>
        <v>0</v>
      </c>
      <c r="CM107">
        <f t="shared" si="49"/>
        <v>1</v>
      </c>
      <c r="CN107">
        <f t="shared" si="50"/>
        <v>0</v>
      </c>
      <c r="CO107">
        <f t="shared" si="51"/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f t="shared" si="71"/>
        <v>1</v>
      </c>
      <c r="CW107">
        <f t="shared" si="72"/>
        <v>1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f t="shared" si="73"/>
        <v>0</v>
      </c>
      <c r="DF107">
        <v>0</v>
      </c>
      <c r="DG107">
        <f t="shared" si="74"/>
        <v>1</v>
      </c>
      <c r="DI107">
        <f t="shared" si="65"/>
        <v>0</v>
      </c>
      <c r="DJ107">
        <f t="shared" si="52"/>
        <v>0</v>
      </c>
      <c r="DK107">
        <f t="shared" si="53"/>
        <v>0</v>
      </c>
      <c r="DL107">
        <f t="shared" si="54"/>
        <v>0</v>
      </c>
      <c r="DM107">
        <f t="shared" si="55"/>
        <v>0</v>
      </c>
      <c r="DN107">
        <f t="shared" si="56"/>
        <v>1</v>
      </c>
      <c r="DO107">
        <f t="shared" si="57"/>
        <v>0</v>
      </c>
      <c r="DP107">
        <f t="shared" si="58"/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f t="shared" si="75"/>
        <v>1</v>
      </c>
      <c r="DX107">
        <f t="shared" si="76"/>
        <v>1</v>
      </c>
      <c r="DZ107">
        <f t="shared" si="66"/>
        <v>0</v>
      </c>
      <c r="EA107">
        <f t="shared" si="59"/>
        <v>0</v>
      </c>
      <c r="EB107">
        <f t="shared" si="60"/>
        <v>0</v>
      </c>
      <c r="EC107">
        <f t="shared" si="61"/>
        <v>0</v>
      </c>
      <c r="ED107">
        <f t="shared" si="62"/>
        <v>0</v>
      </c>
      <c r="EE107">
        <f t="shared" si="63"/>
        <v>1</v>
      </c>
    </row>
    <row r="108" spans="1:135" x14ac:dyDescent="0.35">
      <c r="A108" t="s">
        <v>191</v>
      </c>
      <c r="B108">
        <f>[1]Population!$BB136</f>
        <v>13985961</v>
      </c>
      <c r="C108">
        <f>[1]RealGDP!$BB136</f>
        <v>6971653980.9015436</v>
      </c>
      <c r="D108" s="10">
        <f>[1]GDPcap!$BB136</f>
        <v>498.47514810755899</v>
      </c>
      <c r="F108" t="s">
        <v>191</v>
      </c>
      <c r="H108">
        <v>21</v>
      </c>
      <c r="I108">
        <v>23.9</v>
      </c>
      <c r="J108">
        <v>27.1</v>
      </c>
      <c r="K108">
        <v>30.4</v>
      </c>
      <c r="L108">
        <v>33</v>
      </c>
      <c r="M108">
        <v>33.5</v>
      </c>
      <c r="N108">
        <v>32</v>
      </c>
      <c r="O108">
        <v>30.8</v>
      </c>
      <c r="P108">
        <v>30.7</v>
      </c>
      <c r="Q108">
        <v>29.5</v>
      </c>
      <c r="R108">
        <v>25.5</v>
      </c>
      <c r="S108">
        <v>21.5</v>
      </c>
      <c r="T108">
        <v>30.2</v>
      </c>
      <c r="U108">
        <v>32.1</v>
      </c>
      <c r="V108">
        <v>28.6</v>
      </c>
      <c r="W108">
        <v>21.4</v>
      </c>
      <c r="X108">
        <v>28.2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67"/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f t="shared" si="68"/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0</v>
      </c>
      <c r="BT108">
        <f t="shared" si="69"/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1</v>
      </c>
      <c r="CE108">
        <f t="shared" si="70"/>
        <v>1</v>
      </c>
      <c r="CG108">
        <f t="shared" si="64"/>
        <v>0</v>
      </c>
      <c r="CH108">
        <f t="shared" si="44"/>
        <v>0</v>
      </c>
      <c r="CI108">
        <f t="shared" si="45"/>
        <v>0</v>
      </c>
      <c r="CJ108">
        <f t="shared" si="46"/>
        <v>0</v>
      </c>
      <c r="CK108">
        <f t="shared" si="47"/>
        <v>0</v>
      </c>
      <c r="CL108">
        <f t="shared" si="48"/>
        <v>0</v>
      </c>
      <c r="CM108">
        <f t="shared" si="49"/>
        <v>0</v>
      </c>
      <c r="CN108">
        <f t="shared" si="50"/>
        <v>0</v>
      </c>
      <c r="CO108">
        <f t="shared" si="51"/>
        <v>1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f t="shared" si="71"/>
        <v>1</v>
      </c>
      <c r="CW108">
        <f t="shared" si="72"/>
        <v>1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f t="shared" si="73"/>
        <v>1</v>
      </c>
      <c r="DF108">
        <v>0</v>
      </c>
      <c r="DG108">
        <f t="shared" si="74"/>
        <v>1</v>
      </c>
      <c r="DI108">
        <f t="shared" si="65"/>
        <v>0</v>
      </c>
      <c r="DJ108">
        <f t="shared" si="52"/>
        <v>0</v>
      </c>
      <c r="DK108">
        <f t="shared" si="53"/>
        <v>0</v>
      </c>
      <c r="DL108">
        <f t="shared" si="54"/>
        <v>0</v>
      </c>
      <c r="DM108">
        <f t="shared" si="55"/>
        <v>0</v>
      </c>
      <c r="DN108">
        <f t="shared" si="56"/>
        <v>0</v>
      </c>
      <c r="DO108">
        <f t="shared" si="57"/>
        <v>1</v>
      </c>
      <c r="DP108">
        <f t="shared" si="58"/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f t="shared" si="75"/>
        <v>1</v>
      </c>
      <c r="DX108">
        <f t="shared" si="76"/>
        <v>1</v>
      </c>
      <c r="DZ108">
        <f t="shared" si="66"/>
        <v>0</v>
      </c>
      <c r="EA108">
        <f t="shared" si="59"/>
        <v>0</v>
      </c>
      <c r="EB108">
        <f t="shared" si="60"/>
        <v>0</v>
      </c>
      <c r="EC108">
        <f t="shared" si="61"/>
        <v>0</v>
      </c>
      <c r="ED108">
        <f t="shared" si="62"/>
        <v>0</v>
      </c>
      <c r="EE108">
        <f t="shared" si="63"/>
        <v>1</v>
      </c>
    </row>
    <row r="109" spans="1:135" x14ac:dyDescent="0.35">
      <c r="A109" t="s">
        <v>422</v>
      </c>
      <c r="B109">
        <f>[1]Population!$BB137</f>
        <v>415995</v>
      </c>
      <c r="C109">
        <f>[1]RealGDP!$BB137</f>
        <v>6652772997.1789989</v>
      </c>
      <c r="D109" s="10">
        <f>[1]GDPcap!$BB137</f>
        <v>15992.434998447094</v>
      </c>
      <c r="F109" t="s">
        <v>422</v>
      </c>
      <c r="H109">
        <v>12.2</v>
      </c>
      <c r="I109">
        <v>12.9</v>
      </c>
      <c r="J109">
        <v>14.1</v>
      </c>
      <c r="K109">
        <v>16.600000000000001</v>
      </c>
      <c r="L109">
        <v>20.2</v>
      </c>
      <c r="M109">
        <v>23.9</v>
      </c>
      <c r="N109">
        <v>26.6</v>
      </c>
      <c r="O109">
        <v>27.1</v>
      </c>
      <c r="P109">
        <v>25</v>
      </c>
      <c r="Q109">
        <v>21.2</v>
      </c>
      <c r="R109">
        <v>17</v>
      </c>
      <c r="S109">
        <v>13.5</v>
      </c>
      <c r="T109">
        <v>17</v>
      </c>
      <c r="U109">
        <v>25.9</v>
      </c>
      <c r="V109">
        <v>21</v>
      </c>
      <c r="W109">
        <v>12.5</v>
      </c>
      <c r="X109">
        <v>19.2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f t="shared" si="67"/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f t="shared" si="68"/>
        <v>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f t="shared" si="69"/>
        <v>1</v>
      </c>
      <c r="BV109">
        <v>0</v>
      </c>
      <c r="BW109">
        <v>1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f t="shared" si="70"/>
        <v>1</v>
      </c>
      <c r="CG109">
        <f t="shared" si="64"/>
        <v>0</v>
      </c>
      <c r="CH109">
        <f t="shared" si="44"/>
        <v>1</v>
      </c>
      <c r="CI109">
        <f t="shared" si="45"/>
        <v>0</v>
      </c>
      <c r="CJ109">
        <f t="shared" si="46"/>
        <v>0</v>
      </c>
      <c r="CK109">
        <f t="shared" si="47"/>
        <v>0</v>
      </c>
      <c r="CL109">
        <f t="shared" si="48"/>
        <v>0</v>
      </c>
      <c r="CM109">
        <f t="shared" si="49"/>
        <v>0</v>
      </c>
      <c r="CN109">
        <f t="shared" si="50"/>
        <v>0</v>
      </c>
      <c r="CO109">
        <f t="shared" si="51"/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f t="shared" si="71"/>
        <v>1</v>
      </c>
      <c r="CW109">
        <f t="shared" si="72"/>
        <v>1</v>
      </c>
      <c r="CY109">
        <v>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f t="shared" si="73"/>
        <v>0</v>
      </c>
      <c r="DF109">
        <v>0</v>
      </c>
      <c r="DG109">
        <f t="shared" si="74"/>
        <v>1</v>
      </c>
      <c r="DI109">
        <f t="shared" si="65"/>
        <v>1</v>
      </c>
      <c r="DJ109">
        <f t="shared" si="52"/>
        <v>0</v>
      </c>
      <c r="DK109">
        <f t="shared" si="53"/>
        <v>0</v>
      </c>
      <c r="DL109">
        <f t="shared" si="54"/>
        <v>0</v>
      </c>
      <c r="DM109">
        <f t="shared" si="55"/>
        <v>0</v>
      </c>
      <c r="DN109">
        <f t="shared" si="56"/>
        <v>0</v>
      </c>
      <c r="DO109">
        <f t="shared" si="57"/>
        <v>0</v>
      </c>
      <c r="DP109">
        <f t="shared" si="58"/>
        <v>0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f t="shared" si="75"/>
        <v>0</v>
      </c>
      <c r="DX109">
        <f t="shared" si="76"/>
        <v>1</v>
      </c>
      <c r="DZ109">
        <f t="shared" si="66"/>
        <v>1</v>
      </c>
      <c r="EA109">
        <f t="shared" si="59"/>
        <v>0</v>
      </c>
      <c r="EB109">
        <f t="shared" si="60"/>
        <v>0</v>
      </c>
      <c r="EC109">
        <f t="shared" si="61"/>
        <v>0</v>
      </c>
      <c r="ED109">
        <f t="shared" si="62"/>
        <v>0</v>
      </c>
      <c r="EE109">
        <f t="shared" si="63"/>
        <v>0</v>
      </c>
    </row>
    <row r="110" spans="1:135" x14ac:dyDescent="0.35">
      <c r="A110" t="s">
        <v>423</v>
      </c>
      <c r="B110">
        <f>[1]Population!$BB138</f>
        <v>52428</v>
      </c>
      <c r="C110">
        <f>[1]RealGDP!$BB138</f>
        <v>147320121.96961504</v>
      </c>
      <c r="D110" s="10">
        <f>[1]GDPcap!$BB138</f>
        <v>2809.9512086979294</v>
      </c>
      <c r="F110" t="s">
        <v>552</v>
      </c>
      <c r="G110" t="s">
        <v>475</v>
      </c>
      <c r="H110">
        <v>27.2</v>
      </c>
      <c r="I110">
        <v>27.3</v>
      </c>
      <c r="J110">
        <v>27.4</v>
      </c>
      <c r="K110">
        <v>27.3</v>
      </c>
      <c r="L110">
        <v>27.5</v>
      </c>
      <c r="M110">
        <v>27.6</v>
      </c>
      <c r="N110">
        <v>27.5</v>
      </c>
      <c r="O110">
        <v>27.6</v>
      </c>
      <c r="P110">
        <v>27.5</v>
      </c>
      <c r="Q110">
        <v>27.6</v>
      </c>
      <c r="R110">
        <v>27.5</v>
      </c>
      <c r="S110">
        <v>27.1</v>
      </c>
      <c r="T110">
        <v>27.4</v>
      </c>
      <c r="U110">
        <v>27.6</v>
      </c>
      <c r="V110">
        <v>27.5</v>
      </c>
      <c r="W110">
        <v>26.3</v>
      </c>
      <c r="X110">
        <v>27.4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f t="shared" si="67"/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f t="shared" si="68"/>
        <v>1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f t="shared" si="69"/>
        <v>1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f t="shared" si="70"/>
        <v>1</v>
      </c>
      <c r="CG110">
        <f t="shared" si="64"/>
        <v>0</v>
      </c>
      <c r="CH110">
        <f t="shared" si="44"/>
        <v>0</v>
      </c>
      <c r="CI110">
        <f t="shared" si="45"/>
        <v>0</v>
      </c>
      <c r="CJ110">
        <f t="shared" si="46"/>
        <v>0</v>
      </c>
      <c r="CK110">
        <f t="shared" si="47"/>
        <v>0</v>
      </c>
      <c r="CL110">
        <f t="shared" si="48"/>
        <v>0</v>
      </c>
      <c r="CM110">
        <f t="shared" si="49"/>
        <v>1</v>
      </c>
      <c r="CN110">
        <f t="shared" si="50"/>
        <v>0</v>
      </c>
      <c r="CO110">
        <f t="shared" si="51"/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f t="shared" si="71"/>
        <v>1</v>
      </c>
      <c r="CW110">
        <f t="shared" si="72"/>
        <v>1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1</v>
      </c>
      <c r="DE110">
        <f t="shared" si="73"/>
        <v>0</v>
      </c>
      <c r="DF110">
        <v>0</v>
      </c>
      <c r="DG110">
        <f t="shared" si="74"/>
        <v>1</v>
      </c>
      <c r="DI110">
        <f t="shared" si="65"/>
        <v>0</v>
      </c>
      <c r="DJ110">
        <f t="shared" si="52"/>
        <v>0</v>
      </c>
      <c r="DK110">
        <f t="shared" si="53"/>
        <v>0</v>
      </c>
      <c r="DL110">
        <f t="shared" si="54"/>
        <v>0</v>
      </c>
      <c r="DM110">
        <f t="shared" si="55"/>
        <v>0</v>
      </c>
      <c r="DN110">
        <f t="shared" si="56"/>
        <v>1</v>
      </c>
      <c r="DO110">
        <f t="shared" si="57"/>
        <v>0</v>
      </c>
      <c r="DP110">
        <f t="shared" si="58"/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f t="shared" si="75"/>
        <v>1</v>
      </c>
      <c r="DX110">
        <f t="shared" si="76"/>
        <v>1</v>
      </c>
      <c r="DZ110">
        <f t="shared" si="66"/>
        <v>0</v>
      </c>
      <c r="EA110">
        <f t="shared" si="59"/>
        <v>0</v>
      </c>
      <c r="EB110">
        <f t="shared" si="60"/>
        <v>0</v>
      </c>
      <c r="EC110">
        <f t="shared" si="61"/>
        <v>0</v>
      </c>
      <c r="ED110">
        <f t="shared" si="62"/>
        <v>0</v>
      </c>
      <c r="EE110">
        <f t="shared" si="63"/>
        <v>1</v>
      </c>
    </row>
    <row r="111" spans="1:135" x14ac:dyDescent="0.35">
      <c r="A111" t="s">
        <v>424</v>
      </c>
      <c r="B111">
        <f>[1]Population!$BB140</f>
        <v>3609420</v>
      </c>
      <c r="C111">
        <f>[1]RealGDP!$BB140</f>
        <v>2814034804.5275235</v>
      </c>
      <c r="D111" s="10">
        <f>[1]GDPcap!$BB140</f>
        <v>779.63628630847154</v>
      </c>
      <c r="F111" t="s">
        <v>424</v>
      </c>
      <c r="H111">
        <v>20.2</v>
      </c>
      <c r="I111">
        <v>22.6</v>
      </c>
      <c r="J111">
        <v>25.3</v>
      </c>
      <c r="K111">
        <v>27.9</v>
      </c>
      <c r="L111">
        <v>31.3</v>
      </c>
      <c r="M111">
        <v>33.200000000000003</v>
      </c>
      <c r="N111">
        <v>33.200000000000003</v>
      </c>
      <c r="O111">
        <v>32.200000000000003</v>
      </c>
      <c r="P111">
        <v>31.2</v>
      </c>
      <c r="Q111">
        <v>29.3</v>
      </c>
      <c r="R111">
        <v>24.9</v>
      </c>
      <c r="S111">
        <v>20.5</v>
      </c>
      <c r="T111">
        <v>28.2</v>
      </c>
      <c r="U111">
        <v>32.9</v>
      </c>
      <c r="V111">
        <v>28.5</v>
      </c>
      <c r="W111">
        <v>20.399999999999999</v>
      </c>
      <c r="X111">
        <v>27.6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67"/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0</v>
      </c>
      <c r="BB111">
        <v>0</v>
      </c>
      <c r="BC111">
        <v>0</v>
      </c>
      <c r="BD111">
        <v>0</v>
      </c>
      <c r="BE111">
        <f t="shared" si="68"/>
        <v>1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0</v>
      </c>
      <c r="BT111">
        <f t="shared" si="69"/>
        <v>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f t="shared" si="70"/>
        <v>1</v>
      </c>
      <c r="CG111">
        <f t="shared" si="64"/>
        <v>0</v>
      </c>
      <c r="CH111">
        <f t="shared" si="44"/>
        <v>0</v>
      </c>
      <c r="CI111">
        <f t="shared" si="45"/>
        <v>0</v>
      </c>
      <c r="CJ111">
        <f t="shared" si="46"/>
        <v>0</v>
      </c>
      <c r="CK111">
        <f t="shared" si="47"/>
        <v>0</v>
      </c>
      <c r="CL111">
        <f t="shared" si="48"/>
        <v>0</v>
      </c>
      <c r="CM111">
        <f t="shared" si="49"/>
        <v>0</v>
      </c>
      <c r="CN111">
        <f t="shared" si="50"/>
        <v>0</v>
      </c>
      <c r="CO111">
        <f t="shared" si="51"/>
        <v>1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f t="shared" si="71"/>
        <v>1</v>
      </c>
      <c r="CW111">
        <f t="shared" si="72"/>
        <v>1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f t="shared" si="73"/>
        <v>1</v>
      </c>
      <c r="DF111">
        <v>0</v>
      </c>
      <c r="DG111">
        <f t="shared" si="74"/>
        <v>1</v>
      </c>
      <c r="DI111">
        <f t="shared" si="65"/>
        <v>0</v>
      </c>
      <c r="DJ111">
        <f t="shared" si="52"/>
        <v>0</v>
      </c>
      <c r="DK111">
        <f t="shared" si="53"/>
        <v>0</v>
      </c>
      <c r="DL111">
        <f t="shared" si="54"/>
        <v>0</v>
      </c>
      <c r="DM111">
        <f t="shared" si="55"/>
        <v>0</v>
      </c>
      <c r="DN111">
        <f t="shared" si="56"/>
        <v>0</v>
      </c>
      <c r="DO111">
        <f t="shared" si="57"/>
        <v>1</v>
      </c>
      <c r="DP111">
        <f t="shared" si="58"/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f t="shared" si="75"/>
        <v>1</v>
      </c>
      <c r="DX111">
        <f t="shared" si="76"/>
        <v>1</v>
      </c>
      <c r="DZ111">
        <f t="shared" si="66"/>
        <v>0</v>
      </c>
      <c r="EA111">
        <f t="shared" si="59"/>
        <v>0</v>
      </c>
      <c r="EB111">
        <f t="shared" si="60"/>
        <v>0</v>
      </c>
      <c r="EC111">
        <f t="shared" si="61"/>
        <v>0</v>
      </c>
      <c r="ED111">
        <f t="shared" si="62"/>
        <v>0</v>
      </c>
      <c r="EE111">
        <f t="shared" si="63"/>
        <v>1</v>
      </c>
    </row>
    <row r="112" spans="1:135" x14ac:dyDescent="0.35">
      <c r="A112" t="s">
        <v>192</v>
      </c>
      <c r="B112">
        <f>[1]Population!$BB141</f>
        <v>1280924</v>
      </c>
      <c r="C112">
        <f>[1]RealGDP!$BB141</f>
        <v>7826157631.8455935</v>
      </c>
      <c r="D112" s="10">
        <f>[1]GDPcap!$BB141</f>
        <v>6109.775155938677</v>
      </c>
      <c r="F112" t="s">
        <v>192</v>
      </c>
      <c r="H112">
        <v>24.9</v>
      </c>
      <c r="I112">
        <v>25.1</v>
      </c>
      <c r="J112">
        <v>24.9</v>
      </c>
      <c r="K112">
        <v>23.8</v>
      </c>
      <c r="L112">
        <v>22</v>
      </c>
      <c r="M112">
        <v>20.399999999999999</v>
      </c>
      <c r="N112">
        <v>19.600000000000001</v>
      </c>
      <c r="O112">
        <v>19.5</v>
      </c>
      <c r="P112">
        <v>20.2</v>
      </c>
      <c r="Q112">
        <v>21.3</v>
      </c>
      <c r="R112">
        <v>22.8</v>
      </c>
      <c r="S112">
        <v>24.1</v>
      </c>
      <c r="T112">
        <v>23.6</v>
      </c>
      <c r="U112">
        <v>19.8</v>
      </c>
      <c r="V112">
        <v>21.4</v>
      </c>
      <c r="W112">
        <v>23.9</v>
      </c>
      <c r="X112">
        <v>22.4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67"/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f t="shared" si="68"/>
        <v>1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1</v>
      </c>
      <c r="BR112">
        <v>0</v>
      </c>
      <c r="BS112">
        <v>0</v>
      </c>
      <c r="BT112">
        <f t="shared" si="69"/>
        <v>1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1</v>
      </c>
      <c r="CE112">
        <f t="shared" si="70"/>
        <v>1</v>
      </c>
      <c r="CG112">
        <f t="shared" si="64"/>
        <v>0</v>
      </c>
      <c r="CH112">
        <f t="shared" si="44"/>
        <v>0</v>
      </c>
      <c r="CI112">
        <f t="shared" si="45"/>
        <v>0</v>
      </c>
      <c r="CJ112">
        <f t="shared" si="46"/>
        <v>0</v>
      </c>
      <c r="CK112">
        <f t="shared" si="47"/>
        <v>0</v>
      </c>
      <c r="CL112">
        <f t="shared" si="48"/>
        <v>0</v>
      </c>
      <c r="CM112">
        <f t="shared" si="49"/>
        <v>0</v>
      </c>
      <c r="CN112">
        <f t="shared" si="50"/>
        <v>0</v>
      </c>
      <c r="CO112">
        <f t="shared" si="51"/>
        <v>1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f t="shared" si="71"/>
        <v>1</v>
      </c>
      <c r="CW112">
        <f t="shared" si="72"/>
        <v>1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f t="shared" si="73"/>
        <v>1</v>
      </c>
      <c r="DF112">
        <v>0</v>
      </c>
      <c r="DG112">
        <f t="shared" si="74"/>
        <v>1</v>
      </c>
      <c r="DI112">
        <f t="shared" si="65"/>
        <v>0</v>
      </c>
      <c r="DJ112">
        <f t="shared" si="52"/>
        <v>0</v>
      </c>
      <c r="DK112">
        <f t="shared" si="53"/>
        <v>0</v>
      </c>
      <c r="DL112">
        <f t="shared" si="54"/>
        <v>0</v>
      </c>
      <c r="DM112">
        <f t="shared" si="55"/>
        <v>0</v>
      </c>
      <c r="DN112">
        <f t="shared" si="56"/>
        <v>0</v>
      </c>
      <c r="DO112">
        <f t="shared" si="57"/>
        <v>1</v>
      </c>
      <c r="DP112">
        <f t="shared" si="58"/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f t="shared" si="75"/>
        <v>1</v>
      </c>
      <c r="DX112">
        <f t="shared" si="76"/>
        <v>1</v>
      </c>
      <c r="DZ112">
        <f t="shared" si="66"/>
        <v>0</v>
      </c>
      <c r="EA112">
        <f t="shared" si="59"/>
        <v>0</v>
      </c>
      <c r="EB112">
        <f t="shared" si="60"/>
        <v>0</v>
      </c>
      <c r="EC112">
        <f t="shared" si="61"/>
        <v>0</v>
      </c>
      <c r="ED112">
        <f t="shared" si="62"/>
        <v>0</v>
      </c>
      <c r="EE112">
        <f t="shared" si="63"/>
        <v>1</v>
      </c>
    </row>
    <row r="113" spans="1:135" x14ac:dyDescent="0.35">
      <c r="A113" t="s">
        <v>193</v>
      </c>
      <c r="B113">
        <f>[1]Population!$BB143</f>
        <v>117886404</v>
      </c>
      <c r="C113">
        <f>[1]RealGDP!$BB143</f>
        <v>953067840505.29358</v>
      </c>
      <c r="D113" s="10">
        <f>[1]GDPcap!$BB143</f>
        <v>8084.6290001796442</v>
      </c>
      <c r="F113" t="s">
        <v>193</v>
      </c>
      <c r="H113">
        <v>15.4</v>
      </c>
      <c r="I113">
        <v>16.7</v>
      </c>
      <c r="J113">
        <v>18.8</v>
      </c>
      <c r="K113">
        <v>21.6</v>
      </c>
      <c r="L113">
        <v>23.6</v>
      </c>
      <c r="M113">
        <v>25.1</v>
      </c>
      <c r="N113">
        <v>25.3</v>
      </c>
      <c r="O113">
        <v>25.1</v>
      </c>
      <c r="P113">
        <v>24</v>
      </c>
      <c r="Q113">
        <v>21.6</v>
      </c>
      <c r="R113">
        <v>18.399999999999999</v>
      </c>
      <c r="S113">
        <v>16</v>
      </c>
      <c r="T113">
        <v>21.3</v>
      </c>
      <c r="U113">
        <v>25.2</v>
      </c>
      <c r="V113">
        <v>21.4</v>
      </c>
      <c r="W113">
        <v>15.5</v>
      </c>
      <c r="X113">
        <v>21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f t="shared" si="67"/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f t="shared" si="68"/>
        <v>1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1</v>
      </c>
      <c r="BR113">
        <v>0</v>
      </c>
      <c r="BS113">
        <v>0</v>
      </c>
      <c r="BT113">
        <f t="shared" si="69"/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0</v>
      </c>
      <c r="CE113">
        <f t="shared" si="70"/>
        <v>1</v>
      </c>
      <c r="CG113">
        <f t="shared" si="64"/>
        <v>0</v>
      </c>
      <c r="CH113">
        <f t="shared" si="44"/>
        <v>0</v>
      </c>
      <c r="CI113">
        <f t="shared" si="45"/>
        <v>0</v>
      </c>
      <c r="CJ113">
        <f t="shared" si="46"/>
        <v>0</v>
      </c>
      <c r="CK113">
        <f t="shared" si="47"/>
        <v>0</v>
      </c>
      <c r="CL113">
        <f t="shared" si="48"/>
        <v>1</v>
      </c>
      <c r="CM113">
        <f t="shared" si="49"/>
        <v>0</v>
      </c>
      <c r="CN113">
        <f t="shared" si="50"/>
        <v>0</v>
      </c>
      <c r="CO113">
        <f t="shared" si="51"/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f t="shared" si="71"/>
        <v>1</v>
      </c>
      <c r="CW113">
        <f t="shared" si="72"/>
        <v>1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f t="shared" si="73"/>
        <v>0</v>
      </c>
      <c r="DF113">
        <v>1</v>
      </c>
      <c r="DG113">
        <f t="shared" si="74"/>
        <v>1</v>
      </c>
      <c r="DI113">
        <f t="shared" si="65"/>
        <v>0</v>
      </c>
      <c r="DJ113">
        <f t="shared" si="52"/>
        <v>0</v>
      </c>
      <c r="DK113">
        <f t="shared" si="53"/>
        <v>0</v>
      </c>
      <c r="DL113">
        <f t="shared" si="54"/>
        <v>0</v>
      </c>
      <c r="DM113">
        <f t="shared" si="55"/>
        <v>0</v>
      </c>
      <c r="DN113">
        <f t="shared" si="56"/>
        <v>0</v>
      </c>
      <c r="DO113">
        <f t="shared" si="57"/>
        <v>0</v>
      </c>
      <c r="DP113">
        <f t="shared" si="58"/>
        <v>1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f t="shared" si="75"/>
        <v>1</v>
      </c>
      <c r="DX113">
        <f t="shared" si="76"/>
        <v>1</v>
      </c>
      <c r="DZ113">
        <f t="shared" si="66"/>
        <v>0</v>
      </c>
      <c r="EA113">
        <f t="shared" si="59"/>
        <v>0</v>
      </c>
      <c r="EB113">
        <f t="shared" si="60"/>
        <v>0</v>
      </c>
      <c r="EC113">
        <f t="shared" si="61"/>
        <v>0</v>
      </c>
      <c r="ED113">
        <f t="shared" si="62"/>
        <v>0</v>
      </c>
      <c r="EE113">
        <f t="shared" si="63"/>
        <v>1</v>
      </c>
    </row>
    <row r="114" spans="1:135" x14ac:dyDescent="0.35">
      <c r="A114" t="s">
        <v>425</v>
      </c>
      <c r="B114">
        <f>[1]Population!$BB144</f>
        <v>103619</v>
      </c>
      <c r="C114">
        <f>[1]RealGDP!$BB144</f>
        <v>246418335.62772667</v>
      </c>
      <c r="D114" s="10">
        <f>[1]GDPcap!$BB144</f>
        <v>2378.1192216459017</v>
      </c>
      <c r="F114" t="s">
        <v>595</v>
      </c>
      <c r="G114" t="s">
        <v>475</v>
      </c>
      <c r="H114">
        <v>27.4</v>
      </c>
      <c r="I114">
        <v>27.5</v>
      </c>
      <c r="J114">
        <v>27.6</v>
      </c>
      <c r="K114">
        <v>27.8</v>
      </c>
      <c r="L114">
        <v>27.7</v>
      </c>
      <c r="M114">
        <v>27.9</v>
      </c>
      <c r="N114">
        <v>27.5</v>
      </c>
      <c r="O114">
        <v>27.4</v>
      </c>
      <c r="P114">
        <v>27.6</v>
      </c>
      <c r="Q114">
        <v>27.7</v>
      </c>
      <c r="R114">
        <v>27.8</v>
      </c>
      <c r="S114">
        <v>27.7</v>
      </c>
      <c r="T114">
        <v>27.7</v>
      </c>
      <c r="U114">
        <v>27.6</v>
      </c>
      <c r="V114">
        <v>27.7</v>
      </c>
      <c r="W114">
        <v>26.6</v>
      </c>
      <c r="X114">
        <v>27.6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f t="shared" si="67"/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f t="shared" si="68"/>
        <v>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f t="shared" si="69"/>
        <v>1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</v>
      </c>
      <c r="CC114">
        <v>0</v>
      </c>
      <c r="CD114">
        <v>0</v>
      </c>
      <c r="CE114">
        <f t="shared" si="70"/>
        <v>1</v>
      </c>
      <c r="CG114">
        <f t="shared" si="64"/>
        <v>0</v>
      </c>
      <c r="CH114">
        <f t="shared" si="44"/>
        <v>0</v>
      </c>
      <c r="CI114">
        <f t="shared" si="45"/>
        <v>0</v>
      </c>
      <c r="CJ114">
        <f t="shared" si="46"/>
        <v>0</v>
      </c>
      <c r="CK114">
        <f t="shared" si="47"/>
        <v>0</v>
      </c>
      <c r="CL114">
        <f t="shared" si="48"/>
        <v>0</v>
      </c>
      <c r="CM114">
        <f t="shared" si="49"/>
        <v>1</v>
      </c>
      <c r="CN114">
        <f t="shared" si="50"/>
        <v>0</v>
      </c>
      <c r="CO114">
        <f t="shared" si="51"/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f t="shared" si="71"/>
        <v>1</v>
      </c>
      <c r="CW114">
        <f t="shared" si="72"/>
        <v>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f t="shared" si="73"/>
        <v>0</v>
      </c>
      <c r="DF114">
        <v>0</v>
      </c>
      <c r="DG114">
        <f t="shared" si="74"/>
        <v>1</v>
      </c>
      <c r="DI114">
        <f t="shared" si="65"/>
        <v>0</v>
      </c>
      <c r="DJ114">
        <f t="shared" si="52"/>
        <v>0</v>
      </c>
      <c r="DK114">
        <f t="shared" si="53"/>
        <v>0</v>
      </c>
      <c r="DL114">
        <f t="shared" si="54"/>
        <v>0</v>
      </c>
      <c r="DM114">
        <f t="shared" si="55"/>
        <v>0</v>
      </c>
      <c r="DN114">
        <f t="shared" si="56"/>
        <v>1</v>
      </c>
      <c r="DO114">
        <f t="shared" si="57"/>
        <v>0</v>
      </c>
      <c r="DP114">
        <f t="shared" si="58"/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f t="shared" si="75"/>
        <v>1</v>
      </c>
      <c r="DX114">
        <f t="shared" si="76"/>
        <v>1</v>
      </c>
      <c r="DZ114">
        <f t="shared" si="66"/>
        <v>0</v>
      </c>
      <c r="EA114">
        <f t="shared" si="59"/>
        <v>0</v>
      </c>
      <c r="EB114">
        <f t="shared" si="60"/>
        <v>0</v>
      </c>
      <c r="EC114">
        <f t="shared" si="61"/>
        <v>0</v>
      </c>
      <c r="ED114">
        <f t="shared" si="62"/>
        <v>0</v>
      </c>
      <c r="EE114">
        <f t="shared" si="63"/>
        <v>1</v>
      </c>
    </row>
    <row r="115" spans="1:135" x14ac:dyDescent="0.35">
      <c r="A115" t="s">
        <v>257</v>
      </c>
      <c r="B115">
        <f>[1]Population!$BB145</f>
        <v>3562062</v>
      </c>
      <c r="C115">
        <f>[1]RealGDP!$BB145</f>
        <v>3501430331.6016059</v>
      </c>
      <c r="D115" s="10">
        <f>[1]GDPcap!$BB145</f>
        <v>982.97849155955339</v>
      </c>
      <c r="F115" t="s">
        <v>553</v>
      </c>
      <c r="H115">
        <v>-3.6</v>
      </c>
      <c r="I115">
        <v>-2.1</v>
      </c>
      <c r="J115">
        <v>2.5</v>
      </c>
      <c r="K115">
        <v>10</v>
      </c>
      <c r="L115">
        <v>15.9</v>
      </c>
      <c r="M115">
        <v>19.3</v>
      </c>
      <c r="N115">
        <v>20.9</v>
      </c>
      <c r="O115">
        <v>20.399999999999999</v>
      </c>
      <c r="P115">
        <v>16.2</v>
      </c>
      <c r="Q115">
        <v>10.1</v>
      </c>
      <c r="R115">
        <v>4.2</v>
      </c>
      <c r="S115">
        <v>-0.6</v>
      </c>
      <c r="T115">
        <v>9.5</v>
      </c>
      <c r="U115">
        <v>20.2</v>
      </c>
      <c r="V115">
        <v>10.199999999999999</v>
      </c>
      <c r="W115">
        <v>-2.1</v>
      </c>
      <c r="X115">
        <v>9.4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67"/>
        <v>1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f t="shared" si="68"/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f t="shared" si="69"/>
        <v>1</v>
      </c>
      <c r="BV115">
        <v>0</v>
      </c>
      <c r="BW115">
        <v>0</v>
      </c>
      <c r="BX115">
        <v>0</v>
      </c>
      <c r="BY115">
        <v>1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f t="shared" si="70"/>
        <v>1</v>
      </c>
      <c r="CG115">
        <f t="shared" si="64"/>
        <v>0</v>
      </c>
      <c r="CH115">
        <f t="shared" si="44"/>
        <v>0</v>
      </c>
      <c r="CI115">
        <f t="shared" si="45"/>
        <v>0</v>
      </c>
      <c r="CJ115">
        <f t="shared" si="46"/>
        <v>1</v>
      </c>
      <c r="CK115">
        <f t="shared" si="47"/>
        <v>0</v>
      </c>
      <c r="CL115">
        <f t="shared" si="48"/>
        <v>0</v>
      </c>
      <c r="CM115">
        <f t="shared" si="49"/>
        <v>0</v>
      </c>
      <c r="CN115">
        <f t="shared" si="50"/>
        <v>0</v>
      </c>
      <c r="CO115">
        <f t="shared" si="51"/>
        <v>0</v>
      </c>
      <c r="CQ115">
        <v>0</v>
      </c>
      <c r="CR115">
        <v>0</v>
      </c>
      <c r="CS115">
        <v>0</v>
      </c>
      <c r="CT115">
        <v>0</v>
      </c>
      <c r="CU115">
        <v>1</v>
      </c>
      <c r="CV115">
        <f t="shared" si="71"/>
        <v>0</v>
      </c>
      <c r="CW115">
        <f t="shared" si="72"/>
        <v>1</v>
      </c>
      <c r="CY115">
        <v>0</v>
      </c>
      <c r="CZ115">
        <v>0</v>
      </c>
      <c r="DA115">
        <v>0</v>
      </c>
      <c r="DB115">
        <v>1</v>
      </c>
      <c r="DC115">
        <v>0</v>
      </c>
      <c r="DD115">
        <v>0</v>
      </c>
      <c r="DE115">
        <f t="shared" si="73"/>
        <v>0</v>
      </c>
      <c r="DF115">
        <v>0</v>
      </c>
      <c r="DG115">
        <f t="shared" si="74"/>
        <v>1</v>
      </c>
      <c r="DI115">
        <f t="shared" si="65"/>
        <v>0</v>
      </c>
      <c r="DJ115">
        <f t="shared" si="52"/>
        <v>0</v>
      </c>
      <c r="DK115">
        <f t="shared" si="53"/>
        <v>0</v>
      </c>
      <c r="DL115">
        <f t="shared" si="54"/>
        <v>1</v>
      </c>
      <c r="DM115">
        <f t="shared" si="55"/>
        <v>0</v>
      </c>
      <c r="DN115">
        <f t="shared" si="56"/>
        <v>0</v>
      </c>
      <c r="DO115">
        <f t="shared" si="57"/>
        <v>0</v>
      </c>
      <c r="DP115">
        <f t="shared" si="58"/>
        <v>0</v>
      </c>
      <c r="DR115">
        <v>0</v>
      </c>
      <c r="DS115">
        <v>0</v>
      </c>
      <c r="DT115">
        <v>0</v>
      </c>
      <c r="DU115">
        <v>1</v>
      </c>
      <c r="DV115">
        <v>0</v>
      </c>
      <c r="DW115">
        <f t="shared" si="75"/>
        <v>0</v>
      </c>
      <c r="DX115">
        <f t="shared" si="76"/>
        <v>1</v>
      </c>
      <c r="DZ115">
        <f t="shared" si="66"/>
        <v>0</v>
      </c>
      <c r="EA115">
        <f t="shared" si="59"/>
        <v>0</v>
      </c>
      <c r="EB115">
        <f t="shared" si="60"/>
        <v>0</v>
      </c>
      <c r="EC115">
        <f t="shared" si="61"/>
        <v>1</v>
      </c>
      <c r="ED115">
        <f t="shared" si="62"/>
        <v>0</v>
      </c>
      <c r="EE115">
        <f t="shared" si="63"/>
        <v>0</v>
      </c>
    </row>
    <row r="116" spans="1:135" x14ac:dyDescent="0.35">
      <c r="A116" t="s">
        <v>426</v>
      </c>
      <c r="B116">
        <f>[1]Population!$BB147</f>
        <v>2712738</v>
      </c>
      <c r="C116">
        <f>[1]RealGDP!$BB147</f>
        <v>3453733409.7557302</v>
      </c>
      <c r="D116" s="10">
        <f>[1]GDPcap!$BB147</f>
        <v>1273.1540641800757</v>
      </c>
      <c r="F116" t="s">
        <v>426</v>
      </c>
      <c r="H116">
        <v>-20.8</v>
      </c>
      <c r="I116">
        <v>-18</v>
      </c>
      <c r="J116">
        <v>-9</v>
      </c>
      <c r="K116">
        <v>1.5</v>
      </c>
      <c r="L116">
        <v>9.6</v>
      </c>
      <c r="M116">
        <v>15</v>
      </c>
      <c r="N116">
        <v>17.100000000000001</v>
      </c>
      <c r="O116">
        <v>15.3</v>
      </c>
      <c r="P116">
        <v>9.1</v>
      </c>
      <c r="Q116">
        <v>0.6</v>
      </c>
      <c r="R116">
        <v>-10.4</v>
      </c>
      <c r="S116">
        <v>-18.2</v>
      </c>
      <c r="T116">
        <v>0.7</v>
      </c>
      <c r="U116">
        <v>15.8</v>
      </c>
      <c r="V116">
        <v>-0.2</v>
      </c>
      <c r="W116">
        <v>-18.399999999999999</v>
      </c>
      <c r="X116">
        <v>-0.7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67"/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0</v>
      </c>
      <c r="BE116">
        <f t="shared" si="68"/>
        <v>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</v>
      </c>
      <c r="BT116">
        <f t="shared" si="69"/>
        <v>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1</v>
      </c>
      <c r="CD116">
        <v>0</v>
      </c>
      <c r="CE116">
        <f t="shared" si="70"/>
        <v>1</v>
      </c>
      <c r="CG116">
        <f t="shared" si="64"/>
        <v>0</v>
      </c>
      <c r="CH116">
        <f t="shared" si="44"/>
        <v>0</v>
      </c>
      <c r="CI116">
        <f t="shared" si="45"/>
        <v>0</v>
      </c>
      <c r="CJ116">
        <f t="shared" si="46"/>
        <v>0</v>
      </c>
      <c r="CK116">
        <f t="shared" si="47"/>
        <v>0</v>
      </c>
      <c r="CL116">
        <f t="shared" si="48"/>
        <v>0</v>
      </c>
      <c r="CM116">
        <f t="shared" si="49"/>
        <v>0</v>
      </c>
      <c r="CN116">
        <f t="shared" si="50"/>
        <v>1</v>
      </c>
      <c r="CO116">
        <f t="shared" si="51"/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f t="shared" si="71"/>
        <v>1</v>
      </c>
      <c r="CW116">
        <f t="shared" si="72"/>
        <v>1</v>
      </c>
      <c r="CY116">
        <v>0</v>
      </c>
      <c r="CZ116">
        <v>0</v>
      </c>
      <c r="DA116">
        <v>0</v>
      </c>
      <c r="DB116">
        <v>0</v>
      </c>
      <c r="DC116">
        <v>1</v>
      </c>
      <c r="DD116">
        <v>0</v>
      </c>
      <c r="DE116">
        <f t="shared" si="73"/>
        <v>0</v>
      </c>
      <c r="DF116">
        <v>0</v>
      </c>
      <c r="DG116">
        <f t="shared" si="74"/>
        <v>1</v>
      </c>
      <c r="DI116">
        <f t="shared" si="65"/>
        <v>0</v>
      </c>
      <c r="DJ116">
        <f t="shared" si="52"/>
        <v>0</v>
      </c>
      <c r="DK116">
        <f t="shared" si="53"/>
        <v>0</v>
      </c>
      <c r="DL116">
        <f t="shared" si="54"/>
        <v>0</v>
      </c>
      <c r="DM116">
        <f t="shared" si="55"/>
        <v>1</v>
      </c>
      <c r="DN116">
        <f t="shared" si="56"/>
        <v>0</v>
      </c>
      <c r="DO116">
        <f t="shared" si="57"/>
        <v>0</v>
      </c>
      <c r="DP116">
        <f t="shared" si="58"/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f t="shared" si="75"/>
        <v>1</v>
      </c>
      <c r="DX116">
        <f t="shared" si="76"/>
        <v>1</v>
      </c>
      <c r="DZ116">
        <f t="shared" si="66"/>
        <v>0</v>
      </c>
      <c r="EA116">
        <f t="shared" si="59"/>
        <v>0</v>
      </c>
      <c r="EB116">
        <f t="shared" si="60"/>
        <v>0</v>
      </c>
      <c r="EC116">
        <f t="shared" si="61"/>
        <v>0</v>
      </c>
      <c r="ED116">
        <f t="shared" si="62"/>
        <v>0</v>
      </c>
      <c r="EE116">
        <f t="shared" si="63"/>
        <v>1</v>
      </c>
    </row>
    <row r="117" spans="1:135" x14ac:dyDescent="0.35">
      <c r="A117" t="s">
        <v>258</v>
      </c>
      <c r="B117">
        <f>[1]Population!$BB148</f>
        <v>620078</v>
      </c>
      <c r="C117">
        <f>[1]RealGDP!$BB148</f>
        <v>2803866144.4280138</v>
      </c>
      <c r="D117" s="10">
        <f>[1]GDPcap!$BB148</f>
        <v>4521.7958779831151</v>
      </c>
      <c r="F117" t="s">
        <v>229</v>
      </c>
      <c r="H117">
        <v>-1.6</v>
      </c>
      <c r="I117">
        <v>0.5</v>
      </c>
      <c r="J117">
        <v>4.5999999999999996</v>
      </c>
      <c r="K117">
        <v>9.9</v>
      </c>
      <c r="L117">
        <v>14.7</v>
      </c>
      <c r="M117">
        <v>17.899999999999999</v>
      </c>
      <c r="N117">
        <v>19.899999999999999</v>
      </c>
      <c r="O117">
        <v>19.7</v>
      </c>
      <c r="P117">
        <v>16.100000000000001</v>
      </c>
      <c r="Q117">
        <v>10.7</v>
      </c>
      <c r="R117">
        <v>5.2</v>
      </c>
      <c r="S117">
        <v>0.8</v>
      </c>
      <c r="T117">
        <v>9.6999999999999993</v>
      </c>
      <c r="U117">
        <v>19.2</v>
      </c>
      <c r="V117">
        <v>10.6</v>
      </c>
      <c r="W117">
        <v>-0.1</v>
      </c>
      <c r="X117">
        <v>9.9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67"/>
        <v>1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f t="shared" si="68"/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f t="shared" si="69"/>
        <v>1</v>
      </c>
      <c r="BV117">
        <v>0</v>
      </c>
      <c r="BW117">
        <v>0</v>
      </c>
      <c r="BX117">
        <v>0</v>
      </c>
      <c r="BY117">
        <v>1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f t="shared" si="70"/>
        <v>1</v>
      </c>
      <c r="CG117">
        <f t="shared" si="64"/>
        <v>0</v>
      </c>
      <c r="CH117">
        <f t="shared" si="44"/>
        <v>0</v>
      </c>
      <c r="CI117">
        <f t="shared" si="45"/>
        <v>0</v>
      </c>
      <c r="CJ117">
        <f t="shared" si="46"/>
        <v>1</v>
      </c>
      <c r="CK117">
        <f t="shared" si="47"/>
        <v>0</v>
      </c>
      <c r="CL117">
        <f t="shared" si="48"/>
        <v>0</v>
      </c>
      <c r="CM117">
        <f t="shared" si="49"/>
        <v>0</v>
      </c>
      <c r="CN117">
        <f t="shared" si="50"/>
        <v>0</v>
      </c>
      <c r="CO117">
        <f t="shared" si="51"/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f t="shared" si="71"/>
        <v>1</v>
      </c>
      <c r="CW117">
        <f t="shared" si="72"/>
        <v>1</v>
      </c>
      <c r="CY117">
        <v>0</v>
      </c>
      <c r="CZ117">
        <v>0</v>
      </c>
      <c r="DA117">
        <v>0</v>
      </c>
      <c r="DB117">
        <v>1</v>
      </c>
      <c r="DC117">
        <v>0</v>
      </c>
      <c r="DD117">
        <v>0</v>
      </c>
      <c r="DE117">
        <f t="shared" si="73"/>
        <v>0</v>
      </c>
      <c r="DF117">
        <v>0</v>
      </c>
      <c r="DG117">
        <f t="shared" si="74"/>
        <v>1</v>
      </c>
      <c r="DI117">
        <f t="shared" si="65"/>
        <v>0</v>
      </c>
      <c r="DJ117">
        <f t="shared" si="52"/>
        <v>0</v>
      </c>
      <c r="DK117">
        <f t="shared" si="53"/>
        <v>0</v>
      </c>
      <c r="DL117">
        <f t="shared" si="54"/>
        <v>1</v>
      </c>
      <c r="DM117">
        <f t="shared" si="55"/>
        <v>0</v>
      </c>
      <c r="DN117">
        <f t="shared" si="56"/>
        <v>0</v>
      </c>
      <c r="DO117">
        <f t="shared" si="57"/>
        <v>0</v>
      </c>
      <c r="DP117">
        <f t="shared" si="58"/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f t="shared" si="75"/>
        <v>1</v>
      </c>
      <c r="DX117">
        <f t="shared" si="76"/>
        <v>1</v>
      </c>
      <c r="DZ117">
        <f t="shared" si="66"/>
        <v>0</v>
      </c>
      <c r="EA117">
        <f t="shared" si="59"/>
        <v>0</v>
      </c>
      <c r="EB117">
        <f t="shared" si="60"/>
        <v>0</v>
      </c>
      <c r="EC117">
        <f t="shared" si="61"/>
        <v>0</v>
      </c>
      <c r="ED117">
        <f t="shared" si="62"/>
        <v>0</v>
      </c>
      <c r="EE117">
        <f t="shared" si="63"/>
        <v>1</v>
      </c>
    </row>
    <row r="118" spans="1:135" x14ac:dyDescent="0.35">
      <c r="A118" t="s">
        <v>194</v>
      </c>
      <c r="B118">
        <f>[1]Population!$BB150</f>
        <v>31642360</v>
      </c>
      <c r="C118">
        <f>[1]RealGDP!$BB150</f>
        <v>75523499823.662308</v>
      </c>
      <c r="D118" s="10">
        <f>[1]GDPcap!$BB150</f>
        <v>2386.7846716762692</v>
      </c>
      <c r="F118" t="s">
        <v>194</v>
      </c>
      <c r="H118">
        <v>9.6999999999999993</v>
      </c>
      <c r="I118">
        <v>11.2</v>
      </c>
      <c r="J118">
        <v>13.1</v>
      </c>
      <c r="K118">
        <v>14.9</v>
      </c>
      <c r="L118">
        <v>18.3</v>
      </c>
      <c r="M118">
        <v>21.9</v>
      </c>
      <c r="N118">
        <v>25.6</v>
      </c>
      <c r="O118">
        <v>25.5</v>
      </c>
      <c r="P118">
        <v>22.6</v>
      </c>
      <c r="Q118">
        <v>18.100000000000001</v>
      </c>
      <c r="R118">
        <v>13.7</v>
      </c>
      <c r="S118">
        <v>10.3</v>
      </c>
      <c r="T118">
        <v>15.4</v>
      </c>
      <c r="U118">
        <v>24.3</v>
      </c>
      <c r="V118">
        <v>18.100000000000001</v>
      </c>
      <c r="W118">
        <v>10.1</v>
      </c>
      <c r="X118">
        <v>17.100000000000001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f t="shared" si="67"/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f t="shared" si="68"/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0</v>
      </c>
      <c r="BS118">
        <v>0</v>
      </c>
      <c r="BT118">
        <f t="shared" si="69"/>
        <v>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1</v>
      </c>
      <c r="CE118">
        <f t="shared" si="70"/>
        <v>1</v>
      </c>
      <c r="CG118">
        <f t="shared" si="64"/>
        <v>0</v>
      </c>
      <c r="CH118">
        <f t="shared" si="44"/>
        <v>0</v>
      </c>
      <c r="CI118">
        <f t="shared" si="45"/>
        <v>0</v>
      </c>
      <c r="CJ118">
        <f t="shared" si="46"/>
        <v>0</v>
      </c>
      <c r="CK118">
        <f t="shared" si="47"/>
        <v>0</v>
      </c>
      <c r="CL118">
        <f t="shared" si="48"/>
        <v>0</v>
      </c>
      <c r="CM118">
        <f t="shared" si="49"/>
        <v>0</v>
      </c>
      <c r="CN118">
        <f t="shared" si="50"/>
        <v>0</v>
      </c>
      <c r="CO118">
        <f t="shared" si="51"/>
        <v>1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f t="shared" si="71"/>
        <v>1</v>
      </c>
      <c r="CW118">
        <f t="shared" si="72"/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f t="shared" si="73"/>
        <v>1</v>
      </c>
      <c r="DF118">
        <v>0</v>
      </c>
      <c r="DG118">
        <f t="shared" si="74"/>
        <v>1</v>
      </c>
      <c r="DI118">
        <f t="shared" si="65"/>
        <v>0</v>
      </c>
      <c r="DJ118">
        <f t="shared" si="52"/>
        <v>0</v>
      </c>
      <c r="DK118">
        <f t="shared" si="53"/>
        <v>0</v>
      </c>
      <c r="DL118">
        <f t="shared" si="54"/>
        <v>0</v>
      </c>
      <c r="DM118">
        <f t="shared" si="55"/>
        <v>0</v>
      </c>
      <c r="DN118">
        <f t="shared" si="56"/>
        <v>0</v>
      </c>
      <c r="DO118">
        <f t="shared" si="57"/>
        <v>1</v>
      </c>
      <c r="DP118">
        <f t="shared" si="58"/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f t="shared" si="75"/>
        <v>1</v>
      </c>
      <c r="DX118">
        <f t="shared" si="76"/>
        <v>1</v>
      </c>
      <c r="DZ118">
        <f t="shared" si="66"/>
        <v>0</v>
      </c>
      <c r="EA118">
        <f t="shared" si="59"/>
        <v>0</v>
      </c>
      <c r="EB118">
        <f t="shared" si="60"/>
        <v>0</v>
      </c>
      <c r="EC118">
        <f t="shared" si="61"/>
        <v>0</v>
      </c>
      <c r="ED118">
        <f t="shared" si="62"/>
        <v>0</v>
      </c>
      <c r="EE118">
        <f t="shared" si="63"/>
        <v>1</v>
      </c>
    </row>
    <row r="119" spans="1:135" x14ac:dyDescent="0.35">
      <c r="A119" t="s">
        <v>427</v>
      </c>
      <c r="B119">
        <f>[1]Population!$BB151</f>
        <v>23967265</v>
      </c>
      <c r="C119">
        <f>[1]RealGDP!$BB151</f>
        <v>9127794918.9110737</v>
      </c>
      <c r="D119" s="10">
        <f>[1]GDPcap!$BB151</f>
        <v>380.84424396822391</v>
      </c>
      <c r="F119" t="s">
        <v>427</v>
      </c>
      <c r="H119">
        <v>26.1</v>
      </c>
      <c r="I119">
        <v>26</v>
      </c>
      <c r="J119">
        <v>25.6</v>
      </c>
      <c r="K119">
        <v>24.3</v>
      </c>
      <c r="L119">
        <v>22.2</v>
      </c>
      <c r="M119">
        <v>20.2</v>
      </c>
      <c r="N119">
        <v>19.8</v>
      </c>
      <c r="O119">
        <v>21.1</v>
      </c>
      <c r="P119">
        <v>23.2</v>
      </c>
      <c r="Q119">
        <v>25</v>
      </c>
      <c r="R119">
        <v>25.9</v>
      </c>
      <c r="S119">
        <v>26</v>
      </c>
      <c r="T119">
        <v>24</v>
      </c>
      <c r="U119">
        <v>20.399999999999999</v>
      </c>
      <c r="V119">
        <v>24.7</v>
      </c>
      <c r="W119">
        <v>25.2</v>
      </c>
      <c r="X119">
        <v>23.8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67"/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0</v>
      </c>
      <c r="BC119">
        <v>0</v>
      </c>
      <c r="BD119">
        <v>0</v>
      </c>
      <c r="BE119">
        <f t="shared" si="68"/>
        <v>1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1</v>
      </c>
      <c r="BS119">
        <v>0</v>
      </c>
      <c r="BT119">
        <f t="shared" si="69"/>
        <v>1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1</v>
      </c>
      <c r="CE119">
        <f t="shared" si="70"/>
        <v>1</v>
      </c>
      <c r="CG119">
        <f t="shared" si="64"/>
        <v>0</v>
      </c>
      <c r="CH119">
        <f t="shared" si="44"/>
        <v>0</v>
      </c>
      <c r="CI119">
        <f t="shared" si="45"/>
        <v>0</v>
      </c>
      <c r="CJ119">
        <f t="shared" si="46"/>
        <v>0</v>
      </c>
      <c r="CK119">
        <f t="shared" si="47"/>
        <v>0</v>
      </c>
      <c r="CL119">
        <f t="shared" si="48"/>
        <v>0</v>
      </c>
      <c r="CM119">
        <f t="shared" si="49"/>
        <v>0</v>
      </c>
      <c r="CN119">
        <f t="shared" si="50"/>
        <v>0</v>
      </c>
      <c r="CO119">
        <f t="shared" si="51"/>
        <v>1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f t="shared" si="71"/>
        <v>1</v>
      </c>
      <c r="CW119">
        <f t="shared" si="72"/>
        <v>1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f t="shared" si="73"/>
        <v>1</v>
      </c>
      <c r="DF119">
        <v>0</v>
      </c>
      <c r="DG119">
        <f t="shared" si="74"/>
        <v>1</v>
      </c>
      <c r="DI119">
        <f t="shared" si="65"/>
        <v>0</v>
      </c>
      <c r="DJ119">
        <f t="shared" si="52"/>
        <v>0</v>
      </c>
      <c r="DK119">
        <f t="shared" si="53"/>
        <v>0</v>
      </c>
      <c r="DL119">
        <f t="shared" si="54"/>
        <v>0</v>
      </c>
      <c r="DM119">
        <f t="shared" si="55"/>
        <v>0</v>
      </c>
      <c r="DN119">
        <f t="shared" si="56"/>
        <v>0</v>
      </c>
      <c r="DO119">
        <f t="shared" si="57"/>
        <v>1</v>
      </c>
      <c r="DP119">
        <f t="shared" si="58"/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f t="shared" si="75"/>
        <v>1</v>
      </c>
      <c r="DX119">
        <f t="shared" si="76"/>
        <v>1</v>
      </c>
      <c r="DZ119">
        <f t="shared" si="66"/>
        <v>0</v>
      </c>
      <c r="EA119">
        <f t="shared" si="59"/>
        <v>0</v>
      </c>
      <c r="EB119">
        <f t="shared" si="60"/>
        <v>0</v>
      </c>
      <c r="EC119">
        <f t="shared" si="61"/>
        <v>0</v>
      </c>
      <c r="ED119">
        <f t="shared" si="62"/>
        <v>0</v>
      </c>
      <c r="EE119">
        <f t="shared" si="63"/>
        <v>1</v>
      </c>
    </row>
    <row r="120" spans="1:135" x14ac:dyDescent="0.35">
      <c r="A120" t="s">
        <v>428</v>
      </c>
      <c r="B120">
        <f>[1]Population!$BB153</f>
        <v>2178967</v>
      </c>
      <c r="C120">
        <f>[1]RealGDP!$BB153</f>
        <v>8936748666.272974</v>
      </c>
      <c r="D120" s="10">
        <f>[1]GDPcap!$BB153</f>
        <v>4101.3694407822486</v>
      </c>
      <c r="F120" t="s">
        <v>428</v>
      </c>
      <c r="H120">
        <v>23.9</v>
      </c>
      <c r="I120">
        <v>23.3</v>
      </c>
      <c r="J120">
        <v>22.4</v>
      </c>
      <c r="K120">
        <v>20.3</v>
      </c>
      <c r="L120">
        <v>17.100000000000001</v>
      </c>
      <c r="M120">
        <v>14.6</v>
      </c>
      <c r="N120">
        <v>14.3</v>
      </c>
      <c r="O120">
        <v>16</v>
      </c>
      <c r="P120">
        <v>19.2</v>
      </c>
      <c r="Q120">
        <v>21.5</v>
      </c>
      <c r="R120">
        <v>22.7</v>
      </c>
      <c r="S120">
        <v>23.7</v>
      </c>
      <c r="T120">
        <v>19.899999999999999</v>
      </c>
      <c r="U120">
        <v>15</v>
      </c>
      <c r="V120">
        <v>21.1</v>
      </c>
      <c r="W120">
        <v>22.8</v>
      </c>
      <c r="X120">
        <v>19.899999999999999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67"/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f t="shared" si="68"/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</v>
      </c>
      <c r="BR120">
        <v>0</v>
      </c>
      <c r="BS120">
        <v>0</v>
      </c>
      <c r="BT120">
        <f t="shared" si="69"/>
        <v>1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1</v>
      </c>
      <c r="CE120">
        <f t="shared" si="70"/>
        <v>1</v>
      </c>
      <c r="CG120">
        <f t="shared" si="64"/>
        <v>0</v>
      </c>
      <c r="CH120">
        <f t="shared" si="44"/>
        <v>0</v>
      </c>
      <c r="CI120">
        <f t="shared" si="45"/>
        <v>0</v>
      </c>
      <c r="CJ120">
        <f t="shared" si="46"/>
        <v>0</v>
      </c>
      <c r="CK120">
        <f t="shared" si="47"/>
        <v>0</v>
      </c>
      <c r="CL120">
        <f t="shared" si="48"/>
        <v>0</v>
      </c>
      <c r="CM120">
        <f t="shared" si="49"/>
        <v>0</v>
      </c>
      <c r="CN120">
        <f t="shared" si="50"/>
        <v>0</v>
      </c>
      <c r="CO120">
        <f t="shared" si="51"/>
        <v>1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f t="shared" si="71"/>
        <v>1</v>
      </c>
      <c r="CW120">
        <f t="shared" si="72"/>
        <v>1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f t="shared" si="73"/>
        <v>1</v>
      </c>
      <c r="DF120">
        <v>0</v>
      </c>
      <c r="DG120">
        <f t="shared" si="74"/>
        <v>1</v>
      </c>
      <c r="DI120">
        <f t="shared" si="65"/>
        <v>0</v>
      </c>
      <c r="DJ120">
        <f t="shared" si="52"/>
        <v>0</v>
      </c>
      <c r="DK120">
        <f t="shared" si="53"/>
        <v>0</v>
      </c>
      <c r="DL120">
        <f t="shared" si="54"/>
        <v>0</v>
      </c>
      <c r="DM120">
        <f t="shared" si="55"/>
        <v>0</v>
      </c>
      <c r="DN120">
        <f t="shared" si="56"/>
        <v>0</v>
      </c>
      <c r="DO120">
        <f t="shared" si="57"/>
        <v>1</v>
      </c>
      <c r="DP120">
        <f t="shared" si="58"/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f t="shared" si="75"/>
        <v>1</v>
      </c>
      <c r="DX120">
        <f t="shared" si="76"/>
        <v>1</v>
      </c>
      <c r="DZ120">
        <f t="shared" si="66"/>
        <v>0</v>
      </c>
      <c r="EA120">
        <f t="shared" si="59"/>
        <v>0</v>
      </c>
      <c r="EB120">
        <f t="shared" si="60"/>
        <v>0</v>
      </c>
      <c r="EC120">
        <f t="shared" si="61"/>
        <v>0</v>
      </c>
      <c r="ED120">
        <f t="shared" si="62"/>
        <v>0</v>
      </c>
      <c r="EE120">
        <f t="shared" si="63"/>
        <v>1</v>
      </c>
    </row>
    <row r="121" spans="1:135" x14ac:dyDescent="0.35">
      <c r="A121" t="s">
        <v>195</v>
      </c>
      <c r="B121">
        <f>[1]Population!$BB155</f>
        <v>26846016</v>
      </c>
      <c r="C121">
        <f>[1]RealGDP!$BB155</f>
        <v>10103288981.142262</v>
      </c>
      <c r="D121" s="10">
        <f>[1]GDPcap!$BB155</f>
        <v>376.34220962776232</v>
      </c>
      <c r="F121" t="s">
        <v>195</v>
      </c>
      <c r="H121">
        <v>-0.4</v>
      </c>
      <c r="I121">
        <v>0.8</v>
      </c>
      <c r="J121">
        <v>4.9000000000000004</v>
      </c>
      <c r="K121">
        <v>9</v>
      </c>
      <c r="L121">
        <v>11.9</v>
      </c>
      <c r="M121">
        <v>14.5</v>
      </c>
      <c r="N121">
        <v>15</v>
      </c>
      <c r="O121">
        <v>14.6</v>
      </c>
      <c r="P121">
        <v>13.1</v>
      </c>
      <c r="Q121">
        <v>8.8000000000000007</v>
      </c>
      <c r="R121">
        <v>4.3</v>
      </c>
      <c r="S121">
        <v>1.1000000000000001</v>
      </c>
      <c r="T121">
        <v>8.6</v>
      </c>
      <c r="U121">
        <v>14.7</v>
      </c>
      <c r="V121">
        <v>8.6999999999999993</v>
      </c>
      <c r="W121">
        <v>0.5</v>
      </c>
      <c r="X121">
        <v>8.1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67"/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0</v>
      </c>
      <c r="BC121">
        <v>0</v>
      </c>
      <c r="BD121">
        <v>0</v>
      </c>
      <c r="BE121">
        <f t="shared" si="68"/>
        <v>1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f t="shared" si="69"/>
        <v>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f t="shared" si="70"/>
        <v>1</v>
      </c>
      <c r="CG121">
        <f t="shared" si="64"/>
        <v>0</v>
      </c>
      <c r="CH121">
        <f t="shared" si="44"/>
        <v>0</v>
      </c>
      <c r="CI121">
        <f t="shared" si="45"/>
        <v>0</v>
      </c>
      <c r="CJ121">
        <f t="shared" si="46"/>
        <v>0</v>
      </c>
      <c r="CK121">
        <f t="shared" si="47"/>
        <v>0</v>
      </c>
      <c r="CL121">
        <f t="shared" si="48"/>
        <v>0</v>
      </c>
      <c r="CM121">
        <f t="shared" si="49"/>
        <v>1</v>
      </c>
      <c r="CN121">
        <f t="shared" si="50"/>
        <v>0</v>
      </c>
      <c r="CO121">
        <f t="shared" si="51"/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f t="shared" si="71"/>
        <v>1</v>
      </c>
      <c r="CW121">
        <f t="shared" si="72"/>
        <v>1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1</v>
      </c>
      <c r="DE121">
        <f t="shared" si="73"/>
        <v>0</v>
      </c>
      <c r="DF121">
        <v>0</v>
      </c>
      <c r="DG121">
        <f t="shared" si="74"/>
        <v>1</v>
      </c>
      <c r="DI121">
        <f t="shared" si="65"/>
        <v>0</v>
      </c>
      <c r="DJ121">
        <f t="shared" si="52"/>
        <v>0</v>
      </c>
      <c r="DK121">
        <f t="shared" si="53"/>
        <v>0</v>
      </c>
      <c r="DL121">
        <f t="shared" si="54"/>
        <v>0</v>
      </c>
      <c r="DM121">
        <f t="shared" si="55"/>
        <v>0</v>
      </c>
      <c r="DN121">
        <f t="shared" si="56"/>
        <v>1</v>
      </c>
      <c r="DO121">
        <f t="shared" si="57"/>
        <v>0</v>
      </c>
      <c r="DP121">
        <f t="shared" si="58"/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f t="shared" si="75"/>
        <v>1</v>
      </c>
      <c r="DX121">
        <f t="shared" si="76"/>
        <v>1</v>
      </c>
      <c r="DZ121">
        <f t="shared" si="66"/>
        <v>0</v>
      </c>
      <c r="EA121">
        <f t="shared" si="59"/>
        <v>0</v>
      </c>
      <c r="EB121">
        <f t="shared" si="60"/>
        <v>0</v>
      </c>
      <c r="EC121">
        <f t="shared" si="61"/>
        <v>0</v>
      </c>
      <c r="ED121">
        <f t="shared" si="62"/>
        <v>0</v>
      </c>
      <c r="EE121">
        <f t="shared" si="63"/>
        <v>1</v>
      </c>
    </row>
    <row r="122" spans="1:135" x14ac:dyDescent="0.35">
      <c r="A122" t="s">
        <v>196</v>
      </c>
      <c r="B122">
        <f>[1]Population!$BB156</f>
        <v>16615394</v>
      </c>
      <c r="C122">
        <f>[1]RealGDP!$BB156</f>
        <v>683063473113.4657</v>
      </c>
      <c r="D122" s="10">
        <f>[1]GDPcap!$BB156</f>
        <v>41110.27840287541</v>
      </c>
      <c r="F122" t="s">
        <v>522</v>
      </c>
      <c r="H122">
        <v>2.1</v>
      </c>
      <c r="I122">
        <v>2.5</v>
      </c>
      <c r="J122">
        <v>4.9000000000000004</v>
      </c>
      <c r="K122">
        <v>7.6</v>
      </c>
      <c r="L122">
        <v>11.9</v>
      </c>
      <c r="M122">
        <v>14.6</v>
      </c>
      <c r="N122">
        <v>16.5</v>
      </c>
      <c r="O122">
        <v>16.600000000000001</v>
      </c>
      <c r="P122">
        <v>14</v>
      </c>
      <c r="Q122">
        <v>10.5</v>
      </c>
      <c r="R122">
        <v>6.1</v>
      </c>
      <c r="S122">
        <v>3.5</v>
      </c>
      <c r="T122">
        <v>8.1</v>
      </c>
      <c r="U122">
        <v>15.9</v>
      </c>
      <c r="V122">
        <v>10.199999999999999</v>
      </c>
      <c r="W122">
        <v>2.6</v>
      </c>
      <c r="X122">
        <v>9.1999999999999993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f t="shared" si="67"/>
        <v>1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f t="shared" si="68"/>
        <v>1</v>
      </c>
      <c r="BG122">
        <v>0</v>
      </c>
      <c r="BH122">
        <v>0</v>
      </c>
      <c r="BI122">
        <v>0</v>
      </c>
      <c r="BJ122">
        <v>1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f t="shared" si="69"/>
        <v>1</v>
      </c>
      <c r="BV122">
        <v>0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f t="shared" si="70"/>
        <v>1</v>
      </c>
      <c r="CG122">
        <f t="shared" si="64"/>
        <v>0</v>
      </c>
      <c r="CH122">
        <f t="shared" si="44"/>
        <v>1</v>
      </c>
      <c r="CI122">
        <f t="shared" si="45"/>
        <v>0</v>
      </c>
      <c r="CJ122">
        <f t="shared" si="46"/>
        <v>0</v>
      </c>
      <c r="CK122">
        <f t="shared" si="47"/>
        <v>0</v>
      </c>
      <c r="CL122">
        <f t="shared" si="48"/>
        <v>0</v>
      </c>
      <c r="CM122">
        <f t="shared" si="49"/>
        <v>0</v>
      </c>
      <c r="CN122">
        <f t="shared" si="50"/>
        <v>0</v>
      </c>
      <c r="CO122">
        <f t="shared" si="51"/>
        <v>0</v>
      </c>
      <c r="CQ122">
        <v>0</v>
      </c>
      <c r="CR122">
        <v>0</v>
      </c>
      <c r="CS122">
        <v>0</v>
      </c>
      <c r="CT122">
        <v>1</v>
      </c>
      <c r="CU122">
        <v>0</v>
      </c>
      <c r="CV122">
        <f t="shared" si="71"/>
        <v>0</v>
      </c>
      <c r="CW122">
        <f t="shared" si="72"/>
        <v>1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f t="shared" si="73"/>
        <v>0</v>
      </c>
      <c r="DF122">
        <v>0</v>
      </c>
      <c r="DG122">
        <f t="shared" si="74"/>
        <v>1</v>
      </c>
      <c r="DI122">
        <f t="shared" si="65"/>
        <v>1</v>
      </c>
      <c r="DJ122">
        <f t="shared" si="52"/>
        <v>0</v>
      </c>
      <c r="DK122">
        <f t="shared" si="53"/>
        <v>0</v>
      </c>
      <c r="DL122">
        <f t="shared" si="54"/>
        <v>0</v>
      </c>
      <c r="DM122">
        <f t="shared" si="55"/>
        <v>0</v>
      </c>
      <c r="DN122">
        <f t="shared" si="56"/>
        <v>0</v>
      </c>
      <c r="DO122">
        <f t="shared" si="57"/>
        <v>0</v>
      </c>
      <c r="DP122">
        <f t="shared" si="58"/>
        <v>0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f t="shared" si="75"/>
        <v>0</v>
      </c>
      <c r="DX122">
        <f t="shared" si="76"/>
        <v>1</v>
      </c>
      <c r="DZ122">
        <f t="shared" si="66"/>
        <v>1</v>
      </c>
      <c r="EA122">
        <f t="shared" si="59"/>
        <v>0</v>
      </c>
      <c r="EB122">
        <f t="shared" si="60"/>
        <v>0</v>
      </c>
      <c r="EC122">
        <f t="shared" si="61"/>
        <v>0</v>
      </c>
      <c r="ED122">
        <f t="shared" si="62"/>
        <v>0</v>
      </c>
      <c r="EE122">
        <f t="shared" si="63"/>
        <v>0</v>
      </c>
    </row>
    <row r="123" spans="1:135" x14ac:dyDescent="0.35">
      <c r="A123" t="s">
        <v>197</v>
      </c>
      <c r="B123">
        <f>[1]Population!$BB159</f>
        <v>4367800</v>
      </c>
      <c r="C123">
        <f>[1]RealGDP!$BB159</f>
        <v>120042479359.5708</v>
      </c>
      <c r="D123" s="10">
        <f>[1]GDPcap!$BB159</f>
        <v>27483.511003152802</v>
      </c>
      <c r="F123" t="s">
        <v>554</v>
      </c>
      <c r="G123" t="s">
        <v>556</v>
      </c>
      <c r="H123">
        <v>15.3</v>
      </c>
      <c r="I123">
        <v>15.4</v>
      </c>
      <c r="J123">
        <v>14.1</v>
      </c>
      <c r="K123">
        <v>11.3</v>
      </c>
      <c r="L123">
        <v>8.3000000000000007</v>
      </c>
      <c r="M123">
        <v>6.1</v>
      </c>
      <c r="N123">
        <v>5.4</v>
      </c>
      <c r="O123">
        <v>6.5</v>
      </c>
      <c r="P123">
        <v>8.1999999999999993</v>
      </c>
      <c r="Q123">
        <v>10.199999999999999</v>
      </c>
      <c r="R123">
        <v>12</v>
      </c>
      <c r="S123">
        <v>13.9</v>
      </c>
      <c r="T123">
        <v>11.2</v>
      </c>
      <c r="U123">
        <v>6</v>
      </c>
      <c r="V123">
        <v>10.1</v>
      </c>
      <c r="W123">
        <v>14.4</v>
      </c>
      <c r="X123">
        <v>10.5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f t="shared" si="67"/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f t="shared" si="68"/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f t="shared" si="69"/>
        <v>1</v>
      </c>
      <c r="BV123">
        <v>0</v>
      </c>
      <c r="BW123">
        <v>0</v>
      </c>
      <c r="BX123">
        <v>1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f t="shared" si="70"/>
        <v>1</v>
      </c>
      <c r="CG123">
        <f t="shared" si="64"/>
        <v>0</v>
      </c>
      <c r="CH123">
        <f t="shared" si="44"/>
        <v>0</v>
      </c>
      <c r="CI123">
        <f t="shared" si="45"/>
        <v>1</v>
      </c>
      <c r="CJ123">
        <f t="shared" si="46"/>
        <v>0</v>
      </c>
      <c r="CK123">
        <f t="shared" si="47"/>
        <v>0</v>
      </c>
      <c r="CL123">
        <f t="shared" si="48"/>
        <v>0</v>
      </c>
      <c r="CM123">
        <f t="shared" si="49"/>
        <v>0</v>
      </c>
      <c r="CN123">
        <f t="shared" si="50"/>
        <v>0</v>
      </c>
      <c r="CO123">
        <f t="shared" si="51"/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f t="shared" si="71"/>
        <v>1</v>
      </c>
      <c r="CW123">
        <f t="shared" si="72"/>
        <v>1</v>
      </c>
      <c r="CY123">
        <v>0</v>
      </c>
      <c r="CZ123">
        <v>0</v>
      </c>
      <c r="DA123">
        <v>1</v>
      </c>
      <c r="DB123">
        <v>0</v>
      </c>
      <c r="DC123">
        <v>0</v>
      </c>
      <c r="DD123">
        <v>0</v>
      </c>
      <c r="DE123">
        <f t="shared" si="73"/>
        <v>0</v>
      </c>
      <c r="DF123">
        <v>0</v>
      </c>
      <c r="DG123">
        <f t="shared" si="74"/>
        <v>1</v>
      </c>
      <c r="DI123">
        <f t="shared" si="65"/>
        <v>0</v>
      </c>
      <c r="DJ123">
        <f t="shared" si="52"/>
        <v>0</v>
      </c>
      <c r="DK123">
        <f t="shared" si="53"/>
        <v>1</v>
      </c>
      <c r="DL123">
        <f t="shared" si="54"/>
        <v>0</v>
      </c>
      <c r="DM123">
        <f t="shared" si="55"/>
        <v>0</v>
      </c>
      <c r="DN123">
        <f t="shared" si="56"/>
        <v>0</v>
      </c>
      <c r="DO123">
        <f t="shared" si="57"/>
        <v>0</v>
      </c>
      <c r="DP123">
        <f t="shared" si="58"/>
        <v>0</v>
      </c>
      <c r="DR123">
        <v>0</v>
      </c>
      <c r="DS123">
        <v>0</v>
      </c>
      <c r="DT123">
        <v>1</v>
      </c>
      <c r="DU123">
        <v>0</v>
      </c>
      <c r="DV123">
        <v>0</v>
      </c>
      <c r="DW123">
        <f t="shared" si="75"/>
        <v>0</v>
      </c>
      <c r="DX123">
        <f t="shared" si="76"/>
        <v>1</v>
      </c>
      <c r="DZ123">
        <f t="shared" si="66"/>
        <v>0</v>
      </c>
      <c r="EA123">
        <f t="shared" si="59"/>
        <v>0</v>
      </c>
      <c r="EB123">
        <f t="shared" si="60"/>
        <v>1</v>
      </c>
      <c r="EC123">
        <f t="shared" si="61"/>
        <v>0</v>
      </c>
      <c r="ED123">
        <f t="shared" si="62"/>
        <v>0</v>
      </c>
      <c r="EE123">
        <f t="shared" si="63"/>
        <v>0</v>
      </c>
    </row>
    <row r="124" spans="1:135" x14ac:dyDescent="0.35">
      <c r="A124" t="s">
        <v>429</v>
      </c>
      <c r="B124">
        <f>[1]Population!$BB160</f>
        <v>5822209</v>
      </c>
      <c r="C124">
        <f>[1]RealGDP!$BB160</f>
        <v>7163269747.9907646</v>
      </c>
      <c r="D124" s="10">
        <f>[1]GDPcap!$BB160</f>
        <v>1230.3353843860234</v>
      </c>
      <c r="F124" t="s">
        <v>429</v>
      </c>
      <c r="H124">
        <v>23.5</v>
      </c>
      <c r="I124">
        <v>24.2</v>
      </c>
      <c r="J124">
        <v>25.2</v>
      </c>
      <c r="K124">
        <v>26</v>
      </c>
      <c r="L124">
        <v>26.1</v>
      </c>
      <c r="M124">
        <v>25.3</v>
      </c>
      <c r="N124">
        <v>25.2</v>
      </c>
      <c r="O124">
        <v>25</v>
      </c>
      <c r="P124">
        <v>25</v>
      </c>
      <c r="Q124">
        <v>24.8</v>
      </c>
      <c r="R124">
        <v>24.1</v>
      </c>
      <c r="S124">
        <v>23.7</v>
      </c>
      <c r="T124">
        <v>25.7</v>
      </c>
      <c r="U124">
        <v>25.2</v>
      </c>
      <c r="V124">
        <v>24.6</v>
      </c>
      <c r="W124">
        <v>23</v>
      </c>
      <c r="X124">
        <v>24.8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f t="shared" si="67"/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f t="shared" si="68"/>
        <v>1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f t="shared" si="69"/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1</v>
      </c>
      <c r="CB124">
        <v>0</v>
      </c>
      <c r="CC124">
        <v>0</v>
      </c>
      <c r="CD124">
        <v>0</v>
      </c>
      <c r="CE124">
        <f t="shared" si="70"/>
        <v>1</v>
      </c>
      <c r="CG124">
        <f t="shared" si="64"/>
        <v>0</v>
      </c>
      <c r="CH124">
        <f t="shared" si="44"/>
        <v>0</v>
      </c>
      <c r="CI124">
        <f t="shared" si="45"/>
        <v>0</v>
      </c>
      <c r="CJ124">
        <f t="shared" si="46"/>
        <v>0</v>
      </c>
      <c r="CK124">
        <f t="shared" si="47"/>
        <v>0</v>
      </c>
      <c r="CL124">
        <f t="shared" si="48"/>
        <v>1</v>
      </c>
      <c r="CM124">
        <f t="shared" si="49"/>
        <v>0</v>
      </c>
      <c r="CN124">
        <f t="shared" si="50"/>
        <v>0</v>
      </c>
      <c r="CO124">
        <f t="shared" si="51"/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f t="shared" si="71"/>
        <v>1</v>
      </c>
      <c r="CW124">
        <f t="shared" si="72"/>
        <v>1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f t="shared" si="73"/>
        <v>0</v>
      </c>
      <c r="DF124">
        <v>1</v>
      </c>
      <c r="DG124">
        <f t="shared" si="74"/>
        <v>1</v>
      </c>
      <c r="DI124">
        <f t="shared" si="65"/>
        <v>0</v>
      </c>
      <c r="DJ124">
        <f t="shared" si="52"/>
        <v>0</v>
      </c>
      <c r="DK124">
        <f t="shared" si="53"/>
        <v>0</v>
      </c>
      <c r="DL124">
        <f t="shared" si="54"/>
        <v>0</v>
      </c>
      <c r="DM124">
        <f t="shared" si="55"/>
        <v>0</v>
      </c>
      <c r="DN124">
        <f t="shared" si="56"/>
        <v>0</v>
      </c>
      <c r="DO124">
        <f t="shared" si="57"/>
        <v>0</v>
      </c>
      <c r="DP124">
        <f t="shared" si="58"/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f t="shared" si="75"/>
        <v>1</v>
      </c>
      <c r="DX124">
        <f t="shared" si="76"/>
        <v>1</v>
      </c>
      <c r="DZ124">
        <f t="shared" si="66"/>
        <v>0</v>
      </c>
      <c r="EA124">
        <f t="shared" si="59"/>
        <v>0</v>
      </c>
      <c r="EB124">
        <f t="shared" si="60"/>
        <v>0</v>
      </c>
      <c r="EC124">
        <f t="shared" si="61"/>
        <v>0</v>
      </c>
      <c r="ED124">
        <f t="shared" si="62"/>
        <v>0</v>
      </c>
      <c r="EE124">
        <f t="shared" si="63"/>
        <v>1</v>
      </c>
    </row>
    <row r="125" spans="1:135" x14ac:dyDescent="0.35">
      <c r="A125" t="s">
        <v>430</v>
      </c>
      <c r="B125">
        <f>[1]Population!$BB161</f>
        <v>15893746</v>
      </c>
      <c r="C125">
        <f>[1]RealGDP!$BB161</f>
        <v>4381636014.6785507</v>
      </c>
      <c r="D125" s="10">
        <f>[1]GDPcap!$BB161</f>
        <v>275.68302744227515</v>
      </c>
      <c r="F125" t="s">
        <v>430</v>
      </c>
      <c r="H125">
        <v>18.8</v>
      </c>
      <c r="I125">
        <v>21.7</v>
      </c>
      <c r="J125">
        <v>25.8</v>
      </c>
      <c r="K125">
        <v>30.1</v>
      </c>
      <c r="L125">
        <v>32.6</v>
      </c>
      <c r="M125">
        <v>32.799999999999997</v>
      </c>
      <c r="N125">
        <v>31.2</v>
      </c>
      <c r="O125">
        <v>30.4</v>
      </c>
      <c r="P125">
        <v>30.3</v>
      </c>
      <c r="Q125">
        <v>28.3</v>
      </c>
      <c r="R125">
        <v>23.5</v>
      </c>
      <c r="S125">
        <v>19.8</v>
      </c>
      <c r="T125">
        <v>29.5</v>
      </c>
      <c r="U125">
        <v>31.5</v>
      </c>
      <c r="V125">
        <v>27.4</v>
      </c>
      <c r="W125">
        <v>19.5</v>
      </c>
      <c r="X125">
        <v>27.1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67"/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f t="shared" si="68"/>
        <v>1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</v>
      </c>
      <c r="BS125">
        <v>0</v>
      </c>
      <c r="BT125">
        <f t="shared" si="69"/>
        <v>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1</v>
      </c>
      <c r="CE125">
        <f t="shared" si="70"/>
        <v>1</v>
      </c>
      <c r="CG125">
        <f t="shared" si="64"/>
        <v>0</v>
      </c>
      <c r="CH125">
        <f t="shared" si="44"/>
        <v>0</v>
      </c>
      <c r="CI125">
        <f t="shared" si="45"/>
        <v>0</v>
      </c>
      <c r="CJ125">
        <f t="shared" si="46"/>
        <v>0</v>
      </c>
      <c r="CK125">
        <f t="shared" si="47"/>
        <v>0</v>
      </c>
      <c r="CL125">
        <f t="shared" si="48"/>
        <v>0</v>
      </c>
      <c r="CM125">
        <f t="shared" si="49"/>
        <v>0</v>
      </c>
      <c r="CN125">
        <f t="shared" si="50"/>
        <v>0</v>
      </c>
      <c r="CO125">
        <f t="shared" si="51"/>
        <v>1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f t="shared" si="71"/>
        <v>1</v>
      </c>
      <c r="CW125">
        <f t="shared" si="72"/>
        <v>1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f t="shared" si="73"/>
        <v>1</v>
      </c>
      <c r="DF125">
        <v>0</v>
      </c>
      <c r="DG125">
        <f t="shared" si="74"/>
        <v>1</v>
      </c>
      <c r="DI125">
        <f t="shared" si="65"/>
        <v>0</v>
      </c>
      <c r="DJ125">
        <f t="shared" si="52"/>
        <v>0</v>
      </c>
      <c r="DK125">
        <f t="shared" si="53"/>
        <v>0</v>
      </c>
      <c r="DL125">
        <f t="shared" si="54"/>
        <v>0</v>
      </c>
      <c r="DM125">
        <f t="shared" si="55"/>
        <v>0</v>
      </c>
      <c r="DN125">
        <f t="shared" si="56"/>
        <v>0</v>
      </c>
      <c r="DO125">
        <f t="shared" si="57"/>
        <v>1</v>
      </c>
      <c r="DP125">
        <f t="shared" si="58"/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f t="shared" si="75"/>
        <v>1</v>
      </c>
      <c r="DX125">
        <f t="shared" si="76"/>
        <v>1</v>
      </c>
      <c r="DZ125">
        <f t="shared" si="66"/>
        <v>0</v>
      </c>
      <c r="EA125">
        <f t="shared" si="59"/>
        <v>0</v>
      </c>
      <c r="EB125">
        <f t="shared" si="60"/>
        <v>0</v>
      </c>
      <c r="EC125">
        <f t="shared" si="61"/>
        <v>0</v>
      </c>
      <c r="ED125">
        <f t="shared" si="62"/>
        <v>0</v>
      </c>
      <c r="EE125">
        <f t="shared" si="63"/>
        <v>1</v>
      </c>
    </row>
    <row r="126" spans="1:135" x14ac:dyDescent="0.35">
      <c r="A126" t="s">
        <v>198</v>
      </c>
      <c r="B126">
        <f>[1]Population!$BB162</f>
        <v>159707780</v>
      </c>
      <c r="C126">
        <f>[1]RealGDP!$BB162</f>
        <v>159017874554.81158</v>
      </c>
      <c r="D126" s="10">
        <f>[1]GDPcap!$BB162</f>
        <v>995.6802013953959</v>
      </c>
      <c r="F126" t="s">
        <v>198</v>
      </c>
      <c r="H126">
        <v>24.5</v>
      </c>
      <c r="I126">
        <v>26.9</v>
      </c>
      <c r="J126">
        <v>29.1</v>
      </c>
      <c r="K126">
        <v>29.8</v>
      </c>
      <c r="L126">
        <v>28.9</v>
      </c>
      <c r="M126">
        <v>27.4</v>
      </c>
      <c r="N126">
        <v>25.9</v>
      </c>
      <c r="O126">
        <v>25.4</v>
      </c>
      <c r="P126">
        <v>26</v>
      </c>
      <c r="Q126">
        <v>26.8</v>
      </c>
      <c r="R126">
        <v>25.9</v>
      </c>
      <c r="S126">
        <v>24.6</v>
      </c>
      <c r="T126">
        <v>29.3</v>
      </c>
      <c r="U126">
        <v>26.2</v>
      </c>
      <c r="V126">
        <v>26.2</v>
      </c>
      <c r="W126">
        <v>24.5</v>
      </c>
      <c r="X126">
        <v>26.8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67"/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f t="shared" si="68"/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1</v>
      </c>
      <c r="BS126">
        <v>0</v>
      </c>
      <c r="BT126">
        <f t="shared" si="69"/>
        <v>1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1</v>
      </c>
      <c r="CE126">
        <f t="shared" si="70"/>
        <v>1</v>
      </c>
      <c r="CG126">
        <f t="shared" si="64"/>
        <v>0</v>
      </c>
      <c r="CH126">
        <f t="shared" si="44"/>
        <v>0</v>
      </c>
      <c r="CI126">
        <f t="shared" si="45"/>
        <v>0</v>
      </c>
      <c r="CJ126">
        <f t="shared" si="46"/>
        <v>0</v>
      </c>
      <c r="CK126">
        <f t="shared" si="47"/>
        <v>0</v>
      </c>
      <c r="CL126">
        <f t="shared" si="48"/>
        <v>0</v>
      </c>
      <c r="CM126">
        <f t="shared" si="49"/>
        <v>0</v>
      </c>
      <c r="CN126">
        <f t="shared" si="50"/>
        <v>0</v>
      </c>
      <c r="CO126">
        <f t="shared" si="51"/>
        <v>1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f t="shared" si="71"/>
        <v>1</v>
      </c>
      <c r="CW126">
        <f t="shared" si="72"/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f t="shared" si="73"/>
        <v>1</v>
      </c>
      <c r="DF126">
        <v>0</v>
      </c>
      <c r="DG126">
        <f t="shared" si="74"/>
        <v>1</v>
      </c>
      <c r="DI126">
        <f t="shared" si="65"/>
        <v>0</v>
      </c>
      <c r="DJ126">
        <f t="shared" si="52"/>
        <v>0</v>
      </c>
      <c r="DK126">
        <f t="shared" si="53"/>
        <v>0</v>
      </c>
      <c r="DL126">
        <f t="shared" si="54"/>
        <v>0</v>
      </c>
      <c r="DM126">
        <f t="shared" si="55"/>
        <v>0</v>
      </c>
      <c r="DN126">
        <f t="shared" si="56"/>
        <v>0</v>
      </c>
      <c r="DO126">
        <f t="shared" si="57"/>
        <v>1</v>
      </c>
      <c r="DP126">
        <f t="shared" si="58"/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f t="shared" si="75"/>
        <v>1</v>
      </c>
      <c r="DX126">
        <f t="shared" si="76"/>
        <v>1</v>
      </c>
      <c r="DZ126">
        <f t="shared" si="66"/>
        <v>0</v>
      </c>
      <c r="EA126">
        <f t="shared" si="59"/>
        <v>0</v>
      </c>
      <c r="EB126">
        <f t="shared" si="60"/>
        <v>0</v>
      </c>
      <c r="EC126">
        <f t="shared" si="61"/>
        <v>0</v>
      </c>
      <c r="ED126">
        <f t="shared" si="62"/>
        <v>0</v>
      </c>
      <c r="EE126">
        <f t="shared" si="63"/>
        <v>1</v>
      </c>
    </row>
    <row r="127" spans="1:135" x14ac:dyDescent="0.35">
      <c r="A127" t="s">
        <v>199</v>
      </c>
      <c r="B127">
        <f>[1]Population!$BB167</f>
        <v>4889252</v>
      </c>
      <c r="C127">
        <f>[1]RealGDP!$BB167</f>
        <v>315796662786.18549</v>
      </c>
      <c r="D127" s="10">
        <f>[1]GDPcap!$BB167</f>
        <v>64589.974659965468</v>
      </c>
      <c r="F127" t="s">
        <v>199</v>
      </c>
      <c r="H127">
        <v>-7.8</v>
      </c>
      <c r="I127">
        <v>-7.4</v>
      </c>
      <c r="J127">
        <v>-4.5</v>
      </c>
      <c r="K127">
        <v>-0.5</v>
      </c>
      <c r="L127">
        <v>5.2</v>
      </c>
      <c r="M127">
        <v>9.6999999999999993</v>
      </c>
      <c r="N127">
        <v>11.7</v>
      </c>
      <c r="O127">
        <v>10.8</v>
      </c>
      <c r="P127">
        <v>6.9</v>
      </c>
      <c r="Q127">
        <v>2.2999999999999998</v>
      </c>
      <c r="R127">
        <v>-2.7</v>
      </c>
      <c r="S127">
        <v>-5.8</v>
      </c>
      <c r="T127">
        <v>0.1</v>
      </c>
      <c r="U127">
        <v>10.7</v>
      </c>
      <c r="V127">
        <v>2.2000000000000002</v>
      </c>
      <c r="W127">
        <v>-6.9</v>
      </c>
      <c r="X127">
        <v>1.5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f t="shared" si="67"/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f t="shared" si="68"/>
        <v>1</v>
      </c>
      <c r="BG127">
        <v>0</v>
      </c>
      <c r="BH127">
        <v>0</v>
      </c>
      <c r="BI127">
        <v>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f t="shared" si="69"/>
        <v>1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f t="shared" si="70"/>
        <v>1</v>
      </c>
      <c r="CG127">
        <f t="shared" si="64"/>
        <v>0</v>
      </c>
      <c r="CH127">
        <f t="shared" si="44"/>
        <v>1</v>
      </c>
      <c r="CI127">
        <f t="shared" si="45"/>
        <v>0</v>
      </c>
      <c r="CJ127">
        <f t="shared" si="46"/>
        <v>0</v>
      </c>
      <c r="CK127">
        <f t="shared" si="47"/>
        <v>0</v>
      </c>
      <c r="CL127">
        <f t="shared" si="48"/>
        <v>0</v>
      </c>
      <c r="CM127">
        <f t="shared" si="49"/>
        <v>0</v>
      </c>
      <c r="CN127">
        <f t="shared" si="50"/>
        <v>0</v>
      </c>
      <c r="CO127">
        <f t="shared" si="51"/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f t="shared" si="71"/>
        <v>1</v>
      </c>
      <c r="CW127">
        <f t="shared" si="72"/>
        <v>1</v>
      </c>
      <c r="CY127">
        <v>0</v>
      </c>
      <c r="CZ127">
        <v>0</v>
      </c>
      <c r="DA127">
        <v>1</v>
      </c>
      <c r="DB127">
        <v>0</v>
      </c>
      <c r="DC127">
        <v>0</v>
      </c>
      <c r="DD127">
        <v>0</v>
      </c>
      <c r="DE127">
        <f t="shared" si="73"/>
        <v>0</v>
      </c>
      <c r="DF127">
        <v>0</v>
      </c>
      <c r="DG127">
        <f t="shared" si="74"/>
        <v>1</v>
      </c>
      <c r="DI127">
        <f t="shared" si="65"/>
        <v>0</v>
      </c>
      <c r="DJ127">
        <f t="shared" si="52"/>
        <v>0</v>
      </c>
      <c r="DK127">
        <f t="shared" si="53"/>
        <v>1</v>
      </c>
      <c r="DL127">
        <f t="shared" si="54"/>
        <v>0</v>
      </c>
      <c r="DM127">
        <f t="shared" si="55"/>
        <v>0</v>
      </c>
      <c r="DN127">
        <f t="shared" si="56"/>
        <v>0</v>
      </c>
      <c r="DO127">
        <f t="shared" si="57"/>
        <v>0</v>
      </c>
      <c r="DP127">
        <f t="shared" si="58"/>
        <v>0</v>
      </c>
      <c r="DR127">
        <v>0</v>
      </c>
      <c r="DS127">
        <v>0</v>
      </c>
      <c r="DT127">
        <v>1</v>
      </c>
      <c r="DU127">
        <v>0</v>
      </c>
      <c r="DV127">
        <v>0</v>
      </c>
      <c r="DW127">
        <f t="shared" si="75"/>
        <v>0</v>
      </c>
      <c r="DX127">
        <f t="shared" si="76"/>
        <v>1</v>
      </c>
      <c r="DZ127">
        <f t="shared" si="66"/>
        <v>0</v>
      </c>
      <c r="EA127">
        <f t="shared" si="59"/>
        <v>0</v>
      </c>
      <c r="EB127">
        <f t="shared" si="60"/>
        <v>1</v>
      </c>
      <c r="EC127">
        <f t="shared" si="61"/>
        <v>0</v>
      </c>
      <c r="ED127">
        <f t="shared" si="62"/>
        <v>0</v>
      </c>
      <c r="EE127">
        <f t="shared" si="63"/>
        <v>0</v>
      </c>
    </row>
    <row r="128" spans="1:135" x14ac:dyDescent="0.35">
      <c r="A128" t="s">
        <v>431</v>
      </c>
      <c r="B128">
        <f>[1]Population!$BB168</f>
        <v>2802768</v>
      </c>
      <c r="C128">
        <f>[1]RealGDP!$BB168</f>
        <v>41935096066.201286</v>
      </c>
      <c r="D128" s="10">
        <f>[1]GDPcap!$BB168</f>
        <v>14962.028989271066</v>
      </c>
      <c r="F128" t="s">
        <v>431</v>
      </c>
      <c r="H128">
        <v>20</v>
      </c>
      <c r="I128">
        <v>20.9</v>
      </c>
      <c r="J128">
        <v>23.6</v>
      </c>
      <c r="K128">
        <v>26.9</v>
      </c>
      <c r="L128">
        <v>29.6</v>
      </c>
      <c r="M128">
        <v>30.1</v>
      </c>
      <c r="N128">
        <v>28.8</v>
      </c>
      <c r="O128">
        <v>27.8</v>
      </c>
      <c r="P128">
        <v>27.5</v>
      </c>
      <c r="Q128">
        <v>26.4</v>
      </c>
      <c r="R128">
        <v>24</v>
      </c>
      <c r="S128">
        <v>21.4</v>
      </c>
      <c r="T128">
        <v>26.7</v>
      </c>
      <c r="U128">
        <v>28.9</v>
      </c>
      <c r="V128">
        <v>26</v>
      </c>
      <c r="W128">
        <v>20.100000000000001</v>
      </c>
      <c r="X128">
        <v>25.6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f t="shared" ref="AO128:AO177" si="77">SUM(Z128:AN128)</f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f t="shared" si="68"/>
        <v>1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1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f t="shared" si="69"/>
        <v>1</v>
      </c>
      <c r="BV128">
        <v>0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0</v>
      </c>
      <c r="CE128">
        <f t="shared" si="70"/>
        <v>1</v>
      </c>
      <c r="CG128">
        <f t="shared" si="64"/>
        <v>0</v>
      </c>
      <c r="CH128">
        <f t="shared" si="44"/>
        <v>0</v>
      </c>
      <c r="CI128">
        <f t="shared" si="45"/>
        <v>0</v>
      </c>
      <c r="CJ128">
        <f t="shared" si="46"/>
        <v>0</v>
      </c>
      <c r="CK128">
        <f t="shared" si="47"/>
        <v>1</v>
      </c>
      <c r="CL128">
        <f t="shared" si="48"/>
        <v>0</v>
      </c>
      <c r="CM128">
        <f t="shared" si="49"/>
        <v>0</v>
      </c>
      <c r="CN128">
        <f t="shared" si="50"/>
        <v>0</v>
      </c>
      <c r="CO128">
        <f t="shared" si="51"/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f t="shared" si="71"/>
        <v>1</v>
      </c>
      <c r="CW128">
        <f t="shared" si="72"/>
        <v>1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f t="shared" si="73"/>
        <v>1</v>
      </c>
      <c r="DF128">
        <v>0</v>
      </c>
      <c r="DG128">
        <f t="shared" si="74"/>
        <v>1</v>
      </c>
      <c r="DI128">
        <f t="shared" si="65"/>
        <v>0</v>
      </c>
      <c r="DJ128">
        <f t="shared" si="52"/>
        <v>0</v>
      </c>
      <c r="DK128">
        <f t="shared" si="53"/>
        <v>0</v>
      </c>
      <c r="DL128">
        <f t="shared" si="54"/>
        <v>0</v>
      </c>
      <c r="DM128">
        <f t="shared" si="55"/>
        <v>0</v>
      </c>
      <c r="DN128">
        <f t="shared" si="56"/>
        <v>0</v>
      </c>
      <c r="DO128">
        <f t="shared" si="57"/>
        <v>1</v>
      </c>
      <c r="DP128">
        <f t="shared" si="58"/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f t="shared" si="75"/>
        <v>1</v>
      </c>
      <c r="DX128">
        <f t="shared" si="76"/>
        <v>1</v>
      </c>
      <c r="DZ128">
        <f t="shared" si="66"/>
        <v>0</v>
      </c>
      <c r="EA128">
        <f t="shared" si="59"/>
        <v>0</v>
      </c>
      <c r="EB128">
        <f t="shared" si="60"/>
        <v>0</v>
      </c>
      <c r="EC128">
        <f t="shared" si="61"/>
        <v>0</v>
      </c>
      <c r="ED128">
        <f t="shared" si="62"/>
        <v>0</v>
      </c>
      <c r="EE128">
        <f t="shared" si="63"/>
        <v>1</v>
      </c>
    </row>
    <row r="129" spans="1:135" x14ac:dyDescent="0.35">
      <c r="A129" t="s">
        <v>200</v>
      </c>
      <c r="B129">
        <f>[1]Population!$BB169</f>
        <v>173149306</v>
      </c>
      <c r="C129">
        <f>[1]RealGDP!$BB169</f>
        <v>129517496849.86209</v>
      </c>
      <c r="D129" s="10">
        <f>[1]GDPcap!$BB169</f>
        <v>748.01048783794772</v>
      </c>
      <c r="F129" t="s">
        <v>200</v>
      </c>
      <c r="H129">
        <v>8.9</v>
      </c>
      <c r="I129">
        <v>11.1</v>
      </c>
      <c r="J129">
        <v>16.3</v>
      </c>
      <c r="K129">
        <v>21.9</v>
      </c>
      <c r="L129">
        <v>26.1</v>
      </c>
      <c r="M129">
        <v>29.1</v>
      </c>
      <c r="N129">
        <v>28.7</v>
      </c>
      <c r="O129">
        <v>27.6</v>
      </c>
      <c r="P129">
        <v>25.4</v>
      </c>
      <c r="Q129">
        <v>21.1</v>
      </c>
      <c r="R129">
        <v>15.5</v>
      </c>
      <c r="S129">
        <v>10.6</v>
      </c>
      <c r="T129">
        <v>21.4</v>
      </c>
      <c r="U129">
        <v>28.5</v>
      </c>
      <c r="V129">
        <v>20.7</v>
      </c>
      <c r="W129">
        <v>9.9</v>
      </c>
      <c r="X129">
        <v>20.2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77"/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f t="shared" si="68"/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f t="shared" si="69"/>
        <v>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1</v>
      </c>
      <c r="CC129">
        <v>0</v>
      </c>
      <c r="CD129">
        <v>0</v>
      </c>
      <c r="CE129">
        <f t="shared" si="70"/>
        <v>1</v>
      </c>
      <c r="CG129">
        <f t="shared" si="64"/>
        <v>0</v>
      </c>
      <c r="CH129">
        <f t="shared" si="44"/>
        <v>0</v>
      </c>
      <c r="CI129">
        <f t="shared" si="45"/>
        <v>0</v>
      </c>
      <c r="CJ129">
        <f t="shared" si="46"/>
        <v>0</v>
      </c>
      <c r="CK129">
        <f t="shared" si="47"/>
        <v>0</v>
      </c>
      <c r="CL129">
        <f t="shared" si="48"/>
        <v>0</v>
      </c>
      <c r="CM129">
        <f t="shared" si="49"/>
        <v>1</v>
      </c>
      <c r="CN129">
        <f t="shared" si="50"/>
        <v>0</v>
      </c>
      <c r="CO129">
        <f t="shared" si="51"/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f t="shared" si="71"/>
        <v>1</v>
      </c>
      <c r="CW129">
        <f t="shared" si="72"/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1</v>
      </c>
      <c r="DE129">
        <f t="shared" si="73"/>
        <v>0</v>
      </c>
      <c r="DF129">
        <v>0</v>
      </c>
      <c r="DG129">
        <f t="shared" si="74"/>
        <v>1</v>
      </c>
      <c r="DI129">
        <f t="shared" si="65"/>
        <v>0</v>
      </c>
      <c r="DJ129">
        <f t="shared" si="52"/>
        <v>0</v>
      </c>
      <c r="DK129">
        <f t="shared" si="53"/>
        <v>0</v>
      </c>
      <c r="DL129">
        <f t="shared" si="54"/>
        <v>0</v>
      </c>
      <c r="DM129">
        <f t="shared" si="55"/>
        <v>0</v>
      </c>
      <c r="DN129">
        <f t="shared" si="56"/>
        <v>1</v>
      </c>
      <c r="DO129">
        <f t="shared" si="57"/>
        <v>0</v>
      </c>
      <c r="DP129">
        <f t="shared" si="58"/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f t="shared" si="75"/>
        <v>1</v>
      </c>
      <c r="DX129">
        <f t="shared" si="76"/>
        <v>1</v>
      </c>
      <c r="DZ129">
        <f t="shared" si="66"/>
        <v>0</v>
      </c>
      <c r="EA129">
        <f t="shared" si="59"/>
        <v>0</v>
      </c>
      <c r="EB129">
        <f t="shared" si="60"/>
        <v>0</v>
      </c>
      <c r="EC129">
        <f t="shared" si="61"/>
        <v>0</v>
      </c>
      <c r="ED129">
        <f t="shared" si="62"/>
        <v>0</v>
      </c>
      <c r="EE129">
        <f t="shared" si="63"/>
        <v>1</v>
      </c>
    </row>
    <row r="130" spans="1:135" x14ac:dyDescent="0.35">
      <c r="A130" t="s">
        <v>432</v>
      </c>
      <c r="B130">
        <f>[1]Population!$BB170</f>
        <v>20470</v>
      </c>
      <c r="C130">
        <f>[1]RealGDP!$BB170</f>
        <v>180183623.83524305</v>
      </c>
      <c r="D130" s="10">
        <f>[1]GDPcap!$BB170</f>
        <v>8802.3265185756245</v>
      </c>
      <c r="F130" t="s">
        <v>432</v>
      </c>
      <c r="G130" t="s">
        <v>475</v>
      </c>
      <c r="H130">
        <v>27.3</v>
      </c>
      <c r="I130">
        <v>27.2</v>
      </c>
      <c r="J130">
        <v>27.3</v>
      </c>
      <c r="K130">
        <v>27.9</v>
      </c>
      <c r="L130">
        <v>27.9</v>
      </c>
      <c r="M130">
        <v>27.6</v>
      </c>
      <c r="N130">
        <v>27.3</v>
      </c>
      <c r="O130">
        <v>27.5</v>
      </c>
      <c r="P130">
        <v>27.7</v>
      </c>
      <c r="Q130">
        <v>27.7</v>
      </c>
      <c r="R130">
        <v>27.9</v>
      </c>
      <c r="S130">
        <v>27.6</v>
      </c>
      <c r="T130">
        <v>27.7</v>
      </c>
      <c r="U130">
        <v>27.5</v>
      </c>
      <c r="V130">
        <v>27.8</v>
      </c>
      <c r="W130">
        <v>26.4</v>
      </c>
      <c r="X130">
        <v>27.6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f t="shared" si="77"/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f t="shared" si="68"/>
        <v>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f t="shared" si="69"/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f t="shared" si="70"/>
        <v>1</v>
      </c>
      <c r="CG130">
        <f t="shared" si="64"/>
        <v>0</v>
      </c>
      <c r="CH130">
        <f t="shared" si="44"/>
        <v>0</v>
      </c>
      <c r="CI130">
        <f t="shared" si="45"/>
        <v>0</v>
      </c>
      <c r="CJ130">
        <f t="shared" si="46"/>
        <v>0</v>
      </c>
      <c r="CK130">
        <f t="shared" si="47"/>
        <v>0</v>
      </c>
      <c r="CL130">
        <f t="shared" si="48"/>
        <v>0</v>
      </c>
      <c r="CM130">
        <f t="shared" si="49"/>
        <v>1</v>
      </c>
      <c r="CN130">
        <f t="shared" si="50"/>
        <v>0</v>
      </c>
      <c r="CO130">
        <f t="shared" si="51"/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f t="shared" si="71"/>
        <v>1</v>
      </c>
      <c r="CW130">
        <f t="shared" si="72"/>
        <v>1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f t="shared" si="73"/>
        <v>0</v>
      </c>
      <c r="DF130">
        <v>0</v>
      </c>
      <c r="DG130">
        <f t="shared" si="74"/>
        <v>1</v>
      </c>
      <c r="DI130">
        <f t="shared" si="65"/>
        <v>0</v>
      </c>
      <c r="DJ130">
        <f t="shared" si="52"/>
        <v>0</v>
      </c>
      <c r="DK130">
        <f t="shared" si="53"/>
        <v>0</v>
      </c>
      <c r="DL130">
        <f t="shared" si="54"/>
        <v>0</v>
      </c>
      <c r="DM130">
        <f t="shared" si="55"/>
        <v>0</v>
      </c>
      <c r="DN130">
        <f t="shared" si="56"/>
        <v>1</v>
      </c>
      <c r="DO130">
        <f t="shared" si="57"/>
        <v>0</v>
      </c>
      <c r="DP130">
        <f t="shared" si="58"/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f t="shared" si="75"/>
        <v>1</v>
      </c>
      <c r="DX130">
        <f t="shared" si="76"/>
        <v>1</v>
      </c>
      <c r="DZ130">
        <f t="shared" si="66"/>
        <v>0</v>
      </c>
      <c r="EA130">
        <f t="shared" si="59"/>
        <v>0</v>
      </c>
      <c r="EB130">
        <f t="shared" si="60"/>
        <v>0</v>
      </c>
      <c r="EC130">
        <f t="shared" si="61"/>
        <v>0</v>
      </c>
      <c r="ED130">
        <f t="shared" si="62"/>
        <v>0</v>
      </c>
      <c r="EE130">
        <f t="shared" si="63"/>
        <v>1</v>
      </c>
    </row>
    <row r="131" spans="1:135" x14ac:dyDescent="0.35">
      <c r="A131" t="s">
        <v>433</v>
      </c>
      <c r="B131">
        <f>[1]Population!$BB171</f>
        <v>3811102</v>
      </c>
      <c r="C131">
        <f>[1]RealGDP!$BB171</f>
        <v>4836140076.078743</v>
      </c>
      <c r="D131" s="10">
        <f>[1]GDPcap!$BB171</f>
        <v>1268.9610711229307</v>
      </c>
      <c r="F131" t="s">
        <v>182</v>
      </c>
      <c r="H131">
        <v>11.3</v>
      </c>
      <c r="I131">
        <v>12.2</v>
      </c>
      <c r="J131">
        <v>14.3</v>
      </c>
      <c r="K131">
        <v>18</v>
      </c>
      <c r="L131">
        <v>21.2</v>
      </c>
      <c r="M131">
        <v>24.2</v>
      </c>
      <c r="N131">
        <v>26</v>
      </c>
      <c r="O131">
        <v>26.3</v>
      </c>
      <c r="P131">
        <v>24.7</v>
      </c>
      <c r="Q131">
        <v>21.8</v>
      </c>
      <c r="R131">
        <v>17.2</v>
      </c>
      <c r="S131">
        <v>12.9</v>
      </c>
      <c r="T131">
        <v>17.8</v>
      </c>
      <c r="U131">
        <v>25.5</v>
      </c>
      <c r="V131">
        <v>21.2</v>
      </c>
      <c r="W131">
        <v>11.7</v>
      </c>
      <c r="X131">
        <v>19.2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f t="shared" si="77"/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f t="shared" si="68"/>
        <v>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f t="shared" si="69"/>
        <v>1</v>
      </c>
      <c r="BV131">
        <v>0</v>
      </c>
      <c r="BW131">
        <v>0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f t="shared" si="70"/>
        <v>1</v>
      </c>
      <c r="CG131">
        <f t="shared" si="64"/>
        <v>0</v>
      </c>
      <c r="CH131">
        <f t="shared" ref="CH131:CH190" si="78">BW131</f>
        <v>0</v>
      </c>
      <c r="CI131">
        <f t="shared" ref="CI131:CI190" si="79">BX131</f>
        <v>0</v>
      </c>
      <c r="CJ131">
        <f t="shared" ref="CJ131:CJ190" si="80">BY131</f>
        <v>0</v>
      </c>
      <c r="CK131">
        <f t="shared" ref="CK131:CK190" si="81">BZ131</f>
        <v>1</v>
      </c>
      <c r="CL131">
        <f t="shared" ref="CL131:CL190" si="82">CA131</f>
        <v>0</v>
      </c>
      <c r="CM131">
        <f t="shared" ref="CM131:CM190" si="83">CB131</f>
        <v>0</v>
      </c>
      <c r="CN131">
        <f t="shared" ref="CN131:CN190" si="84">CC131</f>
        <v>0</v>
      </c>
      <c r="CO131">
        <f t="shared" ref="CO131:CO190" si="85">CD131</f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f t="shared" si="71"/>
        <v>1</v>
      </c>
      <c r="CW131">
        <f t="shared" si="72"/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f t="shared" si="73"/>
        <v>1</v>
      </c>
      <c r="DF131">
        <v>0</v>
      </c>
      <c r="DG131">
        <f t="shared" si="74"/>
        <v>1</v>
      </c>
      <c r="DI131">
        <f t="shared" si="65"/>
        <v>0</v>
      </c>
      <c r="DJ131">
        <f t="shared" ref="DJ131:DJ190" si="86">CZ131</f>
        <v>0</v>
      </c>
      <c r="DK131">
        <f t="shared" ref="DK131:DK190" si="87">DA131</f>
        <v>0</v>
      </c>
      <c r="DL131">
        <f t="shared" ref="DL131:DL190" si="88">DB131</f>
        <v>0</v>
      </c>
      <c r="DM131">
        <f t="shared" ref="DM131:DM190" si="89">DC131</f>
        <v>0</v>
      </c>
      <c r="DN131">
        <f t="shared" ref="DN131:DN190" si="90">DD131</f>
        <v>0</v>
      </c>
      <c r="DO131">
        <f t="shared" ref="DO131:DO190" si="91">DE131</f>
        <v>1</v>
      </c>
      <c r="DP131">
        <f t="shared" ref="DP131:DP190" si="92">DF131</f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f t="shared" si="75"/>
        <v>1</v>
      </c>
      <c r="DX131">
        <f t="shared" si="76"/>
        <v>1</v>
      </c>
      <c r="DZ131">
        <f t="shared" si="66"/>
        <v>0</v>
      </c>
      <c r="EA131">
        <f t="shared" ref="EA131:EA190" si="93">DS131</f>
        <v>0</v>
      </c>
      <c r="EB131">
        <f t="shared" ref="EB131:EB190" si="94">DT131</f>
        <v>0</v>
      </c>
      <c r="EC131">
        <f t="shared" ref="EC131:EC190" si="95">DU131</f>
        <v>0</v>
      </c>
      <c r="ED131">
        <f t="shared" ref="ED131:ED190" si="96">DV131</f>
        <v>0</v>
      </c>
      <c r="EE131">
        <f t="shared" ref="EE131:EE190" si="97">DW131</f>
        <v>1</v>
      </c>
    </row>
    <row r="132" spans="1:135" x14ac:dyDescent="0.35">
      <c r="A132" t="s">
        <v>201</v>
      </c>
      <c r="B132">
        <f>[1]Population!$BB172</f>
        <v>3678128</v>
      </c>
      <c r="C132">
        <f>[1]RealGDP!$BB172</f>
        <v>22603329668.360188</v>
      </c>
      <c r="D132" s="10">
        <f>[1]GDPcap!$BB172</f>
        <v>6145.3352543359524</v>
      </c>
      <c r="F132" t="s">
        <v>201</v>
      </c>
      <c r="H132">
        <v>25</v>
      </c>
      <c r="I132">
        <v>25.4</v>
      </c>
      <c r="J132">
        <v>26.2</v>
      </c>
      <c r="K132">
        <v>26.4</v>
      </c>
      <c r="L132">
        <v>26.1</v>
      </c>
      <c r="M132">
        <v>25.4</v>
      </c>
      <c r="N132">
        <v>25.7</v>
      </c>
      <c r="O132">
        <v>25.3</v>
      </c>
      <c r="P132">
        <v>25</v>
      </c>
      <c r="Q132">
        <v>24.9</v>
      </c>
      <c r="R132">
        <v>24.6</v>
      </c>
      <c r="S132">
        <v>24.6</v>
      </c>
      <c r="T132">
        <v>26.3</v>
      </c>
      <c r="U132">
        <v>25.5</v>
      </c>
      <c r="V132">
        <v>24.8</v>
      </c>
      <c r="W132">
        <v>24.1</v>
      </c>
      <c r="X132">
        <v>25.4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f t="shared" si="77"/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f t="shared" si="68"/>
        <v>1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1</v>
      </c>
      <c r="BR132">
        <v>0</v>
      </c>
      <c r="BS132">
        <v>0</v>
      </c>
      <c r="BT132">
        <f t="shared" si="69"/>
        <v>1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1</v>
      </c>
      <c r="CB132">
        <v>0</v>
      </c>
      <c r="CC132">
        <v>0</v>
      </c>
      <c r="CD132">
        <v>0</v>
      </c>
      <c r="CE132">
        <f t="shared" si="70"/>
        <v>1</v>
      </c>
      <c r="CG132">
        <f t="shared" ref="CG132:CG190" si="98">BV132</f>
        <v>0</v>
      </c>
      <c r="CH132">
        <f t="shared" si="78"/>
        <v>0</v>
      </c>
      <c r="CI132">
        <f t="shared" si="79"/>
        <v>0</v>
      </c>
      <c r="CJ132">
        <f t="shared" si="80"/>
        <v>0</v>
      </c>
      <c r="CK132">
        <f t="shared" si="81"/>
        <v>0</v>
      </c>
      <c r="CL132">
        <f t="shared" si="82"/>
        <v>1</v>
      </c>
      <c r="CM132">
        <f t="shared" si="83"/>
        <v>0</v>
      </c>
      <c r="CN132">
        <f t="shared" si="84"/>
        <v>0</v>
      </c>
      <c r="CO132">
        <f t="shared" si="85"/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f t="shared" si="71"/>
        <v>1</v>
      </c>
      <c r="CW132">
        <f t="shared" si="72"/>
        <v>1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f t="shared" si="73"/>
        <v>0</v>
      </c>
      <c r="DF132">
        <v>1</v>
      </c>
      <c r="DG132">
        <f t="shared" si="74"/>
        <v>1</v>
      </c>
      <c r="DI132">
        <f t="shared" ref="DI132:DI190" si="99">CY132</f>
        <v>0</v>
      </c>
      <c r="DJ132">
        <f t="shared" si="86"/>
        <v>0</v>
      </c>
      <c r="DK132">
        <f t="shared" si="87"/>
        <v>0</v>
      </c>
      <c r="DL132">
        <f t="shared" si="88"/>
        <v>0</v>
      </c>
      <c r="DM132">
        <f t="shared" si="89"/>
        <v>0</v>
      </c>
      <c r="DN132">
        <f t="shared" si="90"/>
        <v>0</v>
      </c>
      <c r="DO132">
        <f t="shared" si="91"/>
        <v>0</v>
      </c>
      <c r="DP132">
        <f t="shared" si="92"/>
        <v>1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f t="shared" si="75"/>
        <v>1</v>
      </c>
      <c r="DX132">
        <f t="shared" si="76"/>
        <v>1</v>
      </c>
      <c r="DZ132">
        <f t="shared" ref="DZ132:DZ190" si="100">DR132</f>
        <v>0</v>
      </c>
      <c r="EA132">
        <f t="shared" si="93"/>
        <v>0</v>
      </c>
      <c r="EB132">
        <f t="shared" si="94"/>
        <v>0</v>
      </c>
      <c r="EC132">
        <f t="shared" si="95"/>
        <v>0</v>
      </c>
      <c r="ED132">
        <f t="shared" si="96"/>
        <v>0</v>
      </c>
      <c r="EE132">
        <f t="shared" si="97"/>
        <v>1</v>
      </c>
    </row>
    <row r="133" spans="1:135" x14ac:dyDescent="0.35">
      <c r="A133" t="s">
        <v>434</v>
      </c>
      <c r="B133">
        <f>[1]Population!$BB173</f>
        <v>6858945</v>
      </c>
      <c r="C133">
        <f>[1]RealGDP!$BB173</f>
        <v>6553203635.5810919</v>
      </c>
      <c r="D133" s="10">
        <f>[1]GDPcap!$BB173</f>
        <v>955.42443270518891</v>
      </c>
      <c r="F133" t="s">
        <v>561</v>
      </c>
      <c r="G133" t="s">
        <v>606</v>
      </c>
      <c r="H133">
        <v>25.6</v>
      </c>
      <c r="I133">
        <v>25.5</v>
      </c>
      <c r="J133">
        <v>25.5</v>
      </c>
      <c r="K133">
        <v>25.4</v>
      </c>
      <c r="L133">
        <v>25.2</v>
      </c>
      <c r="M133">
        <v>24.7</v>
      </c>
      <c r="N133">
        <v>24.4</v>
      </c>
      <c r="O133">
        <v>24.5</v>
      </c>
      <c r="P133">
        <v>24.9</v>
      </c>
      <c r="Q133">
        <v>25.5</v>
      </c>
      <c r="R133">
        <v>25.7</v>
      </c>
      <c r="S133">
        <v>25.7</v>
      </c>
      <c r="T133">
        <v>25.4</v>
      </c>
      <c r="U133">
        <v>24.5</v>
      </c>
      <c r="V133">
        <v>25.4</v>
      </c>
      <c r="W133">
        <v>24.8</v>
      </c>
      <c r="X133">
        <v>25.2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77"/>
        <v>1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</v>
      </c>
      <c r="BD133">
        <v>0</v>
      </c>
      <c r="BE133">
        <f t="shared" si="68"/>
        <v>1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f t="shared" si="69"/>
        <v>1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</v>
      </c>
      <c r="CC133">
        <v>0</v>
      </c>
      <c r="CD133">
        <v>0</v>
      </c>
      <c r="CE133">
        <f t="shared" si="70"/>
        <v>1</v>
      </c>
      <c r="CG133">
        <f t="shared" si="98"/>
        <v>0</v>
      </c>
      <c r="CH133">
        <f t="shared" si="78"/>
        <v>0</v>
      </c>
      <c r="CI133">
        <f t="shared" si="79"/>
        <v>0</v>
      </c>
      <c r="CJ133">
        <f t="shared" si="80"/>
        <v>0</v>
      </c>
      <c r="CK133">
        <f t="shared" si="81"/>
        <v>0</v>
      </c>
      <c r="CL133">
        <f t="shared" si="82"/>
        <v>0</v>
      </c>
      <c r="CM133">
        <f t="shared" si="83"/>
        <v>1</v>
      </c>
      <c r="CN133">
        <f t="shared" si="84"/>
        <v>0</v>
      </c>
      <c r="CO133">
        <f t="shared" si="85"/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f t="shared" si="71"/>
        <v>1</v>
      </c>
      <c r="CW133">
        <f t="shared" si="72"/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1</v>
      </c>
      <c r="DE133">
        <f t="shared" si="73"/>
        <v>0</v>
      </c>
      <c r="DF133">
        <v>0</v>
      </c>
      <c r="DG133">
        <f t="shared" si="74"/>
        <v>1</v>
      </c>
      <c r="DI133">
        <f t="shared" si="99"/>
        <v>0</v>
      </c>
      <c r="DJ133">
        <f t="shared" si="86"/>
        <v>0</v>
      </c>
      <c r="DK133">
        <f t="shared" si="87"/>
        <v>0</v>
      </c>
      <c r="DL133">
        <f t="shared" si="88"/>
        <v>0</v>
      </c>
      <c r="DM133">
        <f t="shared" si="89"/>
        <v>0</v>
      </c>
      <c r="DN133">
        <f t="shared" si="90"/>
        <v>1</v>
      </c>
      <c r="DO133">
        <f t="shared" si="91"/>
        <v>0</v>
      </c>
      <c r="DP133">
        <f t="shared" si="92"/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f t="shared" si="75"/>
        <v>1</v>
      </c>
      <c r="DX133">
        <f t="shared" si="76"/>
        <v>1</v>
      </c>
      <c r="DZ133">
        <f t="shared" si="100"/>
        <v>0</v>
      </c>
      <c r="EA133">
        <f t="shared" si="93"/>
        <v>0</v>
      </c>
      <c r="EB133">
        <f t="shared" si="94"/>
        <v>0</v>
      </c>
      <c r="EC133">
        <f t="shared" si="95"/>
        <v>0</v>
      </c>
      <c r="ED133">
        <f t="shared" si="96"/>
        <v>0</v>
      </c>
      <c r="EE133">
        <f t="shared" si="97"/>
        <v>1</v>
      </c>
    </row>
    <row r="134" spans="1:135" x14ac:dyDescent="0.35">
      <c r="A134" t="s">
        <v>202</v>
      </c>
      <c r="B134">
        <f>[1]Population!$BB174</f>
        <v>6459721</v>
      </c>
      <c r="C134">
        <f>[1]RealGDP!$BB174</f>
        <v>11148152913.231319</v>
      </c>
      <c r="D134" s="10">
        <f>[1]GDPcap!$BB174</f>
        <v>1725.7948003065951</v>
      </c>
      <c r="F134" t="s">
        <v>202</v>
      </c>
      <c r="H134">
        <v>27.6</v>
      </c>
      <c r="I134">
        <v>27</v>
      </c>
      <c r="J134">
        <v>25.9</v>
      </c>
      <c r="K134">
        <v>23.2</v>
      </c>
      <c r="L134">
        <v>20.5</v>
      </c>
      <c r="M134">
        <v>18.5</v>
      </c>
      <c r="N134">
        <v>18.7</v>
      </c>
      <c r="O134">
        <v>20.5</v>
      </c>
      <c r="P134">
        <v>22.4</v>
      </c>
      <c r="Q134">
        <v>24.7</v>
      </c>
      <c r="R134">
        <v>26.1</v>
      </c>
      <c r="S134">
        <v>27.2</v>
      </c>
      <c r="T134">
        <v>23.2</v>
      </c>
      <c r="U134">
        <v>19.2</v>
      </c>
      <c r="V134">
        <v>24.4</v>
      </c>
      <c r="W134">
        <v>26.4</v>
      </c>
      <c r="X134">
        <v>23.5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1</v>
      </c>
      <c r="AO134">
        <f t="shared" si="77"/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f t="shared" si="68"/>
        <v>1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f t="shared" si="69"/>
        <v>1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0</v>
      </c>
      <c r="CE134">
        <f t="shared" si="70"/>
        <v>1</v>
      </c>
      <c r="CG134">
        <f t="shared" si="98"/>
        <v>0</v>
      </c>
      <c r="CH134">
        <f t="shared" si="78"/>
        <v>0</v>
      </c>
      <c r="CI134">
        <f t="shared" si="79"/>
        <v>0</v>
      </c>
      <c r="CJ134">
        <f t="shared" si="80"/>
        <v>0</v>
      </c>
      <c r="CK134">
        <f t="shared" si="81"/>
        <v>0</v>
      </c>
      <c r="CL134">
        <f t="shared" si="82"/>
        <v>1</v>
      </c>
      <c r="CM134">
        <f t="shared" si="83"/>
        <v>0</v>
      </c>
      <c r="CN134">
        <f t="shared" si="84"/>
        <v>0</v>
      </c>
      <c r="CO134">
        <f t="shared" si="85"/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f t="shared" si="71"/>
        <v>1</v>
      </c>
      <c r="CW134">
        <f t="shared" si="72"/>
        <v>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f t="shared" si="73"/>
        <v>0</v>
      </c>
      <c r="DF134">
        <v>1</v>
      </c>
      <c r="DG134">
        <f t="shared" si="74"/>
        <v>1</v>
      </c>
      <c r="DI134">
        <f t="shared" si="99"/>
        <v>0</v>
      </c>
      <c r="DJ134">
        <f t="shared" si="86"/>
        <v>0</v>
      </c>
      <c r="DK134">
        <f t="shared" si="87"/>
        <v>0</v>
      </c>
      <c r="DL134">
        <f t="shared" si="88"/>
        <v>0</v>
      </c>
      <c r="DM134">
        <f t="shared" si="89"/>
        <v>0</v>
      </c>
      <c r="DN134">
        <f t="shared" si="90"/>
        <v>0</v>
      </c>
      <c r="DO134">
        <f t="shared" si="91"/>
        <v>0</v>
      </c>
      <c r="DP134">
        <f t="shared" si="92"/>
        <v>1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f t="shared" si="75"/>
        <v>1</v>
      </c>
      <c r="DX134">
        <f t="shared" si="76"/>
        <v>1</v>
      </c>
      <c r="DZ134">
        <f t="shared" si="100"/>
        <v>0</v>
      </c>
      <c r="EA134">
        <f t="shared" si="93"/>
        <v>0</v>
      </c>
      <c r="EB134">
        <f t="shared" si="94"/>
        <v>0</v>
      </c>
      <c r="EC134">
        <f t="shared" si="95"/>
        <v>0</v>
      </c>
      <c r="ED134">
        <f t="shared" si="96"/>
        <v>0</v>
      </c>
      <c r="EE134">
        <f t="shared" si="97"/>
        <v>1</v>
      </c>
    </row>
    <row r="135" spans="1:135" x14ac:dyDescent="0.35">
      <c r="A135" t="s">
        <v>203</v>
      </c>
      <c r="B135">
        <f>[1]Population!$BB175</f>
        <v>29262830</v>
      </c>
      <c r="C135">
        <f>[1]RealGDP!$BB175</f>
        <v>103487662932.25778</v>
      </c>
      <c r="D135" s="10">
        <f>[1]GDPcap!$BB175</f>
        <v>3536.4885396339923</v>
      </c>
      <c r="F135" t="s">
        <v>203</v>
      </c>
      <c r="H135">
        <v>20.3</v>
      </c>
      <c r="I135">
        <v>20.399999999999999</v>
      </c>
      <c r="J135">
        <v>20.2</v>
      </c>
      <c r="K135">
        <v>19.899999999999999</v>
      </c>
      <c r="L135">
        <v>19.399999999999999</v>
      </c>
      <c r="M135">
        <v>18.5</v>
      </c>
      <c r="N135">
        <v>18.100000000000001</v>
      </c>
      <c r="O135">
        <v>18.7</v>
      </c>
      <c r="P135">
        <v>19.3</v>
      </c>
      <c r="Q135">
        <v>19.8</v>
      </c>
      <c r="R135">
        <v>20.100000000000001</v>
      </c>
      <c r="S135">
        <v>20.2</v>
      </c>
      <c r="T135">
        <v>19.8</v>
      </c>
      <c r="U135">
        <v>18.399999999999999</v>
      </c>
      <c r="V135">
        <v>19.7</v>
      </c>
      <c r="W135">
        <v>19.600000000000001</v>
      </c>
      <c r="X135">
        <v>19.600000000000001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f t="shared" si="77"/>
        <v>1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f t="shared" si="68"/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f t="shared" si="69"/>
        <v>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f t="shared" si="70"/>
        <v>1</v>
      </c>
      <c r="CG135">
        <f t="shared" si="98"/>
        <v>0</v>
      </c>
      <c r="CH135">
        <f t="shared" si="78"/>
        <v>0</v>
      </c>
      <c r="CI135">
        <f t="shared" si="79"/>
        <v>0</v>
      </c>
      <c r="CJ135">
        <f t="shared" si="80"/>
        <v>0</v>
      </c>
      <c r="CK135">
        <f t="shared" si="81"/>
        <v>0</v>
      </c>
      <c r="CL135">
        <f t="shared" si="82"/>
        <v>1</v>
      </c>
      <c r="CM135">
        <f t="shared" si="83"/>
        <v>0</v>
      </c>
      <c r="CN135">
        <f t="shared" si="84"/>
        <v>0</v>
      </c>
      <c r="CO135">
        <f t="shared" si="85"/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f t="shared" si="71"/>
        <v>1</v>
      </c>
      <c r="CW135">
        <f t="shared" si="72"/>
        <v>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f t="shared" si="73"/>
        <v>0</v>
      </c>
      <c r="DF135">
        <v>1</v>
      </c>
      <c r="DG135">
        <f t="shared" si="74"/>
        <v>1</v>
      </c>
      <c r="DI135">
        <f t="shared" si="99"/>
        <v>0</v>
      </c>
      <c r="DJ135">
        <f t="shared" si="86"/>
        <v>0</v>
      </c>
      <c r="DK135">
        <f t="shared" si="87"/>
        <v>0</v>
      </c>
      <c r="DL135">
        <f t="shared" si="88"/>
        <v>0</v>
      </c>
      <c r="DM135">
        <f t="shared" si="89"/>
        <v>0</v>
      </c>
      <c r="DN135">
        <f t="shared" si="90"/>
        <v>0</v>
      </c>
      <c r="DO135">
        <f t="shared" si="91"/>
        <v>0</v>
      </c>
      <c r="DP135">
        <f t="shared" si="92"/>
        <v>1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f t="shared" si="75"/>
        <v>1</v>
      </c>
      <c r="DX135">
        <f t="shared" si="76"/>
        <v>1</v>
      </c>
      <c r="DZ135">
        <f t="shared" si="100"/>
        <v>0</v>
      </c>
      <c r="EA135">
        <f t="shared" si="93"/>
        <v>0</v>
      </c>
      <c r="EB135">
        <f t="shared" si="94"/>
        <v>0</v>
      </c>
      <c r="EC135">
        <f t="shared" si="95"/>
        <v>0</v>
      </c>
      <c r="ED135">
        <f t="shared" si="96"/>
        <v>0</v>
      </c>
      <c r="EE135">
        <f t="shared" si="97"/>
        <v>1</v>
      </c>
    </row>
    <row r="136" spans="1:135" x14ac:dyDescent="0.35">
      <c r="A136" t="s">
        <v>204</v>
      </c>
      <c r="B136">
        <f>[1]Population!$BB176</f>
        <v>93444322</v>
      </c>
      <c r="C136">
        <f>[1]RealGDP!$BB176</f>
        <v>131131009140.35426</v>
      </c>
      <c r="D136" s="10">
        <f>[1]GDPcap!$BB176</f>
        <v>1403.3063361554944</v>
      </c>
      <c r="F136" t="s">
        <v>204</v>
      </c>
      <c r="H136">
        <v>24.5</v>
      </c>
      <c r="I136">
        <v>24.7</v>
      </c>
      <c r="J136">
        <v>25.5</v>
      </c>
      <c r="K136">
        <v>26.6</v>
      </c>
      <c r="L136">
        <v>27</v>
      </c>
      <c r="M136">
        <v>26.5</v>
      </c>
      <c r="N136">
        <v>26.1</v>
      </c>
      <c r="O136">
        <v>26.1</v>
      </c>
      <c r="P136">
        <v>26.1</v>
      </c>
      <c r="Q136">
        <v>25.8</v>
      </c>
      <c r="R136">
        <v>25.5</v>
      </c>
      <c r="S136">
        <v>25</v>
      </c>
      <c r="T136">
        <v>26.4</v>
      </c>
      <c r="U136">
        <v>26.2</v>
      </c>
      <c r="V136">
        <v>25.8</v>
      </c>
      <c r="W136">
        <v>23.9</v>
      </c>
      <c r="X136">
        <v>25.8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77"/>
        <v>1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f t="shared" si="68"/>
        <v>1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1</v>
      </c>
      <c r="BT136">
        <f t="shared" si="69"/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</v>
      </c>
      <c r="CC136">
        <v>0</v>
      </c>
      <c r="CD136">
        <v>0</v>
      </c>
      <c r="CE136">
        <f t="shared" si="70"/>
        <v>1</v>
      </c>
      <c r="CG136">
        <f t="shared" si="98"/>
        <v>0</v>
      </c>
      <c r="CH136">
        <f t="shared" si="78"/>
        <v>0</v>
      </c>
      <c r="CI136">
        <f t="shared" si="79"/>
        <v>0</v>
      </c>
      <c r="CJ136">
        <f t="shared" si="80"/>
        <v>0</v>
      </c>
      <c r="CK136">
        <f t="shared" si="81"/>
        <v>0</v>
      </c>
      <c r="CL136">
        <f t="shared" si="82"/>
        <v>0</v>
      </c>
      <c r="CM136">
        <f t="shared" si="83"/>
        <v>1</v>
      </c>
      <c r="CN136">
        <f t="shared" si="84"/>
        <v>0</v>
      </c>
      <c r="CO136">
        <f t="shared" si="85"/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f t="shared" si="71"/>
        <v>1</v>
      </c>
      <c r="CW136">
        <f t="shared" si="72"/>
        <v>1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1</v>
      </c>
      <c r="DE136">
        <f t="shared" si="73"/>
        <v>0</v>
      </c>
      <c r="DF136">
        <v>0</v>
      </c>
      <c r="DG136">
        <f t="shared" si="74"/>
        <v>1</v>
      </c>
      <c r="DI136">
        <f t="shared" si="99"/>
        <v>0</v>
      </c>
      <c r="DJ136">
        <f t="shared" si="86"/>
        <v>0</v>
      </c>
      <c r="DK136">
        <f t="shared" si="87"/>
        <v>0</v>
      </c>
      <c r="DL136">
        <f t="shared" si="88"/>
        <v>0</v>
      </c>
      <c r="DM136">
        <f t="shared" si="89"/>
        <v>0</v>
      </c>
      <c r="DN136">
        <f t="shared" si="90"/>
        <v>1</v>
      </c>
      <c r="DO136">
        <f t="shared" si="91"/>
        <v>0</v>
      </c>
      <c r="DP136">
        <f t="shared" si="92"/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f t="shared" si="75"/>
        <v>1</v>
      </c>
      <c r="DX136">
        <f t="shared" si="76"/>
        <v>1</v>
      </c>
      <c r="DZ136">
        <f t="shared" si="100"/>
        <v>0</v>
      </c>
      <c r="EA136">
        <f t="shared" si="93"/>
        <v>0</v>
      </c>
      <c r="EB136">
        <f t="shared" si="94"/>
        <v>0</v>
      </c>
      <c r="EC136">
        <f t="shared" si="95"/>
        <v>0</v>
      </c>
      <c r="ED136">
        <f t="shared" si="96"/>
        <v>0</v>
      </c>
      <c r="EE136">
        <f t="shared" si="97"/>
        <v>1</v>
      </c>
    </row>
    <row r="137" spans="1:135" x14ac:dyDescent="0.35">
      <c r="A137" t="s">
        <v>205</v>
      </c>
      <c r="B137">
        <f>[1]Population!$BB178</f>
        <v>38183683</v>
      </c>
      <c r="C137">
        <f>[1]RealGDP!$BB178</f>
        <v>383205737633.98334</v>
      </c>
      <c r="D137" s="10">
        <f>[1]GDPcap!$BB178</f>
        <v>10035.850591834826</v>
      </c>
      <c r="F137" t="s">
        <v>205</v>
      </c>
      <c r="H137">
        <v>-2.9</v>
      </c>
      <c r="I137">
        <v>-1.5</v>
      </c>
      <c r="J137">
        <v>2.6</v>
      </c>
      <c r="K137">
        <v>7.4</v>
      </c>
      <c r="L137">
        <v>12.9</v>
      </c>
      <c r="M137">
        <v>15.9</v>
      </c>
      <c r="N137">
        <v>17.5</v>
      </c>
      <c r="O137">
        <v>17.100000000000001</v>
      </c>
      <c r="P137">
        <v>13.4</v>
      </c>
      <c r="Q137">
        <v>8.6999999999999993</v>
      </c>
      <c r="R137">
        <v>3.4</v>
      </c>
      <c r="S137">
        <v>-0.6</v>
      </c>
      <c r="T137">
        <v>7.6</v>
      </c>
      <c r="U137">
        <v>16.899999999999999</v>
      </c>
      <c r="V137">
        <v>8.5</v>
      </c>
      <c r="W137">
        <v>-1.7</v>
      </c>
      <c r="X137">
        <v>7.8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77"/>
        <v>1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f t="shared" si="68"/>
        <v>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>
        <v>0</v>
      </c>
      <c r="BS137">
        <v>0</v>
      </c>
      <c r="BT137">
        <f t="shared" si="69"/>
        <v>1</v>
      </c>
      <c r="BV137">
        <v>0</v>
      </c>
      <c r="BW137">
        <v>0</v>
      </c>
      <c r="BX137">
        <v>0</v>
      </c>
      <c r="BY137">
        <v>1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f t="shared" si="70"/>
        <v>1</v>
      </c>
      <c r="CG137">
        <f t="shared" si="98"/>
        <v>0</v>
      </c>
      <c r="CH137">
        <f t="shared" si="78"/>
        <v>0</v>
      </c>
      <c r="CI137">
        <f t="shared" si="79"/>
        <v>0</v>
      </c>
      <c r="CJ137">
        <f t="shared" si="80"/>
        <v>1</v>
      </c>
      <c r="CK137">
        <f t="shared" si="81"/>
        <v>0</v>
      </c>
      <c r="CL137">
        <f t="shared" si="82"/>
        <v>0</v>
      </c>
      <c r="CM137">
        <f t="shared" si="83"/>
        <v>0</v>
      </c>
      <c r="CN137">
        <f t="shared" si="84"/>
        <v>0</v>
      </c>
      <c r="CO137">
        <f t="shared" si="85"/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f t="shared" si="71"/>
        <v>1</v>
      </c>
      <c r="CW137">
        <f t="shared" si="72"/>
        <v>1</v>
      </c>
      <c r="CY137">
        <v>0</v>
      </c>
      <c r="CZ137">
        <v>0</v>
      </c>
      <c r="DA137">
        <v>0</v>
      </c>
      <c r="DB137">
        <v>1</v>
      </c>
      <c r="DC137">
        <v>0</v>
      </c>
      <c r="DD137">
        <v>0</v>
      </c>
      <c r="DE137">
        <f t="shared" si="73"/>
        <v>0</v>
      </c>
      <c r="DF137">
        <v>0</v>
      </c>
      <c r="DG137">
        <f t="shared" si="74"/>
        <v>1</v>
      </c>
      <c r="DI137">
        <f t="shared" si="99"/>
        <v>0</v>
      </c>
      <c r="DJ137">
        <f t="shared" si="86"/>
        <v>0</v>
      </c>
      <c r="DK137">
        <f t="shared" si="87"/>
        <v>0</v>
      </c>
      <c r="DL137">
        <f t="shared" si="88"/>
        <v>1</v>
      </c>
      <c r="DM137">
        <f t="shared" si="89"/>
        <v>0</v>
      </c>
      <c r="DN137">
        <f t="shared" si="90"/>
        <v>0</v>
      </c>
      <c r="DO137">
        <f t="shared" si="91"/>
        <v>0</v>
      </c>
      <c r="DP137">
        <f t="shared" si="92"/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f t="shared" si="75"/>
        <v>1</v>
      </c>
      <c r="DX137">
        <f t="shared" si="76"/>
        <v>1</v>
      </c>
      <c r="DZ137">
        <f t="shared" si="100"/>
        <v>0</v>
      </c>
      <c r="EA137">
        <f t="shared" si="93"/>
        <v>0</v>
      </c>
      <c r="EB137">
        <f t="shared" si="94"/>
        <v>0</v>
      </c>
      <c r="EC137">
        <f t="shared" si="95"/>
        <v>0</v>
      </c>
      <c r="ED137">
        <f t="shared" si="96"/>
        <v>0</v>
      </c>
      <c r="EE137">
        <f t="shared" si="97"/>
        <v>1</v>
      </c>
    </row>
    <row r="138" spans="1:135" x14ac:dyDescent="0.35">
      <c r="A138" t="s">
        <v>206</v>
      </c>
      <c r="B138">
        <f>[1]Population!$BB179</f>
        <v>10637346</v>
      </c>
      <c r="C138">
        <f>[1]RealGDP!$BB179</f>
        <v>197164604092.98117</v>
      </c>
      <c r="D138" s="10">
        <f>[1]GDPcap!$BB179</f>
        <v>18535.131234142536</v>
      </c>
      <c r="F138" t="s">
        <v>206</v>
      </c>
      <c r="H138">
        <v>9.1</v>
      </c>
      <c r="I138">
        <v>9.9</v>
      </c>
      <c r="J138">
        <v>11.5</v>
      </c>
      <c r="K138">
        <v>13.1</v>
      </c>
      <c r="L138">
        <v>16</v>
      </c>
      <c r="M138">
        <v>19.3</v>
      </c>
      <c r="N138">
        <v>22</v>
      </c>
      <c r="O138">
        <v>22.1</v>
      </c>
      <c r="P138">
        <v>20.399999999999999</v>
      </c>
      <c r="Q138">
        <v>16.600000000000001</v>
      </c>
      <c r="R138">
        <v>12.2</v>
      </c>
      <c r="S138">
        <v>9.4</v>
      </c>
      <c r="T138">
        <v>13.5</v>
      </c>
      <c r="U138">
        <v>21.1</v>
      </c>
      <c r="V138">
        <v>16.399999999999999</v>
      </c>
      <c r="W138">
        <v>9.1999999999999993</v>
      </c>
      <c r="X138">
        <v>15.1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0</v>
      </c>
      <c r="AL138">
        <v>0</v>
      </c>
      <c r="AM138">
        <v>0</v>
      </c>
      <c r="AN138">
        <v>0</v>
      </c>
      <c r="AO138">
        <f t="shared" si="77"/>
        <v>1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f t="shared" si="68"/>
        <v>1</v>
      </c>
      <c r="BG138">
        <v>0</v>
      </c>
      <c r="BH138">
        <v>0</v>
      </c>
      <c r="BI138">
        <v>0</v>
      </c>
      <c r="BJ138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f t="shared" si="69"/>
        <v>1</v>
      </c>
      <c r="BV138">
        <v>0</v>
      </c>
      <c r="BW138">
        <v>1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f t="shared" si="70"/>
        <v>1</v>
      </c>
      <c r="CG138">
        <f t="shared" si="98"/>
        <v>0</v>
      </c>
      <c r="CH138">
        <f t="shared" si="78"/>
        <v>1</v>
      </c>
      <c r="CI138">
        <f t="shared" si="79"/>
        <v>0</v>
      </c>
      <c r="CJ138">
        <f t="shared" si="80"/>
        <v>0</v>
      </c>
      <c r="CK138">
        <f t="shared" si="81"/>
        <v>0</v>
      </c>
      <c r="CL138">
        <f t="shared" si="82"/>
        <v>0</v>
      </c>
      <c r="CM138">
        <f t="shared" si="83"/>
        <v>0</v>
      </c>
      <c r="CN138">
        <f t="shared" si="84"/>
        <v>0</v>
      </c>
      <c r="CO138">
        <f t="shared" si="85"/>
        <v>0</v>
      </c>
      <c r="CQ138">
        <v>0</v>
      </c>
      <c r="CR138">
        <v>0</v>
      </c>
      <c r="CS138">
        <v>0</v>
      </c>
      <c r="CT138">
        <v>1</v>
      </c>
      <c r="CU138">
        <v>0</v>
      </c>
      <c r="CV138">
        <f t="shared" si="71"/>
        <v>0</v>
      </c>
      <c r="CW138">
        <f t="shared" si="72"/>
        <v>1</v>
      </c>
      <c r="CY138">
        <v>1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f t="shared" si="73"/>
        <v>0</v>
      </c>
      <c r="DF138">
        <v>0</v>
      </c>
      <c r="DG138">
        <f t="shared" si="74"/>
        <v>1</v>
      </c>
      <c r="DI138">
        <f t="shared" si="99"/>
        <v>1</v>
      </c>
      <c r="DJ138">
        <f t="shared" si="86"/>
        <v>0</v>
      </c>
      <c r="DK138">
        <f t="shared" si="87"/>
        <v>0</v>
      </c>
      <c r="DL138">
        <f t="shared" si="88"/>
        <v>0</v>
      </c>
      <c r="DM138">
        <f t="shared" si="89"/>
        <v>0</v>
      </c>
      <c r="DN138">
        <f t="shared" si="90"/>
        <v>0</v>
      </c>
      <c r="DO138">
        <f t="shared" si="91"/>
        <v>0</v>
      </c>
      <c r="DP138">
        <f t="shared" si="92"/>
        <v>0</v>
      </c>
      <c r="DR138">
        <v>1</v>
      </c>
      <c r="DS138">
        <v>0</v>
      </c>
      <c r="DT138">
        <v>0</v>
      </c>
      <c r="DU138">
        <v>0</v>
      </c>
      <c r="DV138">
        <v>0</v>
      </c>
      <c r="DW138">
        <f t="shared" si="75"/>
        <v>0</v>
      </c>
      <c r="DX138">
        <f t="shared" si="76"/>
        <v>1</v>
      </c>
      <c r="DZ138">
        <f t="shared" si="100"/>
        <v>1</v>
      </c>
      <c r="EA138">
        <f t="shared" si="93"/>
        <v>0</v>
      </c>
      <c r="EB138">
        <f t="shared" si="94"/>
        <v>0</v>
      </c>
      <c r="EC138">
        <f t="shared" si="95"/>
        <v>0</v>
      </c>
      <c r="ED138">
        <f t="shared" si="96"/>
        <v>0</v>
      </c>
      <c r="EE138">
        <f t="shared" si="97"/>
        <v>0</v>
      </c>
    </row>
    <row r="139" spans="1:135" x14ac:dyDescent="0.35">
      <c r="A139" t="s">
        <v>260</v>
      </c>
      <c r="B139">
        <f>[1]Population!$BB180</f>
        <v>3721208</v>
      </c>
      <c r="C139">
        <f>[1]RealGDP!$BB180</f>
        <v>77337254437.921829</v>
      </c>
      <c r="D139" s="10">
        <f>[1]GDPcap!$BB180</f>
        <v>20782.83569150712</v>
      </c>
      <c r="F139" t="s">
        <v>566</v>
      </c>
      <c r="G139" t="s">
        <v>503</v>
      </c>
      <c r="H139">
        <v>23.3</v>
      </c>
      <c r="I139">
        <v>23.4</v>
      </c>
      <c r="J139">
        <v>23.8</v>
      </c>
      <c r="K139">
        <v>24.7</v>
      </c>
      <c r="L139">
        <v>25.6</v>
      </c>
      <c r="M139">
        <v>26.2</v>
      </c>
      <c r="N139">
        <v>26.4</v>
      </c>
      <c r="O139">
        <v>26.6</v>
      </c>
      <c r="P139">
        <v>26.6</v>
      </c>
      <c r="Q139">
        <v>26.1</v>
      </c>
      <c r="R139">
        <v>25.4</v>
      </c>
      <c r="S139">
        <v>24.2</v>
      </c>
      <c r="T139">
        <v>24.7</v>
      </c>
      <c r="U139">
        <v>26.4</v>
      </c>
      <c r="V139">
        <v>26</v>
      </c>
      <c r="W139">
        <v>22.9</v>
      </c>
      <c r="X139">
        <v>25.2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f t="shared" si="77"/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f t="shared" si="68"/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0</v>
      </c>
      <c r="BR139">
        <v>0</v>
      </c>
      <c r="BS139">
        <v>0</v>
      </c>
      <c r="BT139">
        <f t="shared" si="69"/>
        <v>1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1</v>
      </c>
      <c r="CB139">
        <v>0</v>
      </c>
      <c r="CC139">
        <v>0</v>
      </c>
      <c r="CD139">
        <v>0</v>
      </c>
      <c r="CE139">
        <f t="shared" si="70"/>
        <v>1</v>
      </c>
      <c r="CG139">
        <f t="shared" si="98"/>
        <v>0</v>
      </c>
      <c r="CH139">
        <f t="shared" si="78"/>
        <v>0</v>
      </c>
      <c r="CI139">
        <f t="shared" si="79"/>
        <v>0</v>
      </c>
      <c r="CJ139">
        <f t="shared" si="80"/>
        <v>0</v>
      </c>
      <c r="CK139">
        <f t="shared" si="81"/>
        <v>0</v>
      </c>
      <c r="CL139">
        <f t="shared" si="82"/>
        <v>1</v>
      </c>
      <c r="CM139">
        <f t="shared" si="83"/>
        <v>0</v>
      </c>
      <c r="CN139">
        <f t="shared" si="84"/>
        <v>0</v>
      </c>
      <c r="CO139">
        <f t="shared" si="85"/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f t="shared" si="71"/>
        <v>1</v>
      </c>
      <c r="CW139">
        <f t="shared" si="72"/>
        <v>1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f t="shared" si="73"/>
        <v>0</v>
      </c>
      <c r="DF139">
        <v>1</v>
      </c>
      <c r="DG139">
        <f t="shared" si="74"/>
        <v>1</v>
      </c>
      <c r="DI139">
        <f t="shared" si="99"/>
        <v>0</v>
      </c>
      <c r="DJ139">
        <f t="shared" si="86"/>
        <v>0</v>
      </c>
      <c r="DK139">
        <f t="shared" si="87"/>
        <v>0</v>
      </c>
      <c r="DL139">
        <f t="shared" si="88"/>
        <v>0</v>
      </c>
      <c r="DM139">
        <f t="shared" si="89"/>
        <v>0</v>
      </c>
      <c r="DN139">
        <f t="shared" si="90"/>
        <v>0</v>
      </c>
      <c r="DO139">
        <f t="shared" si="91"/>
        <v>0</v>
      </c>
      <c r="DP139">
        <f t="shared" si="92"/>
        <v>1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f t="shared" si="75"/>
        <v>1</v>
      </c>
      <c r="DX139">
        <f t="shared" si="76"/>
        <v>1</v>
      </c>
      <c r="DZ139">
        <f t="shared" si="100"/>
        <v>0</v>
      </c>
      <c r="EA139">
        <f t="shared" si="93"/>
        <v>0</v>
      </c>
      <c r="EB139">
        <f t="shared" si="94"/>
        <v>0</v>
      </c>
      <c r="EC139">
        <f t="shared" si="95"/>
        <v>0</v>
      </c>
      <c r="ED139">
        <f t="shared" si="96"/>
        <v>0</v>
      </c>
      <c r="EE139">
        <f t="shared" si="97"/>
        <v>1</v>
      </c>
    </row>
    <row r="140" spans="1:135" x14ac:dyDescent="0.35">
      <c r="A140" t="s">
        <v>435</v>
      </c>
      <c r="B140">
        <f>[1]Population!$BB181</f>
        <v>1749713</v>
      </c>
      <c r="C140">
        <f>[1]RealGDP!$BB181</f>
        <v>101932972130.43025</v>
      </c>
      <c r="D140" s="10">
        <f>[1]GDPcap!$BB181</f>
        <v>58256.966788513462</v>
      </c>
      <c r="F140" t="s">
        <v>435</v>
      </c>
      <c r="H140">
        <v>17</v>
      </c>
      <c r="I140">
        <v>18.5</v>
      </c>
      <c r="J140">
        <v>22.1</v>
      </c>
      <c r="K140">
        <v>26.6</v>
      </c>
      <c r="L140">
        <v>31.9</v>
      </c>
      <c r="M140">
        <v>34.299999999999997</v>
      </c>
      <c r="N140">
        <v>35.700000000000003</v>
      </c>
      <c r="O140">
        <v>35.200000000000003</v>
      </c>
      <c r="P140">
        <v>32.799999999999997</v>
      </c>
      <c r="Q140">
        <v>29</v>
      </c>
      <c r="R140">
        <v>23.9</v>
      </c>
      <c r="S140">
        <v>18.899999999999999</v>
      </c>
      <c r="T140">
        <v>26.9</v>
      </c>
      <c r="U140">
        <v>35</v>
      </c>
      <c r="V140">
        <v>28.6</v>
      </c>
      <c r="W140">
        <v>17.5</v>
      </c>
      <c r="X140">
        <v>27.2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f t="shared" si="77"/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f t="shared" si="68"/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f t="shared" si="69"/>
        <v>1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f t="shared" si="70"/>
        <v>1</v>
      </c>
      <c r="CG140">
        <f t="shared" si="98"/>
        <v>0</v>
      </c>
      <c r="CH140">
        <f t="shared" si="78"/>
        <v>0</v>
      </c>
      <c r="CI140">
        <f t="shared" si="79"/>
        <v>0</v>
      </c>
      <c r="CJ140">
        <f t="shared" si="80"/>
        <v>0</v>
      </c>
      <c r="CK140">
        <f t="shared" si="81"/>
        <v>1</v>
      </c>
      <c r="CL140">
        <f t="shared" si="82"/>
        <v>0</v>
      </c>
      <c r="CM140">
        <f t="shared" si="83"/>
        <v>0</v>
      </c>
      <c r="CN140">
        <f t="shared" si="84"/>
        <v>0</v>
      </c>
      <c r="CO140">
        <f t="shared" si="85"/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f t="shared" si="71"/>
        <v>1</v>
      </c>
      <c r="CW140">
        <f t="shared" si="72"/>
        <v>1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f t="shared" si="73"/>
        <v>1</v>
      </c>
      <c r="DF140">
        <v>0</v>
      </c>
      <c r="DG140">
        <f t="shared" si="74"/>
        <v>1</v>
      </c>
      <c r="DI140">
        <f t="shared" si="99"/>
        <v>0</v>
      </c>
      <c r="DJ140">
        <f t="shared" si="86"/>
        <v>0</v>
      </c>
      <c r="DK140">
        <f t="shared" si="87"/>
        <v>0</v>
      </c>
      <c r="DL140">
        <f t="shared" si="88"/>
        <v>0</v>
      </c>
      <c r="DM140">
        <f t="shared" si="89"/>
        <v>0</v>
      </c>
      <c r="DN140">
        <f t="shared" si="90"/>
        <v>0</v>
      </c>
      <c r="DO140">
        <f t="shared" si="91"/>
        <v>1</v>
      </c>
      <c r="DP140">
        <f t="shared" si="92"/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f t="shared" si="75"/>
        <v>1</v>
      </c>
      <c r="DX140">
        <f t="shared" si="76"/>
        <v>1</v>
      </c>
      <c r="DZ140">
        <f t="shared" si="100"/>
        <v>0</v>
      </c>
      <c r="EA140">
        <f t="shared" si="93"/>
        <v>0</v>
      </c>
      <c r="EB140">
        <f t="shared" si="94"/>
        <v>0</v>
      </c>
      <c r="EC140">
        <f t="shared" si="95"/>
        <v>0</v>
      </c>
      <c r="ED140">
        <f t="shared" si="96"/>
        <v>0</v>
      </c>
      <c r="EE140">
        <f t="shared" si="97"/>
        <v>1</v>
      </c>
    </row>
    <row r="141" spans="1:135" x14ac:dyDescent="0.35">
      <c r="A141" t="s">
        <v>207</v>
      </c>
      <c r="B141">
        <f>[1]Population!$BB183</f>
        <v>21438001</v>
      </c>
      <c r="C141">
        <f>[1]RealGDP!$BB183</f>
        <v>114088972368.88327</v>
      </c>
      <c r="D141" s="10">
        <f>[1]GDPcap!$BB183</f>
        <v>5321.8101990424975</v>
      </c>
      <c r="F141" t="s">
        <v>207</v>
      </c>
      <c r="H141">
        <v>-3.7</v>
      </c>
      <c r="I141">
        <v>-1.5</v>
      </c>
      <c r="J141">
        <v>3.2</v>
      </c>
      <c r="K141">
        <v>9.1999999999999993</v>
      </c>
      <c r="L141">
        <v>14.4</v>
      </c>
      <c r="M141">
        <v>17.600000000000001</v>
      </c>
      <c r="N141">
        <v>19.2</v>
      </c>
      <c r="O141">
        <v>18.8</v>
      </c>
      <c r="P141">
        <v>15.1</v>
      </c>
      <c r="Q141">
        <v>9.6999999999999993</v>
      </c>
      <c r="R141">
        <v>4.0999999999999996</v>
      </c>
      <c r="S141">
        <v>-0.9</v>
      </c>
      <c r="T141">
        <v>9</v>
      </c>
      <c r="U141">
        <v>18.5</v>
      </c>
      <c r="V141">
        <v>9.6</v>
      </c>
      <c r="W141">
        <v>-2</v>
      </c>
      <c r="X141">
        <v>8.8000000000000007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77"/>
        <v>1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f t="shared" si="68"/>
        <v>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1</v>
      </c>
      <c r="BP141">
        <v>0</v>
      </c>
      <c r="BQ141">
        <v>0</v>
      </c>
      <c r="BR141">
        <v>0</v>
      </c>
      <c r="BS141">
        <v>0</v>
      </c>
      <c r="BT141">
        <f t="shared" si="69"/>
        <v>1</v>
      </c>
      <c r="BV141">
        <v>0</v>
      </c>
      <c r="BW141">
        <v>0</v>
      </c>
      <c r="BX141">
        <v>0</v>
      </c>
      <c r="BY141">
        <v>1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f t="shared" si="70"/>
        <v>1</v>
      </c>
      <c r="CG141">
        <f t="shared" si="98"/>
        <v>0</v>
      </c>
      <c r="CH141">
        <f t="shared" si="78"/>
        <v>0</v>
      </c>
      <c r="CI141">
        <f t="shared" si="79"/>
        <v>0</v>
      </c>
      <c r="CJ141">
        <f t="shared" si="80"/>
        <v>1</v>
      </c>
      <c r="CK141">
        <f t="shared" si="81"/>
        <v>0</v>
      </c>
      <c r="CL141">
        <f t="shared" si="82"/>
        <v>0</v>
      </c>
      <c r="CM141">
        <f t="shared" si="83"/>
        <v>0</v>
      </c>
      <c r="CN141">
        <f t="shared" si="84"/>
        <v>0</v>
      </c>
      <c r="CO141">
        <f t="shared" si="85"/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f t="shared" si="71"/>
        <v>1</v>
      </c>
      <c r="CW141">
        <f t="shared" si="72"/>
        <v>1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0</v>
      </c>
      <c r="DE141">
        <f t="shared" si="73"/>
        <v>0</v>
      </c>
      <c r="DF141">
        <v>0</v>
      </c>
      <c r="DG141">
        <f t="shared" si="74"/>
        <v>1</v>
      </c>
      <c r="DI141">
        <f t="shared" si="99"/>
        <v>0</v>
      </c>
      <c r="DJ141">
        <f t="shared" si="86"/>
        <v>0</v>
      </c>
      <c r="DK141">
        <f t="shared" si="87"/>
        <v>0</v>
      </c>
      <c r="DL141">
        <f t="shared" si="88"/>
        <v>1</v>
      </c>
      <c r="DM141">
        <f t="shared" si="89"/>
        <v>0</v>
      </c>
      <c r="DN141">
        <f t="shared" si="90"/>
        <v>0</v>
      </c>
      <c r="DO141">
        <f t="shared" si="91"/>
        <v>0</v>
      </c>
      <c r="DP141">
        <f t="shared" si="92"/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f t="shared" si="75"/>
        <v>1</v>
      </c>
      <c r="DX141">
        <f t="shared" si="76"/>
        <v>1</v>
      </c>
      <c r="DZ141">
        <f t="shared" si="100"/>
        <v>0</v>
      </c>
      <c r="EA141">
        <f t="shared" si="93"/>
        <v>0</v>
      </c>
      <c r="EB141">
        <f t="shared" si="94"/>
        <v>0</v>
      </c>
      <c r="EC141">
        <f t="shared" si="95"/>
        <v>0</v>
      </c>
      <c r="ED141">
        <f t="shared" si="96"/>
        <v>0</v>
      </c>
      <c r="EE141">
        <f t="shared" si="97"/>
        <v>1</v>
      </c>
    </row>
    <row r="142" spans="1:135" x14ac:dyDescent="0.35">
      <c r="A142" t="s">
        <v>261</v>
      </c>
      <c r="B142">
        <f>[1]Population!$BB184</f>
        <v>142389000</v>
      </c>
      <c r="C142">
        <f>[1]RealGDP!$BB184</f>
        <v>909241662711.50525</v>
      </c>
      <c r="D142" s="10">
        <f>[1]GDPcap!$BB184</f>
        <v>6385.6173068952321</v>
      </c>
      <c r="F142" t="s">
        <v>261</v>
      </c>
      <c r="H142">
        <v>-25.2</v>
      </c>
      <c r="I142">
        <v>-23.1</v>
      </c>
      <c r="J142">
        <v>-15.1</v>
      </c>
      <c r="K142">
        <v>-5.2</v>
      </c>
      <c r="L142">
        <v>4</v>
      </c>
      <c r="M142">
        <v>11.6</v>
      </c>
      <c r="N142">
        <v>15.1</v>
      </c>
      <c r="O142">
        <v>12.6</v>
      </c>
      <c r="P142">
        <v>6.3</v>
      </c>
      <c r="Q142">
        <v>-4</v>
      </c>
      <c r="R142">
        <v>-15.8</v>
      </c>
      <c r="S142">
        <v>-22.4</v>
      </c>
      <c r="T142">
        <v>-5.4</v>
      </c>
      <c r="U142">
        <v>13.1</v>
      </c>
      <c r="V142">
        <v>-4.5</v>
      </c>
      <c r="W142">
        <v>-22.8</v>
      </c>
      <c r="X142">
        <v>-5.0999999999999996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77"/>
        <v>1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f t="shared" si="68"/>
        <v>1</v>
      </c>
      <c r="BG142">
        <v>0</v>
      </c>
      <c r="BH142">
        <v>0</v>
      </c>
      <c r="BI142">
        <v>0</v>
      </c>
      <c r="BJ142">
        <v>0</v>
      </c>
      <c r="BK142">
        <v>1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f t="shared" si="69"/>
        <v>1</v>
      </c>
      <c r="BV142">
        <v>0</v>
      </c>
      <c r="BW142">
        <v>0</v>
      </c>
      <c r="BX142">
        <v>0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f t="shared" si="70"/>
        <v>1</v>
      </c>
      <c r="CG142">
        <f t="shared" si="98"/>
        <v>0</v>
      </c>
      <c r="CH142">
        <f t="shared" si="78"/>
        <v>0</v>
      </c>
      <c r="CI142">
        <f t="shared" si="79"/>
        <v>0</v>
      </c>
      <c r="CJ142">
        <f t="shared" si="80"/>
        <v>1</v>
      </c>
      <c r="CK142">
        <f t="shared" si="81"/>
        <v>0</v>
      </c>
      <c r="CL142">
        <f t="shared" si="82"/>
        <v>0</v>
      </c>
      <c r="CM142">
        <f t="shared" si="83"/>
        <v>0</v>
      </c>
      <c r="CN142">
        <f t="shared" si="84"/>
        <v>0</v>
      </c>
      <c r="CO142">
        <f t="shared" si="85"/>
        <v>0</v>
      </c>
      <c r="CQ142">
        <v>0</v>
      </c>
      <c r="CR142">
        <v>0</v>
      </c>
      <c r="CS142">
        <v>0</v>
      </c>
      <c r="CT142">
        <v>0</v>
      </c>
      <c r="CU142">
        <v>1</v>
      </c>
      <c r="CV142">
        <f t="shared" si="71"/>
        <v>0</v>
      </c>
      <c r="CW142">
        <f t="shared" si="72"/>
        <v>1</v>
      </c>
      <c r="CY142">
        <v>0</v>
      </c>
      <c r="CZ142">
        <v>0</v>
      </c>
      <c r="DA142">
        <v>0</v>
      </c>
      <c r="DB142">
        <v>1</v>
      </c>
      <c r="DC142">
        <v>0</v>
      </c>
      <c r="DD142">
        <v>0</v>
      </c>
      <c r="DE142">
        <f t="shared" si="73"/>
        <v>0</v>
      </c>
      <c r="DF142">
        <v>0</v>
      </c>
      <c r="DG142">
        <f t="shared" si="74"/>
        <v>1</v>
      </c>
      <c r="DI142">
        <f t="shared" si="99"/>
        <v>0</v>
      </c>
      <c r="DJ142">
        <f t="shared" si="86"/>
        <v>0</v>
      </c>
      <c r="DK142">
        <f t="shared" si="87"/>
        <v>0</v>
      </c>
      <c r="DL142">
        <f t="shared" si="88"/>
        <v>1</v>
      </c>
      <c r="DM142">
        <f t="shared" si="89"/>
        <v>0</v>
      </c>
      <c r="DN142">
        <f t="shared" si="90"/>
        <v>0</v>
      </c>
      <c r="DO142">
        <f t="shared" si="91"/>
        <v>0</v>
      </c>
      <c r="DP142">
        <f t="shared" si="92"/>
        <v>0</v>
      </c>
      <c r="DR142">
        <v>0</v>
      </c>
      <c r="DS142">
        <v>0</v>
      </c>
      <c r="DT142">
        <v>0</v>
      </c>
      <c r="DU142">
        <v>1</v>
      </c>
      <c r="DV142">
        <v>0</v>
      </c>
      <c r="DW142">
        <f t="shared" si="75"/>
        <v>0</v>
      </c>
      <c r="DX142">
        <f t="shared" si="76"/>
        <v>1</v>
      </c>
      <c r="DZ142">
        <f t="shared" si="100"/>
        <v>0</v>
      </c>
      <c r="EA142">
        <f t="shared" si="93"/>
        <v>0</v>
      </c>
      <c r="EB142">
        <f t="shared" si="94"/>
        <v>0</v>
      </c>
      <c r="EC142">
        <f t="shared" si="95"/>
        <v>1</v>
      </c>
      <c r="ED142">
        <f t="shared" si="96"/>
        <v>0</v>
      </c>
      <c r="EE142">
        <f t="shared" si="97"/>
        <v>0</v>
      </c>
    </row>
    <row r="143" spans="1:135" x14ac:dyDescent="0.35">
      <c r="A143" t="s">
        <v>208</v>
      </c>
      <c r="B143">
        <f>[1]Population!$BB185</f>
        <v>10836732</v>
      </c>
      <c r="C143">
        <f>[1]RealGDP!$BB185</f>
        <v>3785756661.0048919</v>
      </c>
      <c r="D143" s="10">
        <f>[1]GDPcap!$BB185</f>
        <v>349.34486347036096</v>
      </c>
      <c r="F143" t="s">
        <v>208</v>
      </c>
      <c r="H143">
        <v>18</v>
      </c>
      <c r="I143">
        <v>18.100000000000001</v>
      </c>
      <c r="J143">
        <v>18.2</v>
      </c>
      <c r="K143">
        <v>17.899999999999999</v>
      </c>
      <c r="L143">
        <v>17.8</v>
      </c>
      <c r="M143">
        <v>17.5</v>
      </c>
      <c r="N143">
        <v>17.399999999999999</v>
      </c>
      <c r="O143">
        <v>18</v>
      </c>
      <c r="P143">
        <v>18.100000000000001</v>
      </c>
      <c r="Q143">
        <v>18</v>
      </c>
      <c r="R143">
        <v>17.600000000000001</v>
      </c>
      <c r="S143">
        <v>17.7</v>
      </c>
      <c r="T143">
        <v>18</v>
      </c>
      <c r="U143">
        <v>17.600000000000001</v>
      </c>
      <c r="V143">
        <v>17.899999999999999</v>
      </c>
      <c r="W143">
        <v>17.3</v>
      </c>
      <c r="X143">
        <v>17.899999999999999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77"/>
        <v>1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f t="shared" si="68"/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0</v>
      </c>
      <c r="BT143">
        <f t="shared" si="69"/>
        <v>1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1</v>
      </c>
      <c r="CE143">
        <f t="shared" si="70"/>
        <v>1</v>
      </c>
      <c r="CG143">
        <f t="shared" si="98"/>
        <v>0</v>
      </c>
      <c r="CH143">
        <f t="shared" si="78"/>
        <v>0</v>
      </c>
      <c r="CI143">
        <f t="shared" si="79"/>
        <v>0</v>
      </c>
      <c r="CJ143">
        <f t="shared" si="80"/>
        <v>0</v>
      </c>
      <c r="CK143">
        <f t="shared" si="81"/>
        <v>0</v>
      </c>
      <c r="CL143">
        <f t="shared" si="82"/>
        <v>0</v>
      </c>
      <c r="CM143">
        <f t="shared" si="83"/>
        <v>0</v>
      </c>
      <c r="CN143">
        <f t="shared" si="84"/>
        <v>0</v>
      </c>
      <c r="CO143">
        <f t="shared" si="85"/>
        <v>1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f t="shared" si="71"/>
        <v>1</v>
      </c>
      <c r="CW143">
        <f t="shared" si="72"/>
        <v>1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f t="shared" si="73"/>
        <v>1</v>
      </c>
      <c r="DF143">
        <v>0</v>
      </c>
      <c r="DG143">
        <f t="shared" si="74"/>
        <v>1</v>
      </c>
      <c r="DI143">
        <f t="shared" si="99"/>
        <v>0</v>
      </c>
      <c r="DJ143">
        <f t="shared" si="86"/>
        <v>0</v>
      </c>
      <c r="DK143">
        <f t="shared" si="87"/>
        <v>0</v>
      </c>
      <c r="DL143">
        <f t="shared" si="88"/>
        <v>0</v>
      </c>
      <c r="DM143">
        <f t="shared" si="89"/>
        <v>0</v>
      </c>
      <c r="DN143">
        <f t="shared" si="90"/>
        <v>0</v>
      </c>
      <c r="DO143">
        <f t="shared" si="91"/>
        <v>1</v>
      </c>
      <c r="DP143">
        <f t="shared" si="92"/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f t="shared" si="75"/>
        <v>1</v>
      </c>
      <c r="DX143">
        <f t="shared" si="76"/>
        <v>1</v>
      </c>
      <c r="DZ143">
        <f t="shared" si="100"/>
        <v>0</v>
      </c>
      <c r="EA143">
        <f t="shared" si="93"/>
        <v>0</v>
      </c>
      <c r="EB143">
        <f t="shared" si="94"/>
        <v>0</v>
      </c>
      <c r="EC143">
        <f t="shared" si="95"/>
        <v>0</v>
      </c>
      <c r="ED143">
        <f t="shared" si="96"/>
        <v>0</v>
      </c>
      <c r="EE143">
        <f t="shared" si="97"/>
        <v>1</v>
      </c>
    </row>
    <row r="144" spans="1:135" x14ac:dyDescent="0.35">
      <c r="A144" t="s">
        <v>436</v>
      </c>
      <c r="B144">
        <f>[1]Population!$BB186</f>
        <v>178228</v>
      </c>
      <c r="C144">
        <f>[1]RealGDP!$BB186</f>
        <v>167926229.92155305</v>
      </c>
      <c r="D144" s="10">
        <f>[1]GDPcap!$BB186</f>
        <v>942.19892453235764</v>
      </c>
      <c r="F144" t="s">
        <v>569</v>
      </c>
      <c r="G144" t="s">
        <v>570</v>
      </c>
      <c r="H144">
        <v>24.5</v>
      </c>
      <c r="I144">
        <v>25</v>
      </c>
      <c r="J144">
        <v>25.1</v>
      </c>
      <c r="K144">
        <v>24.8</v>
      </c>
      <c r="L144">
        <v>24.4</v>
      </c>
      <c r="M144">
        <v>23</v>
      </c>
      <c r="N144">
        <v>22.1</v>
      </c>
      <c r="O144">
        <v>22.1</v>
      </c>
      <c r="P144">
        <v>22.8</v>
      </c>
      <c r="Q144">
        <v>23.3</v>
      </c>
      <c r="R144">
        <v>23.8</v>
      </c>
      <c r="S144">
        <v>24.1</v>
      </c>
      <c r="T144">
        <v>24.8</v>
      </c>
      <c r="U144">
        <v>22.4</v>
      </c>
      <c r="V144">
        <v>23.3</v>
      </c>
      <c r="W144">
        <v>23.7</v>
      </c>
      <c r="X144">
        <v>23.7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77"/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f t="shared" si="68"/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</v>
      </c>
      <c r="BT144">
        <f t="shared" si="69"/>
        <v>1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1</v>
      </c>
      <c r="CE144">
        <f t="shared" si="70"/>
        <v>1</v>
      </c>
      <c r="CG144">
        <f t="shared" si="98"/>
        <v>0</v>
      </c>
      <c r="CH144">
        <f t="shared" si="78"/>
        <v>0</v>
      </c>
      <c r="CI144">
        <f t="shared" si="79"/>
        <v>0</v>
      </c>
      <c r="CJ144">
        <f t="shared" si="80"/>
        <v>0</v>
      </c>
      <c r="CK144">
        <f t="shared" si="81"/>
        <v>0</v>
      </c>
      <c r="CL144">
        <f t="shared" si="82"/>
        <v>0</v>
      </c>
      <c r="CM144">
        <f t="shared" si="83"/>
        <v>0</v>
      </c>
      <c r="CN144">
        <f t="shared" si="84"/>
        <v>0</v>
      </c>
      <c r="CO144">
        <f t="shared" si="85"/>
        <v>1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f t="shared" si="71"/>
        <v>1</v>
      </c>
      <c r="CW144">
        <f t="shared" si="72"/>
        <v>1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f t="shared" si="73"/>
        <v>1</v>
      </c>
      <c r="DF144">
        <v>0</v>
      </c>
      <c r="DG144">
        <f t="shared" si="74"/>
        <v>1</v>
      </c>
      <c r="DI144">
        <f t="shared" si="99"/>
        <v>0</v>
      </c>
      <c r="DJ144">
        <f t="shared" si="86"/>
        <v>0</v>
      </c>
      <c r="DK144">
        <f t="shared" si="87"/>
        <v>0</v>
      </c>
      <c r="DL144">
        <f t="shared" si="88"/>
        <v>0</v>
      </c>
      <c r="DM144">
        <f t="shared" si="89"/>
        <v>0</v>
      </c>
      <c r="DN144">
        <f t="shared" si="90"/>
        <v>0</v>
      </c>
      <c r="DO144">
        <f t="shared" si="91"/>
        <v>1</v>
      </c>
      <c r="DP144">
        <f t="shared" si="92"/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f t="shared" si="75"/>
        <v>1</v>
      </c>
      <c r="DX144">
        <f t="shared" si="76"/>
        <v>1</v>
      </c>
      <c r="DZ144">
        <f t="shared" si="100"/>
        <v>0</v>
      </c>
      <c r="EA144">
        <f t="shared" si="93"/>
        <v>0</v>
      </c>
      <c r="EB144">
        <f t="shared" si="94"/>
        <v>0</v>
      </c>
      <c r="EC144">
        <f t="shared" si="95"/>
        <v>0</v>
      </c>
      <c r="ED144">
        <f t="shared" si="96"/>
        <v>0</v>
      </c>
      <c r="EE144">
        <f t="shared" si="97"/>
        <v>1</v>
      </c>
    </row>
    <row r="145" spans="1:135" x14ac:dyDescent="0.35">
      <c r="A145" t="s">
        <v>437</v>
      </c>
      <c r="B145">
        <f>[1]Population!$BB188</f>
        <v>52352</v>
      </c>
      <c r="C145">
        <f>[1]RealGDP!$BB188</f>
        <v>554642952.86511683</v>
      </c>
      <c r="D145" s="10">
        <f>[1]GDPcap!$BB188</f>
        <v>10594.494056867299</v>
      </c>
      <c r="F145" t="s">
        <v>582</v>
      </c>
      <c r="G145" t="s">
        <v>584</v>
      </c>
      <c r="H145">
        <v>23</v>
      </c>
      <c r="I145">
        <v>23</v>
      </c>
      <c r="J145">
        <v>23.2</v>
      </c>
      <c r="K145">
        <v>23.9</v>
      </c>
      <c r="L145">
        <v>24.6</v>
      </c>
      <c r="M145">
        <v>25.3</v>
      </c>
      <c r="N145">
        <v>25.6</v>
      </c>
      <c r="O145">
        <v>25.8</v>
      </c>
      <c r="P145">
        <v>25.7</v>
      </c>
      <c r="Q145">
        <v>25.2</v>
      </c>
      <c r="R145">
        <v>24.6</v>
      </c>
      <c r="S145">
        <v>23.6</v>
      </c>
      <c r="T145">
        <v>23.9</v>
      </c>
      <c r="U145">
        <v>25.6</v>
      </c>
      <c r="V145">
        <v>25.1</v>
      </c>
      <c r="W145">
        <v>22.4</v>
      </c>
      <c r="X145">
        <v>24.4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f t="shared" si="77"/>
        <v>1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f t="shared" si="68"/>
        <v>1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0</v>
      </c>
      <c r="BS145">
        <v>0</v>
      </c>
      <c r="BT145">
        <f t="shared" si="69"/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</v>
      </c>
      <c r="CB145">
        <v>0</v>
      </c>
      <c r="CC145">
        <v>0</v>
      </c>
      <c r="CD145">
        <v>0</v>
      </c>
      <c r="CE145">
        <f t="shared" si="70"/>
        <v>1</v>
      </c>
      <c r="CG145">
        <f t="shared" si="98"/>
        <v>0</v>
      </c>
      <c r="CH145">
        <f t="shared" si="78"/>
        <v>0</v>
      </c>
      <c r="CI145">
        <f t="shared" si="79"/>
        <v>0</v>
      </c>
      <c r="CJ145">
        <f t="shared" si="80"/>
        <v>0</v>
      </c>
      <c r="CK145">
        <f t="shared" si="81"/>
        <v>0</v>
      </c>
      <c r="CL145">
        <f t="shared" si="82"/>
        <v>1</v>
      </c>
      <c r="CM145">
        <f t="shared" si="83"/>
        <v>0</v>
      </c>
      <c r="CN145">
        <f t="shared" si="84"/>
        <v>0</v>
      </c>
      <c r="CO145">
        <f t="shared" si="85"/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f t="shared" si="71"/>
        <v>1</v>
      </c>
      <c r="CW145">
        <f t="shared" si="72"/>
        <v>1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f t="shared" si="73"/>
        <v>0</v>
      </c>
      <c r="DF145">
        <v>1</v>
      </c>
      <c r="DG145">
        <f t="shared" si="74"/>
        <v>1</v>
      </c>
      <c r="DI145">
        <f t="shared" si="99"/>
        <v>0</v>
      </c>
      <c r="DJ145">
        <f t="shared" si="86"/>
        <v>0</v>
      </c>
      <c r="DK145">
        <f t="shared" si="87"/>
        <v>0</v>
      </c>
      <c r="DL145">
        <f t="shared" si="88"/>
        <v>0</v>
      </c>
      <c r="DM145">
        <f t="shared" si="89"/>
        <v>0</v>
      </c>
      <c r="DN145">
        <f t="shared" si="90"/>
        <v>0</v>
      </c>
      <c r="DO145">
        <f t="shared" si="91"/>
        <v>0</v>
      </c>
      <c r="DP145">
        <f t="shared" si="92"/>
        <v>1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f t="shared" si="75"/>
        <v>1</v>
      </c>
      <c r="DX145">
        <f t="shared" si="76"/>
        <v>1</v>
      </c>
      <c r="DZ145">
        <f t="shared" si="100"/>
        <v>0</v>
      </c>
      <c r="EA145">
        <f t="shared" si="93"/>
        <v>0</v>
      </c>
      <c r="EB145">
        <f t="shared" si="94"/>
        <v>0</v>
      </c>
      <c r="EC145">
        <f t="shared" si="95"/>
        <v>0</v>
      </c>
      <c r="ED145">
        <f t="shared" si="96"/>
        <v>0</v>
      </c>
      <c r="EE145">
        <f t="shared" si="97"/>
        <v>1</v>
      </c>
    </row>
    <row r="146" spans="1:135" x14ac:dyDescent="0.35">
      <c r="A146" t="s">
        <v>209</v>
      </c>
      <c r="B146">
        <f>[1]Population!$BB189</f>
        <v>177397</v>
      </c>
      <c r="C146">
        <f>[1]RealGDP!$BB189</f>
        <v>1083804878.6319301</v>
      </c>
      <c r="D146" s="10">
        <f>[1]GDPcap!$BB189</f>
        <v>6109.4882023480113</v>
      </c>
      <c r="F146" t="s">
        <v>582</v>
      </c>
      <c r="G146" t="s">
        <v>585</v>
      </c>
      <c r="H146">
        <v>24.1</v>
      </c>
      <c r="I146">
        <v>24.1</v>
      </c>
      <c r="J146">
        <v>24.5</v>
      </c>
      <c r="K146">
        <v>25.1</v>
      </c>
      <c r="L146">
        <v>26.1</v>
      </c>
      <c r="M146">
        <v>26.6</v>
      </c>
      <c r="N146">
        <v>26.3</v>
      </c>
      <c r="O146">
        <v>26.4</v>
      </c>
      <c r="P146">
        <v>26.5</v>
      </c>
      <c r="Q146">
        <v>26</v>
      </c>
      <c r="R146">
        <v>25.6</v>
      </c>
      <c r="S146">
        <v>24.8</v>
      </c>
      <c r="T146">
        <v>25.2</v>
      </c>
      <c r="U146">
        <v>26.4</v>
      </c>
      <c r="V146">
        <v>26.1</v>
      </c>
      <c r="W146">
        <v>23.5</v>
      </c>
      <c r="X146">
        <v>25.5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f t="shared" si="77"/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f t="shared" si="68"/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f t="shared" si="69"/>
        <v>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1</v>
      </c>
      <c r="CB146">
        <v>0</v>
      </c>
      <c r="CC146">
        <v>0</v>
      </c>
      <c r="CD146">
        <v>0</v>
      </c>
      <c r="CE146">
        <f t="shared" si="70"/>
        <v>1</v>
      </c>
      <c r="CG146">
        <f t="shared" si="98"/>
        <v>0</v>
      </c>
      <c r="CH146">
        <f t="shared" si="78"/>
        <v>0</v>
      </c>
      <c r="CI146">
        <f t="shared" si="79"/>
        <v>0</v>
      </c>
      <c r="CJ146">
        <f t="shared" si="80"/>
        <v>0</v>
      </c>
      <c r="CK146">
        <f t="shared" si="81"/>
        <v>0</v>
      </c>
      <c r="CL146">
        <f t="shared" si="82"/>
        <v>1</v>
      </c>
      <c r="CM146">
        <f t="shared" si="83"/>
        <v>0</v>
      </c>
      <c r="CN146">
        <f t="shared" si="84"/>
        <v>0</v>
      </c>
      <c r="CO146">
        <f t="shared" si="85"/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f t="shared" si="71"/>
        <v>1</v>
      </c>
      <c r="CW146">
        <f t="shared" si="72"/>
        <v>1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f t="shared" si="73"/>
        <v>0</v>
      </c>
      <c r="DF146">
        <v>1</v>
      </c>
      <c r="DG146">
        <f t="shared" si="74"/>
        <v>1</v>
      </c>
      <c r="DI146">
        <f t="shared" si="99"/>
        <v>0</v>
      </c>
      <c r="DJ146">
        <f t="shared" si="86"/>
        <v>0</v>
      </c>
      <c r="DK146">
        <f t="shared" si="87"/>
        <v>0</v>
      </c>
      <c r="DL146">
        <f t="shared" si="88"/>
        <v>0</v>
      </c>
      <c r="DM146">
        <f t="shared" si="89"/>
        <v>0</v>
      </c>
      <c r="DN146">
        <f t="shared" si="90"/>
        <v>0</v>
      </c>
      <c r="DO146">
        <f t="shared" si="91"/>
        <v>0</v>
      </c>
      <c r="DP146">
        <f t="shared" si="92"/>
        <v>1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f t="shared" si="75"/>
        <v>1</v>
      </c>
      <c r="DX146">
        <f t="shared" si="76"/>
        <v>1</v>
      </c>
      <c r="DZ146">
        <f t="shared" si="100"/>
        <v>0</v>
      </c>
      <c r="EA146">
        <f t="shared" si="93"/>
        <v>0</v>
      </c>
      <c r="EB146">
        <f t="shared" si="94"/>
        <v>0</v>
      </c>
      <c r="EC146">
        <f t="shared" si="95"/>
        <v>0</v>
      </c>
      <c r="ED146">
        <f t="shared" si="96"/>
        <v>0</v>
      </c>
      <c r="EE146">
        <f t="shared" si="97"/>
        <v>1</v>
      </c>
    </row>
    <row r="147" spans="1:135" x14ac:dyDescent="0.35">
      <c r="A147" t="s">
        <v>438</v>
      </c>
      <c r="B147">
        <f>[1]Population!$BB191</f>
        <v>109316</v>
      </c>
      <c r="C147">
        <f>[1]RealGDP!$BB191</f>
        <v>589844929.93824661</v>
      </c>
      <c r="D147" s="10">
        <f>[1]GDPcap!$BB191</f>
        <v>5395.7785679886438</v>
      </c>
      <c r="F147" t="s">
        <v>582</v>
      </c>
      <c r="G147" t="s">
        <v>586</v>
      </c>
      <c r="H147">
        <v>25.2</v>
      </c>
      <c r="I147">
        <v>25.2</v>
      </c>
      <c r="J147">
        <v>25.9</v>
      </c>
      <c r="K147">
        <v>26.6</v>
      </c>
      <c r="L147">
        <v>27.7</v>
      </c>
      <c r="M147">
        <v>27.9</v>
      </c>
      <c r="N147">
        <v>27.5</v>
      </c>
      <c r="O147">
        <v>27.6</v>
      </c>
      <c r="P147">
        <v>27.6</v>
      </c>
      <c r="Q147">
        <v>27.2</v>
      </c>
      <c r="R147">
        <v>26.8</v>
      </c>
      <c r="S147">
        <v>25.8</v>
      </c>
      <c r="T147">
        <v>26.7</v>
      </c>
      <c r="U147">
        <v>27.7</v>
      </c>
      <c r="V147">
        <v>27.2</v>
      </c>
      <c r="W147">
        <v>24.5</v>
      </c>
      <c r="X147">
        <v>26.7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f t="shared" si="77"/>
        <v>1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f t="shared" si="68"/>
        <v>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f t="shared" si="69"/>
        <v>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</v>
      </c>
      <c r="CB147">
        <v>0</v>
      </c>
      <c r="CC147">
        <v>0</v>
      </c>
      <c r="CD147">
        <v>0</v>
      </c>
      <c r="CE147">
        <f t="shared" si="70"/>
        <v>1</v>
      </c>
      <c r="CG147">
        <f t="shared" si="98"/>
        <v>0</v>
      </c>
      <c r="CH147">
        <f t="shared" si="78"/>
        <v>0</v>
      </c>
      <c r="CI147">
        <f t="shared" si="79"/>
        <v>0</v>
      </c>
      <c r="CJ147">
        <f t="shared" si="80"/>
        <v>0</v>
      </c>
      <c r="CK147">
        <f t="shared" si="81"/>
        <v>0</v>
      </c>
      <c r="CL147">
        <f t="shared" si="82"/>
        <v>1</v>
      </c>
      <c r="CM147">
        <f t="shared" si="83"/>
        <v>0</v>
      </c>
      <c r="CN147">
        <f t="shared" si="84"/>
        <v>0</v>
      </c>
      <c r="CO147">
        <f t="shared" si="85"/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f t="shared" si="71"/>
        <v>1</v>
      </c>
      <c r="CW147">
        <f t="shared" si="72"/>
        <v>1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f t="shared" si="73"/>
        <v>0</v>
      </c>
      <c r="DF147">
        <v>1</v>
      </c>
      <c r="DG147">
        <f t="shared" si="74"/>
        <v>1</v>
      </c>
      <c r="DI147">
        <f t="shared" si="99"/>
        <v>0</v>
      </c>
      <c r="DJ147">
        <f t="shared" si="86"/>
        <v>0</v>
      </c>
      <c r="DK147">
        <f t="shared" si="87"/>
        <v>0</v>
      </c>
      <c r="DL147">
        <f t="shared" si="88"/>
        <v>0</v>
      </c>
      <c r="DM147">
        <f t="shared" si="89"/>
        <v>0</v>
      </c>
      <c r="DN147">
        <f t="shared" si="90"/>
        <v>0</v>
      </c>
      <c r="DO147">
        <f t="shared" si="91"/>
        <v>0</v>
      </c>
      <c r="DP147">
        <f t="shared" si="92"/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f t="shared" si="75"/>
        <v>1</v>
      </c>
      <c r="DX147">
        <f t="shared" si="76"/>
        <v>1</v>
      </c>
      <c r="DZ147">
        <f t="shared" si="100"/>
        <v>0</v>
      </c>
      <c r="EA147">
        <f t="shared" si="93"/>
        <v>0</v>
      </c>
      <c r="EB147">
        <f t="shared" si="94"/>
        <v>0</v>
      </c>
      <c r="EC147">
        <f t="shared" si="95"/>
        <v>0</v>
      </c>
      <c r="ED147">
        <f t="shared" si="96"/>
        <v>0</v>
      </c>
      <c r="EE147">
        <f t="shared" si="97"/>
        <v>1</v>
      </c>
    </row>
    <row r="148" spans="1:135" x14ac:dyDescent="0.35">
      <c r="A148" t="s">
        <v>439</v>
      </c>
      <c r="B148">
        <f>[1]Population!$BB192</f>
        <v>186029</v>
      </c>
      <c r="C148">
        <f>[1]RealGDP!$BB192</f>
        <v>426326498.14749146</v>
      </c>
      <c r="D148" s="10">
        <f>[1]GDPcap!$BB192</f>
        <v>2291.7206357476061</v>
      </c>
      <c r="F148" t="s">
        <v>439</v>
      </c>
      <c r="H148">
        <v>27.2</v>
      </c>
      <c r="I148">
        <v>27.2</v>
      </c>
      <c r="J148">
        <v>27.2</v>
      </c>
      <c r="K148">
        <v>27.2</v>
      </c>
      <c r="L148">
        <v>26.7</v>
      </c>
      <c r="M148">
        <v>26.3</v>
      </c>
      <c r="N148">
        <v>26</v>
      </c>
      <c r="O148">
        <v>25.8</v>
      </c>
      <c r="P148">
        <v>26.2</v>
      </c>
      <c r="Q148">
        <v>26.4</v>
      </c>
      <c r="R148">
        <v>26.8</v>
      </c>
      <c r="S148">
        <v>27</v>
      </c>
      <c r="T148">
        <v>27</v>
      </c>
      <c r="U148">
        <v>26</v>
      </c>
      <c r="V148">
        <v>26.5</v>
      </c>
      <c r="W148">
        <v>26.2</v>
      </c>
      <c r="X148">
        <v>26.7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f t="shared" si="77"/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0</v>
      </c>
      <c r="BE148">
        <f t="shared" si="68"/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f t="shared" si="69"/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</v>
      </c>
      <c r="CC148">
        <v>0</v>
      </c>
      <c r="CD148">
        <v>0</v>
      </c>
      <c r="CE148">
        <f t="shared" si="70"/>
        <v>1</v>
      </c>
      <c r="CG148">
        <f t="shared" si="98"/>
        <v>0</v>
      </c>
      <c r="CH148">
        <f t="shared" si="78"/>
        <v>0</v>
      </c>
      <c r="CI148">
        <f t="shared" si="79"/>
        <v>0</v>
      </c>
      <c r="CJ148">
        <f t="shared" si="80"/>
        <v>0</v>
      </c>
      <c r="CK148">
        <f t="shared" si="81"/>
        <v>0</v>
      </c>
      <c r="CL148">
        <f t="shared" si="82"/>
        <v>0</v>
      </c>
      <c r="CM148">
        <f t="shared" si="83"/>
        <v>1</v>
      </c>
      <c r="CN148">
        <f t="shared" si="84"/>
        <v>0</v>
      </c>
      <c r="CO148">
        <f t="shared" si="85"/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f t="shared" si="71"/>
        <v>1</v>
      </c>
      <c r="CW148">
        <f t="shared" si="72"/>
        <v>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1</v>
      </c>
      <c r="DE148">
        <f t="shared" si="73"/>
        <v>0</v>
      </c>
      <c r="DF148">
        <v>0</v>
      </c>
      <c r="DG148">
        <f t="shared" si="74"/>
        <v>1</v>
      </c>
      <c r="DI148">
        <f t="shared" si="99"/>
        <v>0</v>
      </c>
      <c r="DJ148">
        <f t="shared" si="86"/>
        <v>0</v>
      </c>
      <c r="DK148">
        <f t="shared" si="87"/>
        <v>0</v>
      </c>
      <c r="DL148">
        <f t="shared" si="88"/>
        <v>0</v>
      </c>
      <c r="DM148">
        <f t="shared" si="89"/>
        <v>0</v>
      </c>
      <c r="DN148">
        <f t="shared" si="90"/>
        <v>1</v>
      </c>
      <c r="DO148">
        <f t="shared" si="91"/>
        <v>0</v>
      </c>
      <c r="DP148">
        <f t="shared" si="92"/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f t="shared" si="75"/>
        <v>1</v>
      </c>
      <c r="DX148">
        <f t="shared" si="76"/>
        <v>1</v>
      </c>
      <c r="DZ148">
        <f t="shared" si="100"/>
        <v>0</v>
      </c>
      <c r="EA148">
        <f t="shared" si="93"/>
        <v>0</v>
      </c>
      <c r="EB148">
        <f t="shared" si="94"/>
        <v>0</v>
      </c>
      <c r="EC148">
        <f t="shared" si="95"/>
        <v>0</v>
      </c>
      <c r="ED148">
        <f t="shared" si="96"/>
        <v>0</v>
      </c>
      <c r="EE148">
        <f t="shared" si="97"/>
        <v>1</v>
      </c>
    </row>
    <row r="149" spans="1:135" x14ac:dyDescent="0.35">
      <c r="A149" t="s">
        <v>281</v>
      </c>
      <c r="B149">
        <f>[1]Population!$BB194</f>
        <v>27258387</v>
      </c>
      <c r="C149">
        <f>[1]RealGDP!$BB194</f>
        <v>435991918415.44006</v>
      </c>
      <c r="D149" s="10">
        <f>[1]GDPcap!$BB194</f>
        <v>15994.78055746439</v>
      </c>
      <c r="F149" t="s">
        <v>571</v>
      </c>
      <c r="G149" t="s">
        <v>572</v>
      </c>
      <c r="H149">
        <v>15.3</v>
      </c>
      <c r="I149">
        <v>17</v>
      </c>
      <c r="J149">
        <v>20.5</v>
      </c>
      <c r="K149">
        <v>24.4</v>
      </c>
      <c r="L149">
        <v>28.9</v>
      </c>
      <c r="M149">
        <v>31.6</v>
      </c>
      <c r="N149">
        <v>32.200000000000003</v>
      </c>
      <c r="O149">
        <v>32.200000000000003</v>
      </c>
      <c r="P149">
        <v>30.3</v>
      </c>
      <c r="Q149">
        <v>25.9</v>
      </c>
      <c r="R149">
        <v>20.8</v>
      </c>
      <c r="S149">
        <v>16.600000000000001</v>
      </c>
      <c r="T149">
        <v>24.6</v>
      </c>
      <c r="U149">
        <v>32</v>
      </c>
      <c r="V149">
        <v>25.7</v>
      </c>
      <c r="W149">
        <v>15.8</v>
      </c>
      <c r="X149">
        <v>24.6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f t="shared" si="77"/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f t="shared" si="68"/>
        <v>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f t="shared" si="69"/>
        <v>1</v>
      </c>
      <c r="BV149">
        <v>0</v>
      </c>
      <c r="BW149">
        <v>0</v>
      </c>
      <c r="BX149">
        <v>0</v>
      </c>
      <c r="BY149">
        <v>0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f t="shared" si="70"/>
        <v>1</v>
      </c>
      <c r="CG149">
        <f t="shared" si="98"/>
        <v>0</v>
      </c>
      <c r="CH149">
        <f t="shared" si="78"/>
        <v>0</v>
      </c>
      <c r="CI149">
        <f t="shared" si="79"/>
        <v>0</v>
      </c>
      <c r="CJ149">
        <f t="shared" si="80"/>
        <v>0</v>
      </c>
      <c r="CK149">
        <f t="shared" si="81"/>
        <v>1</v>
      </c>
      <c r="CL149">
        <f t="shared" si="82"/>
        <v>0</v>
      </c>
      <c r="CM149">
        <f t="shared" si="83"/>
        <v>0</v>
      </c>
      <c r="CN149">
        <f t="shared" si="84"/>
        <v>0</v>
      </c>
      <c r="CO149">
        <f t="shared" si="85"/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f t="shared" si="71"/>
        <v>1</v>
      </c>
      <c r="CW149">
        <f t="shared" si="72"/>
        <v>1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f t="shared" si="73"/>
        <v>1</v>
      </c>
      <c r="DF149">
        <v>0</v>
      </c>
      <c r="DG149">
        <f t="shared" si="74"/>
        <v>1</v>
      </c>
      <c r="DI149">
        <f t="shared" si="99"/>
        <v>0</v>
      </c>
      <c r="DJ149">
        <f t="shared" si="86"/>
        <v>0</v>
      </c>
      <c r="DK149">
        <f t="shared" si="87"/>
        <v>0</v>
      </c>
      <c r="DL149">
        <f t="shared" si="88"/>
        <v>0</v>
      </c>
      <c r="DM149">
        <f t="shared" si="89"/>
        <v>0</v>
      </c>
      <c r="DN149">
        <f t="shared" si="90"/>
        <v>0</v>
      </c>
      <c r="DO149">
        <f t="shared" si="91"/>
        <v>1</v>
      </c>
      <c r="DP149">
        <f t="shared" si="92"/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f t="shared" si="75"/>
        <v>1</v>
      </c>
      <c r="DX149">
        <f t="shared" si="76"/>
        <v>1</v>
      </c>
      <c r="DZ149">
        <f t="shared" si="100"/>
        <v>0</v>
      </c>
      <c r="EA149">
        <f t="shared" si="93"/>
        <v>0</v>
      </c>
      <c r="EB149">
        <f t="shared" si="94"/>
        <v>0</v>
      </c>
      <c r="EC149">
        <f t="shared" si="95"/>
        <v>0</v>
      </c>
      <c r="ED149">
        <f t="shared" si="96"/>
        <v>0</v>
      </c>
      <c r="EE149">
        <f t="shared" si="97"/>
        <v>1</v>
      </c>
    </row>
    <row r="150" spans="1:135" x14ac:dyDescent="0.35">
      <c r="A150" t="s">
        <v>210</v>
      </c>
      <c r="B150">
        <f>[1]Population!$BB195</f>
        <v>12950564</v>
      </c>
      <c r="C150">
        <f>[1]RealGDP!$BB195</f>
        <v>10366034228.236326</v>
      </c>
      <c r="D150" s="10">
        <f>[1]GDPcap!$BB195</f>
        <v>800.43110309607573</v>
      </c>
      <c r="F150" t="s">
        <v>210</v>
      </c>
      <c r="H150">
        <v>24.2</v>
      </c>
      <c r="I150">
        <v>26.4</v>
      </c>
      <c r="J150">
        <v>28.4</v>
      </c>
      <c r="K150">
        <v>30</v>
      </c>
      <c r="L150">
        <v>31.1</v>
      </c>
      <c r="M150">
        <v>30.2</v>
      </c>
      <c r="N150">
        <v>28.4</v>
      </c>
      <c r="O150">
        <v>27.7</v>
      </c>
      <c r="P150">
        <v>27.8</v>
      </c>
      <c r="Q150">
        <v>28.6</v>
      </c>
      <c r="R150">
        <v>27</v>
      </c>
      <c r="S150">
        <v>24.2</v>
      </c>
      <c r="T150">
        <v>29.8</v>
      </c>
      <c r="U150">
        <v>28.8</v>
      </c>
      <c r="V150">
        <v>27.8</v>
      </c>
      <c r="W150">
        <v>24.1</v>
      </c>
      <c r="X150">
        <v>27.8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77"/>
        <v>1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</v>
      </c>
      <c r="BA150">
        <v>0</v>
      </c>
      <c r="BB150">
        <v>0</v>
      </c>
      <c r="BC150">
        <v>0</v>
      </c>
      <c r="BD150">
        <v>0</v>
      </c>
      <c r="BE150">
        <f t="shared" ref="BE150:BE190" si="101">SUM(AP150:BD150)</f>
        <v>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0</v>
      </c>
      <c r="BT150">
        <f t="shared" si="69"/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</v>
      </c>
      <c r="CE150">
        <f t="shared" si="70"/>
        <v>1</v>
      </c>
      <c r="CG150">
        <f t="shared" si="98"/>
        <v>0</v>
      </c>
      <c r="CH150">
        <f t="shared" si="78"/>
        <v>0</v>
      </c>
      <c r="CI150">
        <f t="shared" si="79"/>
        <v>0</v>
      </c>
      <c r="CJ150">
        <f t="shared" si="80"/>
        <v>0</v>
      </c>
      <c r="CK150">
        <f t="shared" si="81"/>
        <v>0</v>
      </c>
      <c r="CL150">
        <f t="shared" si="82"/>
        <v>0</v>
      </c>
      <c r="CM150">
        <f t="shared" si="83"/>
        <v>0</v>
      </c>
      <c r="CN150">
        <f t="shared" si="84"/>
        <v>0</v>
      </c>
      <c r="CO150">
        <f t="shared" si="85"/>
        <v>1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f t="shared" si="71"/>
        <v>1</v>
      </c>
      <c r="CW150">
        <f t="shared" si="72"/>
        <v>1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f t="shared" si="73"/>
        <v>1</v>
      </c>
      <c r="DF150">
        <v>0</v>
      </c>
      <c r="DG150">
        <f t="shared" si="74"/>
        <v>1</v>
      </c>
      <c r="DI150">
        <f t="shared" si="99"/>
        <v>0</v>
      </c>
      <c r="DJ150">
        <f t="shared" si="86"/>
        <v>0</v>
      </c>
      <c r="DK150">
        <f t="shared" si="87"/>
        <v>0</v>
      </c>
      <c r="DL150">
        <f t="shared" si="88"/>
        <v>0</v>
      </c>
      <c r="DM150">
        <f t="shared" si="89"/>
        <v>0</v>
      </c>
      <c r="DN150">
        <f t="shared" si="90"/>
        <v>0</v>
      </c>
      <c r="DO150">
        <f t="shared" si="91"/>
        <v>1</v>
      </c>
      <c r="DP150">
        <f t="shared" si="92"/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f t="shared" si="75"/>
        <v>1</v>
      </c>
      <c r="DX150">
        <f t="shared" si="76"/>
        <v>1</v>
      </c>
      <c r="DZ150">
        <f t="shared" si="100"/>
        <v>0</v>
      </c>
      <c r="EA150">
        <f t="shared" si="93"/>
        <v>0</v>
      </c>
      <c r="EB150">
        <f t="shared" si="94"/>
        <v>0</v>
      </c>
      <c r="EC150">
        <f t="shared" si="95"/>
        <v>0</v>
      </c>
      <c r="ED150">
        <f t="shared" si="96"/>
        <v>0</v>
      </c>
      <c r="EE150">
        <f t="shared" si="97"/>
        <v>1</v>
      </c>
    </row>
    <row r="151" spans="1:135" x14ac:dyDescent="0.35">
      <c r="A151" t="s">
        <v>262</v>
      </c>
      <c r="B151">
        <f>[1]Population!$BB196</f>
        <v>7291436</v>
      </c>
      <c r="C151">
        <f>[1]RealGDP!$BB196</f>
        <v>27876766882.558659</v>
      </c>
      <c r="D151" s="10">
        <f>[1]GDPcap!$BB196</f>
        <v>3823.2204030260514</v>
      </c>
      <c r="F151" t="s">
        <v>229</v>
      </c>
      <c r="H151">
        <v>-1.6</v>
      </c>
      <c r="I151">
        <v>0.5</v>
      </c>
      <c r="J151">
        <v>4.5999999999999996</v>
      </c>
      <c r="K151">
        <v>9.9</v>
      </c>
      <c r="L151">
        <v>14.7</v>
      </c>
      <c r="M151">
        <v>17.899999999999999</v>
      </c>
      <c r="N151">
        <v>19.899999999999999</v>
      </c>
      <c r="O151">
        <v>19.7</v>
      </c>
      <c r="P151">
        <v>16.100000000000001</v>
      </c>
      <c r="Q151">
        <v>10.7</v>
      </c>
      <c r="R151">
        <v>5.2</v>
      </c>
      <c r="S151">
        <v>0.8</v>
      </c>
      <c r="T151">
        <v>9.6999999999999993</v>
      </c>
      <c r="U151">
        <v>19.2</v>
      </c>
      <c r="V151">
        <v>10.6</v>
      </c>
      <c r="W151">
        <v>-0.1</v>
      </c>
      <c r="X151">
        <v>9.9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77"/>
        <v>1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f t="shared" si="101"/>
        <v>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1</v>
      </c>
      <c r="BP151">
        <v>0</v>
      </c>
      <c r="BQ151">
        <v>0</v>
      </c>
      <c r="BR151">
        <v>0</v>
      </c>
      <c r="BS151">
        <v>0</v>
      </c>
      <c r="BT151">
        <f t="shared" ref="BT151:BT190" si="102">SUM(BG151:BS151)</f>
        <v>1</v>
      </c>
      <c r="BV151">
        <v>0</v>
      </c>
      <c r="BW151">
        <v>0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f t="shared" ref="CE151:CE190" si="103">SUM(BV151:CD151)</f>
        <v>1</v>
      </c>
      <c r="CG151">
        <f t="shared" si="98"/>
        <v>0</v>
      </c>
      <c r="CH151">
        <f t="shared" si="78"/>
        <v>0</v>
      </c>
      <c r="CI151">
        <f t="shared" si="79"/>
        <v>0</v>
      </c>
      <c r="CJ151">
        <f t="shared" si="80"/>
        <v>1</v>
      </c>
      <c r="CK151">
        <f t="shared" si="81"/>
        <v>0</v>
      </c>
      <c r="CL151">
        <f t="shared" si="82"/>
        <v>0</v>
      </c>
      <c r="CM151">
        <f t="shared" si="83"/>
        <v>0</v>
      </c>
      <c r="CN151">
        <f t="shared" si="84"/>
        <v>0</v>
      </c>
      <c r="CO151">
        <f t="shared" si="85"/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f t="shared" ref="CV151:CV190" si="104">1-SUM(CQ151:CU151)</f>
        <v>1</v>
      </c>
      <c r="CW151">
        <f t="shared" ref="CW151:CW190" si="105">SUM(CQ151:CV151)</f>
        <v>1</v>
      </c>
      <c r="CY151">
        <v>0</v>
      </c>
      <c r="CZ151">
        <v>0</v>
      </c>
      <c r="DA151">
        <v>0</v>
      </c>
      <c r="DB151">
        <v>1</v>
      </c>
      <c r="DC151">
        <v>0</v>
      </c>
      <c r="DD151">
        <v>0</v>
      </c>
      <c r="DE151">
        <f t="shared" ref="DE151:DE190" si="106">BZ151+CD151</f>
        <v>0</v>
      </c>
      <c r="DF151">
        <v>0</v>
      </c>
      <c r="DG151">
        <f t="shared" ref="DG151:DG190" si="107">SUM(CY151:DF151)</f>
        <v>1</v>
      </c>
      <c r="DI151">
        <f t="shared" si="99"/>
        <v>0</v>
      </c>
      <c r="DJ151">
        <f t="shared" si="86"/>
        <v>0</v>
      </c>
      <c r="DK151">
        <f t="shared" si="87"/>
        <v>0</v>
      </c>
      <c r="DL151">
        <f t="shared" si="88"/>
        <v>1</v>
      </c>
      <c r="DM151">
        <f t="shared" si="89"/>
        <v>0</v>
      </c>
      <c r="DN151">
        <f t="shared" si="90"/>
        <v>0</v>
      </c>
      <c r="DO151">
        <f t="shared" si="91"/>
        <v>0</v>
      </c>
      <c r="DP151">
        <f t="shared" si="92"/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f t="shared" ref="DW151:DW190" si="108">1-SUM(DR151:DV151)</f>
        <v>1</v>
      </c>
      <c r="DX151">
        <f t="shared" ref="DX151:DX190" si="109">SUM(DR151:DW151)</f>
        <v>1</v>
      </c>
      <c r="DZ151">
        <f t="shared" si="100"/>
        <v>0</v>
      </c>
      <c r="EA151">
        <f t="shared" si="93"/>
        <v>0</v>
      </c>
      <c r="EB151">
        <f t="shared" si="94"/>
        <v>0</v>
      </c>
      <c r="EC151">
        <f t="shared" si="95"/>
        <v>0</v>
      </c>
      <c r="ED151">
        <f t="shared" si="96"/>
        <v>0</v>
      </c>
      <c r="EE151">
        <f t="shared" si="97"/>
        <v>1</v>
      </c>
    </row>
    <row r="152" spans="1:135" x14ac:dyDescent="0.35">
      <c r="A152" t="s">
        <v>440</v>
      </c>
      <c r="B152">
        <f>[1]Population!$BB197</f>
        <v>89770</v>
      </c>
      <c r="C152">
        <f>[1]RealGDP!$BB197</f>
        <v>1135149255.7550099</v>
      </c>
      <c r="D152" s="10">
        <f>[1]GDPcap!$BB197</f>
        <v>12645.084724908209</v>
      </c>
      <c r="F152" t="s">
        <v>440</v>
      </c>
      <c r="H152">
        <v>27</v>
      </c>
      <c r="I152">
        <v>27.5</v>
      </c>
      <c r="J152">
        <v>28</v>
      </c>
      <c r="K152">
        <v>28.2</v>
      </c>
      <c r="L152">
        <v>27.9</v>
      </c>
      <c r="M152">
        <v>26.8</v>
      </c>
      <c r="N152">
        <v>26</v>
      </c>
      <c r="O152">
        <v>26.2</v>
      </c>
      <c r="P152">
        <v>26.5</v>
      </c>
      <c r="Q152">
        <v>26.9</v>
      </c>
      <c r="R152">
        <v>27</v>
      </c>
      <c r="S152">
        <v>27</v>
      </c>
      <c r="T152">
        <v>28.1</v>
      </c>
      <c r="U152">
        <v>26.4</v>
      </c>
      <c r="V152">
        <v>26.8</v>
      </c>
      <c r="W152">
        <v>26.3</v>
      </c>
      <c r="X152">
        <v>27.1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f t="shared" si="77"/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0</v>
      </c>
      <c r="BE152">
        <f t="shared" si="101"/>
        <v>1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f t="shared" si="102"/>
        <v>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0</v>
      </c>
      <c r="CD152">
        <v>0</v>
      </c>
      <c r="CE152">
        <f t="shared" si="103"/>
        <v>1</v>
      </c>
      <c r="CG152">
        <f t="shared" si="98"/>
        <v>0</v>
      </c>
      <c r="CH152">
        <f t="shared" si="78"/>
        <v>0</v>
      </c>
      <c r="CI152">
        <f t="shared" si="79"/>
        <v>0</v>
      </c>
      <c r="CJ152">
        <f t="shared" si="80"/>
        <v>0</v>
      </c>
      <c r="CK152">
        <f t="shared" si="81"/>
        <v>0</v>
      </c>
      <c r="CL152">
        <f t="shared" si="82"/>
        <v>0</v>
      </c>
      <c r="CM152">
        <f t="shared" si="83"/>
        <v>1</v>
      </c>
      <c r="CN152">
        <f t="shared" si="84"/>
        <v>0</v>
      </c>
      <c r="CO152">
        <f t="shared" si="85"/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f t="shared" si="104"/>
        <v>1</v>
      </c>
      <c r="CW152">
        <f t="shared" si="105"/>
        <v>1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f t="shared" si="106"/>
        <v>0</v>
      </c>
      <c r="DF152">
        <v>0</v>
      </c>
      <c r="DG152">
        <f t="shared" si="107"/>
        <v>1</v>
      </c>
      <c r="DI152">
        <f t="shared" si="99"/>
        <v>0</v>
      </c>
      <c r="DJ152">
        <f t="shared" si="86"/>
        <v>0</v>
      </c>
      <c r="DK152">
        <f t="shared" si="87"/>
        <v>0</v>
      </c>
      <c r="DL152">
        <f t="shared" si="88"/>
        <v>0</v>
      </c>
      <c r="DM152">
        <f t="shared" si="89"/>
        <v>0</v>
      </c>
      <c r="DN152">
        <f t="shared" si="90"/>
        <v>1</v>
      </c>
      <c r="DO152">
        <f t="shared" si="91"/>
        <v>0</v>
      </c>
      <c r="DP152">
        <f t="shared" si="92"/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f t="shared" si="108"/>
        <v>1</v>
      </c>
      <c r="DX152">
        <f t="shared" si="109"/>
        <v>1</v>
      </c>
      <c r="DZ152">
        <f t="shared" si="100"/>
        <v>0</v>
      </c>
      <c r="EA152">
        <f t="shared" si="93"/>
        <v>0</v>
      </c>
      <c r="EB152">
        <f t="shared" si="94"/>
        <v>0</v>
      </c>
      <c r="EC152">
        <f t="shared" si="95"/>
        <v>0</v>
      </c>
      <c r="ED152">
        <f t="shared" si="96"/>
        <v>0</v>
      </c>
      <c r="EE152">
        <f t="shared" si="97"/>
        <v>1</v>
      </c>
    </row>
    <row r="153" spans="1:135" x14ac:dyDescent="0.35">
      <c r="A153" t="s">
        <v>211</v>
      </c>
      <c r="B153">
        <f>[1]Population!$BB198</f>
        <v>5751976</v>
      </c>
      <c r="C153">
        <f>[1]RealGDP!$BB198</f>
        <v>2130751272.7919905</v>
      </c>
      <c r="D153" s="10">
        <f>[1]GDPcap!$BB198</f>
        <v>370.43813687539563</v>
      </c>
      <c r="F153" t="s">
        <v>574</v>
      </c>
      <c r="G153" t="s">
        <v>575</v>
      </c>
      <c r="H153">
        <v>25.3</v>
      </c>
      <c r="I153">
        <v>26.9</v>
      </c>
      <c r="J153">
        <v>27.6</v>
      </c>
      <c r="K153">
        <v>27.6</v>
      </c>
      <c r="L153">
        <v>26.9</v>
      </c>
      <c r="M153">
        <v>25.9</v>
      </c>
      <c r="N153">
        <v>24.9</v>
      </c>
      <c r="O153">
        <v>24.8</v>
      </c>
      <c r="P153">
        <v>25.4</v>
      </c>
      <c r="Q153">
        <v>25.8</v>
      </c>
      <c r="R153">
        <v>26</v>
      </c>
      <c r="S153">
        <v>25.2</v>
      </c>
      <c r="T153">
        <v>27.4</v>
      </c>
      <c r="U153">
        <v>25.2</v>
      </c>
      <c r="V153">
        <v>25.7</v>
      </c>
      <c r="W153">
        <v>24.9</v>
      </c>
      <c r="X153">
        <v>26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77"/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0</v>
      </c>
      <c r="BC153">
        <v>0</v>
      </c>
      <c r="BD153">
        <v>0</v>
      </c>
      <c r="BE153">
        <f t="shared" si="101"/>
        <v>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</v>
      </c>
      <c r="BS153">
        <v>0</v>
      </c>
      <c r="BT153">
        <f t="shared" si="102"/>
        <v>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1</v>
      </c>
      <c r="CE153">
        <f t="shared" si="103"/>
        <v>1</v>
      </c>
      <c r="CG153">
        <f t="shared" si="98"/>
        <v>0</v>
      </c>
      <c r="CH153">
        <f t="shared" si="78"/>
        <v>0</v>
      </c>
      <c r="CI153">
        <f t="shared" si="79"/>
        <v>0</v>
      </c>
      <c r="CJ153">
        <f t="shared" si="80"/>
        <v>0</v>
      </c>
      <c r="CK153">
        <f t="shared" si="81"/>
        <v>0</v>
      </c>
      <c r="CL153">
        <f t="shared" si="82"/>
        <v>0</v>
      </c>
      <c r="CM153">
        <f t="shared" si="83"/>
        <v>0</v>
      </c>
      <c r="CN153">
        <f t="shared" si="84"/>
        <v>0</v>
      </c>
      <c r="CO153">
        <f t="shared" si="85"/>
        <v>1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f t="shared" si="104"/>
        <v>1</v>
      </c>
      <c r="CW153">
        <f t="shared" si="105"/>
        <v>1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f t="shared" si="106"/>
        <v>1</v>
      </c>
      <c r="DF153">
        <v>0</v>
      </c>
      <c r="DG153">
        <f t="shared" si="107"/>
        <v>1</v>
      </c>
      <c r="DI153">
        <f t="shared" si="99"/>
        <v>0</v>
      </c>
      <c r="DJ153">
        <f t="shared" si="86"/>
        <v>0</v>
      </c>
      <c r="DK153">
        <f t="shared" si="87"/>
        <v>0</v>
      </c>
      <c r="DL153">
        <f t="shared" si="88"/>
        <v>0</v>
      </c>
      <c r="DM153">
        <f t="shared" si="89"/>
        <v>0</v>
      </c>
      <c r="DN153">
        <f t="shared" si="90"/>
        <v>0</v>
      </c>
      <c r="DO153">
        <f t="shared" si="91"/>
        <v>1</v>
      </c>
      <c r="DP153">
        <f t="shared" si="92"/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f t="shared" si="108"/>
        <v>1</v>
      </c>
      <c r="DX153">
        <f t="shared" si="109"/>
        <v>1</v>
      </c>
      <c r="DZ153">
        <f t="shared" si="100"/>
        <v>0</v>
      </c>
      <c r="EA153">
        <f t="shared" si="93"/>
        <v>0</v>
      </c>
      <c r="EB153">
        <f t="shared" si="94"/>
        <v>0</v>
      </c>
      <c r="EC153">
        <f t="shared" si="95"/>
        <v>0</v>
      </c>
      <c r="ED153">
        <f t="shared" si="96"/>
        <v>0</v>
      </c>
      <c r="EE153">
        <f t="shared" si="97"/>
        <v>1</v>
      </c>
    </row>
    <row r="154" spans="1:135" x14ac:dyDescent="0.35">
      <c r="A154" t="s">
        <v>233</v>
      </c>
      <c r="B154">
        <f>[1]Population!$BB199</f>
        <v>5076700</v>
      </c>
      <c r="C154">
        <f>[1]RealGDP!$BB199</f>
        <v>176457991287.06442</v>
      </c>
      <c r="D154" s="10">
        <f>[1]GDPcap!$BB199</f>
        <v>34758.404334915285</v>
      </c>
      <c r="F154" t="s">
        <v>233</v>
      </c>
      <c r="H154">
        <v>25.8</v>
      </c>
      <c r="I154">
        <v>26.3</v>
      </c>
      <c r="J154">
        <v>26.7</v>
      </c>
      <c r="K154">
        <v>26.9</v>
      </c>
      <c r="L154">
        <v>27.1</v>
      </c>
      <c r="M154">
        <v>26.8</v>
      </c>
      <c r="N154">
        <v>26.4</v>
      </c>
      <c r="O154">
        <v>26.4</v>
      </c>
      <c r="P154">
        <v>26.4</v>
      </c>
      <c r="Q154">
        <v>26.4</v>
      </c>
      <c r="R154">
        <v>26.1</v>
      </c>
      <c r="S154">
        <v>25.7</v>
      </c>
      <c r="T154">
        <v>26.9</v>
      </c>
      <c r="U154">
        <v>26.5</v>
      </c>
      <c r="V154">
        <v>26.3</v>
      </c>
      <c r="W154">
        <v>25.1</v>
      </c>
      <c r="X154">
        <v>26.4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77"/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1</v>
      </c>
      <c r="BD154">
        <v>0</v>
      </c>
      <c r="BE154">
        <f t="shared" si="101"/>
        <v>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1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f t="shared" si="102"/>
        <v>1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0</v>
      </c>
      <c r="CD154">
        <v>0</v>
      </c>
      <c r="CE154">
        <f t="shared" si="103"/>
        <v>1</v>
      </c>
      <c r="CG154">
        <f t="shared" si="98"/>
        <v>0</v>
      </c>
      <c r="CH154">
        <f t="shared" si="78"/>
        <v>0</v>
      </c>
      <c r="CI154">
        <f t="shared" si="79"/>
        <v>0</v>
      </c>
      <c r="CJ154">
        <f t="shared" si="80"/>
        <v>0</v>
      </c>
      <c r="CK154">
        <f t="shared" si="81"/>
        <v>0</v>
      </c>
      <c r="CL154">
        <f t="shared" si="82"/>
        <v>0</v>
      </c>
      <c r="CM154">
        <f t="shared" si="83"/>
        <v>1</v>
      </c>
      <c r="CN154">
        <f t="shared" si="84"/>
        <v>0</v>
      </c>
      <c r="CO154">
        <f t="shared" si="85"/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f t="shared" si="104"/>
        <v>1</v>
      </c>
      <c r="CW154">
        <f t="shared" si="105"/>
        <v>1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1</v>
      </c>
      <c r="DE154">
        <f t="shared" si="106"/>
        <v>0</v>
      </c>
      <c r="DF154">
        <v>0</v>
      </c>
      <c r="DG154">
        <f t="shared" si="107"/>
        <v>1</v>
      </c>
      <c r="DI154">
        <f t="shared" si="99"/>
        <v>0</v>
      </c>
      <c r="DJ154">
        <f t="shared" si="86"/>
        <v>0</v>
      </c>
      <c r="DK154">
        <f t="shared" si="87"/>
        <v>0</v>
      </c>
      <c r="DL154">
        <f t="shared" si="88"/>
        <v>0</v>
      </c>
      <c r="DM154">
        <f t="shared" si="89"/>
        <v>0</v>
      </c>
      <c r="DN154">
        <f t="shared" si="90"/>
        <v>1</v>
      </c>
      <c r="DO154">
        <f t="shared" si="91"/>
        <v>0</v>
      </c>
      <c r="DP154">
        <f t="shared" si="92"/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f t="shared" si="108"/>
        <v>1</v>
      </c>
      <c r="DX154">
        <f t="shared" si="109"/>
        <v>1</v>
      </c>
      <c r="DZ154">
        <f t="shared" si="100"/>
        <v>0</v>
      </c>
      <c r="EA154">
        <f t="shared" si="93"/>
        <v>0</v>
      </c>
      <c r="EB154">
        <f t="shared" si="94"/>
        <v>0</v>
      </c>
      <c r="EC154">
        <f t="shared" si="95"/>
        <v>0</v>
      </c>
      <c r="ED154">
        <f t="shared" si="96"/>
        <v>0</v>
      </c>
      <c r="EE154">
        <f t="shared" si="97"/>
        <v>1</v>
      </c>
    </row>
    <row r="155" spans="1:135" x14ac:dyDescent="0.35">
      <c r="A155" t="s">
        <v>263</v>
      </c>
      <c r="B155">
        <f>[1]Population!$BB200</f>
        <v>5430099</v>
      </c>
      <c r="C155">
        <f>[1]RealGDP!$BB200</f>
        <v>76899962691.20755</v>
      </c>
      <c r="D155" s="10">
        <f>[1]GDPcap!$BB200</f>
        <v>14161.797545718329</v>
      </c>
      <c r="F155" t="s">
        <v>263</v>
      </c>
      <c r="H155">
        <v>-4.5</v>
      </c>
      <c r="I155">
        <v>-2.2000000000000002</v>
      </c>
      <c r="J155">
        <v>1.9</v>
      </c>
      <c r="K155">
        <v>7</v>
      </c>
      <c r="L155">
        <v>11.9</v>
      </c>
      <c r="M155">
        <v>14.8</v>
      </c>
      <c r="N155">
        <v>16.3</v>
      </c>
      <c r="O155">
        <v>16.100000000000001</v>
      </c>
      <c r="P155">
        <v>12.6</v>
      </c>
      <c r="Q155">
        <v>7.9</v>
      </c>
      <c r="R155">
        <v>2.1</v>
      </c>
      <c r="S155">
        <v>-2.5</v>
      </c>
      <c r="T155">
        <v>6.9</v>
      </c>
      <c r="U155">
        <v>15.7</v>
      </c>
      <c r="V155">
        <v>7.5</v>
      </c>
      <c r="W155">
        <v>-3</v>
      </c>
      <c r="X155">
        <v>6.8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77"/>
        <v>1</v>
      </c>
      <c r="AQ155">
        <v>0</v>
      </c>
      <c r="AR155">
        <v>0</v>
      </c>
      <c r="AS155">
        <v>0</v>
      </c>
      <c r="AT155">
        <v>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f t="shared" si="101"/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1</v>
      </c>
      <c r="BP155">
        <v>0</v>
      </c>
      <c r="BQ155">
        <v>0</v>
      </c>
      <c r="BR155">
        <v>0</v>
      </c>
      <c r="BS155">
        <v>0</v>
      </c>
      <c r="BT155">
        <f t="shared" si="102"/>
        <v>1</v>
      </c>
      <c r="BV155">
        <v>0</v>
      </c>
      <c r="BW155">
        <v>0</v>
      </c>
      <c r="BX155">
        <v>0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f t="shared" si="103"/>
        <v>1</v>
      </c>
      <c r="CG155">
        <f t="shared" si="98"/>
        <v>0</v>
      </c>
      <c r="CH155">
        <f t="shared" si="78"/>
        <v>0</v>
      </c>
      <c r="CI155">
        <f t="shared" si="79"/>
        <v>0</v>
      </c>
      <c r="CJ155">
        <f t="shared" si="80"/>
        <v>1</v>
      </c>
      <c r="CK155">
        <f t="shared" si="81"/>
        <v>0</v>
      </c>
      <c r="CL155">
        <f t="shared" si="82"/>
        <v>0</v>
      </c>
      <c r="CM155">
        <f t="shared" si="83"/>
        <v>0</v>
      </c>
      <c r="CN155">
        <f t="shared" si="84"/>
        <v>0</v>
      </c>
      <c r="CO155">
        <f t="shared" si="85"/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f t="shared" si="104"/>
        <v>1</v>
      </c>
      <c r="CW155">
        <f t="shared" si="105"/>
        <v>1</v>
      </c>
      <c r="CY155">
        <v>0</v>
      </c>
      <c r="CZ155">
        <v>0</v>
      </c>
      <c r="DA155">
        <v>0</v>
      </c>
      <c r="DB155">
        <v>1</v>
      </c>
      <c r="DC155">
        <v>0</v>
      </c>
      <c r="DD155">
        <v>0</v>
      </c>
      <c r="DE155">
        <f t="shared" si="106"/>
        <v>0</v>
      </c>
      <c r="DF155">
        <v>0</v>
      </c>
      <c r="DG155">
        <f t="shared" si="107"/>
        <v>1</v>
      </c>
      <c r="DI155">
        <f t="shared" si="99"/>
        <v>0</v>
      </c>
      <c r="DJ155">
        <f t="shared" si="86"/>
        <v>0</v>
      </c>
      <c r="DK155">
        <f t="shared" si="87"/>
        <v>0</v>
      </c>
      <c r="DL155">
        <f t="shared" si="88"/>
        <v>1</v>
      </c>
      <c r="DM155">
        <f t="shared" si="89"/>
        <v>0</v>
      </c>
      <c r="DN155">
        <f t="shared" si="90"/>
        <v>0</v>
      </c>
      <c r="DO155">
        <f t="shared" si="91"/>
        <v>0</v>
      </c>
      <c r="DP155">
        <f t="shared" si="92"/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f t="shared" si="108"/>
        <v>1</v>
      </c>
      <c r="DX155">
        <f t="shared" si="109"/>
        <v>1</v>
      </c>
      <c r="DZ155">
        <f t="shared" si="100"/>
        <v>0</v>
      </c>
      <c r="EA155">
        <f t="shared" si="93"/>
        <v>0</v>
      </c>
      <c r="EB155">
        <f t="shared" si="94"/>
        <v>0</v>
      </c>
      <c r="EC155">
        <f t="shared" si="95"/>
        <v>0</v>
      </c>
      <c r="ED155">
        <f t="shared" si="96"/>
        <v>0</v>
      </c>
      <c r="EE155">
        <f t="shared" si="97"/>
        <v>1</v>
      </c>
    </row>
    <row r="156" spans="1:135" x14ac:dyDescent="0.35">
      <c r="A156" t="s">
        <v>264</v>
      </c>
      <c r="B156">
        <f>[1]Population!$BB201</f>
        <v>2048583</v>
      </c>
      <c r="C156">
        <f>[1]RealGDP!$BB201</f>
        <v>39034227961.239731</v>
      </c>
      <c r="D156" s="10">
        <f>[1]GDPcap!$BB201</f>
        <v>19054.257484924816</v>
      </c>
      <c r="F156" t="s">
        <v>264</v>
      </c>
      <c r="H156">
        <v>-1.9</v>
      </c>
      <c r="I156">
        <v>0.5</v>
      </c>
      <c r="J156">
        <v>4.3</v>
      </c>
      <c r="K156">
        <v>8.9</v>
      </c>
      <c r="L156">
        <v>13.4</v>
      </c>
      <c r="M156">
        <v>16.600000000000001</v>
      </c>
      <c r="N156">
        <v>18.399999999999999</v>
      </c>
      <c r="O156">
        <v>18</v>
      </c>
      <c r="P156">
        <v>14.8</v>
      </c>
      <c r="Q156">
        <v>9.9</v>
      </c>
      <c r="R156">
        <v>4</v>
      </c>
      <c r="S156">
        <v>-0.5</v>
      </c>
      <c r="T156">
        <v>8.9</v>
      </c>
      <c r="U156">
        <v>17.7</v>
      </c>
      <c r="V156">
        <v>9.6</v>
      </c>
      <c r="W156">
        <v>-0.6</v>
      </c>
      <c r="X156">
        <v>8.9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77"/>
        <v>1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f t="shared" si="101"/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1</v>
      </c>
      <c r="BP156">
        <v>0</v>
      </c>
      <c r="BQ156">
        <v>0</v>
      </c>
      <c r="BR156">
        <v>0</v>
      </c>
      <c r="BS156">
        <v>0</v>
      </c>
      <c r="BT156">
        <f t="shared" si="102"/>
        <v>1</v>
      </c>
      <c r="BV156">
        <v>0</v>
      </c>
      <c r="BW156">
        <v>0</v>
      </c>
      <c r="BX156">
        <v>0</v>
      </c>
      <c r="BY156">
        <v>1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f t="shared" si="103"/>
        <v>1</v>
      </c>
      <c r="CG156">
        <f t="shared" si="98"/>
        <v>0</v>
      </c>
      <c r="CH156">
        <f t="shared" si="78"/>
        <v>0</v>
      </c>
      <c r="CI156">
        <f t="shared" si="79"/>
        <v>0</v>
      </c>
      <c r="CJ156">
        <f t="shared" si="80"/>
        <v>1</v>
      </c>
      <c r="CK156">
        <f t="shared" si="81"/>
        <v>0</v>
      </c>
      <c r="CL156">
        <f t="shared" si="82"/>
        <v>0</v>
      </c>
      <c r="CM156">
        <f t="shared" si="83"/>
        <v>0</v>
      </c>
      <c r="CN156">
        <f t="shared" si="84"/>
        <v>0</v>
      </c>
      <c r="CO156">
        <f t="shared" si="85"/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f t="shared" si="104"/>
        <v>1</v>
      </c>
      <c r="CW156">
        <f t="shared" si="105"/>
        <v>1</v>
      </c>
      <c r="CY156">
        <v>0</v>
      </c>
      <c r="CZ156">
        <v>0</v>
      </c>
      <c r="DA156">
        <v>0</v>
      </c>
      <c r="DB156">
        <v>1</v>
      </c>
      <c r="DC156">
        <v>0</v>
      </c>
      <c r="DD156">
        <v>0</v>
      </c>
      <c r="DE156">
        <f t="shared" si="106"/>
        <v>0</v>
      </c>
      <c r="DF156">
        <v>0</v>
      </c>
      <c r="DG156">
        <f t="shared" si="107"/>
        <v>1</v>
      </c>
      <c r="DI156">
        <f t="shared" si="99"/>
        <v>0</v>
      </c>
      <c r="DJ156">
        <f t="shared" si="86"/>
        <v>0</v>
      </c>
      <c r="DK156">
        <f t="shared" si="87"/>
        <v>0</v>
      </c>
      <c r="DL156">
        <f t="shared" si="88"/>
        <v>1</v>
      </c>
      <c r="DM156">
        <f t="shared" si="89"/>
        <v>0</v>
      </c>
      <c r="DN156">
        <f t="shared" si="90"/>
        <v>0</v>
      </c>
      <c r="DO156">
        <f t="shared" si="91"/>
        <v>0</v>
      </c>
      <c r="DP156">
        <f t="shared" si="92"/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f t="shared" si="108"/>
        <v>1</v>
      </c>
      <c r="DX156">
        <f t="shared" si="109"/>
        <v>1</v>
      </c>
      <c r="DZ156">
        <f t="shared" si="100"/>
        <v>0</v>
      </c>
      <c r="EA156">
        <f t="shared" si="93"/>
        <v>0</v>
      </c>
      <c r="EB156">
        <f t="shared" si="94"/>
        <v>0</v>
      </c>
      <c r="EC156">
        <f t="shared" si="95"/>
        <v>0</v>
      </c>
      <c r="ED156">
        <f t="shared" si="96"/>
        <v>0</v>
      </c>
      <c r="EE156">
        <f t="shared" si="97"/>
        <v>1</v>
      </c>
    </row>
    <row r="157" spans="1:135" x14ac:dyDescent="0.35">
      <c r="A157" t="s">
        <v>441</v>
      </c>
      <c r="B157">
        <f>[1]Population!$BB202</f>
        <v>526447</v>
      </c>
      <c r="C157">
        <f>[1]RealGDP!$BB202</f>
        <v>522614190.24701446</v>
      </c>
      <c r="D157" s="10">
        <f>[1]GDPcap!$BB202</f>
        <v>992.71947650383504</v>
      </c>
      <c r="F157" t="s">
        <v>578</v>
      </c>
      <c r="G157" t="s">
        <v>475</v>
      </c>
      <c r="H157">
        <v>26.3</v>
      </c>
      <c r="I157">
        <v>25.9</v>
      </c>
      <c r="J157">
        <v>25.9</v>
      </c>
      <c r="K157">
        <v>25.7</v>
      </c>
      <c r="L157">
        <v>25.5</v>
      </c>
      <c r="M157">
        <v>25.2</v>
      </c>
      <c r="N157">
        <v>24.8</v>
      </c>
      <c r="O157">
        <v>24.9</v>
      </c>
      <c r="P157">
        <v>25.5</v>
      </c>
      <c r="Q157">
        <v>25.9</v>
      </c>
      <c r="R157">
        <v>26</v>
      </c>
      <c r="S157">
        <v>26.2</v>
      </c>
      <c r="T157">
        <v>25.7</v>
      </c>
      <c r="U157">
        <v>25</v>
      </c>
      <c r="V157">
        <v>25.8</v>
      </c>
      <c r="W157">
        <v>25.3</v>
      </c>
      <c r="X157">
        <v>25.6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1</v>
      </c>
      <c r="AO157">
        <f t="shared" si="77"/>
        <v>1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1</v>
      </c>
      <c r="BD157">
        <v>0</v>
      </c>
      <c r="BE157">
        <f t="shared" si="101"/>
        <v>1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1</v>
      </c>
      <c r="BT157">
        <f t="shared" si="102"/>
        <v>1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0</v>
      </c>
      <c r="CE157">
        <f t="shared" si="103"/>
        <v>1</v>
      </c>
      <c r="CG157">
        <f t="shared" si="98"/>
        <v>0</v>
      </c>
      <c r="CH157">
        <f t="shared" si="78"/>
        <v>0</v>
      </c>
      <c r="CI157">
        <f t="shared" si="79"/>
        <v>0</v>
      </c>
      <c r="CJ157">
        <f t="shared" si="80"/>
        <v>0</v>
      </c>
      <c r="CK157">
        <f t="shared" si="81"/>
        <v>0</v>
      </c>
      <c r="CL157">
        <f t="shared" si="82"/>
        <v>0</v>
      </c>
      <c r="CM157">
        <f t="shared" si="83"/>
        <v>1</v>
      </c>
      <c r="CN157">
        <f t="shared" si="84"/>
        <v>0</v>
      </c>
      <c r="CO157">
        <f t="shared" si="85"/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f t="shared" si="104"/>
        <v>1</v>
      </c>
      <c r="CW157">
        <f t="shared" si="105"/>
        <v>1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1</v>
      </c>
      <c r="DE157">
        <f t="shared" si="106"/>
        <v>0</v>
      </c>
      <c r="DF157">
        <v>0</v>
      </c>
      <c r="DG157">
        <f t="shared" si="107"/>
        <v>1</v>
      </c>
      <c r="DI157">
        <f t="shared" si="99"/>
        <v>0</v>
      </c>
      <c r="DJ157">
        <f t="shared" si="86"/>
        <v>0</v>
      </c>
      <c r="DK157">
        <f t="shared" si="87"/>
        <v>0</v>
      </c>
      <c r="DL157">
        <f t="shared" si="88"/>
        <v>0</v>
      </c>
      <c r="DM157">
        <f t="shared" si="89"/>
        <v>0</v>
      </c>
      <c r="DN157">
        <f t="shared" si="90"/>
        <v>1</v>
      </c>
      <c r="DO157">
        <f t="shared" si="91"/>
        <v>0</v>
      </c>
      <c r="DP157">
        <f t="shared" si="92"/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f t="shared" si="108"/>
        <v>1</v>
      </c>
      <c r="DX157">
        <f t="shared" si="109"/>
        <v>1</v>
      </c>
      <c r="DZ157">
        <f t="shared" si="100"/>
        <v>0</v>
      </c>
      <c r="EA157">
        <f t="shared" si="93"/>
        <v>0</v>
      </c>
      <c r="EB157">
        <f t="shared" si="94"/>
        <v>0</v>
      </c>
      <c r="EC157">
        <f t="shared" si="95"/>
        <v>0</v>
      </c>
      <c r="ED157">
        <f t="shared" si="96"/>
        <v>0</v>
      </c>
      <c r="EE157">
        <f t="shared" si="97"/>
        <v>1</v>
      </c>
    </row>
    <row r="158" spans="1:135" x14ac:dyDescent="0.35">
      <c r="A158" t="s">
        <v>265</v>
      </c>
      <c r="B158">
        <f>[1]Population!$BB204</f>
        <v>49991300</v>
      </c>
      <c r="C158">
        <f>[1]RealGDP!$BB204</f>
        <v>289811738503.83063</v>
      </c>
      <c r="D158" s="10">
        <f>[1]GDPcap!$BB204</f>
        <v>5797.2434904439497</v>
      </c>
      <c r="F158" t="s">
        <v>579</v>
      </c>
      <c r="G158" t="s">
        <v>334</v>
      </c>
      <c r="H158">
        <v>23.2</v>
      </c>
      <c r="I158">
        <v>22.7</v>
      </c>
      <c r="J158">
        <v>21.2</v>
      </c>
      <c r="K158">
        <v>17.899999999999999</v>
      </c>
      <c r="L158">
        <v>14.5</v>
      </c>
      <c r="M158">
        <v>11.5</v>
      </c>
      <c r="N158">
        <v>11.4</v>
      </c>
      <c r="O158">
        <v>13.3</v>
      </c>
      <c r="P158">
        <v>16.2</v>
      </c>
      <c r="Q158">
        <v>18.399999999999999</v>
      </c>
      <c r="R158">
        <v>20.5</v>
      </c>
      <c r="S158">
        <v>22.2</v>
      </c>
      <c r="T158">
        <v>17.899999999999999</v>
      </c>
      <c r="U158">
        <v>12</v>
      </c>
      <c r="V158">
        <v>18.399999999999999</v>
      </c>
      <c r="W158">
        <v>22</v>
      </c>
      <c r="X158">
        <v>17.8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77"/>
        <v>1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f t="shared" si="101"/>
        <v>2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1</v>
      </c>
      <c r="BR158">
        <v>0</v>
      </c>
      <c r="BS158">
        <v>0</v>
      </c>
      <c r="BT158">
        <f t="shared" si="102"/>
        <v>1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f t="shared" si="103"/>
        <v>1</v>
      </c>
      <c r="CG158">
        <f t="shared" si="98"/>
        <v>0</v>
      </c>
      <c r="CH158">
        <f t="shared" si="78"/>
        <v>0</v>
      </c>
      <c r="CI158">
        <f t="shared" si="79"/>
        <v>0</v>
      </c>
      <c r="CJ158">
        <f t="shared" si="80"/>
        <v>0</v>
      </c>
      <c r="CK158">
        <f t="shared" si="81"/>
        <v>0</v>
      </c>
      <c r="CL158">
        <f t="shared" si="82"/>
        <v>0</v>
      </c>
      <c r="CM158">
        <f t="shared" si="83"/>
        <v>0</v>
      </c>
      <c r="CN158">
        <f t="shared" si="84"/>
        <v>0</v>
      </c>
      <c r="CO158">
        <f t="shared" si="85"/>
        <v>1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f t="shared" si="104"/>
        <v>1</v>
      </c>
      <c r="CW158">
        <f t="shared" si="105"/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f t="shared" si="106"/>
        <v>1</v>
      </c>
      <c r="DF158">
        <v>0</v>
      </c>
      <c r="DG158">
        <f t="shared" si="107"/>
        <v>1</v>
      </c>
      <c r="DI158">
        <f t="shared" si="99"/>
        <v>0</v>
      </c>
      <c r="DJ158">
        <f t="shared" si="86"/>
        <v>0</v>
      </c>
      <c r="DK158">
        <f t="shared" si="87"/>
        <v>0</v>
      </c>
      <c r="DL158">
        <f t="shared" si="88"/>
        <v>0</v>
      </c>
      <c r="DM158">
        <f t="shared" si="89"/>
        <v>0</v>
      </c>
      <c r="DN158">
        <f t="shared" si="90"/>
        <v>0</v>
      </c>
      <c r="DO158">
        <f t="shared" si="91"/>
        <v>1</v>
      </c>
      <c r="DP158">
        <f t="shared" si="92"/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f t="shared" si="108"/>
        <v>1</v>
      </c>
      <c r="DX158">
        <f t="shared" si="109"/>
        <v>1</v>
      </c>
      <c r="DZ158">
        <f t="shared" si="100"/>
        <v>0</v>
      </c>
      <c r="EA158">
        <f t="shared" si="93"/>
        <v>0</v>
      </c>
      <c r="EB158">
        <f t="shared" si="94"/>
        <v>0</v>
      </c>
      <c r="EC158">
        <f t="shared" si="95"/>
        <v>0</v>
      </c>
      <c r="ED158">
        <f t="shared" si="96"/>
        <v>0</v>
      </c>
      <c r="EE158">
        <f t="shared" si="97"/>
        <v>1</v>
      </c>
    </row>
    <row r="159" spans="1:135" x14ac:dyDescent="0.35">
      <c r="A159" t="s">
        <v>212</v>
      </c>
      <c r="B159">
        <f>[1]Population!$BB206</f>
        <v>49410000</v>
      </c>
      <c r="C159">
        <f>[1]RealGDP!$BB206</f>
        <v>1098690046553.521</v>
      </c>
      <c r="D159" s="10">
        <f>[1]GDPcap!$BB206</f>
        <v>22236.187948867053</v>
      </c>
      <c r="F159" t="s">
        <v>579</v>
      </c>
      <c r="G159" t="s">
        <v>558</v>
      </c>
      <c r="H159">
        <v>-2.1</v>
      </c>
      <c r="I159">
        <v>-0.3</v>
      </c>
      <c r="J159">
        <v>4.5999999999999996</v>
      </c>
      <c r="K159">
        <v>10.9</v>
      </c>
      <c r="L159">
        <v>15.9</v>
      </c>
      <c r="M159">
        <v>20</v>
      </c>
      <c r="N159">
        <v>23.6</v>
      </c>
      <c r="O159">
        <v>24.4</v>
      </c>
      <c r="P159">
        <v>19.600000000000001</v>
      </c>
      <c r="Q159">
        <v>13.7</v>
      </c>
      <c r="R159">
        <v>6.9</v>
      </c>
      <c r="S159">
        <v>0.8</v>
      </c>
      <c r="T159">
        <v>10.5</v>
      </c>
      <c r="U159">
        <v>22.7</v>
      </c>
      <c r="V159">
        <v>13.4</v>
      </c>
      <c r="W159">
        <v>-0.5</v>
      </c>
      <c r="X159">
        <v>11.5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f t="shared" si="77"/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f t="shared" si="101"/>
        <v>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</v>
      </c>
      <c r="BQ159">
        <v>0</v>
      </c>
      <c r="BR159">
        <v>0</v>
      </c>
      <c r="BS159">
        <v>0</v>
      </c>
      <c r="BT159">
        <f t="shared" si="102"/>
        <v>1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f t="shared" si="103"/>
        <v>1</v>
      </c>
      <c r="CG159">
        <f t="shared" si="98"/>
        <v>0</v>
      </c>
      <c r="CH159">
        <f t="shared" si="78"/>
        <v>0</v>
      </c>
      <c r="CI159">
        <f t="shared" si="79"/>
        <v>0</v>
      </c>
      <c r="CJ159">
        <f t="shared" si="80"/>
        <v>0</v>
      </c>
      <c r="CK159">
        <f t="shared" si="81"/>
        <v>0</v>
      </c>
      <c r="CL159">
        <f t="shared" si="82"/>
        <v>0</v>
      </c>
      <c r="CM159">
        <f t="shared" si="83"/>
        <v>1</v>
      </c>
      <c r="CN159">
        <f t="shared" si="84"/>
        <v>0</v>
      </c>
      <c r="CO159">
        <f t="shared" si="85"/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f t="shared" si="104"/>
        <v>1</v>
      </c>
      <c r="CW159">
        <f t="shared" si="105"/>
        <v>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1</v>
      </c>
      <c r="DE159">
        <f t="shared" si="106"/>
        <v>0</v>
      </c>
      <c r="DF159">
        <v>0</v>
      </c>
      <c r="DG159">
        <f t="shared" si="107"/>
        <v>1</v>
      </c>
      <c r="DI159">
        <f t="shared" si="99"/>
        <v>0</v>
      </c>
      <c r="DJ159">
        <f t="shared" si="86"/>
        <v>0</v>
      </c>
      <c r="DK159">
        <f t="shared" si="87"/>
        <v>0</v>
      </c>
      <c r="DL159">
        <f t="shared" si="88"/>
        <v>0</v>
      </c>
      <c r="DM159">
        <f t="shared" si="89"/>
        <v>0</v>
      </c>
      <c r="DN159">
        <f t="shared" si="90"/>
        <v>1</v>
      </c>
      <c r="DO159">
        <f t="shared" si="91"/>
        <v>0</v>
      </c>
      <c r="DP159">
        <f t="shared" si="92"/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f t="shared" si="108"/>
        <v>1</v>
      </c>
      <c r="DX159">
        <f t="shared" si="109"/>
        <v>1</v>
      </c>
      <c r="DZ159">
        <f t="shared" si="100"/>
        <v>0</v>
      </c>
      <c r="EA159">
        <f t="shared" si="93"/>
        <v>0</v>
      </c>
      <c r="EB159">
        <f t="shared" si="94"/>
        <v>0</v>
      </c>
      <c r="EC159">
        <f t="shared" si="95"/>
        <v>0</v>
      </c>
      <c r="ED159">
        <f t="shared" si="96"/>
        <v>0</v>
      </c>
      <c r="EE159">
        <f t="shared" si="97"/>
        <v>1</v>
      </c>
    </row>
    <row r="160" spans="1:135" x14ac:dyDescent="0.35">
      <c r="A160" t="s">
        <v>213</v>
      </c>
      <c r="B160">
        <f>[1]Population!$BB207</f>
        <v>46070971</v>
      </c>
      <c r="C160">
        <f>[1]RealGDP!$BB207</f>
        <v>1179232117935.5505</v>
      </c>
      <c r="D160" s="10">
        <f>[1]GDPcap!$BB207</f>
        <v>25595.990106992766</v>
      </c>
      <c r="F160" t="s">
        <v>213</v>
      </c>
      <c r="H160">
        <v>6</v>
      </c>
      <c r="I160">
        <v>7.1</v>
      </c>
      <c r="J160">
        <v>8.9</v>
      </c>
      <c r="K160">
        <v>10.9</v>
      </c>
      <c r="L160">
        <v>14.5</v>
      </c>
      <c r="M160">
        <v>18.600000000000001</v>
      </c>
      <c r="N160">
        <v>22.1</v>
      </c>
      <c r="O160">
        <v>21.9</v>
      </c>
      <c r="P160">
        <v>19.2</v>
      </c>
      <c r="Q160">
        <v>14.4</v>
      </c>
      <c r="R160">
        <v>9.4</v>
      </c>
      <c r="S160">
        <v>6.5</v>
      </c>
      <c r="T160">
        <v>11.4</v>
      </c>
      <c r="U160">
        <v>20.9</v>
      </c>
      <c r="V160">
        <v>14.3</v>
      </c>
      <c r="W160">
        <v>6.3</v>
      </c>
      <c r="X160">
        <v>13.3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f t="shared" si="77"/>
        <v>1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f t="shared" si="101"/>
        <v>1</v>
      </c>
      <c r="BG160">
        <v>0</v>
      </c>
      <c r="BH160">
        <v>0</v>
      </c>
      <c r="BI160">
        <v>0</v>
      </c>
      <c r="BJ160">
        <v>1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f t="shared" si="102"/>
        <v>1</v>
      </c>
      <c r="BV160">
        <v>0</v>
      </c>
      <c r="BW160">
        <v>1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f t="shared" si="103"/>
        <v>1</v>
      </c>
      <c r="CG160">
        <f t="shared" si="98"/>
        <v>0</v>
      </c>
      <c r="CH160">
        <f t="shared" si="78"/>
        <v>1</v>
      </c>
      <c r="CI160">
        <f t="shared" si="79"/>
        <v>0</v>
      </c>
      <c r="CJ160">
        <f t="shared" si="80"/>
        <v>0</v>
      </c>
      <c r="CK160">
        <f t="shared" si="81"/>
        <v>0</v>
      </c>
      <c r="CL160">
        <f t="shared" si="82"/>
        <v>0</v>
      </c>
      <c r="CM160">
        <f t="shared" si="83"/>
        <v>0</v>
      </c>
      <c r="CN160">
        <f t="shared" si="84"/>
        <v>0</v>
      </c>
      <c r="CO160">
        <f t="shared" si="85"/>
        <v>0</v>
      </c>
      <c r="CQ160">
        <v>0</v>
      </c>
      <c r="CR160">
        <v>0</v>
      </c>
      <c r="CS160">
        <v>0</v>
      </c>
      <c r="CT160">
        <v>1</v>
      </c>
      <c r="CU160">
        <v>0</v>
      </c>
      <c r="CV160">
        <f t="shared" si="104"/>
        <v>0</v>
      </c>
      <c r="CW160">
        <f t="shared" si="105"/>
        <v>1</v>
      </c>
      <c r="CY160">
        <v>1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f t="shared" si="106"/>
        <v>0</v>
      </c>
      <c r="DF160">
        <v>0</v>
      </c>
      <c r="DG160">
        <f t="shared" si="107"/>
        <v>1</v>
      </c>
      <c r="DI160">
        <f t="shared" si="99"/>
        <v>1</v>
      </c>
      <c r="DJ160">
        <f t="shared" si="86"/>
        <v>0</v>
      </c>
      <c r="DK160">
        <f t="shared" si="87"/>
        <v>0</v>
      </c>
      <c r="DL160">
        <f t="shared" si="88"/>
        <v>0</v>
      </c>
      <c r="DM160">
        <f t="shared" si="89"/>
        <v>0</v>
      </c>
      <c r="DN160">
        <f t="shared" si="90"/>
        <v>0</v>
      </c>
      <c r="DO160">
        <f t="shared" si="91"/>
        <v>0</v>
      </c>
      <c r="DP160">
        <f t="shared" si="92"/>
        <v>0</v>
      </c>
      <c r="DR160">
        <v>1</v>
      </c>
      <c r="DS160">
        <v>0</v>
      </c>
      <c r="DT160">
        <v>0</v>
      </c>
      <c r="DU160">
        <v>0</v>
      </c>
      <c r="DV160">
        <v>0</v>
      </c>
      <c r="DW160">
        <f t="shared" si="108"/>
        <v>0</v>
      </c>
      <c r="DX160">
        <f t="shared" si="109"/>
        <v>1</v>
      </c>
      <c r="DZ160">
        <f t="shared" si="100"/>
        <v>1</v>
      </c>
      <c r="EA160">
        <f t="shared" si="93"/>
        <v>0</v>
      </c>
      <c r="EB160">
        <f t="shared" si="94"/>
        <v>0</v>
      </c>
      <c r="EC160">
        <f t="shared" si="95"/>
        <v>0</v>
      </c>
      <c r="ED160">
        <f t="shared" si="96"/>
        <v>0</v>
      </c>
      <c r="EE160">
        <f t="shared" si="97"/>
        <v>0</v>
      </c>
    </row>
    <row r="161" spans="1:135" x14ac:dyDescent="0.35">
      <c r="A161" t="s">
        <v>214</v>
      </c>
      <c r="B161">
        <f>[1]Population!$BB208</f>
        <v>20653000</v>
      </c>
      <c r="C161">
        <f>[1]RealGDP!$BB208</f>
        <v>33253082140.166439</v>
      </c>
      <c r="D161" s="10">
        <f>[1]GDPcap!$BB208</f>
        <v>1610.0848370777339</v>
      </c>
      <c r="F161" t="s">
        <v>580</v>
      </c>
      <c r="G161" t="s">
        <v>581</v>
      </c>
      <c r="H161">
        <v>25.2</v>
      </c>
      <c r="I161">
        <v>26.1</v>
      </c>
      <c r="J161">
        <v>27.3</v>
      </c>
      <c r="K161">
        <v>28</v>
      </c>
      <c r="L161">
        <v>28.3</v>
      </c>
      <c r="M161">
        <v>27.9</v>
      </c>
      <c r="N161">
        <v>27.5</v>
      </c>
      <c r="O161">
        <v>27.3</v>
      </c>
      <c r="P161">
        <v>27.2</v>
      </c>
      <c r="Q161">
        <v>26.7</v>
      </c>
      <c r="R161">
        <v>26</v>
      </c>
      <c r="S161">
        <v>25.4</v>
      </c>
      <c r="T161">
        <v>27.9</v>
      </c>
      <c r="U161">
        <v>27.6</v>
      </c>
      <c r="V161">
        <v>26.6</v>
      </c>
      <c r="W161">
        <v>24.7</v>
      </c>
      <c r="X161">
        <v>26.9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77"/>
        <v>1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f t="shared" si="101"/>
        <v>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</v>
      </c>
      <c r="BT161">
        <f t="shared" si="102"/>
        <v>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1</v>
      </c>
      <c r="CC161">
        <v>0</v>
      </c>
      <c r="CD161">
        <v>0</v>
      </c>
      <c r="CE161">
        <f t="shared" si="103"/>
        <v>1</v>
      </c>
      <c r="CG161">
        <f t="shared" si="98"/>
        <v>0</v>
      </c>
      <c r="CH161">
        <f t="shared" si="78"/>
        <v>0</v>
      </c>
      <c r="CI161">
        <f t="shared" si="79"/>
        <v>0</v>
      </c>
      <c r="CJ161">
        <f t="shared" si="80"/>
        <v>0</v>
      </c>
      <c r="CK161">
        <f t="shared" si="81"/>
        <v>0</v>
      </c>
      <c r="CL161">
        <f t="shared" si="82"/>
        <v>0</v>
      </c>
      <c r="CM161">
        <f t="shared" si="83"/>
        <v>1</v>
      </c>
      <c r="CN161">
        <f t="shared" si="84"/>
        <v>0</v>
      </c>
      <c r="CO161">
        <f t="shared" si="85"/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f t="shared" si="104"/>
        <v>1</v>
      </c>
      <c r="CW161">
        <f t="shared" si="105"/>
        <v>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1</v>
      </c>
      <c r="DE161">
        <f t="shared" si="106"/>
        <v>0</v>
      </c>
      <c r="DF161">
        <v>0</v>
      </c>
      <c r="DG161">
        <f t="shared" si="107"/>
        <v>1</v>
      </c>
      <c r="DI161">
        <f t="shared" si="99"/>
        <v>0</v>
      </c>
      <c r="DJ161">
        <f t="shared" si="86"/>
        <v>0</v>
      </c>
      <c r="DK161">
        <f t="shared" si="87"/>
        <v>0</v>
      </c>
      <c r="DL161">
        <f t="shared" si="88"/>
        <v>0</v>
      </c>
      <c r="DM161">
        <f t="shared" si="89"/>
        <v>0</v>
      </c>
      <c r="DN161">
        <f t="shared" si="90"/>
        <v>1</v>
      </c>
      <c r="DO161">
        <f t="shared" si="91"/>
        <v>0</v>
      </c>
      <c r="DP161">
        <f t="shared" si="92"/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f t="shared" si="108"/>
        <v>1</v>
      </c>
      <c r="DX161">
        <f t="shared" si="109"/>
        <v>1</v>
      </c>
      <c r="DZ161">
        <f t="shared" si="100"/>
        <v>0</v>
      </c>
      <c r="EA161">
        <f t="shared" si="93"/>
        <v>0</v>
      </c>
      <c r="EB161">
        <f t="shared" si="94"/>
        <v>0</v>
      </c>
      <c r="EC161">
        <f t="shared" si="95"/>
        <v>0</v>
      </c>
      <c r="ED161">
        <f t="shared" si="96"/>
        <v>0</v>
      </c>
      <c r="EE161">
        <f t="shared" si="97"/>
        <v>1</v>
      </c>
    </row>
    <row r="162" spans="1:135" x14ac:dyDescent="0.35">
      <c r="A162" t="s">
        <v>442</v>
      </c>
      <c r="B162">
        <f>[1]Population!$BB209</f>
        <v>35652002</v>
      </c>
      <c r="C162">
        <f>[1]RealGDP!$BB209</f>
        <v>35822262376.238686</v>
      </c>
      <c r="D162" s="10">
        <f>[1]GDPcap!$BB209</f>
        <v>1004.7756189466916</v>
      </c>
      <c r="F162" t="s">
        <v>442</v>
      </c>
      <c r="H162">
        <v>21.9</v>
      </c>
      <c r="I162">
        <v>23.5</v>
      </c>
      <c r="J162">
        <v>26.5</v>
      </c>
      <c r="K162">
        <v>28.8</v>
      </c>
      <c r="L162">
        <v>30.2</v>
      </c>
      <c r="M162">
        <v>30</v>
      </c>
      <c r="N162">
        <v>28.8</v>
      </c>
      <c r="O162">
        <v>28.4</v>
      </c>
      <c r="P162">
        <v>28.5</v>
      </c>
      <c r="Q162">
        <v>27.9</v>
      </c>
      <c r="R162">
        <v>25</v>
      </c>
      <c r="S162">
        <v>22.5</v>
      </c>
      <c r="T162">
        <v>28.5</v>
      </c>
      <c r="U162">
        <v>29.1</v>
      </c>
      <c r="V162">
        <v>27.1</v>
      </c>
      <c r="W162">
        <v>21.9</v>
      </c>
      <c r="X162">
        <v>26.8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77"/>
        <v>1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f t="shared" si="101"/>
        <v>1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</v>
      </c>
      <c r="BS162">
        <v>0</v>
      </c>
      <c r="BT162">
        <f t="shared" si="102"/>
        <v>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1</v>
      </c>
      <c r="CE162">
        <f t="shared" si="103"/>
        <v>1</v>
      </c>
      <c r="CG162">
        <f t="shared" si="98"/>
        <v>0</v>
      </c>
      <c r="CH162">
        <f t="shared" si="78"/>
        <v>0</v>
      </c>
      <c r="CI162">
        <f t="shared" si="79"/>
        <v>0</v>
      </c>
      <c r="CJ162">
        <f t="shared" si="80"/>
        <v>0</v>
      </c>
      <c r="CK162">
        <f t="shared" si="81"/>
        <v>0</v>
      </c>
      <c r="CL162">
        <f t="shared" si="82"/>
        <v>0</v>
      </c>
      <c r="CM162">
        <f t="shared" si="83"/>
        <v>0</v>
      </c>
      <c r="CN162">
        <f t="shared" si="84"/>
        <v>0</v>
      </c>
      <c r="CO162">
        <f t="shared" si="85"/>
        <v>1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f t="shared" si="104"/>
        <v>1</v>
      </c>
      <c r="CW162">
        <f t="shared" si="105"/>
        <v>1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f t="shared" si="106"/>
        <v>1</v>
      </c>
      <c r="DF162">
        <v>0</v>
      </c>
      <c r="DG162">
        <f t="shared" si="107"/>
        <v>1</v>
      </c>
      <c r="DI162">
        <f t="shared" si="99"/>
        <v>0</v>
      </c>
      <c r="DJ162">
        <f t="shared" si="86"/>
        <v>0</v>
      </c>
      <c r="DK162">
        <f t="shared" si="87"/>
        <v>0</v>
      </c>
      <c r="DL162">
        <f t="shared" si="88"/>
        <v>0</v>
      </c>
      <c r="DM162">
        <f t="shared" si="89"/>
        <v>0</v>
      </c>
      <c r="DN162">
        <f t="shared" si="90"/>
        <v>0</v>
      </c>
      <c r="DO162">
        <f t="shared" si="91"/>
        <v>1</v>
      </c>
      <c r="DP162">
        <f t="shared" si="92"/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f t="shared" si="108"/>
        <v>1</v>
      </c>
      <c r="DX162">
        <f t="shared" si="109"/>
        <v>1</v>
      </c>
      <c r="DZ162">
        <f t="shared" si="100"/>
        <v>0</v>
      </c>
      <c r="EA162">
        <f t="shared" si="93"/>
        <v>0</v>
      </c>
      <c r="EB162">
        <f t="shared" si="94"/>
        <v>0</v>
      </c>
      <c r="EC162">
        <f t="shared" si="95"/>
        <v>0</v>
      </c>
      <c r="ED162">
        <f t="shared" si="96"/>
        <v>0</v>
      </c>
      <c r="EE162">
        <f t="shared" si="97"/>
        <v>1</v>
      </c>
    </row>
    <row r="163" spans="1:135" x14ac:dyDescent="0.35">
      <c r="A163" t="s">
        <v>215</v>
      </c>
      <c r="B163">
        <f>[1]Population!$BB210</f>
        <v>524960</v>
      </c>
      <c r="C163">
        <f>[1]RealGDP!$BB210</f>
        <v>2188868338.2963519</v>
      </c>
      <c r="D163" s="10">
        <f>[1]GDPcap!$BB210</f>
        <v>4169.5907084279788</v>
      </c>
      <c r="F163" t="s">
        <v>587</v>
      </c>
      <c r="H163">
        <v>24.9</v>
      </c>
      <c r="I163">
        <v>25</v>
      </c>
      <c r="J163">
        <v>25.3</v>
      </c>
      <c r="K163">
        <v>25.6</v>
      </c>
      <c r="L163">
        <v>25.6</v>
      </c>
      <c r="M163">
        <v>25.5</v>
      </c>
      <c r="N163">
        <v>25.5</v>
      </c>
      <c r="O163">
        <v>26</v>
      </c>
      <c r="P163">
        <v>26.4</v>
      </c>
      <c r="Q163">
        <v>26.6</v>
      </c>
      <c r="R163">
        <v>26.3</v>
      </c>
      <c r="S163">
        <v>25.4</v>
      </c>
      <c r="T163">
        <v>25.5</v>
      </c>
      <c r="U163">
        <v>25.7</v>
      </c>
      <c r="V163">
        <v>26.4</v>
      </c>
      <c r="W163">
        <v>24.3</v>
      </c>
      <c r="X163">
        <v>25.7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f t="shared" si="77"/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f t="shared" si="101"/>
        <v>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f t="shared" si="102"/>
        <v>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1</v>
      </c>
      <c r="CB163">
        <v>0</v>
      </c>
      <c r="CC163">
        <v>0</v>
      </c>
      <c r="CD163">
        <v>0</v>
      </c>
      <c r="CE163">
        <f t="shared" si="103"/>
        <v>1</v>
      </c>
      <c r="CG163">
        <f t="shared" si="98"/>
        <v>0</v>
      </c>
      <c r="CH163">
        <f t="shared" si="78"/>
        <v>0</v>
      </c>
      <c r="CI163">
        <f t="shared" si="79"/>
        <v>0</v>
      </c>
      <c r="CJ163">
        <f t="shared" si="80"/>
        <v>0</v>
      </c>
      <c r="CK163">
        <f t="shared" si="81"/>
        <v>0</v>
      </c>
      <c r="CL163">
        <f t="shared" si="82"/>
        <v>1</v>
      </c>
      <c r="CM163">
        <f t="shared" si="83"/>
        <v>0</v>
      </c>
      <c r="CN163">
        <f t="shared" si="84"/>
        <v>0</v>
      </c>
      <c r="CO163">
        <f t="shared" si="85"/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f t="shared" si="104"/>
        <v>1</v>
      </c>
      <c r="CW163">
        <f t="shared" si="105"/>
        <v>1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f t="shared" si="106"/>
        <v>0</v>
      </c>
      <c r="DF163">
        <v>1</v>
      </c>
      <c r="DG163">
        <f t="shared" si="107"/>
        <v>1</v>
      </c>
      <c r="DI163">
        <f t="shared" si="99"/>
        <v>0</v>
      </c>
      <c r="DJ163">
        <f t="shared" si="86"/>
        <v>0</v>
      </c>
      <c r="DK163">
        <f t="shared" si="87"/>
        <v>0</v>
      </c>
      <c r="DL163">
        <f t="shared" si="88"/>
        <v>0</v>
      </c>
      <c r="DM163">
        <f t="shared" si="89"/>
        <v>0</v>
      </c>
      <c r="DN163">
        <f t="shared" si="90"/>
        <v>0</v>
      </c>
      <c r="DO163">
        <f t="shared" si="91"/>
        <v>0</v>
      </c>
      <c r="DP163">
        <f t="shared" si="92"/>
        <v>1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f t="shared" si="108"/>
        <v>1</v>
      </c>
      <c r="DX163">
        <f t="shared" si="109"/>
        <v>1</v>
      </c>
      <c r="DZ163">
        <f t="shared" si="100"/>
        <v>0</v>
      </c>
      <c r="EA163">
        <f t="shared" si="93"/>
        <v>0</v>
      </c>
      <c r="EB163">
        <f t="shared" si="94"/>
        <v>0</v>
      </c>
      <c r="EC163">
        <f t="shared" si="95"/>
        <v>0</v>
      </c>
      <c r="ED163">
        <f t="shared" si="96"/>
        <v>0</v>
      </c>
      <c r="EE163">
        <f t="shared" si="97"/>
        <v>1</v>
      </c>
    </row>
    <row r="164" spans="1:135" x14ac:dyDescent="0.35">
      <c r="A164" t="s">
        <v>216</v>
      </c>
      <c r="B164">
        <f>[1]Population!$BB212</f>
        <v>1193148</v>
      </c>
      <c r="C164">
        <f>[1]RealGDP!$BB212</f>
        <v>2917342648.1127834</v>
      </c>
      <c r="D164" s="10">
        <f>[1]GDPcap!$BB212</f>
        <v>2445.0802818366064</v>
      </c>
      <c r="F164" t="s">
        <v>216</v>
      </c>
      <c r="H164">
        <v>25.2</v>
      </c>
      <c r="I164">
        <v>25</v>
      </c>
      <c r="J164">
        <v>24.1</v>
      </c>
      <c r="K164">
        <v>21.7</v>
      </c>
      <c r="L164">
        <v>19.3</v>
      </c>
      <c r="M164">
        <v>16.600000000000001</v>
      </c>
      <c r="N164">
        <v>16.899999999999999</v>
      </c>
      <c r="O164">
        <v>18.5</v>
      </c>
      <c r="P164">
        <v>20.6</v>
      </c>
      <c r="Q164">
        <v>21.6</v>
      </c>
      <c r="R164">
        <v>22.8</v>
      </c>
      <c r="S164">
        <v>24.3</v>
      </c>
      <c r="T164">
        <v>21.7</v>
      </c>
      <c r="U164">
        <v>17.399999999999999</v>
      </c>
      <c r="V164">
        <v>21.6</v>
      </c>
      <c r="W164">
        <v>24</v>
      </c>
      <c r="X164">
        <v>21.4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77"/>
        <v>1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f t="shared" si="101"/>
        <v>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</v>
      </c>
      <c r="BS164">
        <v>0</v>
      </c>
      <c r="BT164">
        <f t="shared" si="102"/>
        <v>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f t="shared" si="103"/>
        <v>1</v>
      </c>
      <c r="CG164">
        <f t="shared" si="98"/>
        <v>0</v>
      </c>
      <c r="CH164">
        <f t="shared" si="78"/>
        <v>0</v>
      </c>
      <c r="CI164">
        <f t="shared" si="79"/>
        <v>0</v>
      </c>
      <c r="CJ164">
        <f t="shared" si="80"/>
        <v>0</v>
      </c>
      <c r="CK164">
        <f t="shared" si="81"/>
        <v>0</v>
      </c>
      <c r="CL164">
        <f t="shared" si="82"/>
        <v>0</v>
      </c>
      <c r="CM164">
        <f t="shared" si="83"/>
        <v>0</v>
      </c>
      <c r="CN164">
        <f t="shared" si="84"/>
        <v>0</v>
      </c>
      <c r="CO164">
        <f t="shared" si="85"/>
        <v>1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f t="shared" si="104"/>
        <v>1</v>
      </c>
      <c r="CW164">
        <f t="shared" si="105"/>
        <v>1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f t="shared" si="106"/>
        <v>1</v>
      </c>
      <c r="DF164">
        <v>0</v>
      </c>
      <c r="DG164">
        <f t="shared" si="107"/>
        <v>1</v>
      </c>
      <c r="DI164">
        <f t="shared" si="99"/>
        <v>0</v>
      </c>
      <c r="DJ164">
        <f t="shared" si="86"/>
        <v>0</v>
      </c>
      <c r="DK164">
        <f t="shared" si="87"/>
        <v>0</v>
      </c>
      <c r="DL164">
        <f t="shared" si="88"/>
        <v>0</v>
      </c>
      <c r="DM164">
        <f t="shared" si="89"/>
        <v>0</v>
      </c>
      <c r="DN164">
        <f t="shared" si="90"/>
        <v>0</v>
      </c>
      <c r="DO164">
        <f t="shared" si="91"/>
        <v>1</v>
      </c>
      <c r="DP164">
        <f t="shared" si="92"/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f t="shared" si="108"/>
        <v>1</v>
      </c>
      <c r="DX164">
        <f t="shared" si="109"/>
        <v>1</v>
      </c>
      <c r="DZ164">
        <f t="shared" si="100"/>
        <v>0</v>
      </c>
      <c r="EA164">
        <f t="shared" si="93"/>
        <v>0</v>
      </c>
      <c r="EB164">
        <f t="shared" si="94"/>
        <v>0</v>
      </c>
      <c r="EC164">
        <f t="shared" si="95"/>
        <v>0</v>
      </c>
      <c r="ED164">
        <f t="shared" si="96"/>
        <v>0</v>
      </c>
      <c r="EE164">
        <f t="shared" si="97"/>
        <v>1</v>
      </c>
    </row>
    <row r="165" spans="1:135" x14ac:dyDescent="0.35">
      <c r="A165" t="s">
        <v>217</v>
      </c>
      <c r="B165">
        <f>[1]Population!$BB213</f>
        <v>9378126</v>
      </c>
      <c r="C165">
        <f>[1]RealGDP!$BB213</f>
        <v>401624584927.2937</v>
      </c>
      <c r="D165" s="10">
        <f>[1]GDPcap!$BB213</f>
        <v>42825.675932195161</v>
      </c>
      <c r="F165" t="s">
        <v>217</v>
      </c>
      <c r="H165">
        <v>-9.1999999999999993</v>
      </c>
      <c r="I165">
        <v>-8.3000000000000007</v>
      </c>
      <c r="J165">
        <v>-4.4000000000000004</v>
      </c>
      <c r="K165">
        <v>0.7</v>
      </c>
      <c r="L165">
        <v>6.8</v>
      </c>
      <c r="M165">
        <v>12</v>
      </c>
      <c r="N165">
        <v>13.8</v>
      </c>
      <c r="O165">
        <v>12.5</v>
      </c>
      <c r="P165">
        <v>8.1</v>
      </c>
      <c r="Q165">
        <v>3.3</v>
      </c>
      <c r="R165">
        <v>-3</v>
      </c>
      <c r="S165">
        <v>-7.2</v>
      </c>
      <c r="T165">
        <v>1</v>
      </c>
      <c r="U165">
        <v>12.8</v>
      </c>
      <c r="V165">
        <v>2.8</v>
      </c>
      <c r="W165">
        <v>-8.1</v>
      </c>
      <c r="X165">
        <v>2.1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f t="shared" si="77"/>
        <v>1</v>
      </c>
      <c r="AQ165">
        <v>0</v>
      </c>
      <c r="AR165">
        <v>0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f t="shared" si="101"/>
        <v>1</v>
      </c>
      <c r="BG165">
        <v>0</v>
      </c>
      <c r="BH165">
        <v>0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f t="shared" si="102"/>
        <v>1</v>
      </c>
      <c r="BV165">
        <v>0</v>
      </c>
      <c r="BW165">
        <v>1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f t="shared" si="103"/>
        <v>1</v>
      </c>
      <c r="CG165">
        <f t="shared" si="98"/>
        <v>0</v>
      </c>
      <c r="CH165">
        <f t="shared" si="78"/>
        <v>1</v>
      </c>
      <c r="CI165">
        <f t="shared" si="79"/>
        <v>0</v>
      </c>
      <c r="CJ165">
        <f t="shared" si="80"/>
        <v>0</v>
      </c>
      <c r="CK165">
        <f t="shared" si="81"/>
        <v>0</v>
      </c>
      <c r="CL165">
        <f t="shared" si="82"/>
        <v>0</v>
      </c>
      <c r="CM165">
        <f t="shared" si="83"/>
        <v>0</v>
      </c>
      <c r="CN165">
        <f t="shared" si="84"/>
        <v>0</v>
      </c>
      <c r="CO165">
        <f t="shared" si="85"/>
        <v>0</v>
      </c>
      <c r="CQ165">
        <v>0</v>
      </c>
      <c r="CR165">
        <v>0</v>
      </c>
      <c r="CS165">
        <v>0</v>
      </c>
      <c r="CT165">
        <v>1</v>
      </c>
      <c r="CU165">
        <v>0</v>
      </c>
      <c r="CV165">
        <f t="shared" si="104"/>
        <v>0</v>
      </c>
      <c r="CW165">
        <f t="shared" si="105"/>
        <v>1</v>
      </c>
      <c r="CY165">
        <v>1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f t="shared" si="106"/>
        <v>0</v>
      </c>
      <c r="DF165">
        <v>0</v>
      </c>
      <c r="DG165">
        <f t="shared" si="107"/>
        <v>1</v>
      </c>
      <c r="DI165">
        <f t="shared" si="99"/>
        <v>1</v>
      </c>
      <c r="DJ165">
        <f t="shared" si="86"/>
        <v>0</v>
      </c>
      <c r="DK165">
        <f t="shared" si="87"/>
        <v>0</v>
      </c>
      <c r="DL165">
        <f t="shared" si="88"/>
        <v>0</v>
      </c>
      <c r="DM165">
        <f t="shared" si="89"/>
        <v>0</v>
      </c>
      <c r="DN165">
        <f t="shared" si="90"/>
        <v>0</v>
      </c>
      <c r="DO165">
        <f t="shared" si="91"/>
        <v>0</v>
      </c>
      <c r="DP165">
        <f t="shared" si="92"/>
        <v>0</v>
      </c>
      <c r="DR165">
        <v>1</v>
      </c>
      <c r="DS165">
        <v>0</v>
      </c>
      <c r="DT165">
        <v>0</v>
      </c>
      <c r="DU165">
        <v>0</v>
      </c>
      <c r="DV165">
        <v>0</v>
      </c>
      <c r="DW165">
        <f t="shared" si="108"/>
        <v>0</v>
      </c>
      <c r="DX165">
        <f t="shared" si="109"/>
        <v>1</v>
      </c>
      <c r="DZ165">
        <f t="shared" si="100"/>
        <v>1</v>
      </c>
      <c r="EA165">
        <f t="shared" si="93"/>
        <v>0</v>
      </c>
      <c r="EB165">
        <f t="shared" si="94"/>
        <v>0</v>
      </c>
      <c r="EC165">
        <f t="shared" si="95"/>
        <v>0</v>
      </c>
      <c r="ED165">
        <f t="shared" si="96"/>
        <v>0</v>
      </c>
      <c r="EE165">
        <f t="shared" si="97"/>
        <v>0</v>
      </c>
    </row>
    <row r="166" spans="1:135" x14ac:dyDescent="0.35">
      <c r="A166" t="s">
        <v>218</v>
      </c>
      <c r="B166">
        <f>[1]Population!$BB214</f>
        <v>7824909</v>
      </c>
      <c r="C166">
        <f>[1]RealGDP!$BB214</f>
        <v>427575024211.02106</v>
      </c>
      <c r="D166" s="10">
        <f>[1]GDPcap!$BB214</f>
        <v>54642.81108074497</v>
      </c>
      <c r="F166" t="s">
        <v>218</v>
      </c>
      <c r="H166">
        <v>-2.7</v>
      </c>
      <c r="I166">
        <v>-1.7</v>
      </c>
      <c r="J166">
        <v>0.9</v>
      </c>
      <c r="K166">
        <v>4.2</v>
      </c>
      <c r="L166">
        <v>8.4</v>
      </c>
      <c r="M166">
        <v>11.7</v>
      </c>
      <c r="N166">
        <v>13.9</v>
      </c>
      <c r="O166">
        <v>13.4</v>
      </c>
      <c r="P166">
        <v>10.9</v>
      </c>
      <c r="Q166">
        <v>6.7</v>
      </c>
      <c r="R166">
        <v>1.6</v>
      </c>
      <c r="S166">
        <v>-1.5</v>
      </c>
      <c r="T166">
        <v>4.5</v>
      </c>
      <c r="U166">
        <v>13</v>
      </c>
      <c r="V166">
        <v>6.4</v>
      </c>
      <c r="W166">
        <v>-1.9</v>
      </c>
      <c r="X166">
        <v>5.5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f t="shared" si="77"/>
        <v>1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f t="shared" si="101"/>
        <v>1</v>
      </c>
      <c r="BG166">
        <v>0</v>
      </c>
      <c r="BH166">
        <v>0</v>
      </c>
      <c r="BI166">
        <v>0</v>
      </c>
      <c r="BJ166">
        <v>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f t="shared" si="102"/>
        <v>1</v>
      </c>
      <c r="BV166">
        <v>0</v>
      </c>
      <c r="BW166">
        <v>1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f t="shared" si="103"/>
        <v>1</v>
      </c>
      <c r="CG166">
        <f t="shared" si="98"/>
        <v>0</v>
      </c>
      <c r="CH166">
        <f t="shared" si="78"/>
        <v>1</v>
      </c>
      <c r="CI166">
        <f t="shared" si="79"/>
        <v>0</v>
      </c>
      <c r="CJ166">
        <f t="shared" si="80"/>
        <v>0</v>
      </c>
      <c r="CK166">
        <f t="shared" si="81"/>
        <v>0</v>
      </c>
      <c r="CL166">
        <f t="shared" si="82"/>
        <v>0</v>
      </c>
      <c r="CM166">
        <f t="shared" si="83"/>
        <v>0</v>
      </c>
      <c r="CN166">
        <f t="shared" si="84"/>
        <v>0</v>
      </c>
      <c r="CO166">
        <f t="shared" si="85"/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f t="shared" si="104"/>
        <v>1</v>
      </c>
      <c r="CW166">
        <f t="shared" si="105"/>
        <v>1</v>
      </c>
      <c r="CY166">
        <v>0</v>
      </c>
      <c r="CZ166">
        <v>0</v>
      </c>
      <c r="DA166">
        <v>1</v>
      </c>
      <c r="DB166">
        <v>0</v>
      </c>
      <c r="DC166">
        <v>0</v>
      </c>
      <c r="DD166">
        <v>0</v>
      </c>
      <c r="DE166">
        <f t="shared" si="106"/>
        <v>0</v>
      </c>
      <c r="DF166">
        <v>0</v>
      </c>
      <c r="DG166">
        <f t="shared" si="107"/>
        <v>1</v>
      </c>
      <c r="DI166">
        <f t="shared" si="99"/>
        <v>0</v>
      </c>
      <c r="DJ166">
        <f t="shared" si="86"/>
        <v>0</v>
      </c>
      <c r="DK166">
        <f t="shared" si="87"/>
        <v>1</v>
      </c>
      <c r="DL166">
        <f t="shared" si="88"/>
        <v>0</v>
      </c>
      <c r="DM166">
        <f t="shared" si="89"/>
        <v>0</v>
      </c>
      <c r="DN166">
        <f t="shared" si="90"/>
        <v>0</v>
      </c>
      <c r="DO166">
        <f t="shared" si="91"/>
        <v>0</v>
      </c>
      <c r="DP166">
        <f t="shared" si="92"/>
        <v>0</v>
      </c>
      <c r="DR166">
        <v>0</v>
      </c>
      <c r="DS166">
        <v>0</v>
      </c>
      <c r="DT166">
        <v>1</v>
      </c>
      <c r="DU166">
        <v>0</v>
      </c>
      <c r="DV166">
        <v>0</v>
      </c>
      <c r="DW166">
        <f t="shared" si="108"/>
        <v>0</v>
      </c>
      <c r="DX166">
        <f t="shared" si="109"/>
        <v>1</v>
      </c>
      <c r="DZ166">
        <f t="shared" si="100"/>
        <v>0</v>
      </c>
      <c r="EA166">
        <f t="shared" si="93"/>
        <v>0</v>
      </c>
      <c r="EB166">
        <f t="shared" si="94"/>
        <v>1</v>
      </c>
      <c r="EC166">
        <f t="shared" si="95"/>
        <v>0</v>
      </c>
      <c r="ED166">
        <f t="shared" si="96"/>
        <v>0</v>
      </c>
      <c r="EE166">
        <f t="shared" si="97"/>
        <v>0</v>
      </c>
    </row>
    <row r="167" spans="1:135" x14ac:dyDescent="0.35">
      <c r="A167" t="s">
        <v>443</v>
      </c>
      <c r="B167">
        <f>[1]Population!$BB217</f>
        <v>7627326</v>
      </c>
      <c r="C167">
        <f>[1]RealGDP!$BB217</f>
        <v>3181403840.3997879</v>
      </c>
      <c r="D167" s="10">
        <f>[1]GDPcap!$BB217</f>
        <v>417.10605268475319</v>
      </c>
      <c r="F167" t="s">
        <v>443</v>
      </c>
      <c r="H167">
        <v>-11.4</v>
      </c>
      <c r="I167">
        <v>-10.1</v>
      </c>
      <c r="J167">
        <v>-4.0999999999999996</v>
      </c>
      <c r="K167">
        <v>2.5</v>
      </c>
      <c r="L167">
        <v>6.4</v>
      </c>
      <c r="M167">
        <v>11.1</v>
      </c>
      <c r="N167">
        <v>14.3</v>
      </c>
      <c r="O167">
        <v>13.7</v>
      </c>
      <c r="P167">
        <v>9.3000000000000007</v>
      </c>
      <c r="Q167">
        <v>3</v>
      </c>
      <c r="R167">
        <v>-3.2</v>
      </c>
      <c r="S167">
        <v>-8.1999999999999993</v>
      </c>
      <c r="T167">
        <v>1.6</v>
      </c>
      <c r="U167">
        <v>13.1</v>
      </c>
      <c r="V167">
        <v>3</v>
      </c>
      <c r="W167">
        <v>-9.5</v>
      </c>
      <c r="X167">
        <v>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77"/>
        <v>1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f t="shared" si="101"/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1</v>
      </c>
      <c r="BT167">
        <f t="shared" si="102"/>
        <v>1</v>
      </c>
      <c r="BV167">
        <v>0</v>
      </c>
      <c r="BW167">
        <v>0</v>
      </c>
      <c r="BX167">
        <v>0</v>
      </c>
      <c r="BY167">
        <v>1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f t="shared" si="103"/>
        <v>1</v>
      </c>
      <c r="CG167">
        <f t="shared" si="98"/>
        <v>0</v>
      </c>
      <c r="CH167">
        <f t="shared" si="78"/>
        <v>0</v>
      </c>
      <c r="CI167">
        <f t="shared" si="79"/>
        <v>0</v>
      </c>
      <c r="CJ167">
        <f t="shared" si="80"/>
        <v>1</v>
      </c>
      <c r="CK167">
        <f t="shared" si="81"/>
        <v>0</v>
      </c>
      <c r="CL167">
        <f t="shared" si="82"/>
        <v>0</v>
      </c>
      <c r="CM167">
        <f t="shared" si="83"/>
        <v>0</v>
      </c>
      <c r="CN167">
        <f t="shared" si="84"/>
        <v>0</v>
      </c>
      <c r="CO167">
        <f t="shared" si="85"/>
        <v>0</v>
      </c>
      <c r="CQ167">
        <v>0</v>
      </c>
      <c r="CR167">
        <v>0</v>
      </c>
      <c r="CS167">
        <v>0</v>
      </c>
      <c r="CT167">
        <v>0</v>
      </c>
      <c r="CU167">
        <v>1</v>
      </c>
      <c r="CV167">
        <f t="shared" si="104"/>
        <v>0</v>
      </c>
      <c r="CW167">
        <f t="shared" si="105"/>
        <v>1</v>
      </c>
      <c r="CY167">
        <v>0</v>
      </c>
      <c r="CZ167">
        <v>0</v>
      </c>
      <c r="DA167">
        <v>0</v>
      </c>
      <c r="DB167">
        <v>1</v>
      </c>
      <c r="DC167">
        <v>0</v>
      </c>
      <c r="DD167">
        <v>0</v>
      </c>
      <c r="DE167">
        <f t="shared" si="106"/>
        <v>0</v>
      </c>
      <c r="DF167">
        <v>0</v>
      </c>
      <c r="DG167">
        <f t="shared" si="107"/>
        <v>1</v>
      </c>
      <c r="DI167">
        <f t="shared" si="99"/>
        <v>0</v>
      </c>
      <c r="DJ167">
        <f t="shared" si="86"/>
        <v>0</v>
      </c>
      <c r="DK167">
        <f t="shared" si="87"/>
        <v>0</v>
      </c>
      <c r="DL167">
        <f t="shared" si="88"/>
        <v>1</v>
      </c>
      <c r="DM167">
        <f t="shared" si="89"/>
        <v>0</v>
      </c>
      <c r="DN167">
        <f t="shared" si="90"/>
        <v>0</v>
      </c>
      <c r="DO167">
        <f t="shared" si="91"/>
        <v>0</v>
      </c>
      <c r="DP167">
        <f t="shared" si="92"/>
        <v>0</v>
      </c>
      <c r="DR167">
        <v>0</v>
      </c>
      <c r="DS167">
        <v>0</v>
      </c>
      <c r="DT167">
        <v>0</v>
      </c>
      <c r="DU167">
        <v>1</v>
      </c>
      <c r="DV167">
        <v>0</v>
      </c>
      <c r="DW167">
        <f t="shared" si="108"/>
        <v>0</v>
      </c>
      <c r="DX167">
        <f t="shared" si="109"/>
        <v>1</v>
      </c>
      <c r="DZ167">
        <f t="shared" si="100"/>
        <v>0</v>
      </c>
      <c r="EA167">
        <f t="shared" si="93"/>
        <v>0</v>
      </c>
      <c r="EB167">
        <f t="shared" si="94"/>
        <v>0</v>
      </c>
      <c r="EC167">
        <f t="shared" si="95"/>
        <v>1</v>
      </c>
      <c r="ED167">
        <f t="shared" si="96"/>
        <v>0</v>
      </c>
      <c r="EE167">
        <f t="shared" si="97"/>
        <v>0</v>
      </c>
    </row>
    <row r="168" spans="1:135" x14ac:dyDescent="0.35">
      <c r="A168" t="s">
        <v>220</v>
      </c>
      <c r="B168">
        <f>[1]Population!$BB218</f>
        <v>44973330</v>
      </c>
      <c r="C168">
        <f>[1]RealGDP!$BB218</f>
        <v>19720449298.896339</v>
      </c>
      <c r="D168" s="10">
        <f>[1]GDPcap!$BB218</f>
        <v>438.4920862852793</v>
      </c>
      <c r="F168" t="s">
        <v>220</v>
      </c>
      <c r="H168">
        <v>23.1</v>
      </c>
      <c r="I168">
        <v>23.2</v>
      </c>
      <c r="J168">
        <v>23.2</v>
      </c>
      <c r="K168">
        <v>22.7</v>
      </c>
      <c r="L168">
        <v>21.8</v>
      </c>
      <c r="M168">
        <v>20.5</v>
      </c>
      <c r="N168">
        <v>20.2</v>
      </c>
      <c r="O168">
        <v>21</v>
      </c>
      <c r="P168">
        <v>22.2</v>
      </c>
      <c r="Q168">
        <v>23.4</v>
      </c>
      <c r="R168">
        <v>23.5</v>
      </c>
      <c r="S168">
        <v>23.2</v>
      </c>
      <c r="T168">
        <v>22.6</v>
      </c>
      <c r="U168">
        <v>20.6</v>
      </c>
      <c r="V168">
        <v>23</v>
      </c>
      <c r="W168">
        <v>22.4</v>
      </c>
      <c r="X168">
        <v>22.3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77"/>
        <v>1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1</v>
      </c>
      <c r="BA168">
        <v>0</v>
      </c>
      <c r="BB168">
        <v>0</v>
      </c>
      <c r="BC168">
        <v>0</v>
      </c>
      <c r="BD168">
        <v>0</v>
      </c>
      <c r="BE168">
        <f t="shared" si="101"/>
        <v>1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1</v>
      </c>
      <c r="BS168">
        <v>0</v>
      </c>
      <c r="BT168">
        <f t="shared" si="102"/>
        <v>1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1</v>
      </c>
      <c r="CE168">
        <f t="shared" si="103"/>
        <v>1</v>
      </c>
      <c r="CG168">
        <f t="shared" si="98"/>
        <v>0</v>
      </c>
      <c r="CH168">
        <f t="shared" si="78"/>
        <v>0</v>
      </c>
      <c r="CI168">
        <f t="shared" si="79"/>
        <v>0</v>
      </c>
      <c r="CJ168">
        <f t="shared" si="80"/>
        <v>0</v>
      </c>
      <c r="CK168">
        <f t="shared" si="81"/>
        <v>0</v>
      </c>
      <c r="CL168">
        <f t="shared" si="82"/>
        <v>0</v>
      </c>
      <c r="CM168">
        <f t="shared" si="83"/>
        <v>0</v>
      </c>
      <c r="CN168">
        <f t="shared" si="84"/>
        <v>0</v>
      </c>
      <c r="CO168">
        <f t="shared" si="85"/>
        <v>1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f t="shared" si="104"/>
        <v>1</v>
      </c>
      <c r="CW168">
        <f t="shared" si="105"/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f t="shared" si="106"/>
        <v>1</v>
      </c>
      <c r="DF168">
        <v>0</v>
      </c>
      <c r="DG168">
        <f t="shared" si="107"/>
        <v>1</v>
      </c>
      <c r="DI168">
        <f t="shared" si="99"/>
        <v>0</v>
      </c>
      <c r="DJ168">
        <f t="shared" si="86"/>
        <v>0</v>
      </c>
      <c r="DK168">
        <f t="shared" si="87"/>
        <v>0</v>
      </c>
      <c r="DL168">
        <f t="shared" si="88"/>
        <v>0</v>
      </c>
      <c r="DM168">
        <f t="shared" si="89"/>
        <v>0</v>
      </c>
      <c r="DN168">
        <f t="shared" si="90"/>
        <v>0</v>
      </c>
      <c r="DO168">
        <f t="shared" si="91"/>
        <v>1</v>
      </c>
      <c r="DP168">
        <f t="shared" si="92"/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f t="shared" si="108"/>
        <v>1</v>
      </c>
      <c r="DX168">
        <f t="shared" si="109"/>
        <v>1</v>
      </c>
      <c r="DZ168">
        <f t="shared" si="100"/>
        <v>0</v>
      </c>
      <c r="EA168">
        <f t="shared" si="93"/>
        <v>0</v>
      </c>
      <c r="EB168">
        <f t="shared" si="94"/>
        <v>0</v>
      </c>
      <c r="EC168">
        <f t="shared" si="95"/>
        <v>0</v>
      </c>
      <c r="ED168">
        <f t="shared" si="96"/>
        <v>0</v>
      </c>
      <c r="EE168">
        <f t="shared" si="97"/>
        <v>1</v>
      </c>
    </row>
    <row r="169" spans="1:135" x14ac:dyDescent="0.35">
      <c r="A169" t="s">
        <v>221</v>
      </c>
      <c r="B169">
        <f>[1]Population!$BB219</f>
        <v>66402316</v>
      </c>
      <c r="C169">
        <f>[1]RealGDP!$BB219</f>
        <v>210090542914.01364</v>
      </c>
      <c r="D169" s="10">
        <f>[1]GDPcap!$BB219</f>
        <v>3163.9038450709104</v>
      </c>
      <c r="F169" t="s">
        <v>221</v>
      </c>
      <c r="H169">
        <v>23.3</v>
      </c>
      <c r="I169">
        <v>25.3</v>
      </c>
      <c r="J169">
        <v>27.3</v>
      </c>
      <c r="K169">
        <v>28.8</v>
      </c>
      <c r="L169">
        <v>28.3</v>
      </c>
      <c r="M169">
        <v>27.5</v>
      </c>
      <c r="N169">
        <v>27.2</v>
      </c>
      <c r="O169">
        <v>26.9</v>
      </c>
      <c r="P169">
        <v>26.8</v>
      </c>
      <c r="Q169">
        <v>26.2</v>
      </c>
      <c r="R169">
        <v>24.7</v>
      </c>
      <c r="S169">
        <v>23</v>
      </c>
      <c r="T169">
        <v>28.1</v>
      </c>
      <c r="U169">
        <v>27.2</v>
      </c>
      <c r="V169">
        <v>25.9</v>
      </c>
      <c r="W169">
        <v>23.1</v>
      </c>
      <c r="X169">
        <v>26.3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77"/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1</v>
      </c>
      <c r="BD169">
        <v>0</v>
      </c>
      <c r="BE169">
        <f t="shared" si="101"/>
        <v>1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1</v>
      </c>
      <c r="BR169">
        <v>0</v>
      </c>
      <c r="BS169">
        <v>0</v>
      </c>
      <c r="BT169">
        <f t="shared" si="102"/>
        <v>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1</v>
      </c>
      <c r="CC169">
        <v>0</v>
      </c>
      <c r="CD169">
        <v>0</v>
      </c>
      <c r="CE169">
        <f t="shared" si="103"/>
        <v>1</v>
      </c>
      <c r="CG169">
        <f t="shared" si="98"/>
        <v>0</v>
      </c>
      <c r="CH169">
        <f t="shared" si="78"/>
        <v>0</v>
      </c>
      <c r="CI169">
        <f t="shared" si="79"/>
        <v>0</v>
      </c>
      <c r="CJ169">
        <f t="shared" si="80"/>
        <v>0</v>
      </c>
      <c r="CK169">
        <f t="shared" si="81"/>
        <v>0</v>
      </c>
      <c r="CL169">
        <f t="shared" si="82"/>
        <v>0</v>
      </c>
      <c r="CM169">
        <f t="shared" si="83"/>
        <v>1</v>
      </c>
      <c r="CN169">
        <f t="shared" si="84"/>
        <v>0</v>
      </c>
      <c r="CO169">
        <f t="shared" si="85"/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f t="shared" si="104"/>
        <v>1</v>
      </c>
      <c r="CW169">
        <f t="shared" si="105"/>
        <v>1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1</v>
      </c>
      <c r="DE169">
        <f t="shared" si="106"/>
        <v>0</v>
      </c>
      <c r="DF169">
        <v>0</v>
      </c>
      <c r="DG169">
        <f t="shared" si="107"/>
        <v>1</v>
      </c>
      <c r="DI169">
        <f t="shared" si="99"/>
        <v>0</v>
      </c>
      <c r="DJ169">
        <f t="shared" si="86"/>
        <v>0</v>
      </c>
      <c r="DK169">
        <f t="shared" si="87"/>
        <v>0</v>
      </c>
      <c r="DL169">
        <f t="shared" si="88"/>
        <v>0</v>
      </c>
      <c r="DM169">
        <f t="shared" si="89"/>
        <v>0</v>
      </c>
      <c r="DN169">
        <f t="shared" si="90"/>
        <v>1</v>
      </c>
      <c r="DO169">
        <f t="shared" si="91"/>
        <v>0</v>
      </c>
      <c r="DP169">
        <f t="shared" si="92"/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f t="shared" si="108"/>
        <v>1</v>
      </c>
      <c r="DX169">
        <f t="shared" si="109"/>
        <v>1</v>
      </c>
      <c r="DZ169">
        <f t="shared" si="100"/>
        <v>0</v>
      </c>
      <c r="EA169">
        <f t="shared" si="93"/>
        <v>0</v>
      </c>
      <c r="EB169">
        <f t="shared" si="94"/>
        <v>0</v>
      </c>
      <c r="EC169">
        <f t="shared" si="95"/>
        <v>0</v>
      </c>
      <c r="ED169">
        <f t="shared" si="96"/>
        <v>0</v>
      </c>
      <c r="EE169">
        <f t="shared" si="97"/>
        <v>1</v>
      </c>
    </row>
    <row r="170" spans="1:135" x14ac:dyDescent="0.35">
      <c r="A170" t="s">
        <v>444</v>
      </c>
      <c r="B170">
        <f>[1]Population!$BB220</f>
        <v>1142502</v>
      </c>
      <c r="C170">
        <f>[1]RealGDP!$BB220</f>
        <v>732847298.62475431</v>
      </c>
      <c r="D170" s="10">
        <f>[1]GDPcap!$BB220</f>
        <v>641.4407139985351</v>
      </c>
      <c r="F170" t="s">
        <v>179</v>
      </c>
      <c r="H170">
        <v>25.6</v>
      </c>
      <c r="I170">
        <v>25.7</v>
      </c>
      <c r="J170">
        <v>25.9</v>
      </c>
      <c r="K170">
        <v>26.1</v>
      </c>
      <c r="L170">
        <v>26.1</v>
      </c>
      <c r="M170">
        <v>25.6</v>
      </c>
      <c r="N170">
        <v>25.3</v>
      </c>
      <c r="O170">
        <v>25.5</v>
      </c>
      <c r="P170">
        <v>25.7</v>
      </c>
      <c r="Q170">
        <v>26.1</v>
      </c>
      <c r="R170">
        <v>26.2</v>
      </c>
      <c r="S170">
        <v>25.9</v>
      </c>
      <c r="T170">
        <v>26.1</v>
      </c>
      <c r="U170">
        <v>25.5</v>
      </c>
      <c r="V170">
        <v>26</v>
      </c>
      <c r="W170">
        <v>24.9</v>
      </c>
      <c r="X170">
        <v>25.8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77"/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f t="shared" si="101"/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f t="shared" si="102"/>
        <v>1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</v>
      </c>
      <c r="CC170">
        <v>0</v>
      </c>
      <c r="CD170">
        <v>0</v>
      </c>
      <c r="CE170">
        <f t="shared" si="103"/>
        <v>1</v>
      </c>
      <c r="CG170">
        <f t="shared" si="98"/>
        <v>0</v>
      </c>
      <c r="CH170">
        <f t="shared" si="78"/>
        <v>0</v>
      </c>
      <c r="CI170">
        <f t="shared" si="79"/>
        <v>0</v>
      </c>
      <c r="CJ170">
        <f t="shared" si="80"/>
        <v>0</v>
      </c>
      <c r="CK170">
        <f t="shared" si="81"/>
        <v>0</v>
      </c>
      <c r="CL170">
        <f t="shared" si="82"/>
        <v>0</v>
      </c>
      <c r="CM170">
        <f t="shared" si="83"/>
        <v>1</v>
      </c>
      <c r="CN170">
        <f t="shared" si="84"/>
        <v>0</v>
      </c>
      <c r="CO170">
        <f t="shared" si="85"/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f t="shared" si="104"/>
        <v>1</v>
      </c>
      <c r="CW170">
        <f t="shared" si="105"/>
        <v>1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f t="shared" si="106"/>
        <v>0</v>
      </c>
      <c r="DF170">
        <v>0</v>
      </c>
      <c r="DG170">
        <f t="shared" si="107"/>
        <v>1</v>
      </c>
      <c r="DI170">
        <f t="shared" si="99"/>
        <v>0</v>
      </c>
      <c r="DJ170">
        <f t="shared" si="86"/>
        <v>0</v>
      </c>
      <c r="DK170">
        <f t="shared" si="87"/>
        <v>0</v>
      </c>
      <c r="DL170">
        <f t="shared" si="88"/>
        <v>0</v>
      </c>
      <c r="DM170">
        <f t="shared" si="89"/>
        <v>0</v>
      </c>
      <c r="DN170">
        <f t="shared" si="90"/>
        <v>1</v>
      </c>
      <c r="DO170">
        <f t="shared" si="91"/>
        <v>0</v>
      </c>
      <c r="DP170">
        <f t="shared" si="92"/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f t="shared" si="108"/>
        <v>1</v>
      </c>
      <c r="DX170">
        <f t="shared" si="109"/>
        <v>1</v>
      </c>
      <c r="DZ170">
        <f t="shared" si="100"/>
        <v>0</v>
      </c>
      <c r="EA170">
        <f t="shared" si="93"/>
        <v>0</v>
      </c>
      <c r="EB170">
        <f t="shared" si="94"/>
        <v>0</v>
      </c>
      <c r="EC170">
        <f t="shared" si="95"/>
        <v>0</v>
      </c>
      <c r="ED170">
        <f t="shared" si="96"/>
        <v>0</v>
      </c>
      <c r="EE170">
        <f t="shared" si="97"/>
        <v>1</v>
      </c>
    </row>
    <row r="171" spans="1:135" x14ac:dyDescent="0.35">
      <c r="A171" t="s">
        <v>445</v>
      </c>
      <c r="B171">
        <f>[1]Population!$BB221</f>
        <v>6306014</v>
      </c>
      <c r="C171">
        <f>[1]RealGDP!$BB221</f>
        <v>2477349486.2692142</v>
      </c>
      <c r="D171" s="10">
        <f>[1]GDPcap!$BB221</f>
        <v>392.85505650149429</v>
      </c>
      <c r="F171" t="s">
        <v>445</v>
      </c>
      <c r="H171">
        <v>27</v>
      </c>
      <c r="I171">
        <v>28.8</v>
      </c>
      <c r="J171">
        <v>29.5</v>
      </c>
      <c r="K171">
        <v>29.1</v>
      </c>
      <c r="L171">
        <v>28</v>
      </c>
      <c r="M171">
        <v>26.4</v>
      </c>
      <c r="N171">
        <v>25.4</v>
      </c>
      <c r="O171">
        <v>25.2</v>
      </c>
      <c r="P171">
        <v>25.7</v>
      </c>
      <c r="Q171">
        <v>26.7</v>
      </c>
      <c r="R171">
        <v>27.2</v>
      </c>
      <c r="S171">
        <v>26.8</v>
      </c>
      <c r="T171">
        <v>28.9</v>
      </c>
      <c r="U171">
        <v>25.7</v>
      </c>
      <c r="V171">
        <v>26.5</v>
      </c>
      <c r="W171">
        <v>26.6</v>
      </c>
      <c r="X171">
        <v>27.1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77"/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f t="shared" si="101"/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f t="shared" si="102"/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f t="shared" si="103"/>
        <v>1</v>
      </c>
      <c r="CG171">
        <f t="shared" si="98"/>
        <v>0</v>
      </c>
      <c r="CH171">
        <f t="shared" si="78"/>
        <v>0</v>
      </c>
      <c r="CI171">
        <f t="shared" si="79"/>
        <v>0</v>
      </c>
      <c r="CJ171">
        <f t="shared" si="80"/>
        <v>0</v>
      </c>
      <c r="CK171">
        <f t="shared" si="81"/>
        <v>0</v>
      </c>
      <c r="CL171">
        <f t="shared" si="82"/>
        <v>0</v>
      </c>
      <c r="CM171">
        <f t="shared" si="83"/>
        <v>0</v>
      </c>
      <c r="CN171">
        <f t="shared" si="84"/>
        <v>0</v>
      </c>
      <c r="CO171">
        <f t="shared" si="85"/>
        <v>1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f t="shared" si="104"/>
        <v>1</v>
      </c>
      <c r="CW171">
        <f t="shared" si="105"/>
        <v>1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f t="shared" si="106"/>
        <v>1</v>
      </c>
      <c r="DF171">
        <v>0</v>
      </c>
      <c r="DG171">
        <f t="shared" si="107"/>
        <v>1</v>
      </c>
      <c r="DI171">
        <f t="shared" si="99"/>
        <v>0</v>
      </c>
      <c r="DJ171">
        <f t="shared" si="86"/>
        <v>0</v>
      </c>
      <c r="DK171">
        <f t="shared" si="87"/>
        <v>0</v>
      </c>
      <c r="DL171">
        <f t="shared" si="88"/>
        <v>0</v>
      </c>
      <c r="DM171">
        <f t="shared" si="89"/>
        <v>0</v>
      </c>
      <c r="DN171">
        <f t="shared" si="90"/>
        <v>0</v>
      </c>
      <c r="DO171">
        <f t="shared" si="91"/>
        <v>1</v>
      </c>
      <c r="DP171">
        <f t="shared" si="92"/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f t="shared" si="108"/>
        <v>1</v>
      </c>
      <c r="DX171">
        <f t="shared" si="109"/>
        <v>1</v>
      </c>
      <c r="DZ171">
        <f t="shared" si="100"/>
        <v>0</v>
      </c>
      <c r="EA171">
        <f t="shared" si="93"/>
        <v>0</v>
      </c>
      <c r="EB171">
        <f t="shared" si="94"/>
        <v>0</v>
      </c>
      <c r="EC171">
        <f t="shared" si="95"/>
        <v>0</v>
      </c>
      <c r="ED171">
        <f t="shared" si="96"/>
        <v>0</v>
      </c>
      <c r="EE171">
        <f t="shared" si="97"/>
        <v>1</v>
      </c>
    </row>
    <row r="172" spans="1:135" x14ac:dyDescent="0.35">
      <c r="A172" t="s">
        <v>446</v>
      </c>
      <c r="B172">
        <f>[1]Population!$BB223</f>
        <v>104098</v>
      </c>
      <c r="C172">
        <f>[1]RealGDP!$BB223</f>
        <v>268854242.96830958</v>
      </c>
      <c r="D172" s="10">
        <f>[1]GDPcap!$BB223</f>
        <v>2582.7032504784875</v>
      </c>
      <c r="F172" t="s">
        <v>446</v>
      </c>
      <c r="H172">
        <v>26.6</v>
      </c>
      <c r="I172">
        <v>26.9</v>
      </c>
      <c r="J172">
        <v>26.6</v>
      </c>
      <c r="K172">
        <v>25.9</v>
      </c>
      <c r="L172">
        <v>25</v>
      </c>
      <c r="M172">
        <v>24.5</v>
      </c>
      <c r="N172">
        <v>23.8</v>
      </c>
      <c r="O172">
        <v>23.5</v>
      </c>
      <c r="P172">
        <v>24</v>
      </c>
      <c r="Q172">
        <v>24.6</v>
      </c>
      <c r="R172">
        <v>25.3</v>
      </c>
      <c r="S172">
        <v>25.9</v>
      </c>
      <c r="T172">
        <v>25.8</v>
      </c>
      <c r="U172">
        <v>23.9</v>
      </c>
      <c r="V172">
        <v>24.6</v>
      </c>
      <c r="W172">
        <v>25.6</v>
      </c>
      <c r="X172">
        <v>25.2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f t="shared" si="77"/>
        <v>1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0</v>
      </c>
      <c r="BE172">
        <f t="shared" si="101"/>
        <v>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0</v>
      </c>
      <c r="BS172">
        <v>0</v>
      </c>
      <c r="BT172">
        <f t="shared" si="102"/>
        <v>1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1</v>
      </c>
      <c r="CC172">
        <v>0</v>
      </c>
      <c r="CD172">
        <v>0</v>
      </c>
      <c r="CE172">
        <f t="shared" si="103"/>
        <v>1</v>
      </c>
      <c r="CG172">
        <f t="shared" si="98"/>
        <v>0</v>
      </c>
      <c r="CH172">
        <f t="shared" si="78"/>
        <v>0</v>
      </c>
      <c r="CI172">
        <f t="shared" si="79"/>
        <v>0</v>
      </c>
      <c r="CJ172">
        <f t="shared" si="80"/>
        <v>0</v>
      </c>
      <c r="CK172">
        <f t="shared" si="81"/>
        <v>0</v>
      </c>
      <c r="CL172">
        <f t="shared" si="82"/>
        <v>0</v>
      </c>
      <c r="CM172">
        <f t="shared" si="83"/>
        <v>1</v>
      </c>
      <c r="CN172">
        <f t="shared" si="84"/>
        <v>0</v>
      </c>
      <c r="CO172">
        <f t="shared" si="85"/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f t="shared" si="104"/>
        <v>1</v>
      </c>
      <c r="CW172">
        <f t="shared" si="105"/>
        <v>1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1</v>
      </c>
      <c r="DE172">
        <f t="shared" si="106"/>
        <v>0</v>
      </c>
      <c r="DF172">
        <v>0</v>
      </c>
      <c r="DG172">
        <f t="shared" si="107"/>
        <v>1</v>
      </c>
      <c r="DI172">
        <f t="shared" si="99"/>
        <v>0</v>
      </c>
      <c r="DJ172">
        <f t="shared" si="86"/>
        <v>0</v>
      </c>
      <c r="DK172">
        <f t="shared" si="87"/>
        <v>0</v>
      </c>
      <c r="DL172">
        <f t="shared" si="88"/>
        <v>0</v>
      </c>
      <c r="DM172">
        <f t="shared" si="89"/>
        <v>0</v>
      </c>
      <c r="DN172">
        <f t="shared" si="90"/>
        <v>1</v>
      </c>
      <c r="DO172">
        <f t="shared" si="91"/>
        <v>0</v>
      </c>
      <c r="DP172">
        <f t="shared" si="92"/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f t="shared" si="108"/>
        <v>1</v>
      </c>
      <c r="DX172">
        <f t="shared" si="109"/>
        <v>1</v>
      </c>
      <c r="DZ172">
        <f t="shared" si="100"/>
        <v>0</v>
      </c>
      <c r="EA172">
        <f t="shared" si="93"/>
        <v>0</v>
      </c>
      <c r="EB172">
        <f t="shared" si="94"/>
        <v>0</v>
      </c>
      <c r="EC172">
        <f t="shared" si="95"/>
        <v>0</v>
      </c>
      <c r="ED172">
        <f t="shared" si="96"/>
        <v>0</v>
      </c>
      <c r="EE172">
        <f t="shared" si="97"/>
        <v>1</v>
      </c>
    </row>
    <row r="173" spans="1:135" x14ac:dyDescent="0.35">
      <c r="A173" t="s">
        <v>222</v>
      </c>
      <c r="B173">
        <f>[1]Population!$BB224</f>
        <v>1328095</v>
      </c>
      <c r="C173">
        <f>[1]RealGDP!$BB224</f>
        <v>18988955441.46624</v>
      </c>
      <c r="D173" s="10">
        <f>[1]GDPcap!$BB224</f>
        <v>14297.889414135465</v>
      </c>
      <c r="F173" t="s">
        <v>590</v>
      </c>
      <c r="G173" t="s">
        <v>591</v>
      </c>
      <c r="H173">
        <v>24.6</v>
      </c>
      <c r="I173">
        <v>24.7</v>
      </c>
      <c r="J173">
        <v>25.1</v>
      </c>
      <c r="K173">
        <v>25.9</v>
      </c>
      <c r="L173">
        <v>26.4</v>
      </c>
      <c r="M173">
        <v>26.1</v>
      </c>
      <c r="N173">
        <v>26</v>
      </c>
      <c r="O173">
        <v>26.2</v>
      </c>
      <c r="P173">
        <v>26.4</v>
      </c>
      <c r="Q173">
        <v>26.2</v>
      </c>
      <c r="R173">
        <v>25.8</v>
      </c>
      <c r="S173">
        <v>25.1</v>
      </c>
      <c r="T173">
        <v>25.8</v>
      </c>
      <c r="U173">
        <v>26.1</v>
      </c>
      <c r="V173">
        <v>26.1</v>
      </c>
      <c r="W173">
        <v>24</v>
      </c>
      <c r="X173">
        <v>25.7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f t="shared" si="77"/>
        <v>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f t="shared" si="101"/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1</v>
      </c>
      <c r="BQ173">
        <v>0</v>
      </c>
      <c r="BR173">
        <v>0</v>
      </c>
      <c r="BS173">
        <v>0</v>
      </c>
      <c r="BT173">
        <f t="shared" si="102"/>
        <v>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1</v>
      </c>
      <c r="CB173">
        <v>0</v>
      </c>
      <c r="CC173">
        <v>0</v>
      </c>
      <c r="CD173">
        <v>0</v>
      </c>
      <c r="CE173">
        <f t="shared" si="103"/>
        <v>1</v>
      </c>
      <c r="CG173">
        <f t="shared" si="98"/>
        <v>0</v>
      </c>
      <c r="CH173">
        <f t="shared" si="78"/>
        <v>0</v>
      </c>
      <c r="CI173">
        <f t="shared" si="79"/>
        <v>0</v>
      </c>
      <c r="CJ173">
        <f t="shared" si="80"/>
        <v>0</v>
      </c>
      <c r="CK173">
        <f t="shared" si="81"/>
        <v>0</v>
      </c>
      <c r="CL173">
        <f t="shared" si="82"/>
        <v>1</v>
      </c>
      <c r="CM173">
        <f t="shared" si="83"/>
        <v>0</v>
      </c>
      <c r="CN173">
        <f t="shared" si="84"/>
        <v>0</v>
      </c>
      <c r="CO173">
        <f t="shared" si="85"/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f t="shared" si="104"/>
        <v>1</v>
      </c>
      <c r="CW173">
        <f t="shared" si="105"/>
        <v>1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f t="shared" si="106"/>
        <v>0</v>
      </c>
      <c r="DF173">
        <v>1</v>
      </c>
      <c r="DG173">
        <f t="shared" si="107"/>
        <v>1</v>
      </c>
      <c r="DI173">
        <f t="shared" si="99"/>
        <v>0</v>
      </c>
      <c r="DJ173">
        <f t="shared" si="86"/>
        <v>0</v>
      </c>
      <c r="DK173">
        <f t="shared" si="87"/>
        <v>0</v>
      </c>
      <c r="DL173">
        <f t="shared" si="88"/>
        <v>0</v>
      </c>
      <c r="DM173">
        <f t="shared" si="89"/>
        <v>0</v>
      </c>
      <c r="DN173">
        <f t="shared" si="90"/>
        <v>0</v>
      </c>
      <c r="DO173">
        <f t="shared" si="91"/>
        <v>0</v>
      </c>
      <c r="DP173">
        <f t="shared" si="92"/>
        <v>1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f t="shared" si="108"/>
        <v>1</v>
      </c>
      <c r="DX173">
        <f t="shared" si="109"/>
        <v>1</v>
      </c>
      <c r="DZ173">
        <f t="shared" si="100"/>
        <v>0</v>
      </c>
      <c r="EA173">
        <f t="shared" si="93"/>
        <v>0</v>
      </c>
      <c r="EB173">
        <f t="shared" si="94"/>
        <v>0</v>
      </c>
      <c r="EC173">
        <f t="shared" si="95"/>
        <v>0</v>
      </c>
      <c r="ED173">
        <f t="shared" si="96"/>
        <v>0</v>
      </c>
      <c r="EE173">
        <f t="shared" si="97"/>
        <v>1</v>
      </c>
    </row>
    <row r="174" spans="1:135" x14ac:dyDescent="0.35">
      <c r="A174" t="s">
        <v>223</v>
      </c>
      <c r="B174">
        <f>[1]Population!$BB225</f>
        <v>10549100</v>
      </c>
      <c r="C174">
        <f>[1]RealGDP!$BB225</f>
        <v>40735443534.70594</v>
      </c>
      <c r="D174" s="10">
        <f>[1]GDPcap!$BB225</f>
        <v>3861.5088997834828</v>
      </c>
      <c r="F174" t="s">
        <v>223</v>
      </c>
      <c r="H174">
        <v>10.6</v>
      </c>
      <c r="I174">
        <v>11.9</v>
      </c>
      <c r="J174">
        <v>14</v>
      </c>
      <c r="K174">
        <v>17.100000000000001</v>
      </c>
      <c r="L174">
        <v>21.2</v>
      </c>
      <c r="M174">
        <v>25.4</v>
      </c>
      <c r="N174">
        <v>28.2</v>
      </c>
      <c r="O174">
        <v>28.3</v>
      </c>
      <c r="P174">
        <v>25.4</v>
      </c>
      <c r="Q174">
        <v>20.6</v>
      </c>
      <c r="R174">
        <v>15.5</v>
      </c>
      <c r="S174">
        <v>11.7</v>
      </c>
      <c r="T174">
        <v>17.399999999999999</v>
      </c>
      <c r="U174">
        <v>27.3</v>
      </c>
      <c r="V174">
        <v>20.5</v>
      </c>
      <c r="W174">
        <v>11</v>
      </c>
      <c r="X174">
        <v>19.2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f t="shared" si="77"/>
        <v>1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f t="shared" si="101"/>
        <v>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1</v>
      </c>
      <c r="BR174">
        <v>0</v>
      </c>
      <c r="BS174">
        <v>0</v>
      </c>
      <c r="BT174">
        <f t="shared" si="102"/>
        <v>1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1</v>
      </c>
      <c r="CE174">
        <f t="shared" si="103"/>
        <v>1</v>
      </c>
      <c r="CG174">
        <f t="shared" si="98"/>
        <v>0</v>
      </c>
      <c r="CH174">
        <f t="shared" si="78"/>
        <v>0</v>
      </c>
      <c r="CI174">
        <f t="shared" si="79"/>
        <v>0</v>
      </c>
      <c r="CJ174">
        <f t="shared" si="80"/>
        <v>0</v>
      </c>
      <c r="CK174">
        <f t="shared" si="81"/>
        <v>0</v>
      </c>
      <c r="CL174">
        <f t="shared" si="82"/>
        <v>0</v>
      </c>
      <c r="CM174">
        <f t="shared" si="83"/>
        <v>0</v>
      </c>
      <c r="CN174">
        <f t="shared" si="84"/>
        <v>0</v>
      </c>
      <c r="CO174">
        <f t="shared" si="85"/>
        <v>1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f t="shared" si="104"/>
        <v>1</v>
      </c>
      <c r="CW174">
        <f t="shared" si="105"/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f t="shared" si="106"/>
        <v>1</v>
      </c>
      <c r="DF174">
        <v>0</v>
      </c>
      <c r="DG174">
        <f t="shared" si="107"/>
        <v>1</v>
      </c>
      <c r="DI174">
        <f t="shared" si="99"/>
        <v>0</v>
      </c>
      <c r="DJ174">
        <f t="shared" si="86"/>
        <v>0</v>
      </c>
      <c r="DK174">
        <f t="shared" si="87"/>
        <v>0</v>
      </c>
      <c r="DL174">
        <f t="shared" si="88"/>
        <v>0</v>
      </c>
      <c r="DM174">
        <f t="shared" si="89"/>
        <v>0</v>
      </c>
      <c r="DN174">
        <f t="shared" si="90"/>
        <v>0</v>
      </c>
      <c r="DO174">
        <f t="shared" si="91"/>
        <v>1</v>
      </c>
      <c r="DP174">
        <f t="shared" si="92"/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f t="shared" si="108"/>
        <v>1</v>
      </c>
      <c r="DX174">
        <f t="shared" si="109"/>
        <v>1</v>
      </c>
      <c r="DZ174">
        <f t="shared" si="100"/>
        <v>0</v>
      </c>
      <c r="EA174">
        <f t="shared" si="93"/>
        <v>0</v>
      </c>
      <c r="EB174">
        <f t="shared" si="94"/>
        <v>0</v>
      </c>
      <c r="EC174">
        <f t="shared" si="95"/>
        <v>0</v>
      </c>
      <c r="ED174">
        <f t="shared" si="96"/>
        <v>0</v>
      </c>
      <c r="EE174">
        <f t="shared" si="97"/>
        <v>1</v>
      </c>
    </row>
    <row r="175" spans="1:135" x14ac:dyDescent="0.35">
      <c r="A175" t="s">
        <v>224</v>
      </c>
      <c r="B175">
        <f>[1]Population!$BB226</f>
        <v>72137546</v>
      </c>
      <c r="C175">
        <f>[1]RealGDP!$BB226</f>
        <v>565091528615.37659</v>
      </c>
      <c r="D175" s="10">
        <f>[1]GDPcap!$BB226</f>
        <v>7833.5285846205052</v>
      </c>
      <c r="F175" t="s">
        <v>224</v>
      </c>
      <c r="H175">
        <v>-0.2</v>
      </c>
      <c r="I175">
        <v>1.2</v>
      </c>
      <c r="J175">
        <v>4.9000000000000004</v>
      </c>
      <c r="K175">
        <v>10.1</v>
      </c>
      <c r="L175">
        <v>14.6</v>
      </c>
      <c r="M175">
        <v>18.5</v>
      </c>
      <c r="N175">
        <v>21.7</v>
      </c>
      <c r="O175">
        <v>21.6</v>
      </c>
      <c r="P175">
        <v>18.100000000000001</v>
      </c>
      <c r="Q175">
        <v>12.7</v>
      </c>
      <c r="R175">
        <v>7.1</v>
      </c>
      <c r="S175">
        <v>2.2999999999999998</v>
      </c>
      <c r="T175">
        <v>9.9</v>
      </c>
      <c r="U175">
        <v>20.6</v>
      </c>
      <c r="V175">
        <v>12.6</v>
      </c>
      <c r="W175">
        <v>1.1000000000000001</v>
      </c>
      <c r="X175">
        <v>11.1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f t="shared" si="77"/>
        <v>1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f t="shared" si="101"/>
        <v>1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1</v>
      </c>
      <c r="BR175">
        <v>0</v>
      </c>
      <c r="BS175">
        <v>0</v>
      </c>
      <c r="BT175">
        <f t="shared" si="102"/>
        <v>1</v>
      </c>
      <c r="BV175">
        <v>0</v>
      </c>
      <c r="BW175">
        <v>0</v>
      </c>
      <c r="BX175">
        <v>0</v>
      </c>
      <c r="BY175">
        <v>0</v>
      </c>
      <c r="BZ175">
        <v>1</v>
      </c>
      <c r="CA175">
        <v>0</v>
      </c>
      <c r="CB175">
        <v>0</v>
      </c>
      <c r="CC175">
        <v>0</v>
      </c>
      <c r="CD175">
        <v>0</v>
      </c>
      <c r="CE175">
        <f t="shared" si="103"/>
        <v>1</v>
      </c>
      <c r="CG175">
        <f t="shared" si="98"/>
        <v>0</v>
      </c>
      <c r="CH175">
        <f t="shared" si="78"/>
        <v>0</v>
      </c>
      <c r="CI175">
        <f t="shared" si="79"/>
        <v>0</v>
      </c>
      <c r="CJ175">
        <f t="shared" si="80"/>
        <v>0</v>
      </c>
      <c r="CK175">
        <f t="shared" si="81"/>
        <v>1</v>
      </c>
      <c r="CL175">
        <f t="shared" si="82"/>
        <v>0</v>
      </c>
      <c r="CM175">
        <f t="shared" si="83"/>
        <v>0</v>
      </c>
      <c r="CN175">
        <f t="shared" si="84"/>
        <v>0</v>
      </c>
      <c r="CO175">
        <f t="shared" si="85"/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f t="shared" si="104"/>
        <v>1</v>
      </c>
      <c r="CW175">
        <f t="shared" si="105"/>
        <v>1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f t="shared" si="106"/>
        <v>1</v>
      </c>
      <c r="DF175">
        <v>0</v>
      </c>
      <c r="DG175">
        <f t="shared" si="107"/>
        <v>1</v>
      </c>
      <c r="DI175">
        <f t="shared" si="99"/>
        <v>0</v>
      </c>
      <c r="DJ175">
        <f t="shared" si="86"/>
        <v>0</v>
      </c>
      <c r="DK175">
        <f t="shared" si="87"/>
        <v>0</v>
      </c>
      <c r="DL175">
        <f t="shared" si="88"/>
        <v>0</v>
      </c>
      <c r="DM175">
        <f t="shared" si="89"/>
        <v>0</v>
      </c>
      <c r="DN175">
        <f t="shared" si="90"/>
        <v>0</v>
      </c>
      <c r="DO175">
        <f t="shared" si="91"/>
        <v>1</v>
      </c>
      <c r="DP175">
        <f t="shared" si="92"/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f t="shared" si="108"/>
        <v>1</v>
      </c>
      <c r="DX175">
        <f t="shared" si="109"/>
        <v>1</v>
      </c>
      <c r="DZ175">
        <f t="shared" si="100"/>
        <v>0</v>
      </c>
      <c r="EA175">
        <f t="shared" si="93"/>
        <v>0</v>
      </c>
      <c r="EB175">
        <f t="shared" si="94"/>
        <v>0</v>
      </c>
      <c r="EC175">
        <f t="shared" si="95"/>
        <v>0</v>
      </c>
      <c r="ED175">
        <f t="shared" si="96"/>
        <v>0</v>
      </c>
      <c r="EE175">
        <f t="shared" si="97"/>
        <v>1</v>
      </c>
    </row>
    <row r="176" spans="1:135" x14ac:dyDescent="0.35">
      <c r="A176" t="s">
        <v>447</v>
      </c>
      <c r="B176">
        <f>[1]Population!$BB227</f>
        <v>5041995</v>
      </c>
      <c r="C176">
        <f>[1]RealGDP!$BB227</f>
        <v>13272686025.408352</v>
      </c>
      <c r="D176" s="10">
        <f>[1]GDPcap!$BB227</f>
        <v>2632.4274469546981</v>
      </c>
      <c r="F176" t="s">
        <v>447</v>
      </c>
      <c r="H176">
        <v>0.9</v>
      </c>
      <c r="I176">
        <v>2.4</v>
      </c>
      <c r="J176">
        <v>8.4</v>
      </c>
      <c r="K176">
        <v>16</v>
      </c>
      <c r="L176">
        <v>22.1</v>
      </c>
      <c r="M176">
        <v>26.8</v>
      </c>
      <c r="N176">
        <v>29.2</v>
      </c>
      <c r="O176">
        <v>27.2</v>
      </c>
      <c r="P176">
        <v>21.7</v>
      </c>
      <c r="Q176">
        <v>14.3</v>
      </c>
      <c r="R176">
        <v>8.5</v>
      </c>
      <c r="S176">
        <v>3.4</v>
      </c>
      <c r="T176">
        <v>15.5</v>
      </c>
      <c r="U176">
        <v>27.7</v>
      </c>
      <c r="V176">
        <v>14.8</v>
      </c>
      <c r="W176">
        <v>2.2000000000000002</v>
      </c>
      <c r="X176">
        <v>15.1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77"/>
        <v>1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f t="shared" si="101"/>
        <v>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0</v>
      </c>
      <c r="BT176">
        <f t="shared" si="102"/>
        <v>1</v>
      </c>
      <c r="BV176">
        <v>0</v>
      </c>
      <c r="BW176">
        <v>0</v>
      </c>
      <c r="BX176">
        <v>0</v>
      </c>
      <c r="BY176">
        <v>1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f t="shared" si="103"/>
        <v>1</v>
      </c>
      <c r="CG176">
        <f t="shared" si="98"/>
        <v>0</v>
      </c>
      <c r="CH176">
        <f t="shared" si="78"/>
        <v>0</v>
      </c>
      <c r="CI176">
        <f t="shared" si="79"/>
        <v>0</v>
      </c>
      <c r="CJ176">
        <f t="shared" si="80"/>
        <v>1</v>
      </c>
      <c r="CK176">
        <f t="shared" si="81"/>
        <v>0</v>
      </c>
      <c r="CL176">
        <f t="shared" si="82"/>
        <v>0</v>
      </c>
      <c r="CM176">
        <f t="shared" si="83"/>
        <v>0</v>
      </c>
      <c r="CN176">
        <f t="shared" si="84"/>
        <v>0</v>
      </c>
      <c r="CO176">
        <f t="shared" si="85"/>
        <v>0</v>
      </c>
      <c r="CQ176">
        <v>0</v>
      </c>
      <c r="CR176">
        <v>0</v>
      </c>
      <c r="CS176">
        <v>0</v>
      </c>
      <c r="CT176">
        <v>0</v>
      </c>
      <c r="CU176">
        <v>1</v>
      </c>
      <c r="CV176">
        <f t="shared" si="104"/>
        <v>0</v>
      </c>
      <c r="CW176">
        <f t="shared" si="105"/>
        <v>1</v>
      </c>
      <c r="CY176">
        <v>0</v>
      </c>
      <c r="CZ176">
        <v>0</v>
      </c>
      <c r="DA176">
        <v>0</v>
      </c>
      <c r="DB176">
        <v>1</v>
      </c>
      <c r="DC176">
        <v>0</v>
      </c>
      <c r="DD176">
        <v>0</v>
      </c>
      <c r="DE176">
        <f t="shared" si="106"/>
        <v>0</v>
      </c>
      <c r="DF176">
        <v>0</v>
      </c>
      <c r="DG176">
        <f t="shared" si="107"/>
        <v>1</v>
      </c>
      <c r="DI176">
        <f t="shared" si="99"/>
        <v>0</v>
      </c>
      <c r="DJ176">
        <f t="shared" si="86"/>
        <v>0</v>
      </c>
      <c r="DK176">
        <f t="shared" si="87"/>
        <v>0</v>
      </c>
      <c r="DL176">
        <f t="shared" si="88"/>
        <v>1</v>
      </c>
      <c r="DM176">
        <f t="shared" si="89"/>
        <v>0</v>
      </c>
      <c r="DN176">
        <f t="shared" si="90"/>
        <v>0</v>
      </c>
      <c r="DO176">
        <f t="shared" si="91"/>
        <v>0</v>
      </c>
      <c r="DP176">
        <f t="shared" si="92"/>
        <v>0</v>
      </c>
      <c r="DR176">
        <v>0</v>
      </c>
      <c r="DS176">
        <v>0</v>
      </c>
      <c r="DT176">
        <v>0</v>
      </c>
      <c r="DU176">
        <v>1</v>
      </c>
      <c r="DV176">
        <v>0</v>
      </c>
      <c r="DW176">
        <f t="shared" si="108"/>
        <v>0</v>
      </c>
      <c r="DX176">
        <f t="shared" si="109"/>
        <v>1</v>
      </c>
      <c r="DZ176">
        <f t="shared" si="100"/>
        <v>0</v>
      </c>
      <c r="EA176">
        <f t="shared" si="93"/>
        <v>0</v>
      </c>
      <c r="EB176">
        <f t="shared" si="94"/>
        <v>0</v>
      </c>
      <c r="EC176">
        <f t="shared" si="95"/>
        <v>1</v>
      </c>
      <c r="ED176">
        <f t="shared" si="96"/>
        <v>0</v>
      </c>
      <c r="EE176">
        <f t="shared" si="97"/>
        <v>0</v>
      </c>
    </row>
    <row r="177" spans="1:135" x14ac:dyDescent="0.35">
      <c r="A177" t="s">
        <v>448</v>
      </c>
      <c r="B177">
        <f>[1]Population!$BB229</f>
        <v>9827</v>
      </c>
      <c r="C177">
        <f>[1]RealGDP!$BB229</f>
        <v>23813390.625238709</v>
      </c>
      <c r="D177" s="10">
        <f>[1]GDPcap!$BB229</f>
        <v>2423.2614862357495</v>
      </c>
      <c r="F177" t="s">
        <v>448</v>
      </c>
      <c r="H177">
        <v>28.1</v>
      </c>
      <c r="I177">
        <v>28.1</v>
      </c>
      <c r="J177">
        <v>28.1</v>
      </c>
      <c r="K177">
        <v>28.2</v>
      </c>
      <c r="L177">
        <v>28.2</v>
      </c>
      <c r="M177">
        <v>27.9</v>
      </c>
      <c r="N177">
        <v>27.6</v>
      </c>
      <c r="O177">
        <v>27.6</v>
      </c>
      <c r="P177">
        <v>27.8</v>
      </c>
      <c r="Q177">
        <v>27.8</v>
      </c>
      <c r="R177">
        <v>28</v>
      </c>
      <c r="S177">
        <v>28.1</v>
      </c>
      <c r="T177">
        <v>28.2</v>
      </c>
      <c r="U177">
        <v>27.7</v>
      </c>
      <c r="V177">
        <v>27.9</v>
      </c>
      <c r="W177">
        <v>27.2</v>
      </c>
      <c r="X177">
        <v>28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f t="shared" si="77"/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f t="shared" si="101"/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f t="shared" si="102"/>
        <v>1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f t="shared" si="103"/>
        <v>1</v>
      </c>
      <c r="CG177">
        <f t="shared" si="98"/>
        <v>0</v>
      </c>
      <c r="CH177">
        <f t="shared" si="78"/>
        <v>0</v>
      </c>
      <c r="CI177">
        <f t="shared" si="79"/>
        <v>0</v>
      </c>
      <c r="CJ177">
        <f t="shared" si="80"/>
        <v>0</v>
      </c>
      <c r="CK177">
        <f t="shared" si="81"/>
        <v>0</v>
      </c>
      <c r="CL177">
        <f t="shared" si="82"/>
        <v>0</v>
      </c>
      <c r="CM177">
        <f t="shared" si="83"/>
        <v>1</v>
      </c>
      <c r="CN177">
        <f t="shared" si="84"/>
        <v>0</v>
      </c>
      <c r="CO177">
        <f t="shared" si="85"/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f t="shared" si="104"/>
        <v>1</v>
      </c>
      <c r="CW177">
        <f t="shared" si="105"/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1</v>
      </c>
      <c r="DE177">
        <f t="shared" si="106"/>
        <v>0</v>
      </c>
      <c r="DF177">
        <v>0</v>
      </c>
      <c r="DG177">
        <f t="shared" si="107"/>
        <v>1</v>
      </c>
      <c r="DI177">
        <f t="shared" si="99"/>
        <v>0</v>
      </c>
      <c r="DJ177">
        <f t="shared" si="86"/>
        <v>0</v>
      </c>
      <c r="DK177">
        <f t="shared" si="87"/>
        <v>0</v>
      </c>
      <c r="DL177">
        <f t="shared" si="88"/>
        <v>0</v>
      </c>
      <c r="DM177">
        <f t="shared" si="89"/>
        <v>0</v>
      </c>
      <c r="DN177">
        <f t="shared" si="90"/>
        <v>1</v>
      </c>
      <c r="DO177">
        <f t="shared" si="91"/>
        <v>0</v>
      </c>
      <c r="DP177">
        <f t="shared" si="92"/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f t="shared" si="108"/>
        <v>1</v>
      </c>
      <c r="DX177">
        <f t="shared" si="109"/>
        <v>1</v>
      </c>
      <c r="DZ177">
        <f t="shared" si="100"/>
        <v>0</v>
      </c>
      <c r="EA177">
        <f t="shared" si="93"/>
        <v>0</v>
      </c>
      <c r="EB177">
        <f t="shared" si="94"/>
        <v>0</v>
      </c>
      <c r="EC177">
        <f t="shared" si="95"/>
        <v>0</v>
      </c>
      <c r="ED177">
        <f t="shared" si="96"/>
        <v>0</v>
      </c>
      <c r="EE177">
        <f t="shared" si="97"/>
        <v>1</v>
      </c>
    </row>
    <row r="178" spans="1:135" x14ac:dyDescent="0.35">
      <c r="A178" t="s">
        <v>282</v>
      </c>
      <c r="B178">
        <f>[1]Population!$BB232</f>
        <v>33987213</v>
      </c>
      <c r="C178">
        <f>[1]RealGDP!$BB232</f>
        <v>13362034649.013441</v>
      </c>
      <c r="D178" s="10">
        <f>[1]GDPcap!$BB232</f>
        <v>393.14887775627386</v>
      </c>
      <c r="F178" t="s">
        <v>282</v>
      </c>
      <c r="H178">
        <v>23.4</v>
      </c>
      <c r="I178">
        <v>23.9</v>
      </c>
      <c r="J178">
        <v>24</v>
      </c>
      <c r="K178">
        <v>23.2</v>
      </c>
      <c r="L178">
        <v>22.7</v>
      </c>
      <c r="M178">
        <v>22.2</v>
      </c>
      <c r="N178">
        <v>21.7</v>
      </c>
      <c r="O178">
        <v>21.9</v>
      </c>
      <c r="P178">
        <v>22.3</v>
      </c>
      <c r="Q178">
        <v>22.7</v>
      </c>
      <c r="R178">
        <v>22.7</v>
      </c>
      <c r="S178">
        <v>22.8</v>
      </c>
      <c r="T178">
        <v>23.3</v>
      </c>
      <c r="U178">
        <v>21.9</v>
      </c>
      <c r="V178">
        <v>22.6</v>
      </c>
      <c r="W178">
        <v>22.6</v>
      </c>
      <c r="X178">
        <v>22.8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ref="AO178:AO190" si="110">SUM(Z178:AN178)</f>
        <v>1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f t="shared" si="101"/>
        <v>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</v>
      </c>
      <c r="BS178">
        <v>0</v>
      </c>
      <c r="BT178">
        <f t="shared" si="102"/>
        <v>1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1</v>
      </c>
      <c r="CE178">
        <f t="shared" si="103"/>
        <v>1</v>
      </c>
      <c r="CG178">
        <f t="shared" si="98"/>
        <v>0</v>
      </c>
      <c r="CH178">
        <f t="shared" si="78"/>
        <v>0</v>
      </c>
      <c r="CI178">
        <f t="shared" si="79"/>
        <v>0</v>
      </c>
      <c r="CJ178">
        <f t="shared" si="80"/>
        <v>0</v>
      </c>
      <c r="CK178">
        <f t="shared" si="81"/>
        <v>0</v>
      </c>
      <c r="CL178">
        <f t="shared" si="82"/>
        <v>0</v>
      </c>
      <c r="CM178">
        <f t="shared" si="83"/>
        <v>0</v>
      </c>
      <c r="CN178">
        <f t="shared" si="84"/>
        <v>0</v>
      </c>
      <c r="CO178">
        <f t="shared" si="85"/>
        <v>1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f t="shared" si="104"/>
        <v>1</v>
      </c>
      <c r="CW178">
        <f t="shared" si="105"/>
        <v>1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f t="shared" si="106"/>
        <v>1</v>
      </c>
      <c r="DF178">
        <v>0</v>
      </c>
      <c r="DG178">
        <f t="shared" si="107"/>
        <v>1</v>
      </c>
      <c r="DI178">
        <f t="shared" si="99"/>
        <v>0</v>
      </c>
      <c r="DJ178">
        <f t="shared" si="86"/>
        <v>0</v>
      </c>
      <c r="DK178">
        <f t="shared" si="87"/>
        <v>0</v>
      </c>
      <c r="DL178">
        <f t="shared" si="88"/>
        <v>0</v>
      </c>
      <c r="DM178">
        <f t="shared" si="89"/>
        <v>0</v>
      </c>
      <c r="DN178">
        <f t="shared" si="90"/>
        <v>0</v>
      </c>
      <c r="DO178">
        <f t="shared" si="91"/>
        <v>1</v>
      </c>
      <c r="DP178">
        <f t="shared" si="92"/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f t="shared" si="108"/>
        <v>1</v>
      </c>
      <c r="DX178">
        <f t="shared" si="109"/>
        <v>1</v>
      </c>
      <c r="DZ178">
        <f t="shared" si="100"/>
        <v>0</v>
      </c>
      <c r="EA178">
        <f t="shared" si="93"/>
        <v>0</v>
      </c>
      <c r="EB178">
        <f t="shared" si="94"/>
        <v>0</v>
      </c>
      <c r="EC178">
        <f t="shared" si="95"/>
        <v>0</v>
      </c>
      <c r="ED178">
        <f t="shared" si="96"/>
        <v>0</v>
      </c>
      <c r="EE178">
        <f t="shared" si="97"/>
        <v>1</v>
      </c>
    </row>
    <row r="179" spans="1:135" x14ac:dyDescent="0.35">
      <c r="A179" t="s">
        <v>266</v>
      </c>
      <c r="B179">
        <f>[1]Population!$BB233</f>
        <v>45870700</v>
      </c>
      <c r="C179">
        <f>[1]RealGDP!$BB233</f>
        <v>90577255847.674149</v>
      </c>
      <c r="D179" s="10">
        <f>[1]GDPcap!$BB233</f>
        <v>1974.6211818802449</v>
      </c>
      <c r="F179" t="s">
        <v>266</v>
      </c>
      <c r="H179">
        <v>-5</v>
      </c>
      <c r="I179">
        <v>-3.7</v>
      </c>
      <c r="J179">
        <v>1.1000000000000001</v>
      </c>
      <c r="K179">
        <v>9.1</v>
      </c>
      <c r="L179">
        <v>15.1</v>
      </c>
      <c r="M179">
        <v>18.5</v>
      </c>
      <c r="N179">
        <v>20.100000000000001</v>
      </c>
      <c r="O179">
        <v>19.399999999999999</v>
      </c>
      <c r="P179">
        <v>14.9</v>
      </c>
      <c r="Q179">
        <v>8.6999999999999993</v>
      </c>
      <c r="R179">
        <v>2.8</v>
      </c>
      <c r="S179">
        <v>-1.8</v>
      </c>
      <c r="T179">
        <v>8.4</v>
      </c>
      <c r="U179">
        <v>19.399999999999999</v>
      </c>
      <c r="V179">
        <v>8.8000000000000007</v>
      </c>
      <c r="W179">
        <v>-3.4</v>
      </c>
      <c r="X179">
        <v>8.3000000000000007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10"/>
        <v>1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f t="shared" si="101"/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1</v>
      </c>
      <c r="BP179">
        <v>0</v>
      </c>
      <c r="BQ179">
        <v>0</v>
      </c>
      <c r="BR179">
        <v>0</v>
      </c>
      <c r="BS179">
        <v>0</v>
      </c>
      <c r="BT179">
        <f t="shared" si="102"/>
        <v>1</v>
      </c>
      <c r="BV179">
        <v>0</v>
      </c>
      <c r="BW179">
        <v>0</v>
      </c>
      <c r="BX179">
        <v>0</v>
      </c>
      <c r="BY179">
        <v>1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f t="shared" si="103"/>
        <v>1</v>
      </c>
      <c r="CG179">
        <f t="shared" si="98"/>
        <v>0</v>
      </c>
      <c r="CH179">
        <f t="shared" si="78"/>
        <v>0</v>
      </c>
      <c r="CI179">
        <f t="shared" si="79"/>
        <v>0</v>
      </c>
      <c r="CJ179">
        <f t="shared" si="80"/>
        <v>1</v>
      </c>
      <c r="CK179">
        <f t="shared" si="81"/>
        <v>0</v>
      </c>
      <c r="CL179">
        <f t="shared" si="82"/>
        <v>0</v>
      </c>
      <c r="CM179">
        <f t="shared" si="83"/>
        <v>0</v>
      </c>
      <c r="CN179">
        <f t="shared" si="84"/>
        <v>0</v>
      </c>
      <c r="CO179">
        <f t="shared" si="85"/>
        <v>0</v>
      </c>
      <c r="CQ179">
        <v>0</v>
      </c>
      <c r="CR179">
        <v>0</v>
      </c>
      <c r="CS179">
        <v>0</v>
      </c>
      <c r="CT179">
        <v>0</v>
      </c>
      <c r="CU179">
        <v>1</v>
      </c>
      <c r="CV179">
        <f t="shared" si="104"/>
        <v>0</v>
      </c>
      <c r="CW179">
        <f t="shared" si="105"/>
        <v>1</v>
      </c>
      <c r="CY179">
        <v>0</v>
      </c>
      <c r="CZ179">
        <v>0</v>
      </c>
      <c r="DA179">
        <v>0</v>
      </c>
      <c r="DB179">
        <v>1</v>
      </c>
      <c r="DC179">
        <v>0</v>
      </c>
      <c r="DD179">
        <v>0</v>
      </c>
      <c r="DE179">
        <f t="shared" si="106"/>
        <v>0</v>
      </c>
      <c r="DF179">
        <v>0</v>
      </c>
      <c r="DG179">
        <f t="shared" si="107"/>
        <v>1</v>
      </c>
      <c r="DI179">
        <f t="shared" si="99"/>
        <v>0</v>
      </c>
      <c r="DJ179">
        <f t="shared" si="86"/>
        <v>0</v>
      </c>
      <c r="DK179">
        <f t="shared" si="87"/>
        <v>0</v>
      </c>
      <c r="DL179">
        <f t="shared" si="88"/>
        <v>1</v>
      </c>
      <c r="DM179">
        <f t="shared" si="89"/>
        <v>0</v>
      </c>
      <c r="DN179">
        <f t="shared" si="90"/>
        <v>0</v>
      </c>
      <c r="DO179">
        <f t="shared" si="91"/>
        <v>0</v>
      </c>
      <c r="DP179">
        <f t="shared" si="92"/>
        <v>0</v>
      </c>
      <c r="DR179">
        <v>0</v>
      </c>
      <c r="DS179">
        <v>0</v>
      </c>
      <c r="DT179">
        <v>0</v>
      </c>
      <c r="DU179">
        <v>1</v>
      </c>
      <c r="DV179">
        <v>0</v>
      </c>
      <c r="DW179">
        <f t="shared" si="108"/>
        <v>0</v>
      </c>
      <c r="DX179">
        <f t="shared" si="109"/>
        <v>1</v>
      </c>
      <c r="DZ179">
        <f t="shared" si="100"/>
        <v>0</v>
      </c>
      <c r="EA179">
        <f t="shared" si="93"/>
        <v>0</v>
      </c>
      <c r="EB179">
        <f t="shared" si="94"/>
        <v>0</v>
      </c>
      <c r="EC179">
        <f t="shared" si="95"/>
        <v>1</v>
      </c>
      <c r="ED179">
        <f t="shared" si="96"/>
        <v>0</v>
      </c>
      <c r="EE179">
        <f t="shared" si="97"/>
        <v>0</v>
      </c>
    </row>
    <row r="180" spans="1:135" x14ac:dyDescent="0.35">
      <c r="A180" t="s">
        <v>449</v>
      </c>
      <c r="B180">
        <f>[1]Population!$BB234</f>
        <v>8441537</v>
      </c>
      <c r="C180">
        <f>[1]RealGDP!$BB234</f>
        <v>204448097188.77359</v>
      </c>
      <c r="D180" s="10">
        <f>[1]GDPcap!$BB234</f>
        <v>24219.297645532275</v>
      </c>
      <c r="F180" t="s">
        <v>598</v>
      </c>
      <c r="G180" t="s">
        <v>599</v>
      </c>
      <c r="H180">
        <v>18.2</v>
      </c>
      <c r="I180">
        <v>19.3</v>
      </c>
      <c r="J180">
        <v>22.6</v>
      </c>
      <c r="K180">
        <v>26.7</v>
      </c>
      <c r="L180">
        <v>31</v>
      </c>
      <c r="M180">
        <v>33</v>
      </c>
      <c r="N180">
        <v>34.299999999999997</v>
      </c>
      <c r="O180">
        <v>34</v>
      </c>
      <c r="P180">
        <v>32</v>
      </c>
      <c r="Q180">
        <v>28.5</v>
      </c>
      <c r="R180">
        <v>24</v>
      </c>
      <c r="S180">
        <v>20.100000000000001</v>
      </c>
      <c r="T180">
        <v>26.7</v>
      </c>
      <c r="U180">
        <v>33.700000000000003</v>
      </c>
      <c r="V180">
        <v>28.2</v>
      </c>
      <c r="W180">
        <v>18.5</v>
      </c>
      <c r="X180">
        <v>27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f t="shared" si="110"/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f t="shared" si="101"/>
        <v>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f t="shared" si="102"/>
        <v>1</v>
      </c>
      <c r="BV180">
        <v>0</v>
      </c>
      <c r="BW180">
        <v>0</v>
      </c>
      <c r="BX180">
        <v>0</v>
      </c>
      <c r="BY180">
        <v>0</v>
      </c>
      <c r="BZ180">
        <v>1</v>
      </c>
      <c r="CA180">
        <v>0</v>
      </c>
      <c r="CB180">
        <v>0</v>
      </c>
      <c r="CC180">
        <v>0</v>
      </c>
      <c r="CD180">
        <v>0</v>
      </c>
      <c r="CE180">
        <f t="shared" si="103"/>
        <v>1</v>
      </c>
      <c r="CG180">
        <f t="shared" si="98"/>
        <v>0</v>
      </c>
      <c r="CH180">
        <f t="shared" si="78"/>
        <v>0</v>
      </c>
      <c r="CI180">
        <f t="shared" si="79"/>
        <v>0</v>
      </c>
      <c r="CJ180">
        <f t="shared" si="80"/>
        <v>0</v>
      </c>
      <c r="CK180">
        <f t="shared" si="81"/>
        <v>1</v>
      </c>
      <c r="CL180">
        <f t="shared" si="82"/>
        <v>0</v>
      </c>
      <c r="CM180">
        <f t="shared" si="83"/>
        <v>0</v>
      </c>
      <c r="CN180">
        <f t="shared" si="84"/>
        <v>0</v>
      </c>
      <c r="CO180">
        <f t="shared" si="85"/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f t="shared" si="104"/>
        <v>1</v>
      </c>
      <c r="CW180">
        <f t="shared" si="105"/>
        <v>1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f t="shared" si="106"/>
        <v>1</v>
      </c>
      <c r="DF180">
        <v>0</v>
      </c>
      <c r="DG180">
        <f t="shared" si="107"/>
        <v>1</v>
      </c>
      <c r="DI180">
        <f t="shared" si="99"/>
        <v>0</v>
      </c>
      <c r="DJ180">
        <f t="shared" si="86"/>
        <v>0</v>
      </c>
      <c r="DK180">
        <f t="shared" si="87"/>
        <v>0</v>
      </c>
      <c r="DL180">
        <f t="shared" si="88"/>
        <v>0</v>
      </c>
      <c r="DM180">
        <f t="shared" si="89"/>
        <v>0</v>
      </c>
      <c r="DN180">
        <f t="shared" si="90"/>
        <v>0</v>
      </c>
      <c r="DO180">
        <f t="shared" si="91"/>
        <v>1</v>
      </c>
      <c r="DP180">
        <f t="shared" si="92"/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f t="shared" si="108"/>
        <v>1</v>
      </c>
      <c r="DX180">
        <f t="shared" si="109"/>
        <v>1</v>
      </c>
      <c r="DZ180">
        <f t="shared" si="100"/>
        <v>0</v>
      </c>
      <c r="EA180">
        <f t="shared" si="93"/>
        <v>0</v>
      </c>
      <c r="EB180">
        <f t="shared" si="94"/>
        <v>0</v>
      </c>
      <c r="EC180">
        <f t="shared" si="95"/>
        <v>0</v>
      </c>
      <c r="ED180">
        <f t="shared" si="96"/>
        <v>0</v>
      </c>
      <c r="EE180">
        <f t="shared" si="97"/>
        <v>1</v>
      </c>
    </row>
    <row r="181" spans="1:135" x14ac:dyDescent="0.35">
      <c r="A181" t="s">
        <v>225</v>
      </c>
      <c r="B181">
        <f>[1]Population!$BB235</f>
        <v>62271177</v>
      </c>
      <c r="C181">
        <f>[1]RealGDP!$BB235</f>
        <v>2360033739558.0132</v>
      </c>
      <c r="D181" s="10">
        <f>[1]GDPcap!$BB235</f>
        <v>37899.295520911917</v>
      </c>
      <c r="F181" t="s">
        <v>600</v>
      </c>
      <c r="G181" t="s">
        <v>601</v>
      </c>
      <c r="H181">
        <v>3.3</v>
      </c>
      <c r="I181">
        <v>3.3</v>
      </c>
      <c r="J181">
        <v>4.8</v>
      </c>
      <c r="K181">
        <v>6.8</v>
      </c>
      <c r="L181">
        <v>9.8000000000000007</v>
      </c>
      <c r="M181">
        <v>12.6</v>
      </c>
      <c r="N181">
        <v>14.3</v>
      </c>
      <c r="O181">
        <v>14.2</v>
      </c>
      <c r="P181">
        <v>12.3</v>
      </c>
      <c r="Q181">
        <v>9.6</v>
      </c>
      <c r="R181">
        <v>5.8</v>
      </c>
      <c r="S181">
        <v>4.0999999999999996</v>
      </c>
      <c r="T181">
        <v>7.2</v>
      </c>
      <c r="U181">
        <v>13.7</v>
      </c>
      <c r="V181">
        <v>9.1999999999999993</v>
      </c>
      <c r="W181">
        <v>3.4</v>
      </c>
      <c r="X181">
        <v>8.4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f t="shared" si="110"/>
        <v>1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f t="shared" si="101"/>
        <v>1</v>
      </c>
      <c r="BG181">
        <v>0</v>
      </c>
      <c r="BH181">
        <v>0</v>
      </c>
      <c r="BI181">
        <v>0</v>
      </c>
      <c r="BJ181">
        <v>1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f t="shared" si="102"/>
        <v>1</v>
      </c>
      <c r="BV181">
        <v>0</v>
      </c>
      <c r="BW181">
        <v>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f t="shared" si="103"/>
        <v>1</v>
      </c>
      <c r="CG181">
        <f t="shared" si="98"/>
        <v>0</v>
      </c>
      <c r="CH181">
        <f t="shared" si="78"/>
        <v>1</v>
      </c>
      <c r="CI181">
        <f t="shared" si="79"/>
        <v>0</v>
      </c>
      <c r="CJ181">
        <f t="shared" si="80"/>
        <v>0</v>
      </c>
      <c r="CK181">
        <f t="shared" si="81"/>
        <v>0</v>
      </c>
      <c r="CL181">
        <f t="shared" si="82"/>
        <v>0</v>
      </c>
      <c r="CM181">
        <f t="shared" si="83"/>
        <v>0</v>
      </c>
      <c r="CN181">
        <f t="shared" si="84"/>
        <v>0</v>
      </c>
      <c r="CO181">
        <f t="shared" si="85"/>
        <v>0</v>
      </c>
      <c r="CQ181">
        <v>0</v>
      </c>
      <c r="CR181">
        <v>0</v>
      </c>
      <c r="CS181">
        <v>0</v>
      </c>
      <c r="CT181">
        <v>1</v>
      </c>
      <c r="CU181">
        <v>0</v>
      </c>
      <c r="CV181">
        <f t="shared" si="104"/>
        <v>0</v>
      </c>
      <c r="CW181">
        <f t="shared" si="105"/>
        <v>1</v>
      </c>
      <c r="CY181">
        <v>1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f t="shared" si="106"/>
        <v>0</v>
      </c>
      <c r="DF181">
        <v>0</v>
      </c>
      <c r="DG181">
        <f t="shared" si="107"/>
        <v>1</v>
      </c>
      <c r="DI181">
        <f t="shared" si="99"/>
        <v>1</v>
      </c>
      <c r="DJ181">
        <f t="shared" si="86"/>
        <v>0</v>
      </c>
      <c r="DK181">
        <f t="shared" si="87"/>
        <v>0</v>
      </c>
      <c r="DL181">
        <f t="shared" si="88"/>
        <v>0</v>
      </c>
      <c r="DM181">
        <f t="shared" si="89"/>
        <v>0</v>
      </c>
      <c r="DN181">
        <f t="shared" si="90"/>
        <v>0</v>
      </c>
      <c r="DO181">
        <f t="shared" si="91"/>
        <v>0</v>
      </c>
      <c r="DP181">
        <f t="shared" si="92"/>
        <v>0</v>
      </c>
      <c r="DR181">
        <v>1</v>
      </c>
      <c r="DS181">
        <v>0</v>
      </c>
      <c r="DT181">
        <v>0</v>
      </c>
      <c r="DU181">
        <v>0</v>
      </c>
      <c r="DV181">
        <v>0</v>
      </c>
      <c r="DW181">
        <f t="shared" si="108"/>
        <v>0</v>
      </c>
      <c r="DX181">
        <f t="shared" si="109"/>
        <v>1</v>
      </c>
      <c r="DZ181">
        <f t="shared" si="100"/>
        <v>1</v>
      </c>
      <c r="EA181">
        <f t="shared" si="93"/>
        <v>0</v>
      </c>
      <c r="EB181">
        <f t="shared" si="94"/>
        <v>0</v>
      </c>
      <c r="EC181">
        <f t="shared" si="95"/>
        <v>0</v>
      </c>
      <c r="ED181">
        <f t="shared" si="96"/>
        <v>0</v>
      </c>
      <c r="EE181">
        <f t="shared" si="97"/>
        <v>0</v>
      </c>
    </row>
    <row r="182" spans="1:135" x14ac:dyDescent="0.35">
      <c r="A182" t="s">
        <v>226</v>
      </c>
      <c r="B182">
        <f>[1]Population!$BB236</f>
        <v>309326225</v>
      </c>
      <c r="C182">
        <f>[1]RealGDP!$BB236</f>
        <v>13595644353592.4</v>
      </c>
      <c r="D182" s="10">
        <f>[1]GDPcap!$BB236</f>
        <v>43952.446494287382</v>
      </c>
      <c r="F182" t="s">
        <v>89</v>
      </c>
      <c r="H182">
        <v>-4</v>
      </c>
      <c r="I182">
        <v>-1.9</v>
      </c>
      <c r="J182">
        <v>2.2999999999999998</v>
      </c>
      <c r="K182">
        <v>7.7</v>
      </c>
      <c r="L182">
        <v>13.4</v>
      </c>
      <c r="M182">
        <v>18.2</v>
      </c>
      <c r="N182">
        <v>20.9</v>
      </c>
      <c r="O182">
        <v>20</v>
      </c>
      <c r="P182">
        <v>15.8</v>
      </c>
      <c r="Q182">
        <v>9.5</v>
      </c>
      <c r="R182">
        <v>2.7</v>
      </c>
      <c r="S182">
        <v>-2.4</v>
      </c>
      <c r="T182">
        <v>7.8</v>
      </c>
      <c r="U182">
        <v>19.7</v>
      </c>
      <c r="V182">
        <v>9.3000000000000007</v>
      </c>
      <c r="W182">
        <v>-2.7</v>
      </c>
      <c r="X182">
        <v>8.5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10"/>
        <v>1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f t="shared" si="101"/>
        <v>1</v>
      </c>
      <c r="BG182">
        <v>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f t="shared" si="102"/>
        <v>1</v>
      </c>
      <c r="BV182">
        <v>1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f t="shared" si="103"/>
        <v>1</v>
      </c>
      <c r="CG182">
        <f t="shared" si="98"/>
        <v>1</v>
      </c>
      <c r="CH182">
        <f t="shared" si="78"/>
        <v>0</v>
      </c>
      <c r="CI182">
        <f t="shared" si="79"/>
        <v>0</v>
      </c>
      <c r="CJ182">
        <f t="shared" si="80"/>
        <v>0</v>
      </c>
      <c r="CK182">
        <f t="shared" si="81"/>
        <v>0</v>
      </c>
      <c r="CL182">
        <f t="shared" si="82"/>
        <v>0</v>
      </c>
      <c r="CM182">
        <f t="shared" si="83"/>
        <v>0</v>
      </c>
      <c r="CN182">
        <f t="shared" si="84"/>
        <v>0</v>
      </c>
      <c r="CO182">
        <f t="shared" si="85"/>
        <v>0</v>
      </c>
      <c r="CQ182">
        <v>1</v>
      </c>
      <c r="CR182">
        <v>0</v>
      </c>
      <c r="CS182">
        <v>0</v>
      </c>
      <c r="CT182">
        <v>0</v>
      </c>
      <c r="CU182">
        <v>0</v>
      </c>
      <c r="CV182">
        <f t="shared" si="104"/>
        <v>0</v>
      </c>
      <c r="CW182">
        <f t="shared" si="105"/>
        <v>1</v>
      </c>
      <c r="CY182">
        <v>0</v>
      </c>
      <c r="CZ182">
        <v>1</v>
      </c>
      <c r="DA182">
        <v>0</v>
      </c>
      <c r="DB182">
        <v>0</v>
      </c>
      <c r="DC182">
        <v>0</v>
      </c>
      <c r="DD182">
        <v>0</v>
      </c>
      <c r="DE182">
        <f t="shared" si="106"/>
        <v>0</v>
      </c>
      <c r="DF182">
        <v>0</v>
      </c>
      <c r="DG182">
        <f t="shared" si="107"/>
        <v>1</v>
      </c>
      <c r="DI182">
        <f t="shared" si="99"/>
        <v>0</v>
      </c>
      <c r="DJ182">
        <f t="shared" si="86"/>
        <v>1</v>
      </c>
      <c r="DK182">
        <f t="shared" si="87"/>
        <v>0</v>
      </c>
      <c r="DL182">
        <f t="shared" si="88"/>
        <v>0</v>
      </c>
      <c r="DM182">
        <f t="shared" si="89"/>
        <v>0</v>
      </c>
      <c r="DN182">
        <f t="shared" si="90"/>
        <v>0</v>
      </c>
      <c r="DO182">
        <f t="shared" si="91"/>
        <v>0</v>
      </c>
      <c r="DP182">
        <f t="shared" si="92"/>
        <v>0</v>
      </c>
      <c r="DR182">
        <v>0</v>
      </c>
      <c r="DS182">
        <v>1</v>
      </c>
      <c r="DT182">
        <v>0</v>
      </c>
      <c r="DU182">
        <v>0</v>
      </c>
      <c r="DV182">
        <v>0</v>
      </c>
      <c r="DW182">
        <f t="shared" si="108"/>
        <v>0</v>
      </c>
      <c r="DX182">
        <f t="shared" si="109"/>
        <v>1</v>
      </c>
      <c r="DZ182">
        <f t="shared" si="100"/>
        <v>0</v>
      </c>
      <c r="EA182">
        <f t="shared" si="93"/>
        <v>1</v>
      </c>
      <c r="EB182">
        <f t="shared" si="94"/>
        <v>0</v>
      </c>
      <c r="EC182">
        <f t="shared" si="95"/>
        <v>0</v>
      </c>
      <c r="ED182">
        <f t="shared" si="96"/>
        <v>0</v>
      </c>
      <c r="EE182">
        <f t="shared" si="97"/>
        <v>0</v>
      </c>
    </row>
    <row r="183" spans="1:135" x14ac:dyDescent="0.35">
      <c r="A183" t="s">
        <v>227</v>
      </c>
      <c r="B183">
        <f>[1]Population!$BB237</f>
        <v>3371982</v>
      </c>
      <c r="C183">
        <f>[1]RealGDP!$BB237</f>
        <v>22899299769.575714</v>
      </c>
      <c r="D183" s="10">
        <f>[1]GDPcap!$BB237</f>
        <v>6791.0504176996537</v>
      </c>
      <c r="F183" t="s">
        <v>227</v>
      </c>
      <c r="H183">
        <v>23.8</v>
      </c>
      <c r="I183">
        <v>23.3</v>
      </c>
      <c r="J183">
        <v>21.2</v>
      </c>
      <c r="K183">
        <v>17.899999999999999</v>
      </c>
      <c r="L183">
        <v>14.8</v>
      </c>
      <c r="M183">
        <v>11.8</v>
      </c>
      <c r="N183">
        <v>11.8</v>
      </c>
      <c r="O183">
        <v>12.8</v>
      </c>
      <c r="P183">
        <v>14.3</v>
      </c>
      <c r="Q183">
        <v>16.899999999999999</v>
      </c>
      <c r="R183">
        <v>19.600000000000001</v>
      </c>
      <c r="S183">
        <v>22.2</v>
      </c>
      <c r="T183">
        <v>18</v>
      </c>
      <c r="U183">
        <v>12.1</v>
      </c>
      <c r="V183">
        <v>16.899999999999999</v>
      </c>
      <c r="W183">
        <v>22.4</v>
      </c>
      <c r="X183">
        <v>17.5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f t="shared" si="110"/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f t="shared" si="101"/>
        <v>1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0</v>
      </c>
      <c r="BT183">
        <f t="shared" si="102"/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1</v>
      </c>
      <c r="CB183">
        <v>0</v>
      </c>
      <c r="CC183">
        <v>0</v>
      </c>
      <c r="CD183">
        <v>0</v>
      </c>
      <c r="CE183">
        <f t="shared" si="103"/>
        <v>1</v>
      </c>
      <c r="CG183">
        <f t="shared" si="98"/>
        <v>0</v>
      </c>
      <c r="CH183">
        <f t="shared" si="78"/>
        <v>0</v>
      </c>
      <c r="CI183">
        <f t="shared" si="79"/>
        <v>0</v>
      </c>
      <c r="CJ183">
        <f t="shared" si="80"/>
        <v>0</v>
      </c>
      <c r="CK183">
        <f t="shared" si="81"/>
        <v>0</v>
      </c>
      <c r="CL183">
        <f t="shared" si="82"/>
        <v>1</v>
      </c>
      <c r="CM183">
        <f t="shared" si="83"/>
        <v>0</v>
      </c>
      <c r="CN183">
        <f t="shared" si="84"/>
        <v>0</v>
      </c>
      <c r="CO183">
        <f t="shared" si="85"/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f t="shared" si="104"/>
        <v>1</v>
      </c>
      <c r="CW183">
        <f t="shared" si="105"/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f t="shared" si="106"/>
        <v>0</v>
      </c>
      <c r="DF183">
        <v>1</v>
      </c>
      <c r="DG183">
        <f t="shared" si="107"/>
        <v>1</v>
      </c>
      <c r="DI183">
        <f t="shared" si="99"/>
        <v>0</v>
      </c>
      <c r="DJ183">
        <f t="shared" si="86"/>
        <v>0</v>
      </c>
      <c r="DK183">
        <f t="shared" si="87"/>
        <v>0</v>
      </c>
      <c r="DL183">
        <f t="shared" si="88"/>
        <v>0</v>
      </c>
      <c r="DM183">
        <f t="shared" si="89"/>
        <v>0</v>
      </c>
      <c r="DN183">
        <f t="shared" si="90"/>
        <v>0</v>
      </c>
      <c r="DO183">
        <f t="shared" si="91"/>
        <v>0</v>
      </c>
      <c r="DP183">
        <f t="shared" si="92"/>
        <v>1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f t="shared" si="108"/>
        <v>1</v>
      </c>
      <c r="DX183">
        <f t="shared" si="109"/>
        <v>1</v>
      </c>
      <c r="DZ183">
        <f t="shared" si="100"/>
        <v>0</v>
      </c>
      <c r="EA183">
        <f t="shared" si="93"/>
        <v>0</v>
      </c>
      <c r="EB183">
        <f t="shared" si="94"/>
        <v>0</v>
      </c>
      <c r="EC183">
        <f t="shared" si="95"/>
        <v>0</v>
      </c>
      <c r="ED183">
        <f t="shared" si="96"/>
        <v>0</v>
      </c>
      <c r="EE183">
        <f t="shared" si="97"/>
        <v>1</v>
      </c>
    </row>
    <row r="184" spans="1:135" x14ac:dyDescent="0.35">
      <c r="A184" t="s">
        <v>450</v>
      </c>
      <c r="B184">
        <f>[1]Population!$BB238</f>
        <v>28562400</v>
      </c>
      <c r="C184">
        <f>[1]RealGDP!$BB238</f>
        <v>21491158366.324051</v>
      </c>
      <c r="D184" s="10">
        <f>[1]GDPcap!$BB238</f>
        <v>752.42831016735465</v>
      </c>
      <c r="F184" t="s">
        <v>450</v>
      </c>
      <c r="H184">
        <v>-3.6</v>
      </c>
      <c r="I184">
        <v>-2.1</v>
      </c>
      <c r="J184">
        <v>4.9000000000000004</v>
      </c>
      <c r="K184">
        <v>13.7</v>
      </c>
      <c r="L184">
        <v>20</v>
      </c>
      <c r="M184">
        <v>25</v>
      </c>
      <c r="N184">
        <v>27.4</v>
      </c>
      <c r="O184">
        <v>24.9</v>
      </c>
      <c r="P184">
        <v>19.2</v>
      </c>
      <c r="Q184">
        <v>11.2</v>
      </c>
      <c r="R184">
        <v>4.8</v>
      </c>
      <c r="S184">
        <v>-0.5</v>
      </c>
      <c r="T184">
        <v>12.9</v>
      </c>
      <c r="U184">
        <v>25.8</v>
      </c>
      <c r="V184">
        <v>11.7</v>
      </c>
      <c r="W184">
        <v>-2</v>
      </c>
      <c r="X184">
        <v>12.1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10"/>
        <v>1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f t="shared" si="101"/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f t="shared" si="102"/>
        <v>1</v>
      </c>
      <c r="BV184">
        <v>0</v>
      </c>
      <c r="BW184">
        <v>0</v>
      </c>
      <c r="BX184">
        <v>0</v>
      </c>
      <c r="BY184">
        <v>1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f t="shared" si="103"/>
        <v>1</v>
      </c>
      <c r="CG184">
        <f t="shared" si="98"/>
        <v>0</v>
      </c>
      <c r="CH184">
        <f t="shared" si="78"/>
        <v>0</v>
      </c>
      <c r="CI184">
        <f t="shared" si="79"/>
        <v>0</v>
      </c>
      <c r="CJ184">
        <f t="shared" si="80"/>
        <v>1</v>
      </c>
      <c r="CK184">
        <f t="shared" si="81"/>
        <v>0</v>
      </c>
      <c r="CL184">
        <f t="shared" si="82"/>
        <v>0</v>
      </c>
      <c r="CM184">
        <f t="shared" si="83"/>
        <v>0</v>
      </c>
      <c r="CN184">
        <f t="shared" si="84"/>
        <v>0</v>
      </c>
      <c r="CO184">
        <f t="shared" si="85"/>
        <v>0</v>
      </c>
      <c r="CQ184">
        <v>0</v>
      </c>
      <c r="CR184">
        <v>0</v>
      </c>
      <c r="CS184">
        <v>0</v>
      </c>
      <c r="CT184">
        <v>0</v>
      </c>
      <c r="CU184">
        <v>1</v>
      </c>
      <c r="CV184">
        <f t="shared" si="104"/>
        <v>0</v>
      </c>
      <c r="CW184">
        <f t="shared" si="105"/>
        <v>1</v>
      </c>
      <c r="CY184">
        <v>0</v>
      </c>
      <c r="CZ184">
        <v>0</v>
      </c>
      <c r="DA184">
        <v>0</v>
      </c>
      <c r="DB184">
        <v>1</v>
      </c>
      <c r="DC184">
        <v>0</v>
      </c>
      <c r="DD184">
        <v>0</v>
      </c>
      <c r="DE184">
        <f t="shared" si="106"/>
        <v>0</v>
      </c>
      <c r="DF184">
        <v>0</v>
      </c>
      <c r="DG184">
        <f t="shared" si="107"/>
        <v>1</v>
      </c>
      <c r="DI184">
        <f t="shared" si="99"/>
        <v>0</v>
      </c>
      <c r="DJ184">
        <f t="shared" si="86"/>
        <v>0</v>
      </c>
      <c r="DK184">
        <f t="shared" si="87"/>
        <v>0</v>
      </c>
      <c r="DL184">
        <f t="shared" si="88"/>
        <v>1</v>
      </c>
      <c r="DM184">
        <f t="shared" si="89"/>
        <v>0</v>
      </c>
      <c r="DN184">
        <f t="shared" si="90"/>
        <v>0</v>
      </c>
      <c r="DO184">
        <f t="shared" si="91"/>
        <v>0</v>
      </c>
      <c r="DP184">
        <f t="shared" si="92"/>
        <v>0</v>
      </c>
      <c r="DR184">
        <v>0</v>
      </c>
      <c r="DS184">
        <v>0</v>
      </c>
      <c r="DT184">
        <v>0</v>
      </c>
      <c r="DU184">
        <v>1</v>
      </c>
      <c r="DV184">
        <v>0</v>
      </c>
      <c r="DW184">
        <f t="shared" si="108"/>
        <v>0</v>
      </c>
      <c r="DX184">
        <f t="shared" si="109"/>
        <v>1</v>
      </c>
      <c r="DZ184">
        <f t="shared" si="100"/>
        <v>0</v>
      </c>
      <c r="EA184">
        <f t="shared" si="93"/>
        <v>0</v>
      </c>
      <c r="EB184">
        <f t="shared" si="94"/>
        <v>0</v>
      </c>
      <c r="EC184">
        <f t="shared" si="95"/>
        <v>1</v>
      </c>
      <c r="ED184">
        <f t="shared" si="96"/>
        <v>0</v>
      </c>
      <c r="EE184">
        <f t="shared" si="97"/>
        <v>0</v>
      </c>
    </row>
    <row r="185" spans="1:135" x14ac:dyDescent="0.35">
      <c r="A185" t="s">
        <v>451</v>
      </c>
      <c r="B185">
        <f>[1]Population!$BB239</f>
        <v>236299</v>
      </c>
      <c r="C185">
        <f>[1]RealGDP!$BB239</f>
        <v>503575271.44056231</v>
      </c>
      <c r="D185" s="10">
        <f>[1]GDPcap!$BB239</f>
        <v>2131.0935359039281</v>
      </c>
      <c r="F185" t="s">
        <v>602</v>
      </c>
      <c r="H185">
        <v>25.3</v>
      </c>
      <c r="I185">
        <v>25.4</v>
      </c>
      <c r="J185">
        <v>25.2</v>
      </c>
      <c r="K185">
        <v>24.6</v>
      </c>
      <c r="L185">
        <v>23.7</v>
      </c>
      <c r="M185">
        <v>23.1</v>
      </c>
      <c r="N185">
        <v>22.6</v>
      </c>
      <c r="O185">
        <v>22.5</v>
      </c>
      <c r="P185">
        <v>22.7</v>
      </c>
      <c r="Q185">
        <v>23.5</v>
      </c>
      <c r="R185">
        <v>24.3</v>
      </c>
      <c r="S185">
        <v>24.8</v>
      </c>
      <c r="T185">
        <v>24.5</v>
      </c>
      <c r="U185">
        <v>22.7</v>
      </c>
      <c r="V185">
        <v>23.5</v>
      </c>
      <c r="W185">
        <v>24.3</v>
      </c>
      <c r="X185">
        <v>24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f t="shared" si="110"/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1</v>
      </c>
      <c r="BD185">
        <v>0</v>
      </c>
      <c r="BE185">
        <f t="shared" si="101"/>
        <v>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f t="shared" si="102"/>
        <v>1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0</v>
      </c>
      <c r="CE185">
        <f t="shared" si="103"/>
        <v>1</v>
      </c>
      <c r="CG185">
        <f t="shared" si="98"/>
        <v>0</v>
      </c>
      <c r="CH185">
        <f t="shared" si="78"/>
        <v>0</v>
      </c>
      <c r="CI185">
        <f t="shared" si="79"/>
        <v>0</v>
      </c>
      <c r="CJ185">
        <f t="shared" si="80"/>
        <v>0</v>
      </c>
      <c r="CK185">
        <f t="shared" si="81"/>
        <v>0</v>
      </c>
      <c r="CL185">
        <f t="shared" si="82"/>
        <v>0</v>
      </c>
      <c r="CM185">
        <f t="shared" si="83"/>
        <v>1</v>
      </c>
      <c r="CN185">
        <f t="shared" si="84"/>
        <v>0</v>
      </c>
      <c r="CO185">
        <f t="shared" si="85"/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f t="shared" si="104"/>
        <v>1</v>
      </c>
      <c r="CW185">
        <f t="shared" si="105"/>
        <v>1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1</v>
      </c>
      <c r="DE185">
        <f t="shared" si="106"/>
        <v>0</v>
      </c>
      <c r="DF185">
        <v>0</v>
      </c>
      <c r="DG185">
        <f t="shared" si="107"/>
        <v>1</v>
      </c>
      <c r="DI185">
        <f t="shared" si="99"/>
        <v>0</v>
      </c>
      <c r="DJ185">
        <f t="shared" si="86"/>
        <v>0</v>
      </c>
      <c r="DK185">
        <f t="shared" si="87"/>
        <v>0</v>
      </c>
      <c r="DL185">
        <f t="shared" si="88"/>
        <v>0</v>
      </c>
      <c r="DM185">
        <f t="shared" si="89"/>
        <v>0</v>
      </c>
      <c r="DN185">
        <f t="shared" si="90"/>
        <v>1</v>
      </c>
      <c r="DO185">
        <f t="shared" si="91"/>
        <v>0</v>
      </c>
      <c r="DP185">
        <f t="shared" si="92"/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f t="shared" si="108"/>
        <v>1</v>
      </c>
      <c r="DX185">
        <f t="shared" si="109"/>
        <v>1</v>
      </c>
      <c r="DZ185">
        <f t="shared" si="100"/>
        <v>0</v>
      </c>
      <c r="EA185">
        <f t="shared" si="93"/>
        <v>0</v>
      </c>
      <c r="EB185">
        <f t="shared" si="94"/>
        <v>0</v>
      </c>
      <c r="EC185">
        <f t="shared" si="95"/>
        <v>0</v>
      </c>
      <c r="ED185">
        <f t="shared" si="96"/>
        <v>0</v>
      </c>
      <c r="EE185">
        <f t="shared" si="97"/>
        <v>1</v>
      </c>
    </row>
    <row r="186" spans="1:135" x14ac:dyDescent="0.35">
      <c r="A186" t="s">
        <v>228</v>
      </c>
      <c r="B186">
        <f>[1]Population!$BB241</f>
        <v>29043283</v>
      </c>
      <c r="C186">
        <f>[1]RealGDP!$BB241</f>
        <v>174552448164.40952</v>
      </c>
      <c r="D186" s="10">
        <f>[1]GDPcap!$BB241</f>
        <v>6010.0797889966334</v>
      </c>
      <c r="F186" t="s">
        <v>228</v>
      </c>
      <c r="H186">
        <v>24.9</v>
      </c>
      <c r="I186">
        <v>25.4</v>
      </c>
      <c r="J186">
        <v>26</v>
      </c>
      <c r="K186">
        <v>26.1</v>
      </c>
      <c r="L186">
        <v>25.7</v>
      </c>
      <c r="M186">
        <v>24.9</v>
      </c>
      <c r="N186">
        <v>24.7</v>
      </c>
      <c r="O186">
        <v>25</v>
      </c>
      <c r="P186">
        <v>25.3</v>
      </c>
      <c r="Q186">
        <v>25.5</v>
      </c>
      <c r="R186">
        <v>25.4</v>
      </c>
      <c r="S186">
        <v>24.9</v>
      </c>
      <c r="T186">
        <v>25.9</v>
      </c>
      <c r="U186">
        <v>24.9</v>
      </c>
      <c r="V186">
        <v>25.4</v>
      </c>
      <c r="W186">
        <v>24.2</v>
      </c>
      <c r="X186">
        <v>25.3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f t="shared" si="110"/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1</v>
      </c>
      <c r="BE186">
        <f t="shared" si="101"/>
        <v>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f t="shared" si="102"/>
        <v>1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1</v>
      </c>
      <c r="CB186">
        <v>0</v>
      </c>
      <c r="CC186">
        <v>0</v>
      </c>
      <c r="CD186">
        <v>0</v>
      </c>
      <c r="CE186">
        <f t="shared" si="103"/>
        <v>1</v>
      </c>
      <c r="CG186">
        <f t="shared" si="98"/>
        <v>0</v>
      </c>
      <c r="CH186">
        <f t="shared" si="78"/>
        <v>0</v>
      </c>
      <c r="CI186">
        <f t="shared" si="79"/>
        <v>0</v>
      </c>
      <c r="CJ186">
        <f t="shared" si="80"/>
        <v>0</v>
      </c>
      <c r="CK186">
        <f t="shared" si="81"/>
        <v>0</v>
      </c>
      <c r="CL186">
        <f t="shared" si="82"/>
        <v>1</v>
      </c>
      <c r="CM186">
        <f t="shared" si="83"/>
        <v>0</v>
      </c>
      <c r="CN186">
        <f t="shared" si="84"/>
        <v>0</v>
      </c>
      <c r="CO186">
        <f t="shared" si="85"/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f t="shared" si="104"/>
        <v>1</v>
      </c>
      <c r="CW186">
        <f t="shared" si="105"/>
        <v>1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f t="shared" si="106"/>
        <v>0</v>
      </c>
      <c r="DF186">
        <v>1</v>
      </c>
      <c r="DG186">
        <f t="shared" si="107"/>
        <v>1</v>
      </c>
      <c r="DI186">
        <f t="shared" si="99"/>
        <v>0</v>
      </c>
      <c r="DJ186">
        <f t="shared" si="86"/>
        <v>0</v>
      </c>
      <c r="DK186">
        <f t="shared" si="87"/>
        <v>0</v>
      </c>
      <c r="DL186">
        <f t="shared" si="88"/>
        <v>0</v>
      </c>
      <c r="DM186">
        <f t="shared" si="89"/>
        <v>0</v>
      </c>
      <c r="DN186">
        <f t="shared" si="90"/>
        <v>0</v>
      </c>
      <c r="DO186">
        <f t="shared" si="91"/>
        <v>0</v>
      </c>
      <c r="DP186">
        <f t="shared" si="92"/>
        <v>1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f t="shared" si="108"/>
        <v>1</v>
      </c>
      <c r="DX186">
        <f t="shared" si="109"/>
        <v>1</v>
      </c>
      <c r="DZ186">
        <f t="shared" si="100"/>
        <v>0</v>
      </c>
      <c r="EA186">
        <f t="shared" si="93"/>
        <v>0</v>
      </c>
      <c r="EB186">
        <f t="shared" si="94"/>
        <v>0</v>
      </c>
      <c r="EC186">
        <f t="shared" si="95"/>
        <v>0</v>
      </c>
      <c r="ED186">
        <f t="shared" si="96"/>
        <v>0</v>
      </c>
      <c r="EE186">
        <f t="shared" si="97"/>
        <v>1</v>
      </c>
    </row>
    <row r="187" spans="1:135" x14ac:dyDescent="0.35">
      <c r="A187" t="s">
        <v>452</v>
      </c>
      <c r="B187">
        <f>[1]Population!$BB242</f>
        <v>86932500</v>
      </c>
      <c r="C187">
        <f>[1]RealGDP!$BB242</f>
        <v>78282167937.76619</v>
      </c>
      <c r="D187" s="10">
        <f>[1]GDPcap!$BB242</f>
        <v>900.49369266691042</v>
      </c>
      <c r="F187" t="s">
        <v>452</v>
      </c>
      <c r="H187">
        <v>19.899999999999999</v>
      </c>
      <c r="I187">
        <v>21</v>
      </c>
      <c r="J187">
        <v>22.5</v>
      </c>
      <c r="K187">
        <v>25.6</v>
      </c>
      <c r="L187">
        <v>27.1</v>
      </c>
      <c r="M187">
        <v>27.4</v>
      </c>
      <c r="N187">
        <v>27.4</v>
      </c>
      <c r="O187">
        <v>27.1</v>
      </c>
      <c r="P187">
        <v>26.3</v>
      </c>
      <c r="Q187">
        <v>24.9</v>
      </c>
      <c r="R187">
        <v>22.9</v>
      </c>
      <c r="S187">
        <v>20.8</v>
      </c>
      <c r="T187">
        <v>25.1</v>
      </c>
      <c r="U187">
        <v>27.3</v>
      </c>
      <c r="V187">
        <v>24.7</v>
      </c>
      <c r="W187">
        <v>19.899999999999999</v>
      </c>
      <c r="X187">
        <v>24.4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10"/>
        <v>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1</v>
      </c>
      <c r="BD187">
        <v>0</v>
      </c>
      <c r="BE187">
        <f t="shared" si="101"/>
        <v>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1</v>
      </c>
      <c r="BT187">
        <f t="shared" si="102"/>
        <v>1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1</v>
      </c>
      <c r="CC187">
        <v>0</v>
      </c>
      <c r="CD187">
        <v>0</v>
      </c>
      <c r="CE187">
        <f t="shared" si="103"/>
        <v>1</v>
      </c>
      <c r="CG187">
        <f t="shared" si="98"/>
        <v>0</v>
      </c>
      <c r="CH187">
        <f t="shared" si="78"/>
        <v>0</v>
      </c>
      <c r="CI187">
        <f t="shared" si="79"/>
        <v>0</v>
      </c>
      <c r="CJ187">
        <f t="shared" si="80"/>
        <v>0</v>
      </c>
      <c r="CK187">
        <f t="shared" si="81"/>
        <v>0</v>
      </c>
      <c r="CL187">
        <f t="shared" si="82"/>
        <v>0</v>
      </c>
      <c r="CM187">
        <f t="shared" si="83"/>
        <v>1</v>
      </c>
      <c r="CN187">
        <f t="shared" si="84"/>
        <v>0</v>
      </c>
      <c r="CO187">
        <f t="shared" si="85"/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f t="shared" si="104"/>
        <v>1</v>
      </c>
      <c r="CW187">
        <f t="shared" si="105"/>
        <v>1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1</v>
      </c>
      <c r="DE187">
        <f t="shared" si="106"/>
        <v>0</v>
      </c>
      <c r="DF187">
        <v>0</v>
      </c>
      <c r="DG187">
        <f t="shared" si="107"/>
        <v>1</v>
      </c>
      <c r="DI187">
        <f t="shared" si="99"/>
        <v>0</v>
      </c>
      <c r="DJ187">
        <f t="shared" si="86"/>
        <v>0</v>
      </c>
      <c r="DK187">
        <f t="shared" si="87"/>
        <v>0</v>
      </c>
      <c r="DL187">
        <f t="shared" si="88"/>
        <v>0</v>
      </c>
      <c r="DM187">
        <f t="shared" si="89"/>
        <v>0</v>
      </c>
      <c r="DN187">
        <f t="shared" si="90"/>
        <v>1</v>
      </c>
      <c r="DO187">
        <f t="shared" si="91"/>
        <v>0</v>
      </c>
      <c r="DP187">
        <f t="shared" si="92"/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f t="shared" si="108"/>
        <v>1</v>
      </c>
      <c r="DX187">
        <f t="shared" si="109"/>
        <v>1</v>
      </c>
      <c r="DZ187">
        <f t="shared" si="100"/>
        <v>0</v>
      </c>
      <c r="EA187">
        <f t="shared" si="93"/>
        <v>0</v>
      </c>
      <c r="EB187">
        <f t="shared" si="94"/>
        <v>0</v>
      </c>
      <c r="EC187">
        <f t="shared" si="95"/>
        <v>0</v>
      </c>
      <c r="ED187">
        <f t="shared" si="96"/>
        <v>0</v>
      </c>
      <c r="EE187">
        <f t="shared" si="97"/>
        <v>1</v>
      </c>
    </row>
    <row r="188" spans="1:135" x14ac:dyDescent="0.35">
      <c r="A188" t="s">
        <v>453</v>
      </c>
      <c r="B188">
        <f>[1]Population!$BB245</f>
        <v>22763008</v>
      </c>
      <c r="C188">
        <f>[1]RealGDP!$BB245</f>
        <v>19989098341.112953</v>
      </c>
      <c r="D188" s="10">
        <f>[1]GDPcap!$BB245</f>
        <v>878.13958248017809</v>
      </c>
      <c r="F188" t="s">
        <v>453</v>
      </c>
      <c r="H188">
        <v>18.899999999999999</v>
      </c>
      <c r="I188">
        <v>19.8</v>
      </c>
      <c r="J188">
        <v>21.5</v>
      </c>
      <c r="K188">
        <v>24.2</v>
      </c>
      <c r="L188">
        <v>26.5</v>
      </c>
      <c r="M188">
        <v>28.4</v>
      </c>
      <c r="N188">
        <v>27.7</v>
      </c>
      <c r="O188">
        <v>27.5</v>
      </c>
      <c r="P188">
        <v>26.8</v>
      </c>
      <c r="Q188">
        <v>23.7</v>
      </c>
      <c r="R188">
        <v>21</v>
      </c>
      <c r="S188">
        <v>19.600000000000001</v>
      </c>
      <c r="T188">
        <v>24</v>
      </c>
      <c r="U188">
        <v>27.9</v>
      </c>
      <c r="V188">
        <v>23.8</v>
      </c>
      <c r="W188">
        <v>18.8</v>
      </c>
      <c r="X188">
        <v>23.8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0</v>
      </c>
      <c r="AM188">
        <v>0</v>
      </c>
      <c r="AN188">
        <v>0</v>
      </c>
      <c r="AO188">
        <f t="shared" si="110"/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f t="shared" si="101"/>
        <v>1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f t="shared" si="102"/>
        <v>1</v>
      </c>
      <c r="BV188">
        <v>0</v>
      </c>
      <c r="BW188">
        <v>0</v>
      </c>
      <c r="BX188">
        <v>0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0</v>
      </c>
      <c r="CE188">
        <f t="shared" si="103"/>
        <v>1</v>
      </c>
      <c r="CG188">
        <f t="shared" si="98"/>
        <v>0</v>
      </c>
      <c r="CH188">
        <f t="shared" si="78"/>
        <v>0</v>
      </c>
      <c r="CI188">
        <f t="shared" si="79"/>
        <v>0</v>
      </c>
      <c r="CJ188">
        <f t="shared" si="80"/>
        <v>0</v>
      </c>
      <c r="CK188">
        <f t="shared" si="81"/>
        <v>1</v>
      </c>
      <c r="CL188">
        <f t="shared" si="82"/>
        <v>0</v>
      </c>
      <c r="CM188">
        <f t="shared" si="83"/>
        <v>0</v>
      </c>
      <c r="CN188">
        <f t="shared" si="84"/>
        <v>0</v>
      </c>
      <c r="CO188">
        <f t="shared" si="85"/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f t="shared" si="104"/>
        <v>1</v>
      </c>
      <c r="CW188">
        <f t="shared" si="105"/>
        <v>1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f t="shared" si="106"/>
        <v>1</v>
      </c>
      <c r="DF188">
        <v>0</v>
      </c>
      <c r="DG188">
        <f t="shared" si="107"/>
        <v>1</v>
      </c>
      <c r="DI188">
        <f t="shared" si="99"/>
        <v>0</v>
      </c>
      <c r="DJ188">
        <f t="shared" si="86"/>
        <v>0</v>
      </c>
      <c r="DK188">
        <f t="shared" si="87"/>
        <v>0</v>
      </c>
      <c r="DL188">
        <f t="shared" si="88"/>
        <v>0</v>
      </c>
      <c r="DM188">
        <f t="shared" si="89"/>
        <v>0</v>
      </c>
      <c r="DN188">
        <f t="shared" si="90"/>
        <v>0</v>
      </c>
      <c r="DO188">
        <f t="shared" si="91"/>
        <v>1</v>
      </c>
      <c r="DP188">
        <f t="shared" si="92"/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f t="shared" si="108"/>
        <v>1</v>
      </c>
      <c r="DX188">
        <f t="shared" si="109"/>
        <v>1</v>
      </c>
      <c r="DZ188">
        <f t="shared" si="100"/>
        <v>0</v>
      </c>
      <c r="EA188">
        <f t="shared" si="93"/>
        <v>0</v>
      </c>
      <c r="EB188">
        <f t="shared" si="94"/>
        <v>0</v>
      </c>
      <c r="EC188">
        <f t="shared" si="95"/>
        <v>0</v>
      </c>
      <c r="ED188">
        <f t="shared" si="96"/>
        <v>0</v>
      </c>
      <c r="EE188">
        <f t="shared" si="97"/>
        <v>1</v>
      </c>
    </row>
    <row r="189" spans="1:135" x14ac:dyDescent="0.35">
      <c r="A189" t="s">
        <v>230</v>
      </c>
      <c r="B189">
        <f>[1]Population!$BB246</f>
        <v>13216985</v>
      </c>
      <c r="C189">
        <f>[1]RealGDP!$BB246</f>
        <v>9799629000.3266487</v>
      </c>
      <c r="D189" s="10">
        <f>[1]GDPcap!$BB246</f>
        <v>741.44209139426641</v>
      </c>
      <c r="F189" t="s">
        <v>230</v>
      </c>
      <c r="H189">
        <v>22.7</v>
      </c>
      <c r="I189">
        <v>22.7</v>
      </c>
      <c r="J189">
        <v>22.7</v>
      </c>
      <c r="K189">
        <v>21.6</v>
      </c>
      <c r="L189">
        <v>19.399999999999999</v>
      </c>
      <c r="M189">
        <v>17.2</v>
      </c>
      <c r="N189">
        <v>16.899999999999999</v>
      </c>
      <c r="O189">
        <v>19.2</v>
      </c>
      <c r="P189">
        <v>22.6</v>
      </c>
      <c r="Q189">
        <v>24.4</v>
      </c>
      <c r="R189">
        <v>24</v>
      </c>
      <c r="S189">
        <v>22.9</v>
      </c>
      <c r="T189">
        <v>21.2</v>
      </c>
      <c r="U189">
        <v>17.8</v>
      </c>
      <c r="V189">
        <v>23.7</v>
      </c>
      <c r="W189">
        <v>22</v>
      </c>
      <c r="X189">
        <v>21.4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10"/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f t="shared" si="101"/>
        <v>1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1</v>
      </c>
      <c r="BS189">
        <v>0</v>
      </c>
      <c r="BT189">
        <f t="shared" si="102"/>
        <v>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1</v>
      </c>
      <c r="CE189">
        <f t="shared" si="103"/>
        <v>1</v>
      </c>
      <c r="CG189">
        <f t="shared" si="98"/>
        <v>0</v>
      </c>
      <c r="CH189">
        <f t="shared" si="78"/>
        <v>0</v>
      </c>
      <c r="CI189">
        <f t="shared" si="79"/>
        <v>0</v>
      </c>
      <c r="CJ189">
        <f t="shared" si="80"/>
        <v>0</v>
      </c>
      <c r="CK189">
        <f t="shared" si="81"/>
        <v>0</v>
      </c>
      <c r="CL189">
        <f t="shared" si="82"/>
        <v>0</v>
      </c>
      <c r="CM189">
        <f t="shared" si="83"/>
        <v>0</v>
      </c>
      <c r="CN189">
        <f t="shared" si="84"/>
        <v>0</v>
      </c>
      <c r="CO189">
        <f t="shared" si="85"/>
        <v>1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f t="shared" si="104"/>
        <v>1</v>
      </c>
      <c r="CW189">
        <f t="shared" si="105"/>
        <v>1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f t="shared" si="106"/>
        <v>1</v>
      </c>
      <c r="DF189">
        <v>0</v>
      </c>
      <c r="DG189">
        <f t="shared" si="107"/>
        <v>1</v>
      </c>
      <c r="DI189">
        <f t="shared" si="99"/>
        <v>0</v>
      </c>
      <c r="DJ189">
        <f t="shared" si="86"/>
        <v>0</v>
      </c>
      <c r="DK189">
        <f t="shared" si="87"/>
        <v>0</v>
      </c>
      <c r="DL189">
        <f t="shared" si="88"/>
        <v>0</v>
      </c>
      <c r="DM189">
        <f t="shared" si="89"/>
        <v>0</v>
      </c>
      <c r="DN189">
        <f t="shared" si="90"/>
        <v>0</v>
      </c>
      <c r="DO189">
        <f t="shared" si="91"/>
        <v>1</v>
      </c>
      <c r="DP189">
        <f t="shared" si="92"/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f t="shared" si="108"/>
        <v>1</v>
      </c>
      <c r="DX189">
        <f t="shared" si="109"/>
        <v>1</v>
      </c>
      <c r="DZ189">
        <f t="shared" si="100"/>
        <v>0</v>
      </c>
      <c r="EA189">
        <f t="shared" si="93"/>
        <v>0</v>
      </c>
      <c r="EB189">
        <f t="shared" si="94"/>
        <v>0</v>
      </c>
      <c r="EC189">
        <f t="shared" si="95"/>
        <v>0</v>
      </c>
      <c r="ED189">
        <f t="shared" si="96"/>
        <v>0</v>
      </c>
      <c r="EE189">
        <f t="shared" si="97"/>
        <v>1</v>
      </c>
    </row>
    <row r="190" spans="1:135" x14ac:dyDescent="0.35">
      <c r="A190" t="s">
        <v>231</v>
      </c>
      <c r="B190">
        <f>[1]Population!$BB247</f>
        <v>13076978</v>
      </c>
      <c r="C190">
        <f>[1]RealGDP!$BB247</f>
        <v>5202304268.4389067</v>
      </c>
      <c r="D190" s="10">
        <f>[1]GDPcap!$BB247</f>
        <v>397.82159673579832</v>
      </c>
      <c r="F190" t="s">
        <v>231</v>
      </c>
      <c r="H190">
        <v>23.8</v>
      </c>
      <c r="I190">
        <v>23.4</v>
      </c>
      <c r="J190">
        <v>22.8</v>
      </c>
      <c r="K190">
        <v>21.1</v>
      </c>
      <c r="L190">
        <v>18.399999999999999</v>
      </c>
      <c r="M190">
        <v>15.8</v>
      </c>
      <c r="N190">
        <v>15.7</v>
      </c>
      <c r="O190">
        <v>17.899999999999999</v>
      </c>
      <c r="P190">
        <v>21.4</v>
      </c>
      <c r="Q190">
        <v>23.8</v>
      </c>
      <c r="R190">
        <v>24.2</v>
      </c>
      <c r="S190">
        <v>23.7</v>
      </c>
      <c r="T190">
        <v>20.8</v>
      </c>
      <c r="U190">
        <v>16.5</v>
      </c>
      <c r="V190">
        <v>23.1</v>
      </c>
      <c r="W190">
        <v>22.9</v>
      </c>
      <c r="X190">
        <v>21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10"/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f t="shared" si="101"/>
        <v>1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0</v>
      </c>
      <c r="BT190">
        <f t="shared" si="102"/>
        <v>1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f t="shared" si="103"/>
        <v>1</v>
      </c>
      <c r="CG190">
        <f t="shared" si="98"/>
        <v>0</v>
      </c>
      <c r="CH190">
        <f t="shared" si="78"/>
        <v>0</v>
      </c>
      <c r="CI190">
        <f t="shared" si="79"/>
        <v>0</v>
      </c>
      <c r="CJ190">
        <f t="shared" si="80"/>
        <v>0</v>
      </c>
      <c r="CK190">
        <f t="shared" si="81"/>
        <v>0</v>
      </c>
      <c r="CL190">
        <f t="shared" si="82"/>
        <v>0</v>
      </c>
      <c r="CM190">
        <f t="shared" si="83"/>
        <v>0</v>
      </c>
      <c r="CN190">
        <f t="shared" si="84"/>
        <v>0</v>
      </c>
      <c r="CO190">
        <f t="shared" si="85"/>
        <v>1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f t="shared" si="104"/>
        <v>1</v>
      </c>
      <c r="CW190">
        <f t="shared" si="105"/>
        <v>1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f t="shared" si="106"/>
        <v>1</v>
      </c>
      <c r="DF190">
        <v>0</v>
      </c>
      <c r="DG190">
        <f t="shared" si="107"/>
        <v>1</v>
      </c>
      <c r="DI190">
        <f t="shared" si="99"/>
        <v>0</v>
      </c>
      <c r="DJ190">
        <f t="shared" si="86"/>
        <v>0</v>
      </c>
      <c r="DK190">
        <f t="shared" si="87"/>
        <v>0</v>
      </c>
      <c r="DL190">
        <f t="shared" si="88"/>
        <v>0</v>
      </c>
      <c r="DM190">
        <f t="shared" si="89"/>
        <v>0</v>
      </c>
      <c r="DN190">
        <f t="shared" si="90"/>
        <v>0</v>
      </c>
      <c r="DO190">
        <f t="shared" si="91"/>
        <v>1</v>
      </c>
      <c r="DP190">
        <f t="shared" si="92"/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f t="shared" si="108"/>
        <v>1</v>
      </c>
      <c r="DX190">
        <f t="shared" si="109"/>
        <v>1</v>
      </c>
      <c r="DZ190">
        <f t="shared" si="100"/>
        <v>0</v>
      </c>
      <c r="EA190">
        <f t="shared" si="93"/>
        <v>0</v>
      </c>
      <c r="EB190">
        <f t="shared" si="94"/>
        <v>0</v>
      </c>
      <c r="EC190">
        <f t="shared" si="95"/>
        <v>0</v>
      </c>
      <c r="ED190">
        <f t="shared" si="96"/>
        <v>0</v>
      </c>
      <c r="EE190">
        <f t="shared" si="97"/>
        <v>1</v>
      </c>
    </row>
    <row r="192" spans="1:135" x14ac:dyDescent="0.35">
      <c r="Z192" s="7">
        <f>SUMPRODUCT(Z3:Z190,country!$C3:$C190,country!$M3:$M190)/SUMPRODUCT(Z3:Z190,country!$C3:$C190)</f>
        <v>-3.0464530981219844</v>
      </c>
      <c r="AA192" s="7">
        <f>SUMPRODUCT(AA3:AA190,country!$C3:$C190,country!$M3:$M190)/SUMPRODUCT(AA3:AA190,country!$C3:$C190)</f>
        <v>-0.65853017998634655</v>
      </c>
      <c r="AB192" s="7">
        <f>SUMPRODUCT(AB3:AB190,country!$C3:$C190,country!$M3:$M190)/SUMPRODUCT(AB3:AB190,country!$C3:$C190)</f>
        <v>-11.025459370894572</v>
      </c>
      <c r="AC192" s="7">
        <f>SUMPRODUCT(AC3:AC190,country!$C3:$C190,country!$M3:$M190)/SUMPRODUCT(AC3:AC190,country!$C3:$C190)</f>
        <v>-12.300002441614472</v>
      </c>
      <c r="AD192" s="7">
        <f>SUMPRODUCT(AD3:AD190,country!$C3:$C190,country!$M3:$M190)/SUMPRODUCT(AD3:AD190,country!$C3:$C190)</f>
        <v>-12.031963093370477</v>
      </c>
      <c r="AE192" s="7">
        <f>SUMPRODUCT(AE3:AE190,country!$C3:$C190,country!$M3:$M190)/SUMPRODUCT(AE3:AE190,country!$C3:$C190)</f>
        <v>0.82091787384705672</v>
      </c>
      <c r="AF192" s="7">
        <f>SUMPRODUCT(AF3:AF190,country!$C3:$C190,country!$M3:$M190)/SUMPRODUCT(AF3:AF190,country!$C3:$C190)</f>
        <v>-9.9902749462195626</v>
      </c>
      <c r="AG192" s="7">
        <f>SUMPRODUCT(AG3:AG190,country!$C3:$C190,country!$M3:$M190)/SUMPRODUCT(AG3:AG190,country!$C3:$C190)</f>
        <v>3.6788565656368357</v>
      </c>
      <c r="AH192" s="7">
        <f>SUMPRODUCT(AH3:AH190,country!$C3:$C190,country!$M3:$M190)/SUMPRODUCT(AH3:AH190,country!$C3:$C190)</f>
        <v>-3.8328860480743239</v>
      </c>
      <c r="AI192" s="7">
        <f>SUMPRODUCT(AI3:AI190,country!$C3:$C190,country!$M3:$M190)/SUMPRODUCT(AI3:AI190,country!$C3:$C190)</f>
        <v>-10.824569251082899</v>
      </c>
      <c r="AJ192" s="7">
        <f>SUMPRODUCT(AJ3:AJ190,country!$C3:$C190,country!$M3:$M190)/SUMPRODUCT(AJ3:AJ190,country!$C3:$C190)</f>
        <v>-8.605796216066039E-3</v>
      </c>
      <c r="AK192" s="7">
        <f>SUMPRODUCT(AK3:AK190,country!$C3:$C190,country!$M3:$M190)/SUMPRODUCT(AK3:AK190,country!$C3:$C190)</f>
        <v>-6.9543604139079118</v>
      </c>
      <c r="AL192" s="7">
        <f>SUMPRODUCT(AL3:AL190,country!$C3:$C190,country!$M3:$M190)/SUMPRODUCT(AL3:AL190,country!$C3:$C190)</f>
        <v>1.8332951653176177</v>
      </c>
      <c r="AM192" s="7">
        <f>SUMPRODUCT(AM3:AM190,country!$C3:$C190,country!$M3:$M190)/SUMPRODUCT(AM3:AM190,country!$C3:$C190)</f>
        <v>-4.6114807782449967</v>
      </c>
      <c r="AN192" s="7">
        <f>SUMPRODUCT(AN3:AN190,country!$C3:$C190,country!$M3:$M190)/SUMPRODUCT(AN3:AN190,country!$C3:$C190)</f>
        <v>-7.8440354108777921</v>
      </c>
      <c r="AQ192" s="7">
        <f>SUMPRODUCT(AQ3:AQ190,country!$C3:$C190,country!$M3:$M190)/SUMPRODUCT(AQ3:AQ190,country!$C3:$C190)</f>
        <v>0.82091787384705672</v>
      </c>
      <c r="AR192" s="7">
        <f>SUMPRODUCT(AR3:AR190,country!$C3:$C190,country!$M3:$M190)/SUMPRODUCT(AR3:AR190,country!$C3:$C190)</f>
        <v>-1.657075753554571</v>
      </c>
      <c r="AS192" s="7">
        <f>SUMPRODUCT(AS3:AS190,country!$C3:$C190,country!$M3:$M190)/SUMPRODUCT(AS3:AS190,country!$C3:$C190)</f>
        <v>1.0683121812770309</v>
      </c>
      <c r="AT192" s="7">
        <f>SUMPRODUCT(AT3:AT190,country!$C3:$C190,country!$M3:$M190)/SUMPRODUCT(AT3:AT190,country!$C3:$C190)</f>
        <v>-1.7205011013362186</v>
      </c>
      <c r="AU192" s="7">
        <f>SUMPRODUCT(AU3:AU190,country!$C3:$C190,country!$M3:$M190)/SUMPRODUCT(AU3:AU190,country!$C3:$C190)</f>
        <v>1.7258966137476563</v>
      </c>
      <c r="AV192" s="7">
        <f>SUMPRODUCT(AV3:AV190,country!$C3:$C190,country!$M3:$M190)/SUMPRODUCT(AV3:AV190,country!$C3:$C190)</f>
        <v>-3.6981044866988237</v>
      </c>
      <c r="AW192" s="7">
        <f>SUMPRODUCT(AW3:AW190,country!$C3:$C190,country!$M3:$M190)/SUMPRODUCT(AW3:AW190,country!$C3:$C190)</f>
        <v>0.8632279262651229</v>
      </c>
      <c r="AX192" s="7">
        <f>SUMPRODUCT(AX3:AX190,country!$C3:$C190,country!$M3:$M190)/SUMPRODUCT(AX3:AX190,country!$C3:$C190)</f>
        <v>-8.9345141222561235</v>
      </c>
      <c r="AY192" s="7">
        <f>SUMPRODUCT(AY3:AY190,country!$C3:$C190,country!$M3:$M190)/SUMPRODUCT(AY3:AY190,country!$C3:$C190)</f>
        <v>-6.7432702077755211</v>
      </c>
      <c r="AZ192" s="7">
        <f>SUMPRODUCT(AZ3:AZ190,country!$C3:$C190,country!$M3:$M190)/SUMPRODUCT(AZ3:AZ190,country!$C3:$C190)</f>
        <v>-10.824569251082899</v>
      </c>
      <c r="BA192" s="7">
        <f>SUMPRODUCT(BA3:BA190,country!$C3:$C190,country!$M3:$M190)/SUMPRODUCT(BA3:BA190,country!$C3:$C190)</f>
        <v>-12.250809819846612</v>
      </c>
      <c r="BB192" s="7">
        <f>SUMPRODUCT(BB3:BB190,country!$C3:$C190,country!$M3:$M190)/SUMPRODUCT(BB3:BB190,country!$C3:$C190)</f>
        <v>-3.0464530981219844</v>
      </c>
      <c r="BC192" s="7">
        <f>SUMPRODUCT(BC3:BC190,country!$C3:$C190,country!$M3:$M190)/SUMPRODUCT(BC3:BC190,country!$C3:$C190)</f>
        <v>-10.380455574394485</v>
      </c>
      <c r="BD192" s="7">
        <f>SUMPRODUCT(BD3:BD190,country!$C3:$C190,country!$M3:$M190)/SUMPRODUCT(BD3:BD190,country!$C3:$C190)</f>
        <v>-8.469787088233641</v>
      </c>
      <c r="BE192" s="7"/>
      <c r="BG192" s="7">
        <f>SUMPRODUCT(BG3:BG190,country!$C3:$C190,country!$M3:$M190)/SUMPRODUCT(BG3:BG190,country!$C3:$C190)</f>
        <v>0.82091787384705672</v>
      </c>
      <c r="BH192" s="7">
        <f>SUMPRODUCT(BH3:BH190,country!$C3:$C190,country!$M3:$M190)/SUMPRODUCT(BH3:BH190,country!$C3:$C190)</f>
        <v>-3.0464530981219844</v>
      </c>
      <c r="BI192" s="7">
        <f>SUMPRODUCT(BI3:BI190,country!$C3:$C190,country!$M3:$M190)/SUMPRODUCT(BI3:BI190,country!$C3:$C190)</f>
        <v>-0.65853017998634655</v>
      </c>
      <c r="BJ192" s="7">
        <f>SUMPRODUCT(BJ3:BJ190,country!$C3:$C190,country!$M3:$M190)/SUMPRODUCT(BJ3:BJ190,country!$C3:$C190)</f>
        <v>1.055240076612989E-3</v>
      </c>
      <c r="BK192" s="7">
        <f>SUMPRODUCT(BK3:BK190,country!$C3:$C190,country!$M3:$M190)/SUMPRODUCT(BK3:BK190,country!$C3:$C190)</f>
        <v>3.6788565656368357</v>
      </c>
      <c r="BL192" s="7">
        <f>SUMPRODUCT(BL3:BL190,country!$C3:$C190,country!$M3:$M190)/SUMPRODUCT(BL3:BL190,country!$C3:$C190)</f>
        <v>-12.300002441614472</v>
      </c>
      <c r="BM192" s="7">
        <f>SUMPRODUCT(BM3:BM190,country!$C3:$C190,country!$M3:$M190)/SUMPRODUCT(BM3:BM190,country!$C3:$C190)</f>
        <v>0.1181524592153691</v>
      </c>
      <c r="BN192" s="7">
        <f>SUMPRODUCT(BN3:BN190,country!$C3:$C190,country!$M3:$M190)/SUMPRODUCT(BN3:BN190,country!$C3:$C190)</f>
        <v>-8.0452545203698822</v>
      </c>
      <c r="BO192" s="7">
        <f>SUMPRODUCT(BO3:BO190,country!$C3:$C190,country!$M3:$M190)/SUMPRODUCT(BO3:BO190,country!$C3:$C190)</f>
        <v>-1.8632171726901106</v>
      </c>
      <c r="BP192" s="7">
        <f>SUMPRODUCT(BP3:BP190,country!$C3:$C190,country!$M3:$M190)/SUMPRODUCT(BP3:BP190,country!$C3:$C190)</f>
        <v>-6.10709891573884</v>
      </c>
      <c r="BQ192" s="7">
        <f>SUMPRODUCT(BQ3:BQ190,country!$C3:$C190,country!$M3:$M190)/SUMPRODUCT(BQ3:BQ190,country!$C3:$C190)</f>
        <v>-7.2549503698725601</v>
      </c>
      <c r="BR192" s="7">
        <f>SUMPRODUCT(BR3:BR190,country!$C3:$C190,country!$M3:$M190)/SUMPRODUCT(BR3:BR190,country!$C3:$C190)</f>
        <v>-13.165128306427949</v>
      </c>
      <c r="BS192" s="7">
        <f>SUMPRODUCT(BS3:BS190,country!$C3:$C190,country!$M3:$M190)/SUMPRODUCT(BS3:BS190,country!$C3:$C190)</f>
        <v>-11.42593849979999</v>
      </c>
      <c r="BV192" s="7">
        <f>SUMPRODUCT(BV3:BV190,country!$C3:$C190,country!$M3:$M190)/SUMPRODUCT(BV3:BV190,country!$C3:$C190)</f>
        <v>1.3152496713201509</v>
      </c>
      <c r="BW192" s="7">
        <f>SUMPRODUCT(BW3:BW190,country!$C3:$C190,country!$M3:$M190)/SUMPRODUCT(BW3:BW190,country!$C3:$C190)</f>
        <v>-6.8811051932477579E-2</v>
      </c>
      <c r="BX192" s="7">
        <f>SUMPRODUCT(BX3:BX190,country!$C3:$C190,country!$M3:$M190)/SUMPRODUCT(BX3:BX190,country!$C3:$C190)</f>
        <v>-1.3398398742332636</v>
      </c>
      <c r="BY192" s="7">
        <f>SUMPRODUCT(BY3:BY190,country!$C3:$C190,country!$M3:$M190)/SUMPRODUCT(BY3:BY190,country!$C3:$C190)</f>
        <v>0.13075385584749355</v>
      </c>
      <c r="BZ192" s="7">
        <f>SUMPRODUCT(BZ3:BZ190,country!$C3:$C190,country!$M3:$M190)/SUMPRODUCT(BZ3:BZ190,country!$C3:$C190)</f>
        <v>-6.5869794902835519</v>
      </c>
      <c r="CA192" s="7">
        <f>SUMPRODUCT(CA3:CA190,country!$C3:$C190,country!$M3:$M190)/SUMPRODUCT(CA3:CA190,country!$C3:$C190)</f>
        <v>-8.4592211114962836</v>
      </c>
      <c r="CB192" s="7">
        <f>SUMPRODUCT(CB3:CB190,country!$C3:$C190,country!$M3:$M190)/SUMPRODUCT(CB3:CB190,country!$C3:$C190)</f>
        <v>-8.885250759518188</v>
      </c>
      <c r="CC192" s="7">
        <f>SUMPRODUCT(CC3:CC190,country!$C3:$C190,country!$M3:$M190)/SUMPRODUCT(CC3:CC190,country!$C3:$C190)</f>
        <v>-3.2241347163690102</v>
      </c>
      <c r="CD192" s="7">
        <f>SUMPRODUCT(CD3:CD190,country!$C3:$C190,country!$M3:$M190)/SUMPRODUCT(CD3:CD190,country!$C3:$C190)</f>
        <v>-10.345317319615683</v>
      </c>
      <c r="CG192" s="7">
        <f>SUMPRODUCT(CG3:CG190,country!$C3:$C190,country!$M3:$M190)/SUMPRODUCT(CG3:CG190,country!$C3:$C190)</f>
        <v>1.3152496713201509</v>
      </c>
      <c r="CH192" s="7">
        <f>SUMPRODUCT(CH3:CH190,country!$C3:$C190,country!$M3:$M190)/SUMPRODUCT(CH3:CH190,country!$C3:$C190)</f>
        <v>-6.8811051932477579E-2</v>
      </c>
      <c r="CI192" s="7">
        <f>SUMPRODUCT(CI3:CI190,country!$C3:$C190,country!$M3:$M190)/SUMPRODUCT(CI3:CI190,country!$C3:$C190)</f>
        <v>-1.3398398742332636</v>
      </c>
      <c r="CJ192" s="7">
        <f>SUMPRODUCT(CJ3:CJ190,country!$C3:$C190,country!$M3:$M190)/SUMPRODUCT(CJ3:CJ190,country!$C3:$C190)</f>
        <v>0.13075385584749355</v>
      </c>
      <c r="CK192" s="7">
        <f>SUMPRODUCT(CK3:CK190,country!$C3:$C190,country!$M3:$M190)/SUMPRODUCT(CK3:CK190,country!$C3:$C190)</f>
        <v>-6.5869794902835519</v>
      </c>
      <c r="CL192" s="7">
        <f>SUMPRODUCT(CL3:CL190,country!$C3:$C190,country!$M3:$M190)/SUMPRODUCT(CL3:CL190,country!$C3:$C190)</f>
        <v>-8.4592211114962836</v>
      </c>
      <c r="CM192" s="7">
        <f>SUMPRODUCT(CM3:CM190,country!$C3:$C190,country!$M3:$M190)/SUMPRODUCT(CM3:CM190,country!$C3:$C190)</f>
        <v>-8.885250759518188</v>
      </c>
      <c r="CN192" s="7">
        <f>SUMPRODUCT(CN3:CN190,country!$C3:$C190,country!$M3:$M190)/SUMPRODUCT(CN3:CN190,country!$C3:$C190)</f>
        <v>-3.2241347163690102</v>
      </c>
      <c r="CO192" s="7">
        <f>SUMPRODUCT(CO3:CO190,country!$C3:$C190,country!$M3:$M190)/SUMPRODUCT(CO3:CO190,country!$C3:$C190)</f>
        <v>-10.345317319615683</v>
      </c>
      <c r="CQ192" s="7">
        <f>SUMPRODUCT(CQ3:CQ190,country!$C3:$C190,country!$M3:$M190)/SUMPRODUCT(CQ3:CQ190,country!$C3:$C190)</f>
        <v>0.82091787384705672</v>
      </c>
      <c r="CR192" s="7">
        <f>SUMPRODUCT(CR3:CR190,country!$C3:$C190,country!$M3:$M190)/SUMPRODUCT(CR3:CR190,country!$C3:$C190)</f>
        <v>-0.65853017998634655</v>
      </c>
      <c r="CS192" s="7">
        <f>SUMPRODUCT(CS3:CS190,country!$C3:$C190,country!$M3:$M190)/SUMPRODUCT(CS3:CS190,country!$C3:$C190)</f>
        <v>-3.0464530981219844</v>
      </c>
      <c r="CT192" s="7">
        <f>SUMPRODUCT(CT3:CT190,country!$C3:$C190,country!$M3:$M190)/SUMPRODUCT(CT3:CT190,country!$C3:$C190)</f>
        <v>-0.19308723418263551</v>
      </c>
      <c r="CU192" s="7">
        <f>SUMPRODUCT(CU3:CU190,country!$C3:$C190,country!$M3:$M190)/SUMPRODUCT(CU3:CU190,country!$C3:$C190)</f>
        <v>1.7258966137476563</v>
      </c>
      <c r="CV192" s="7">
        <f>SUMPRODUCT(CV3:CV190,country!$C3:$C190,country!$M3:$M190)/SUMPRODUCT(CV3:CV190,country!$C3:$C190)</f>
        <v>-5.8134855482820829</v>
      </c>
      <c r="CY192" s="7">
        <f>SUMPRODUCT(CY3:CY190,country!$C3:$C190,country!$M3:$M190)/SUMPRODUCT(CY3:CY190,country!$C3:$C190)</f>
        <v>-0.19580502269061847</v>
      </c>
      <c r="CZ192" s="7">
        <f>SUMPRODUCT(CZ3:CZ190,country!$C3:$C190,country!$M3:$M190)/SUMPRODUCT(CZ3:CZ190,country!$C3:$C190)</f>
        <v>0.82091787384705672</v>
      </c>
      <c r="DA192" s="7">
        <f>SUMPRODUCT(DA3:DA190,country!$C3:$C190,country!$M3:$M190)/SUMPRODUCT(DA3:DA190,country!$C3:$C190)</f>
        <v>0.44828193924264026</v>
      </c>
      <c r="DB192" s="7">
        <f>SUMPRODUCT(DB3:DB190,country!$C3:$C190,country!$M3:$M190)/SUMPRODUCT(DB3:DB190,country!$C3:$C190)</f>
        <v>0.13075385584749355</v>
      </c>
      <c r="DC192" s="7">
        <f>SUMPRODUCT(DC3:DC190,country!$C3:$C190,country!$M3:$M190)/SUMPRODUCT(DC3:DC190,country!$C3:$C190)</f>
        <v>-3.0446172489537378</v>
      </c>
      <c r="DD192" s="7">
        <f>SUMPRODUCT(DD3:DD190,country!$C3:$C190,country!$M3:$M190)/SUMPRODUCT(DD3:DD190,country!$C3:$C190)</f>
        <v>-8.7186373923197991</v>
      </c>
      <c r="DE192" s="7">
        <f>SUMPRODUCT(DE3:DE190,country!$C3:$C190,country!$M3:$M190)/SUMPRODUCT(DE3:DE190,country!$C3:$C190)</f>
        <v>-7.9515775208257011</v>
      </c>
      <c r="DF192" s="7">
        <f>SUMPRODUCT(DF3:DF190,country!$C3:$C190,country!$M3:$M190)/SUMPRODUCT(DF3:DF190,country!$C3:$C190)</f>
        <v>-8.4592211114962836</v>
      </c>
      <c r="DI192" s="7">
        <f>SUMPRODUCT(DI3:DI190,country!$C3:$C190,country!$M3:$M190)/SUMPRODUCT(DI3:DI190,country!$C3:$C190)</f>
        <v>-0.19580502269061847</v>
      </c>
      <c r="DJ192" s="7">
        <f>SUMPRODUCT(DJ3:DJ190,country!$C3:$C190,country!$M3:$M190)/SUMPRODUCT(DJ3:DJ190,country!$C3:$C190)</f>
        <v>0.82091787384705672</v>
      </c>
      <c r="DK192" s="7">
        <f>SUMPRODUCT(DK3:DK190,country!$C3:$C190,country!$M3:$M190)/SUMPRODUCT(DK3:DK190,country!$C3:$C190)</f>
        <v>0.44828193924264026</v>
      </c>
      <c r="DL192" s="7">
        <f>SUMPRODUCT(DL3:DL190,country!$C3:$C190,country!$M3:$M190)/SUMPRODUCT(DL3:DL190,country!$C3:$C190)</f>
        <v>0.13075385584749355</v>
      </c>
      <c r="DM192" s="7">
        <f>SUMPRODUCT(DM3:DM190,country!$C3:$C190,country!$M3:$M190)/SUMPRODUCT(DM3:DM190,country!$C3:$C190)</f>
        <v>-3.0446172489537378</v>
      </c>
      <c r="DN192" s="7">
        <f>SUMPRODUCT(DN3:DN190,country!$C3:$C190,country!$M3:$M190)/SUMPRODUCT(DN3:DN190,country!$C3:$C190)</f>
        <v>-8.7186373923197991</v>
      </c>
      <c r="DO192" s="7">
        <f>SUMPRODUCT(DO3:DO190,country!$C3:$C190,country!$M3:$M190)/SUMPRODUCT(DO3:DO190,country!$C3:$C190)</f>
        <v>-7.9515775208257011</v>
      </c>
      <c r="DP192" s="7">
        <f>SUMPRODUCT(DP3:DP190,country!$C3:$C190,country!$M3:$M190)/SUMPRODUCT(DP3:DP190,country!$C3:$C190)</f>
        <v>-8.4592211114962836</v>
      </c>
      <c r="DR192" s="7">
        <f>SUMPRODUCT(DR3:DR190,country!$C3:$C190,country!$M3:$M190)/SUMPRODUCT(DR3:DR190,country!$C3:$C190)</f>
        <v>-0.19580502269061847</v>
      </c>
      <c r="DS192" s="7">
        <f>SUMPRODUCT(DS3:DS190,country!$C3:$C190,country!$M3:$M190)/SUMPRODUCT(DS3:DS190,country!$C3:$C190)</f>
        <v>0.82091787384705672</v>
      </c>
      <c r="DT192" s="7">
        <f>SUMPRODUCT(DT3:DT190,country!$C3:$C190,country!$M3:$M190)/SUMPRODUCT(DT3:DT190,country!$C3:$C190)</f>
        <v>0.44828193924264026</v>
      </c>
      <c r="DU192" s="7">
        <f>SUMPRODUCT(DU3:DU190,country!$C3:$C190,country!$M3:$M190)/SUMPRODUCT(DU3:DU190,country!$C3:$C190)</f>
        <v>1.7258966137476563</v>
      </c>
      <c r="DV192" s="7">
        <f>SUMPRODUCT(DV3:DV190,country!$C3:$C190,country!$M3:$M190)/SUMPRODUCT(DV3:DV190,country!$C3:$C190)</f>
        <v>-3.0464530981219844</v>
      </c>
      <c r="DW192" s="7">
        <f>SUMPRODUCT(DW3:DW190,country!$C3:$C190,country!$M3:$M190)/SUMPRODUCT(DW3:DW190,country!$C3:$C190)</f>
        <v>-7.8236615932351423</v>
      </c>
      <c r="DZ192" s="7">
        <f>SUMPRODUCT(DZ3:DZ190,country!$C3:$C190,country!$M3:$M190)/SUMPRODUCT(DZ3:DZ190,country!$C3:$C190)</f>
        <v>-0.19580502269061847</v>
      </c>
      <c r="EA192" s="7">
        <f>SUMPRODUCT(EA3:EA190,country!$C3:$C190,country!$M3:$M190)/SUMPRODUCT(EA3:EA190,country!$C3:$C190)</f>
        <v>0.82091787384705672</v>
      </c>
      <c r="EB192" s="7">
        <f>SUMPRODUCT(EB3:EB190,country!$C3:$C190,country!$M3:$M190)/SUMPRODUCT(EB3:EB190,country!$C3:$C190)</f>
        <v>0.44828193924264026</v>
      </c>
      <c r="EC192" s="7">
        <f>SUMPRODUCT(EC3:EC190,country!$C3:$C190,country!$M3:$M190)/SUMPRODUCT(EC3:EC190,country!$C3:$C190)</f>
        <v>1.7258966137476563</v>
      </c>
      <c r="ED192" s="7">
        <f>SUMPRODUCT(ED3:ED190,country!$C3:$C190,country!$M3:$M190)/SUMPRODUCT(ED3:ED190,country!$C3:$C190)</f>
        <v>-3.0464530981219844</v>
      </c>
      <c r="EE192" s="7">
        <f>SUMPRODUCT(EE3:EE190,country!$C3:$C190,country!$M3:$M190)/SUMPRODUCT(EE3:EE190,country!$C3:$C190)</f>
        <v>-7.8236615932351423</v>
      </c>
    </row>
    <row r="193" spans="6:135" x14ac:dyDescent="0.35">
      <c r="F193" t="s">
        <v>472</v>
      </c>
      <c r="G193" t="s">
        <v>473</v>
      </c>
      <c r="H193">
        <v>26.1</v>
      </c>
      <c r="I193">
        <v>26.4</v>
      </c>
      <c r="J193">
        <v>26.4</v>
      </c>
      <c r="K193">
        <v>25.8</v>
      </c>
      <c r="L193">
        <v>24.5</v>
      </c>
      <c r="M193">
        <v>23.4</v>
      </c>
      <c r="N193">
        <v>22.8</v>
      </c>
      <c r="O193">
        <v>22.5</v>
      </c>
      <c r="P193">
        <v>22.8</v>
      </c>
      <c r="Q193">
        <v>23.4</v>
      </c>
      <c r="R193">
        <v>24.3</v>
      </c>
      <c r="S193">
        <v>25.2</v>
      </c>
      <c r="T193">
        <v>25.6</v>
      </c>
      <c r="U193">
        <v>22.9</v>
      </c>
      <c r="V193">
        <v>23.5</v>
      </c>
      <c r="W193">
        <v>25</v>
      </c>
      <c r="X193">
        <v>24.5</v>
      </c>
      <c r="Z193" s="7">
        <f t="shared" ref="Z193:AN193" si="111">Z2-Z192</f>
        <v>-1.9535469018780156</v>
      </c>
      <c r="AA193" s="7">
        <f t="shared" si="111"/>
        <v>0.85853017998634651</v>
      </c>
      <c r="AB193" s="7">
        <f t="shared" si="111"/>
        <v>-1.4745406291054284</v>
      </c>
      <c r="AC193" s="7">
        <f t="shared" si="111"/>
        <v>6.7000024416144726</v>
      </c>
      <c r="AD193" s="7">
        <f t="shared" si="111"/>
        <v>5.9319630933704772</v>
      </c>
      <c r="AE193" s="7">
        <f t="shared" si="111"/>
        <v>-1.5209178738470568</v>
      </c>
      <c r="AF193" s="7">
        <f t="shared" si="111"/>
        <v>4.1902749462195628</v>
      </c>
      <c r="AG193" s="7">
        <f t="shared" si="111"/>
        <v>-1.2788565656368358</v>
      </c>
      <c r="AH193" s="7">
        <f t="shared" si="111"/>
        <v>1.032886048074324</v>
      </c>
      <c r="AI193" s="7">
        <f t="shared" si="111"/>
        <v>2.4245692510828984</v>
      </c>
      <c r="AJ193" s="7">
        <f t="shared" si="111"/>
        <v>1.4086057962160659</v>
      </c>
      <c r="AK193" s="7">
        <f t="shared" si="111"/>
        <v>-3.4456395860920885</v>
      </c>
      <c r="AL193" s="7">
        <f t="shared" si="111"/>
        <v>-1.3332951653176177</v>
      </c>
      <c r="AM193" s="7">
        <f t="shared" si="111"/>
        <v>4.2114807782449963</v>
      </c>
      <c r="AN193" s="7">
        <f t="shared" si="111"/>
        <v>-0.55596458912220825</v>
      </c>
      <c r="AQ193" s="7">
        <f t="shared" ref="AQ193:BD193" si="112">AQ2-AQ192</f>
        <v>-0.62091787384705666</v>
      </c>
      <c r="AR193" s="7">
        <f t="shared" si="112"/>
        <v>1.557075753554571</v>
      </c>
      <c r="AS193" s="7">
        <f t="shared" si="112"/>
        <v>-0.86831218127703091</v>
      </c>
      <c r="AT193" s="7">
        <f t="shared" si="112"/>
        <v>1.5205011013362186</v>
      </c>
      <c r="AU193" s="7">
        <f t="shared" si="112"/>
        <v>-0.92589661374765631</v>
      </c>
      <c r="AV193" s="7">
        <f t="shared" si="112"/>
        <v>3.7981044866988238</v>
      </c>
      <c r="AW193" s="7">
        <f t="shared" si="112"/>
        <v>-0.96322792626512288</v>
      </c>
      <c r="AX193" s="7">
        <f t="shared" si="112"/>
        <v>6.2345141222561233</v>
      </c>
      <c r="AY193" s="7">
        <f t="shared" si="112"/>
        <v>5.9432702077755213</v>
      </c>
      <c r="AZ193" s="7">
        <f t="shared" si="112"/>
        <v>9.3245692510828988</v>
      </c>
      <c r="BA193" s="7">
        <f t="shared" si="112"/>
        <v>8.8508098198466119</v>
      </c>
      <c r="BB193" s="7">
        <f t="shared" si="112"/>
        <v>3.1464530981219845</v>
      </c>
      <c r="BC193" s="7">
        <f t="shared" si="112"/>
        <v>7.5804555743944855</v>
      </c>
      <c r="BD193" s="7">
        <f t="shared" si="112"/>
        <v>7.7697870882336408</v>
      </c>
      <c r="BE193" s="7"/>
      <c r="BG193" s="7">
        <f t="shared" ref="BG193:BS193" si="113">BG2-BG192</f>
        <v>-1.2709178738470568</v>
      </c>
      <c r="BH193" s="7">
        <f t="shared" si="113"/>
        <v>2.8264530981219842</v>
      </c>
      <c r="BI193" s="7">
        <f t="shared" si="113"/>
        <v>0.15853017998634655</v>
      </c>
      <c r="BJ193" s="7">
        <f t="shared" si="113"/>
        <v>-2.8310552400766129</v>
      </c>
      <c r="BK193" s="7">
        <f t="shared" si="113"/>
        <v>-3.0288565656368358</v>
      </c>
      <c r="BL193" s="7">
        <f t="shared" si="113"/>
        <v>7.3700024416144725</v>
      </c>
      <c r="BM193" s="7">
        <f t="shared" si="113"/>
        <v>0.27184754078463091</v>
      </c>
      <c r="BN193" s="7">
        <f t="shared" si="113"/>
        <v>6.095254520369882</v>
      </c>
      <c r="BO193" s="7">
        <f t="shared" si="113"/>
        <v>1.1532171726901106</v>
      </c>
      <c r="BP193" s="7">
        <f t="shared" si="113"/>
        <v>3.6670989157388401</v>
      </c>
      <c r="BQ193" s="7">
        <f t="shared" si="113"/>
        <v>5.4449503698725596</v>
      </c>
      <c r="BR193" s="7">
        <f t="shared" si="113"/>
        <v>9.2551283064279488</v>
      </c>
      <c r="BS193" s="7">
        <f t="shared" si="113"/>
        <v>8.7859384997999896</v>
      </c>
      <c r="BV193" s="7">
        <f>BV2-BV192</f>
        <v>-2.8152496713201511</v>
      </c>
      <c r="BW193" s="7">
        <f>BW2-BW192</f>
        <v>-1.2311889480675224</v>
      </c>
      <c r="BX193" s="7">
        <f>BX2-BX192</f>
        <v>-1.4601601257667363</v>
      </c>
      <c r="BY193" s="7">
        <f>BY2-BY192</f>
        <v>0.16924614415250644</v>
      </c>
      <c r="BZ193" s="7">
        <f t="shared" ref="BZ193:CD193" si="114">BZ2-BZ192</f>
        <v>2.4869794902835523</v>
      </c>
      <c r="CA193" s="7">
        <f t="shared" si="114"/>
        <v>4.1592211114962838</v>
      </c>
      <c r="CB193" s="7">
        <f t="shared" si="114"/>
        <v>0.28525075951818835</v>
      </c>
      <c r="CC193" s="7">
        <f t="shared" si="114"/>
        <v>-1.97586528363099</v>
      </c>
      <c r="CD193" s="7">
        <f t="shared" si="114"/>
        <v>1.6453173196156836</v>
      </c>
      <c r="CG193" s="7">
        <f t="shared" ref="CG193:CO193" si="115">CG2-CG192</f>
        <v>2.0847503286798492</v>
      </c>
      <c r="CH193" s="7">
        <f t="shared" si="115"/>
        <v>3.7688110519324778</v>
      </c>
      <c r="CI193" s="7">
        <f t="shared" si="115"/>
        <v>2.3398398742332636</v>
      </c>
      <c r="CJ193" s="7">
        <f t="shared" si="115"/>
        <v>1.8692461441525063</v>
      </c>
      <c r="CK193" s="7">
        <f t="shared" si="115"/>
        <v>7.6869794902835515</v>
      </c>
      <c r="CL193" s="7">
        <f t="shared" si="115"/>
        <v>8.359221111496284</v>
      </c>
      <c r="CM193" s="7">
        <f t="shared" si="115"/>
        <v>7.1852507595181878</v>
      </c>
      <c r="CN193" s="7">
        <f t="shared" si="115"/>
        <v>5.3241347163690103</v>
      </c>
      <c r="CO193" s="7">
        <f t="shared" si="115"/>
        <v>6.2453173196156833</v>
      </c>
      <c r="CQ193" s="7">
        <f t="shared" ref="CQ193:CV193" si="116">CQ2-CQ192</f>
        <v>-1.9229178738470569</v>
      </c>
      <c r="CR193" s="7">
        <f t="shared" si="116"/>
        <v>-0.51546982001365338</v>
      </c>
      <c r="CS193" s="7">
        <f t="shared" si="116"/>
        <v>1.5234530981219843</v>
      </c>
      <c r="CT193" s="7">
        <f t="shared" si="116"/>
        <v>-0.98091276581736442</v>
      </c>
      <c r="CU193" s="7">
        <f t="shared" si="116"/>
        <v>-2.5828966137476561</v>
      </c>
      <c r="CV193" s="7">
        <f t="shared" si="116"/>
        <v>3.7204855482820829</v>
      </c>
      <c r="CY193" s="7">
        <f t="shared" ref="CY193:DF193" si="117">CY2-CY192</f>
        <v>-1.1041949773093813</v>
      </c>
      <c r="CZ193" s="7">
        <f t="shared" si="117"/>
        <v>-2.3809178738470567</v>
      </c>
      <c r="DA193" s="7">
        <f t="shared" si="117"/>
        <v>-3.3082819392426401</v>
      </c>
      <c r="DB193" s="7">
        <f t="shared" si="117"/>
        <v>-0.13075385584749355</v>
      </c>
      <c r="DC193" s="7">
        <f t="shared" si="117"/>
        <v>-2.1553827510462615</v>
      </c>
      <c r="DD193" s="7">
        <f t="shared" si="117"/>
        <v>0.13863739231980077</v>
      </c>
      <c r="DE193" s="7">
        <f t="shared" si="117"/>
        <v>2.1015775208257015</v>
      </c>
      <c r="DF193" s="7">
        <f t="shared" si="117"/>
        <v>4.1692211114962845</v>
      </c>
      <c r="DI193" s="7">
        <f t="shared" ref="DI193:DP193" si="118">DI2-DI192</f>
        <v>-1.0341949773093815</v>
      </c>
      <c r="DJ193" s="7">
        <f t="shared" si="118"/>
        <v>-1.1284178738470567</v>
      </c>
      <c r="DK193" s="7">
        <f t="shared" si="118"/>
        <v>-0.75578193924264025</v>
      </c>
      <c r="DL193" s="7">
        <f t="shared" si="118"/>
        <v>0.29974614415250644</v>
      </c>
      <c r="DM193" s="7">
        <f t="shared" si="118"/>
        <v>2.7986172489537378</v>
      </c>
      <c r="DN193" s="7">
        <f t="shared" si="118"/>
        <v>5.6436373923197989</v>
      </c>
      <c r="DO193" s="7">
        <f t="shared" si="118"/>
        <v>5.7006775208257014</v>
      </c>
      <c r="DP193" s="7">
        <f t="shared" si="118"/>
        <v>6.208321111496284</v>
      </c>
      <c r="DR193" s="7">
        <f t="shared" ref="DR193" si="119">DR2-DR192</f>
        <v>-1.2041949773093814</v>
      </c>
      <c r="DS193" s="7">
        <f t="shared" ref="DS193" si="120">DS2-DS192</f>
        <v>-2.1209178738470569</v>
      </c>
      <c r="DT193" s="7">
        <f t="shared" ref="DT193" si="121">DT2-DT192</f>
        <v>-1.8482819392426402</v>
      </c>
      <c r="DU193" s="7">
        <f t="shared" ref="DU193" si="122">DU2-DU192</f>
        <v>-2.4258966137476561</v>
      </c>
      <c r="DV193" s="7">
        <f t="shared" ref="DV193" si="123">DV2-DV192</f>
        <v>-1.6535469018780158</v>
      </c>
      <c r="DW193" s="7">
        <f t="shared" ref="DW193" si="124">DW2-DW192</f>
        <v>5.8236615932351423</v>
      </c>
      <c r="DZ193" s="7">
        <f t="shared" ref="DZ193:EE193" si="125">DZ2-DZ192</f>
        <v>-1.4041949773093816</v>
      </c>
      <c r="EA193" s="7">
        <f t="shared" si="125"/>
        <v>-2.2209178738470565</v>
      </c>
      <c r="EB193" s="7">
        <f t="shared" si="125"/>
        <v>-1.5047134771385162</v>
      </c>
      <c r="EC193" s="7">
        <f t="shared" si="125"/>
        <v>-2.5258966137476566</v>
      </c>
      <c r="ED193" s="7">
        <f t="shared" si="125"/>
        <v>-3.0535469018780153</v>
      </c>
      <c r="EE193" s="7">
        <f t="shared" si="125"/>
        <v>6.3246495262198721</v>
      </c>
    </row>
    <row r="194" spans="6:135" x14ac:dyDescent="0.35">
      <c r="F194" t="s">
        <v>474</v>
      </c>
      <c r="G194" t="s">
        <v>475</v>
      </c>
      <c r="H194">
        <v>27.7</v>
      </c>
      <c r="I194">
        <v>28</v>
      </c>
      <c r="J194">
        <v>28.2</v>
      </c>
      <c r="K194">
        <v>28.1</v>
      </c>
      <c r="L194">
        <v>27.3</v>
      </c>
      <c r="M194">
        <v>25.8</v>
      </c>
      <c r="N194">
        <v>25.1</v>
      </c>
      <c r="O194">
        <v>25</v>
      </c>
      <c r="P194">
        <v>25.6</v>
      </c>
      <c r="Q194">
        <v>26.6</v>
      </c>
      <c r="R194">
        <v>27.5</v>
      </c>
      <c r="S194">
        <v>27.6</v>
      </c>
      <c r="T194">
        <v>27.9</v>
      </c>
      <c r="U194">
        <v>25.3</v>
      </c>
      <c r="V194">
        <v>26.6</v>
      </c>
      <c r="W194">
        <v>26.8</v>
      </c>
      <c r="X194">
        <v>26.9</v>
      </c>
    </row>
    <row r="195" spans="6:135" x14ac:dyDescent="0.35">
      <c r="F195" t="s">
        <v>476</v>
      </c>
      <c r="H195">
        <v>-1.5</v>
      </c>
      <c r="I195">
        <v>-2.6</v>
      </c>
      <c r="J195">
        <v>-1.8</v>
      </c>
      <c r="K195">
        <v>0.2</v>
      </c>
      <c r="L195">
        <v>3.7</v>
      </c>
      <c r="M195">
        <v>7.1</v>
      </c>
      <c r="N195">
        <v>10</v>
      </c>
      <c r="O195">
        <v>10.7</v>
      </c>
      <c r="P195">
        <v>8.9</v>
      </c>
      <c r="Q195">
        <v>4.7</v>
      </c>
      <c r="R195">
        <v>1.3</v>
      </c>
      <c r="S195">
        <v>-0.8</v>
      </c>
      <c r="T195">
        <v>0.7</v>
      </c>
      <c r="U195">
        <v>9.3000000000000007</v>
      </c>
      <c r="V195">
        <v>5</v>
      </c>
      <c r="W195">
        <v>-1.6</v>
      </c>
      <c r="X195">
        <v>3.3</v>
      </c>
    </row>
    <row r="196" spans="6:135" x14ac:dyDescent="0.35">
      <c r="F196" t="s">
        <v>477</v>
      </c>
      <c r="G196" t="s">
        <v>475</v>
      </c>
      <c r="H196">
        <v>16.7</v>
      </c>
      <c r="I196">
        <v>17</v>
      </c>
      <c r="J196">
        <v>15.8</v>
      </c>
      <c r="K196">
        <v>14.5</v>
      </c>
      <c r="L196">
        <v>12.6</v>
      </c>
      <c r="M196">
        <v>11</v>
      </c>
      <c r="N196">
        <v>10.4</v>
      </c>
      <c r="O196">
        <v>10.3</v>
      </c>
      <c r="P196">
        <v>11</v>
      </c>
      <c r="Q196">
        <v>12</v>
      </c>
      <c r="R196">
        <v>13.4</v>
      </c>
      <c r="S196">
        <v>15.5</v>
      </c>
      <c r="T196">
        <v>14.3</v>
      </c>
      <c r="U196">
        <v>10.6</v>
      </c>
      <c r="V196">
        <v>12.2</v>
      </c>
      <c r="W196">
        <v>15.9</v>
      </c>
      <c r="X196">
        <v>13.4</v>
      </c>
    </row>
    <row r="197" spans="6:135" x14ac:dyDescent="0.35">
      <c r="F197" t="s">
        <v>478</v>
      </c>
      <c r="G197" t="s">
        <v>475</v>
      </c>
      <c r="H197">
        <v>25.7</v>
      </c>
      <c r="I197">
        <v>25.9</v>
      </c>
      <c r="J197">
        <v>26.8</v>
      </c>
      <c r="K197">
        <v>28.1</v>
      </c>
      <c r="L197">
        <v>27.7</v>
      </c>
      <c r="M197">
        <v>26.9</v>
      </c>
      <c r="N197">
        <v>26.6</v>
      </c>
      <c r="O197">
        <v>26.5</v>
      </c>
      <c r="P197">
        <v>26.4</v>
      </c>
      <c r="Q197">
        <v>26.7</v>
      </c>
      <c r="R197">
        <v>26.6</v>
      </c>
      <c r="S197">
        <v>26.1</v>
      </c>
      <c r="T197">
        <v>27.5</v>
      </c>
      <c r="U197">
        <v>26.7</v>
      </c>
      <c r="V197">
        <v>26.6</v>
      </c>
      <c r="W197">
        <v>25</v>
      </c>
      <c r="X197">
        <v>26.7</v>
      </c>
    </row>
    <row r="198" spans="6:135" x14ac:dyDescent="0.35">
      <c r="F198" t="s">
        <v>479</v>
      </c>
      <c r="H198">
        <v>24.7</v>
      </c>
      <c r="I198">
        <v>24.6</v>
      </c>
      <c r="J198">
        <v>25</v>
      </c>
      <c r="K198">
        <v>25.4</v>
      </c>
      <c r="L198">
        <v>26.1</v>
      </c>
      <c r="M198">
        <v>26.7</v>
      </c>
      <c r="N198">
        <v>27</v>
      </c>
      <c r="O198">
        <v>27.1</v>
      </c>
      <c r="P198">
        <v>27</v>
      </c>
      <c r="Q198">
        <v>26.7</v>
      </c>
      <c r="R198">
        <v>26.2</v>
      </c>
      <c r="S198">
        <v>25.2</v>
      </c>
      <c r="T198">
        <v>25.5</v>
      </c>
      <c r="U198">
        <v>26.9</v>
      </c>
      <c r="V198">
        <v>26.6</v>
      </c>
      <c r="W198">
        <v>24</v>
      </c>
      <c r="X198">
        <v>26</v>
      </c>
    </row>
    <row r="199" spans="6:135" x14ac:dyDescent="0.35">
      <c r="F199" t="s">
        <v>480</v>
      </c>
      <c r="G199" t="s">
        <v>475</v>
      </c>
      <c r="H199">
        <v>11.2</v>
      </c>
      <c r="I199">
        <v>10.7</v>
      </c>
      <c r="J199">
        <v>9.1999999999999993</v>
      </c>
      <c r="K199">
        <v>7.4</v>
      </c>
      <c r="L199">
        <v>5.6</v>
      </c>
      <c r="M199">
        <v>4.4000000000000004</v>
      </c>
      <c r="N199">
        <v>3.7</v>
      </c>
      <c r="O199">
        <v>3.6</v>
      </c>
      <c r="P199">
        <v>4.3</v>
      </c>
      <c r="Q199">
        <v>5.8</v>
      </c>
      <c r="R199">
        <v>7.9</v>
      </c>
      <c r="S199">
        <v>10.199999999999999</v>
      </c>
      <c r="T199">
        <v>7.4</v>
      </c>
      <c r="U199">
        <v>3.9</v>
      </c>
      <c r="V199">
        <v>6</v>
      </c>
      <c r="W199">
        <v>10.3</v>
      </c>
      <c r="X199">
        <v>7</v>
      </c>
    </row>
    <row r="200" spans="6:135" x14ac:dyDescent="0.35">
      <c r="F200" t="s">
        <v>481</v>
      </c>
      <c r="H200">
        <v>26</v>
      </c>
      <c r="I200">
        <v>26.9</v>
      </c>
      <c r="J200">
        <v>27.5</v>
      </c>
      <c r="K200">
        <v>27.5</v>
      </c>
      <c r="L200">
        <v>26.7</v>
      </c>
      <c r="M200">
        <v>25.5</v>
      </c>
      <c r="N200">
        <v>25</v>
      </c>
      <c r="O200">
        <v>24.2</v>
      </c>
      <c r="P200">
        <v>24.1</v>
      </c>
      <c r="Q200">
        <v>24.2</v>
      </c>
      <c r="R200">
        <v>24.6</v>
      </c>
      <c r="S200">
        <v>25.3</v>
      </c>
      <c r="T200">
        <v>27.2</v>
      </c>
      <c r="U200">
        <v>24.9</v>
      </c>
      <c r="V200">
        <v>24.3</v>
      </c>
      <c r="W200">
        <v>25.2</v>
      </c>
      <c r="X200">
        <v>25.6</v>
      </c>
    </row>
    <row r="201" spans="6:135" x14ac:dyDescent="0.35">
      <c r="F201" t="s">
        <v>482</v>
      </c>
      <c r="G201" t="s">
        <v>475</v>
      </c>
      <c r="H201">
        <v>10</v>
      </c>
      <c r="I201">
        <v>10.1</v>
      </c>
      <c r="J201">
        <v>9.5</v>
      </c>
      <c r="K201">
        <v>8</v>
      </c>
      <c r="L201">
        <v>6.2</v>
      </c>
      <c r="M201">
        <v>4.9000000000000004</v>
      </c>
      <c r="N201">
        <v>4.8</v>
      </c>
      <c r="O201">
        <v>5.2</v>
      </c>
      <c r="P201">
        <v>5.9</v>
      </c>
      <c r="Q201">
        <v>6.6</v>
      </c>
      <c r="R201">
        <v>7.5</v>
      </c>
      <c r="S201">
        <v>9</v>
      </c>
      <c r="T201">
        <v>7.9</v>
      </c>
      <c r="U201">
        <v>5</v>
      </c>
      <c r="V201">
        <v>6.7</v>
      </c>
      <c r="W201">
        <v>9.4</v>
      </c>
      <c r="X201">
        <v>7.3</v>
      </c>
    </row>
    <row r="202" spans="6:135" x14ac:dyDescent="0.35">
      <c r="F202" t="s">
        <v>483</v>
      </c>
      <c r="H202">
        <v>13.6</v>
      </c>
      <c r="I202">
        <v>13.2</v>
      </c>
      <c r="J202">
        <v>13.7</v>
      </c>
      <c r="K202">
        <v>14.4</v>
      </c>
      <c r="L202">
        <v>15.8</v>
      </c>
      <c r="M202">
        <v>17.8</v>
      </c>
      <c r="N202">
        <v>19.899999999999999</v>
      </c>
      <c r="O202">
        <v>21.1</v>
      </c>
      <c r="P202">
        <v>20.399999999999999</v>
      </c>
      <c r="Q202">
        <v>18.3</v>
      </c>
      <c r="R202">
        <v>16.2</v>
      </c>
      <c r="S202">
        <v>14.5</v>
      </c>
      <c r="T202">
        <v>14.7</v>
      </c>
      <c r="U202">
        <v>19.600000000000001</v>
      </c>
      <c r="V202">
        <v>18.3</v>
      </c>
      <c r="W202">
        <v>13.3</v>
      </c>
      <c r="X202">
        <v>16.600000000000001</v>
      </c>
    </row>
    <row r="203" spans="6:135" x14ac:dyDescent="0.35">
      <c r="F203" t="s">
        <v>484</v>
      </c>
      <c r="H203">
        <v>27.6</v>
      </c>
      <c r="I203">
        <v>27.8</v>
      </c>
      <c r="J203">
        <v>27.9</v>
      </c>
      <c r="K203">
        <v>27.6</v>
      </c>
      <c r="L203">
        <v>28.2</v>
      </c>
      <c r="M203">
        <v>27.9</v>
      </c>
      <c r="N203">
        <v>28</v>
      </c>
      <c r="O203">
        <v>27.9</v>
      </c>
      <c r="P203">
        <v>27.2</v>
      </c>
      <c r="Q203">
        <v>28.1</v>
      </c>
      <c r="R203">
        <v>28.1</v>
      </c>
      <c r="S203">
        <v>27.9</v>
      </c>
      <c r="T203">
        <v>27.9</v>
      </c>
      <c r="U203">
        <v>27.9</v>
      </c>
      <c r="V203">
        <v>27.8</v>
      </c>
      <c r="W203">
        <v>26.8</v>
      </c>
      <c r="X203">
        <v>27.8</v>
      </c>
    </row>
    <row r="204" spans="6:135" x14ac:dyDescent="0.35">
      <c r="F204" t="s">
        <v>485</v>
      </c>
      <c r="H204">
        <v>24.9</v>
      </c>
      <c r="I204">
        <v>24.8</v>
      </c>
      <c r="J204">
        <v>25.2</v>
      </c>
      <c r="K204">
        <v>25.5</v>
      </c>
      <c r="L204">
        <v>26</v>
      </c>
      <c r="M204">
        <v>26.5</v>
      </c>
      <c r="N204">
        <v>26.9</v>
      </c>
      <c r="O204">
        <v>27.1</v>
      </c>
      <c r="P204">
        <v>27</v>
      </c>
      <c r="Q204">
        <v>26.8</v>
      </c>
      <c r="R204">
        <v>26.4</v>
      </c>
      <c r="S204">
        <v>25.4</v>
      </c>
      <c r="T204">
        <v>25.6</v>
      </c>
      <c r="U204">
        <v>26.8</v>
      </c>
      <c r="V204">
        <v>26.7</v>
      </c>
      <c r="W204">
        <v>24.2</v>
      </c>
      <c r="X204">
        <v>26</v>
      </c>
    </row>
    <row r="205" spans="6:135" x14ac:dyDescent="0.35">
      <c r="F205" t="s">
        <v>486</v>
      </c>
      <c r="G205" t="s">
        <v>605</v>
      </c>
      <c r="H205">
        <v>27.3</v>
      </c>
      <c r="I205">
        <v>27.3</v>
      </c>
      <c r="J205">
        <v>26.9</v>
      </c>
      <c r="K205">
        <v>25.4</v>
      </c>
      <c r="L205">
        <v>23.2</v>
      </c>
      <c r="M205">
        <v>21.3</v>
      </c>
      <c r="N205">
        <v>20.9</v>
      </c>
      <c r="O205">
        <v>21.6</v>
      </c>
      <c r="P205">
        <v>22.8</v>
      </c>
      <c r="Q205">
        <v>24</v>
      </c>
      <c r="R205">
        <v>25.3</v>
      </c>
      <c r="S205">
        <v>26.6</v>
      </c>
      <c r="T205">
        <v>25.2</v>
      </c>
      <c r="U205">
        <v>21.3</v>
      </c>
      <c r="V205">
        <v>24</v>
      </c>
      <c r="W205">
        <v>26.1</v>
      </c>
      <c r="X205">
        <v>24.4</v>
      </c>
    </row>
    <row r="206" spans="6:135" x14ac:dyDescent="0.35">
      <c r="F206" t="s">
        <v>487</v>
      </c>
      <c r="H206">
        <v>24.9</v>
      </c>
      <c r="I206">
        <v>25.7</v>
      </c>
      <c r="J206">
        <v>25.7</v>
      </c>
      <c r="K206">
        <v>25.3</v>
      </c>
      <c r="L206">
        <v>24.9</v>
      </c>
      <c r="M206">
        <v>24.1</v>
      </c>
      <c r="N206">
        <v>23.2</v>
      </c>
      <c r="O206">
        <v>23.2</v>
      </c>
      <c r="P206">
        <v>23.7</v>
      </c>
      <c r="Q206">
        <v>24</v>
      </c>
      <c r="R206">
        <v>24.6</v>
      </c>
      <c r="S206">
        <v>24.6</v>
      </c>
      <c r="T206">
        <v>25.3</v>
      </c>
      <c r="U206">
        <v>23.5</v>
      </c>
      <c r="V206">
        <v>24.1</v>
      </c>
      <c r="W206">
        <v>24.2</v>
      </c>
      <c r="X206">
        <v>24.5</v>
      </c>
    </row>
    <row r="207" spans="6:135" x14ac:dyDescent="0.35">
      <c r="F207" t="s">
        <v>488</v>
      </c>
      <c r="G207" t="s">
        <v>475</v>
      </c>
      <c r="H207">
        <v>14.5</v>
      </c>
      <c r="I207">
        <v>14.3</v>
      </c>
      <c r="J207">
        <v>15.8</v>
      </c>
      <c r="K207">
        <v>18.899999999999999</v>
      </c>
      <c r="L207">
        <v>21.3</v>
      </c>
      <c r="M207">
        <v>24</v>
      </c>
      <c r="N207">
        <v>26.2</v>
      </c>
      <c r="O207">
        <v>26.9</v>
      </c>
      <c r="P207">
        <v>25.9</v>
      </c>
      <c r="Q207">
        <v>23.3</v>
      </c>
      <c r="R207">
        <v>20.2</v>
      </c>
      <c r="S207">
        <v>16.600000000000001</v>
      </c>
      <c r="T207">
        <v>18.600000000000001</v>
      </c>
      <c r="U207">
        <v>25.7</v>
      </c>
      <c r="V207">
        <v>23.1</v>
      </c>
      <c r="W207">
        <v>14.6</v>
      </c>
      <c r="X207">
        <v>20.6</v>
      </c>
    </row>
    <row r="208" spans="6:135" x14ac:dyDescent="0.35">
      <c r="F208" t="s">
        <v>492</v>
      </c>
      <c r="H208">
        <v>26</v>
      </c>
      <c r="I208">
        <v>26.7</v>
      </c>
      <c r="J208">
        <v>26.9</v>
      </c>
      <c r="K208">
        <v>26.9</v>
      </c>
      <c r="L208">
        <v>25.8</v>
      </c>
      <c r="M208">
        <v>22.9</v>
      </c>
      <c r="N208">
        <v>21.7</v>
      </c>
      <c r="O208">
        <v>21.9</v>
      </c>
      <c r="P208">
        <v>23.6</v>
      </c>
      <c r="Q208">
        <v>25.3</v>
      </c>
      <c r="R208">
        <v>25.7</v>
      </c>
      <c r="S208">
        <v>25.7</v>
      </c>
      <c r="T208">
        <v>26.5</v>
      </c>
      <c r="U208">
        <v>22.2</v>
      </c>
      <c r="V208">
        <v>24.9</v>
      </c>
      <c r="W208">
        <v>25.3</v>
      </c>
      <c r="X208">
        <v>24.9</v>
      </c>
    </row>
    <row r="209" spans="6:24" x14ac:dyDescent="0.35">
      <c r="F209" t="s">
        <v>493</v>
      </c>
      <c r="G209" t="s">
        <v>475</v>
      </c>
      <c r="H209">
        <v>8.5</v>
      </c>
      <c r="I209">
        <v>8.5</v>
      </c>
      <c r="J209">
        <v>7.9</v>
      </c>
      <c r="K209">
        <v>6.5</v>
      </c>
      <c r="L209">
        <v>5.2</v>
      </c>
      <c r="M209">
        <v>4.2</v>
      </c>
      <c r="N209">
        <v>3.9</v>
      </c>
      <c r="O209">
        <v>4.2</v>
      </c>
      <c r="P209">
        <v>4.5</v>
      </c>
      <c r="Q209">
        <v>5.0999999999999996</v>
      </c>
      <c r="R209">
        <v>6</v>
      </c>
      <c r="S209">
        <v>7.6</v>
      </c>
      <c r="T209">
        <v>6.5</v>
      </c>
      <c r="U209">
        <v>4.0999999999999996</v>
      </c>
      <c r="V209">
        <v>5.2</v>
      </c>
      <c r="W209">
        <v>7.9</v>
      </c>
      <c r="X209">
        <v>6</v>
      </c>
    </row>
    <row r="210" spans="6:24" x14ac:dyDescent="0.35">
      <c r="F210" t="s">
        <v>494</v>
      </c>
      <c r="G210" t="s">
        <v>475</v>
      </c>
      <c r="H210">
        <v>14.2</v>
      </c>
      <c r="I210">
        <v>14.6</v>
      </c>
      <c r="J210">
        <v>15.6</v>
      </c>
      <c r="K210">
        <v>15.9</v>
      </c>
      <c r="L210">
        <v>17.2</v>
      </c>
      <c r="M210">
        <v>19.100000000000001</v>
      </c>
      <c r="N210">
        <v>21.6</v>
      </c>
      <c r="O210">
        <v>22.4</v>
      </c>
      <c r="P210">
        <v>21.8</v>
      </c>
      <c r="Q210">
        <v>19.7</v>
      </c>
      <c r="R210">
        <v>17.399999999999999</v>
      </c>
      <c r="S210">
        <v>15</v>
      </c>
      <c r="T210">
        <v>16.2</v>
      </c>
      <c r="U210">
        <v>21</v>
      </c>
      <c r="V210">
        <v>19.600000000000001</v>
      </c>
      <c r="W210">
        <v>14.1</v>
      </c>
      <c r="X210">
        <v>17.899999999999999</v>
      </c>
    </row>
    <row r="211" spans="6:24" x14ac:dyDescent="0.35">
      <c r="F211" t="s">
        <v>497</v>
      </c>
      <c r="G211" t="s">
        <v>475</v>
      </c>
      <c r="H211">
        <v>27.3</v>
      </c>
      <c r="I211">
        <v>27.4</v>
      </c>
      <c r="J211">
        <v>27.5</v>
      </c>
      <c r="K211">
        <v>27.5</v>
      </c>
      <c r="L211">
        <v>27.6</v>
      </c>
      <c r="M211">
        <v>27.5</v>
      </c>
      <c r="N211">
        <v>27.3</v>
      </c>
      <c r="O211">
        <v>27.4</v>
      </c>
      <c r="P211">
        <v>27.3</v>
      </c>
      <c r="Q211">
        <v>27.4</v>
      </c>
      <c r="R211">
        <v>27.5</v>
      </c>
      <c r="S211">
        <v>27.4</v>
      </c>
      <c r="T211">
        <v>27.6</v>
      </c>
      <c r="U211">
        <v>27.4</v>
      </c>
      <c r="V211">
        <v>27.4</v>
      </c>
      <c r="W211">
        <v>26.5</v>
      </c>
      <c r="X211">
        <v>27.4</v>
      </c>
    </row>
    <row r="212" spans="6:24" x14ac:dyDescent="0.35">
      <c r="F212" t="s">
        <v>500</v>
      </c>
      <c r="G212" t="s">
        <v>501</v>
      </c>
      <c r="H212">
        <v>27.6</v>
      </c>
      <c r="I212">
        <v>28</v>
      </c>
      <c r="J212">
        <v>28.4</v>
      </c>
      <c r="K212">
        <v>28.6</v>
      </c>
      <c r="L212">
        <v>27.9</v>
      </c>
      <c r="M212">
        <v>26.9</v>
      </c>
      <c r="N212">
        <v>26.4</v>
      </c>
      <c r="O212">
        <v>26.4</v>
      </c>
      <c r="P212">
        <v>26.6</v>
      </c>
      <c r="Q212">
        <v>26.9</v>
      </c>
      <c r="R212">
        <v>27.4</v>
      </c>
      <c r="S212">
        <v>27.9</v>
      </c>
      <c r="T212">
        <v>28.3</v>
      </c>
      <c r="U212">
        <v>26.6</v>
      </c>
      <c r="V212">
        <v>27</v>
      </c>
      <c r="W212">
        <v>26.9</v>
      </c>
      <c r="X212">
        <v>27.4</v>
      </c>
    </row>
    <row r="213" spans="6:24" x14ac:dyDescent="0.35">
      <c r="F213" t="s">
        <v>504</v>
      </c>
      <c r="G213" t="s">
        <v>475</v>
      </c>
      <c r="H213">
        <v>7.5</v>
      </c>
      <c r="I213">
        <v>8.1999999999999993</v>
      </c>
      <c r="J213">
        <v>7.8</v>
      </c>
      <c r="K213">
        <v>6.6</v>
      </c>
      <c r="L213">
        <v>5</v>
      </c>
      <c r="M213">
        <v>3.1</v>
      </c>
      <c r="N213">
        <v>3.6</v>
      </c>
      <c r="O213">
        <v>3.2</v>
      </c>
      <c r="P213">
        <v>3.1</v>
      </c>
      <c r="Q213">
        <v>4</v>
      </c>
      <c r="R213">
        <v>4.8</v>
      </c>
      <c r="S213">
        <v>6.5</v>
      </c>
      <c r="T213">
        <v>6.4</v>
      </c>
      <c r="U213">
        <v>3.3</v>
      </c>
      <c r="V213">
        <v>4</v>
      </c>
      <c r="W213">
        <v>7.1</v>
      </c>
      <c r="X213">
        <v>5.3</v>
      </c>
    </row>
    <row r="214" spans="6:24" x14ac:dyDescent="0.35">
      <c r="F214" t="s">
        <v>508</v>
      </c>
      <c r="G214" t="s">
        <v>475</v>
      </c>
      <c r="H214">
        <v>23</v>
      </c>
      <c r="I214">
        <v>23.6</v>
      </c>
      <c r="J214">
        <v>23.3</v>
      </c>
      <c r="K214">
        <v>22</v>
      </c>
      <c r="L214">
        <v>20.6</v>
      </c>
      <c r="M214">
        <v>19.3</v>
      </c>
      <c r="N214">
        <v>18.7</v>
      </c>
      <c r="O214">
        <v>18.2</v>
      </c>
      <c r="P214">
        <v>18.7</v>
      </c>
      <c r="Q214">
        <v>19.5</v>
      </c>
      <c r="R214">
        <v>20.5</v>
      </c>
      <c r="S214">
        <v>21.9</v>
      </c>
      <c r="T214">
        <v>22</v>
      </c>
      <c r="U214">
        <v>18.8</v>
      </c>
      <c r="V214">
        <v>19.600000000000001</v>
      </c>
      <c r="W214">
        <v>22.1</v>
      </c>
      <c r="X214">
        <v>20.8</v>
      </c>
    </row>
    <row r="215" spans="6:24" x14ac:dyDescent="0.35">
      <c r="F215" t="s">
        <v>509</v>
      </c>
      <c r="G215" t="s">
        <v>475</v>
      </c>
      <c r="H215">
        <v>22.6</v>
      </c>
      <c r="I215">
        <v>23</v>
      </c>
      <c r="J215">
        <v>22.6</v>
      </c>
      <c r="K215">
        <v>21.3</v>
      </c>
      <c r="L215">
        <v>19.899999999999999</v>
      </c>
      <c r="M215">
        <v>18.5</v>
      </c>
      <c r="N215">
        <v>17.8</v>
      </c>
      <c r="O215">
        <v>17.3</v>
      </c>
      <c r="P215">
        <v>17.8</v>
      </c>
      <c r="Q215">
        <v>18.5</v>
      </c>
      <c r="R215">
        <v>19.7</v>
      </c>
      <c r="S215">
        <v>21.2</v>
      </c>
      <c r="T215">
        <v>21.3</v>
      </c>
      <c r="U215">
        <v>17.899999999999999</v>
      </c>
      <c r="V215">
        <v>18.7</v>
      </c>
      <c r="W215">
        <v>21.5</v>
      </c>
      <c r="X215">
        <v>20</v>
      </c>
    </row>
    <row r="216" spans="6:24" x14ac:dyDescent="0.35">
      <c r="F216" t="s">
        <v>513</v>
      </c>
      <c r="G216" t="s">
        <v>514</v>
      </c>
      <c r="H216">
        <v>26.9</v>
      </c>
      <c r="I216">
        <v>27</v>
      </c>
      <c r="J216">
        <v>26.6</v>
      </c>
      <c r="K216">
        <v>26.7</v>
      </c>
      <c r="L216">
        <v>26.4</v>
      </c>
      <c r="M216">
        <v>25.9</v>
      </c>
      <c r="N216">
        <v>25.2</v>
      </c>
      <c r="O216">
        <v>25.4</v>
      </c>
      <c r="P216">
        <v>25.7</v>
      </c>
      <c r="Q216">
        <v>26.1</v>
      </c>
      <c r="R216">
        <v>26.5</v>
      </c>
      <c r="S216">
        <v>26.6</v>
      </c>
      <c r="T216">
        <v>26.5</v>
      </c>
      <c r="U216">
        <v>25.5</v>
      </c>
      <c r="V216">
        <v>26.1</v>
      </c>
      <c r="W216">
        <v>26</v>
      </c>
      <c r="X216">
        <v>26.2</v>
      </c>
    </row>
    <row r="217" spans="6:24" x14ac:dyDescent="0.35">
      <c r="F217" t="s">
        <v>515</v>
      </c>
      <c r="G217" t="s">
        <v>516</v>
      </c>
      <c r="H217">
        <v>-27.3</v>
      </c>
      <c r="I217">
        <v>-27.1</v>
      </c>
      <c r="J217">
        <v>-25</v>
      </c>
      <c r="K217">
        <v>-20.399999999999999</v>
      </c>
      <c r="L217">
        <v>-11</v>
      </c>
      <c r="M217">
        <v>-1.8</v>
      </c>
      <c r="N217">
        <v>2.9</v>
      </c>
      <c r="O217">
        <v>1.3</v>
      </c>
      <c r="P217">
        <v>-2.8</v>
      </c>
      <c r="Q217">
        <v>-11.8</v>
      </c>
      <c r="R217">
        <v>-19.899999999999999</v>
      </c>
      <c r="S217">
        <v>-23.7</v>
      </c>
      <c r="T217">
        <v>-18.8</v>
      </c>
      <c r="U217">
        <v>0.8</v>
      </c>
      <c r="V217">
        <v>-11.5</v>
      </c>
      <c r="W217">
        <v>-25.1</v>
      </c>
      <c r="X217">
        <v>-13.9</v>
      </c>
    </row>
    <row r="218" spans="6:24" x14ac:dyDescent="0.35">
      <c r="F218" t="s">
        <v>517</v>
      </c>
      <c r="G218" t="s">
        <v>475</v>
      </c>
      <c r="H218">
        <v>23.9</v>
      </c>
      <c r="I218">
        <v>24.8</v>
      </c>
      <c r="J218">
        <v>24.9</v>
      </c>
      <c r="K218">
        <v>24.6</v>
      </c>
      <c r="L218">
        <v>23.5</v>
      </c>
      <c r="M218">
        <v>22.3</v>
      </c>
      <c r="N218">
        <v>21.2</v>
      </c>
      <c r="O218">
        <v>20.399999999999999</v>
      </c>
      <c r="P218">
        <v>20.3</v>
      </c>
      <c r="Q218">
        <v>20.7</v>
      </c>
      <c r="R218">
        <v>21.5</v>
      </c>
      <c r="S218">
        <v>22.6</v>
      </c>
      <c r="T218">
        <v>24.3</v>
      </c>
      <c r="U218">
        <v>21.3</v>
      </c>
      <c r="V218">
        <v>20.8</v>
      </c>
      <c r="W218">
        <v>23</v>
      </c>
      <c r="X218">
        <v>22.5</v>
      </c>
    </row>
    <row r="219" spans="6:24" x14ac:dyDescent="0.35">
      <c r="F219" t="s">
        <v>518</v>
      </c>
      <c r="G219" t="s">
        <v>475</v>
      </c>
      <c r="H219">
        <v>14</v>
      </c>
      <c r="I219">
        <v>14.6</v>
      </c>
      <c r="J219">
        <v>14.1</v>
      </c>
      <c r="K219">
        <v>12.7</v>
      </c>
      <c r="L219">
        <v>11.2</v>
      </c>
      <c r="M219">
        <v>9.9</v>
      </c>
      <c r="N219">
        <v>8.9</v>
      </c>
      <c r="O219">
        <v>8.6999999999999993</v>
      </c>
      <c r="P219">
        <v>9</v>
      </c>
      <c r="Q219">
        <v>10.3</v>
      </c>
      <c r="R219">
        <v>12</v>
      </c>
      <c r="S219">
        <v>13.2</v>
      </c>
      <c r="T219">
        <v>12.7</v>
      </c>
      <c r="U219">
        <v>9.1999999999999993</v>
      </c>
      <c r="V219">
        <v>10.4</v>
      </c>
      <c r="W219">
        <v>13.5</v>
      </c>
      <c r="X219">
        <v>11.6</v>
      </c>
    </row>
    <row r="220" spans="6:24" x14ac:dyDescent="0.35">
      <c r="F220" t="s">
        <v>519</v>
      </c>
      <c r="H220">
        <v>15.1</v>
      </c>
      <c r="I220">
        <v>15.2</v>
      </c>
      <c r="J220">
        <v>15.1</v>
      </c>
      <c r="K220">
        <v>15.4</v>
      </c>
      <c r="L220">
        <v>15.7</v>
      </c>
      <c r="M220">
        <v>16.2</v>
      </c>
      <c r="N220">
        <v>18.100000000000001</v>
      </c>
      <c r="O220">
        <v>19.3</v>
      </c>
      <c r="P220">
        <v>19.8</v>
      </c>
      <c r="Q220">
        <v>19.100000000000001</v>
      </c>
      <c r="R220">
        <v>17.600000000000001</v>
      </c>
      <c r="S220">
        <v>15.9</v>
      </c>
      <c r="T220">
        <v>15.4</v>
      </c>
      <c r="U220">
        <v>17.899999999999999</v>
      </c>
      <c r="V220">
        <v>18.8</v>
      </c>
      <c r="W220">
        <v>14.9</v>
      </c>
      <c r="X220">
        <v>16.899999999999999</v>
      </c>
    </row>
    <row r="221" spans="6:24" x14ac:dyDescent="0.35">
      <c r="F221" t="s">
        <v>520</v>
      </c>
      <c r="H221">
        <v>20.399999999999999</v>
      </c>
      <c r="I221">
        <v>20.2</v>
      </c>
      <c r="J221">
        <v>20.6</v>
      </c>
      <c r="K221">
        <v>21.2</v>
      </c>
      <c r="L221">
        <v>22.1</v>
      </c>
      <c r="M221">
        <v>23.1</v>
      </c>
      <c r="N221">
        <v>23.6</v>
      </c>
      <c r="O221">
        <v>24</v>
      </c>
      <c r="P221">
        <v>23.8</v>
      </c>
      <c r="Q221">
        <v>23.2</v>
      </c>
      <c r="R221">
        <v>22.2</v>
      </c>
      <c r="S221">
        <v>21</v>
      </c>
      <c r="T221">
        <v>21.3</v>
      </c>
      <c r="U221">
        <v>23.6</v>
      </c>
      <c r="V221">
        <v>23.1</v>
      </c>
      <c r="W221">
        <v>19.8</v>
      </c>
      <c r="X221">
        <v>22.1</v>
      </c>
    </row>
    <row r="222" spans="6:24" x14ac:dyDescent="0.35">
      <c r="F222" t="s">
        <v>521</v>
      </c>
      <c r="G222" t="s">
        <v>475</v>
      </c>
      <c r="H222">
        <v>25.1</v>
      </c>
      <c r="I222">
        <v>25.5</v>
      </c>
      <c r="J222">
        <v>25.4</v>
      </c>
      <c r="K222">
        <v>24.4</v>
      </c>
      <c r="L222">
        <v>22.9</v>
      </c>
      <c r="M222">
        <v>21.7</v>
      </c>
      <c r="N222">
        <v>21.1</v>
      </c>
      <c r="O222">
        <v>20.7</v>
      </c>
      <c r="P222">
        <v>21.2</v>
      </c>
      <c r="Q222">
        <v>21.8</v>
      </c>
      <c r="R222">
        <v>22.9</v>
      </c>
      <c r="S222">
        <v>24</v>
      </c>
      <c r="T222">
        <v>24.2</v>
      </c>
      <c r="U222">
        <v>21.2</v>
      </c>
      <c r="V222">
        <v>22</v>
      </c>
      <c r="W222">
        <v>24</v>
      </c>
      <c r="X222">
        <v>23.1</v>
      </c>
    </row>
    <row r="223" spans="6:24" x14ac:dyDescent="0.35">
      <c r="F223" t="s">
        <v>475</v>
      </c>
      <c r="G223" t="s">
        <v>525</v>
      </c>
      <c r="H223">
        <v>27.6</v>
      </c>
      <c r="I223">
        <v>27.6</v>
      </c>
      <c r="J223">
        <v>28.2</v>
      </c>
      <c r="K223">
        <v>28.1</v>
      </c>
      <c r="L223">
        <v>27.6</v>
      </c>
      <c r="M223">
        <v>25.8</v>
      </c>
      <c r="N223">
        <v>25.4</v>
      </c>
      <c r="O223">
        <v>25.5</v>
      </c>
      <c r="P223">
        <v>26.3</v>
      </c>
      <c r="Q223">
        <v>27.6</v>
      </c>
      <c r="R223">
        <v>28</v>
      </c>
      <c r="S223">
        <v>27.8</v>
      </c>
      <c r="T223">
        <v>28</v>
      </c>
      <c r="U223">
        <v>25.5</v>
      </c>
      <c r="V223">
        <v>27.3</v>
      </c>
      <c r="W223">
        <v>26.7</v>
      </c>
      <c r="X223">
        <v>27.1</v>
      </c>
    </row>
    <row r="224" spans="6:24" x14ac:dyDescent="0.35">
      <c r="F224" t="s">
        <v>475</v>
      </c>
      <c r="G224" t="s">
        <v>526</v>
      </c>
      <c r="H224">
        <v>26.7</v>
      </c>
      <c r="I224">
        <v>26.3</v>
      </c>
      <c r="J224">
        <v>26.9</v>
      </c>
      <c r="K224">
        <v>25.7</v>
      </c>
      <c r="L224">
        <v>24.6</v>
      </c>
      <c r="M224">
        <v>23.2</v>
      </c>
      <c r="N224">
        <v>22.5</v>
      </c>
      <c r="O224">
        <v>22.1</v>
      </c>
      <c r="P224">
        <v>22.5</v>
      </c>
      <c r="Q224">
        <v>23.7</v>
      </c>
      <c r="R224">
        <v>24.5</v>
      </c>
      <c r="S224">
        <v>25.6</v>
      </c>
      <c r="T224">
        <v>25.7</v>
      </c>
      <c r="U224">
        <v>22.6</v>
      </c>
      <c r="V224">
        <v>23.6</v>
      </c>
      <c r="W224">
        <v>25.3</v>
      </c>
      <c r="X224">
        <v>24.5</v>
      </c>
    </row>
    <row r="225" spans="6:24" x14ac:dyDescent="0.35">
      <c r="F225" t="s">
        <v>475</v>
      </c>
      <c r="G225" t="s">
        <v>527</v>
      </c>
      <c r="H225">
        <v>27.2</v>
      </c>
      <c r="I225">
        <v>27.5</v>
      </c>
      <c r="J225">
        <v>27.3</v>
      </c>
      <c r="K225">
        <v>27.1</v>
      </c>
      <c r="L225">
        <v>26.8</v>
      </c>
      <c r="M225">
        <v>26.4</v>
      </c>
      <c r="N225">
        <v>25.7</v>
      </c>
      <c r="O225">
        <v>25.4</v>
      </c>
      <c r="P225">
        <v>25.9</v>
      </c>
      <c r="Q225">
        <v>26.3</v>
      </c>
      <c r="R225">
        <v>26.7</v>
      </c>
      <c r="S225">
        <v>27.3</v>
      </c>
      <c r="T225">
        <v>27.1</v>
      </c>
      <c r="U225">
        <v>25.8</v>
      </c>
      <c r="V225">
        <v>26.3</v>
      </c>
      <c r="W225">
        <v>26.4</v>
      </c>
      <c r="X225">
        <v>26.6</v>
      </c>
    </row>
    <row r="226" spans="6:24" x14ac:dyDescent="0.35">
      <c r="F226" t="s">
        <v>475</v>
      </c>
      <c r="G226" t="s">
        <v>528</v>
      </c>
      <c r="H226">
        <v>26.2</v>
      </c>
      <c r="I226">
        <v>26.5</v>
      </c>
      <c r="J226">
        <v>27.3</v>
      </c>
      <c r="K226">
        <v>27.7</v>
      </c>
      <c r="L226">
        <v>27.7</v>
      </c>
      <c r="M226">
        <v>27.2</v>
      </c>
      <c r="N226">
        <v>27.4</v>
      </c>
      <c r="O226">
        <v>27.2</v>
      </c>
      <c r="P226">
        <v>27.1</v>
      </c>
      <c r="Q226">
        <v>26.8</v>
      </c>
      <c r="R226">
        <v>26.5</v>
      </c>
      <c r="S226">
        <v>26.2</v>
      </c>
      <c r="T226">
        <v>27.5</v>
      </c>
      <c r="U226">
        <v>27.3</v>
      </c>
      <c r="V226">
        <v>26.8</v>
      </c>
      <c r="W226">
        <v>25.4</v>
      </c>
      <c r="X226">
        <v>27</v>
      </c>
    </row>
    <row r="227" spans="6:24" x14ac:dyDescent="0.35">
      <c r="F227" t="s">
        <v>475</v>
      </c>
      <c r="G227" t="s">
        <v>529</v>
      </c>
      <c r="H227">
        <v>24.9</v>
      </c>
      <c r="I227">
        <v>25.4</v>
      </c>
      <c r="J227">
        <v>26.6</v>
      </c>
      <c r="K227">
        <v>27.7</v>
      </c>
      <c r="L227">
        <v>28.6</v>
      </c>
      <c r="M227">
        <v>28.4</v>
      </c>
      <c r="N227">
        <v>27.8</v>
      </c>
      <c r="O227">
        <v>28</v>
      </c>
      <c r="P227">
        <v>28.2</v>
      </c>
      <c r="Q227">
        <v>27.3</v>
      </c>
      <c r="R227">
        <v>26</v>
      </c>
      <c r="S227">
        <v>25.4</v>
      </c>
      <c r="T227">
        <v>27.6</v>
      </c>
      <c r="U227">
        <v>28.1</v>
      </c>
      <c r="V227">
        <v>27.1</v>
      </c>
      <c r="W227">
        <v>24.4</v>
      </c>
      <c r="X227">
        <v>27</v>
      </c>
    </row>
    <row r="228" spans="6:24" x14ac:dyDescent="0.35">
      <c r="F228" t="s">
        <v>532</v>
      </c>
      <c r="G228" t="s">
        <v>533</v>
      </c>
      <c r="H228">
        <v>-6.4</v>
      </c>
      <c r="I228">
        <v>-6.8</v>
      </c>
      <c r="J228">
        <v>-6.8</v>
      </c>
      <c r="K228">
        <v>-4.5</v>
      </c>
      <c r="L228">
        <v>-1.1000000000000001</v>
      </c>
      <c r="M228">
        <v>1.7</v>
      </c>
      <c r="N228">
        <v>3.8</v>
      </c>
      <c r="O228">
        <v>4.5</v>
      </c>
      <c r="P228">
        <v>2.2999999999999998</v>
      </c>
      <c r="Q228">
        <v>-0.6</v>
      </c>
      <c r="R228">
        <v>-4</v>
      </c>
      <c r="S228">
        <v>-5.8</v>
      </c>
      <c r="T228">
        <v>-4.0999999999999996</v>
      </c>
      <c r="U228">
        <v>3.3</v>
      </c>
      <c r="V228">
        <v>-0.8</v>
      </c>
      <c r="W228">
        <v>-6.2</v>
      </c>
      <c r="X228">
        <v>-2</v>
      </c>
    </row>
    <row r="229" spans="6:24" x14ac:dyDescent="0.35">
      <c r="F229" t="s">
        <v>534</v>
      </c>
      <c r="G229" t="s">
        <v>535</v>
      </c>
      <c r="H229">
        <v>18</v>
      </c>
      <c r="I229">
        <v>18.2</v>
      </c>
      <c r="J229">
        <v>17.600000000000001</v>
      </c>
      <c r="K229">
        <v>16.3</v>
      </c>
      <c r="L229">
        <v>15</v>
      </c>
      <c r="M229">
        <v>13.4</v>
      </c>
      <c r="N229">
        <v>12.5</v>
      </c>
      <c r="O229">
        <v>12.1</v>
      </c>
      <c r="P229">
        <v>12.1</v>
      </c>
      <c r="Q229">
        <v>13.1</v>
      </c>
      <c r="R229">
        <v>14.5</v>
      </c>
      <c r="S229">
        <v>16.5</v>
      </c>
      <c r="T229">
        <v>16.3</v>
      </c>
      <c r="U229">
        <v>12.7</v>
      </c>
      <c r="V229">
        <v>13.2</v>
      </c>
      <c r="W229">
        <v>17</v>
      </c>
      <c r="X229">
        <v>14.9</v>
      </c>
    </row>
    <row r="230" spans="6:24" x14ac:dyDescent="0.35">
      <c r="F230" t="s">
        <v>536</v>
      </c>
      <c r="G230" t="s">
        <v>537</v>
      </c>
      <c r="H230">
        <v>-27.5</v>
      </c>
      <c r="I230">
        <v>-27.3</v>
      </c>
      <c r="J230">
        <v>-26.1</v>
      </c>
      <c r="K230">
        <v>-20</v>
      </c>
      <c r="L230">
        <v>-10.3</v>
      </c>
      <c r="M230">
        <v>-1.3</v>
      </c>
      <c r="N230">
        <v>1.8</v>
      </c>
      <c r="O230">
        <v>1.3</v>
      </c>
      <c r="P230">
        <v>-1.9</v>
      </c>
      <c r="Q230">
        <v>-11.1</v>
      </c>
      <c r="R230">
        <v>-20.6</v>
      </c>
      <c r="S230">
        <v>-23.9</v>
      </c>
      <c r="T230">
        <v>-18.8</v>
      </c>
      <c r="U230">
        <v>0.6</v>
      </c>
      <c r="V230">
        <v>-11.2</v>
      </c>
      <c r="W230">
        <v>-25.3</v>
      </c>
      <c r="X230">
        <v>-13.9</v>
      </c>
    </row>
    <row r="231" spans="6:24" x14ac:dyDescent="0.35">
      <c r="F231" t="s">
        <v>538</v>
      </c>
      <c r="G231" t="s">
        <v>475</v>
      </c>
      <c r="H231">
        <v>6.6</v>
      </c>
      <c r="I231">
        <v>6.7</v>
      </c>
      <c r="J231">
        <v>5.8</v>
      </c>
      <c r="K231">
        <v>4.3</v>
      </c>
      <c r="L231">
        <v>2.4</v>
      </c>
      <c r="M231">
        <v>1</v>
      </c>
      <c r="N231">
        <v>0.7</v>
      </c>
      <c r="O231">
        <v>0.7</v>
      </c>
      <c r="P231">
        <v>1.1000000000000001</v>
      </c>
      <c r="Q231">
        <v>2.2000000000000002</v>
      </c>
      <c r="R231">
        <v>3.9</v>
      </c>
      <c r="S231">
        <v>5.6</v>
      </c>
      <c r="T231">
        <v>4.2</v>
      </c>
      <c r="U231">
        <v>0.8</v>
      </c>
      <c r="V231">
        <v>2.4</v>
      </c>
      <c r="W231">
        <v>6.1</v>
      </c>
      <c r="X231">
        <v>3.4</v>
      </c>
    </row>
    <row r="232" spans="6:24" x14ac:dyDescent="0.35">
      <c r="F232" t="s">
        <v>539</v>
      </c>
      <c r="G232" t="s">
        <v>475</v>
      </c>
      <c r="H232">
        <v>-5</v>
      </c>
      <c r="I232">
        <v>-5.0999999999999996</v>
      </c>
      <c r="J232">
        <v>-4.3</v>
      </c>
      <c r="K232">
        <v>-1.7</v>
      </c>
      <c r="L232">
        <v>2</v>
      </c>
      <c r="M232">
        <v>5.9</v>
      </c>
      <c r="N232">
        <v>9.5</v>
      </c>
      <c r="O232">
        <v>11.1</v>
      </c>
      <c r="P232">
        <v>9</v>
      </c>
      <c r="Q232">
        <v>4.3</v>
      </c>
      <c r="R232">
        <v>-0.9</v>
      </c>
      <c r="S232">
        <v>-3.7</v>
      </c>
      <c r="T232">
        <v>-1.3</v>
      </c>
      <c r="U232">
        <v>8.8000000000000007</v>
      </c>
      <c r="V232">
        <v>4.0999999999999996</v>
      </c>
      <c r="W232">
        <v>-4.5</v>
      </c>
      <c r="X232">
        <v>1.8</v>
      </c>
    </row>
    <row r="233" spans="6:24" x14ac:dyDescent="0.35">
      <c r="F233" t="s">
        <v>540</v>
      </c>
      <c r="G233" t="s">
        <v>475</v>
      </c>
      <c r="H233">
        <v>-6.4</v>
      </c>
      <c r="I233">
        <v>-7.3</v>
      </c>
      <c r="J233">
        <v>-4.4000000000000004</v>
      </c>
      <c r="K233">
        <v>0.6</v>
      </c>
      <c r="L233">
        <v>4.3</v>
      </c>
      <c r="M233">
        <v>6.9</v>
      </c>
      <c r="N233">
        <v>10.5</v>
      </c>
      <c r="O233">
        <v>13.1</v>
      </c>
      <c r="P233">
        <v>11.4</v>
      </c>
      <c r="Q233">
        <v>7.3</v>
      </c>
      <c r="R233">
        <v>1.7</v>
      </c>
      <c r="S233">
        <v>-2.9</v>
      </c>
      <c r="T233">
        <v>0.2</v>
      </c>
      <c r="U233">
        <v>10.1</v>
      </c>
      <c r="V233">
        <v>6.8</v>
      </c>
      <c r="W233">
        <v>-5.3</v>
      </c>
      <c r="X233">
        <v>2.9</v>
      </c>
    </row>
    <row r="234" spans="6:24" x14ac:dyDescent="0.35">
      <c r="F234" t="s">
        <v>541</v>
      </c>
      <c r="G234" t="s">
        <v>542</v>
      </c>
      <c r="H234">
        <v>25.2</v>
      </c>
      <c r="I234">
        <v>25.5</v>
      </c>
      <c r="J234">
        <v>26.3</v>
      </c>
      <c r="K234">
        <v>27</v>
      </c>
      <c r="L234">
        <v>27.7</v>
      </c>
      <c r="M234">
        <v>27.5</v>
      </c>
      <c r="N234">
        <v>27.3</v>
      </c>
      <c r="O234">
        <v>27.5</v>
      </c>
      <c r="P234">
        <v>27.7</v>
      </c>
      <c r="Q234">
        <v>27.5</v>
      </c>
      <c r="R234">
        <v>26.8</v>
      </c>
      <c r="S234">
        <v>25.9</v>
      </c>
      <c r="T234">
        <v>27</v>
      </c>
      <c r="U234">
        <v>27.4</v>
      </c>
      <c r="V234">
        <v>27.4</v>
      </c>
      <c r="W234">
        <v>24.7</v>
      </c>
      <c r="X234">
        <v>26.8</v>
      </c>
    </row>
    <row r="235" spans="6:24" x14ac:dyDescent="0.35">
      <c r="F235" t="s">
        <v>543</v>
      </c>
      <c r="G235" t="s">
        <v>475</v>
      </c>
      <c r="H235">
        <v>26.2</v>
      </c>
      <c r="I235">
        <v>26.8</v>
      </c>
      <c r="J235">
        <v>28.1</v>
      </c>
      <c r="K235">
        <v>29</v>
      </c>
      <c r="L235">
        <v>28.7</v>
      </c>
      <c r="M235">
        <v>26.9</v>
      </c>
      <c r="N235">
        <v>26.1</v>
      </c>
      <c r="O235">
        <v>26.2</v>
      </c>
      <c r="P235">
        <v>26.7</v>
      </c>
      <c r="Q235">
        <v>27.2</v>
      </c>
      <c r="R235">
        <v>27.1</v>
      </c>
      <c r="S235">
        <v>26.8</v>
      </c>
      <c r="T235">
        <v>28.6</v>
      </c>
      <c r="U235">
        <v>26.4</v>
      </c>
      <c r="V235">
        <v>27</v>
      </c>
      <c r="W235">
        <v>25.7</v>
      </c>
      <c r="X235">
        <v>27.2</v>
      </c>
    </row>
    <row r="236" spans="6:24" x14ac:dyDescent="0.35">
      <c r="F236" t="s">
        <v>544</v>
      </c>
      <c r="G236" t="s">
        <v>473</v>
      </c>
      <c r="H236">
        <v>26.8</v>
      </c>
      <c r="I236">
        <v>27.5</v>
      </c>
      <c r="J236">
        <v>26.8</v>
      </c>
      <c r="K236">
        <v>25.9</v>
      </c>
      <c r="L236">
        <v>25</v>
      </c>
      <c r="M236">
        <v>24.2</v>
      </c>
      <c r="N236">
        <v>23.5</v>
      </c>
      <c r="O236">
        <v>22.9</v>
      </c>
      <c r="P236">
        <v>23.6</v>
      </c>
      <c r="Q236">
        <v>24.2</v>
      </c>
      <c r="R236">
        <v>25.3</v>
      </c>
      <c r="S236">
        <v>26.1</v>
      </c>
      <c r="T236">
        <v>25.9</v>
      </c>
      <c r="U236">
        <v>23.5</v>
      </c>
      <c r="V236">
        <v>24.4</v>
      </c>
      <c r="W236">
        <v>25.9</v>
      </c>
      <c r="X236">
        <v>25.2</v>
      </c>
    </row>
    <row r="237" spans="6:24" x14ac:dyDescent="0.35">
      <c r="F237" t="s">
        <v>545</v>
      </c>
      <c r="G237" t="s">
        <v>475</v>
      </c>
      <c r="H237">
        <v>27.1</v>
      </c>
      <c r="I237">
        <v>27.1</v>
      </c>
      <c r="J237">
        <v>27.3</v>
      </c>
      <c r="K237">
        <v>27.5</v>
      </c>
      <c r="L237">
        <v>27.6</v>
      </c>
      <c r="M237">
        <v>27.3</v>
      </c>
      <c r="N237">
        <v>27.2</v>
      </c>
      <c r="O237">
        <v>27.3</v>
      </c>
      <c r="P237">
        <v>27.2</v>
      </c>
      <c r="Q237">
        <v>27.3</v>
      </c>
      <c r="R237">
        <v>27.3</v>
      </c>
      <c r="S237">
        <v>27.3</v>
      </c>
      <c r="T237">
        <v>27.5</v>
      </c>
      <c r="U237">
        <v>27.3</v>
      </c>
      <c r="V237">
        <v>27.3</v>
      </c>
      <c r="W237">
        <v>26.2</v>
      </c>
      <c r="X237">
        <v>27.3</v>
      </c>
    </row>
    <row r="238" spans="6:24" x14ac:dyDescent="0.35">
      <c r="F238" t="s">
        <v>546</v>
      </c>
      <c r="G238" t="s">
        <v>547</v>
      </c>
      <c r="H238">
        <v>22.3</v>
      </c>
      <c r="I238">
        <v>22.5</v>
      </c>
      <c r="J238">
        <v>21.9</v>
      </c>
      <c r="K238">
        <v>20.2</v>
      </c>
      <c r="L238">
        <v>18.3</v>
      </c>
      <c r="M238">
        <v>16.7</v>
      </c>
      <c r="N238">
        <v>15.6</v>
      </c>
      <c r="O238">
        <v>15.8</v>
      </c>
      <c r="P238">
        <v>16.5</v>
      </c>
      <c r="Q238">
        <v>17.8</v>
      </c>
      <c r="R238">
        <v>19.100000000000001</v>
      </c>
      <c r="S238">
        <v>20.8</v>
      </c>
      <c r="T238">
        <v>20.100000000000001</v>
      </c>
      <c r="U238">
        <v>16</v>
      </c>
      <c r="V238">
        <v>17.8</v>
      </c>
      <c r="W238">
        <v>21.1</v>
      </c>
      <c r="X238">
        <v>18.899999999999999</v>
      </c>
    </row>
    <row r="239" spans="6:24" x14ac:dyDescent="0.35">
      <c r="F239" t="s">
        <v>548</v>
      </c>
      <c r="G239" t="s">
        <v>475</v>
      </c>
      <c r="H239">
        <v>7</v>
      </c>
      <c r="I239">
        <v>7</v>
      </c>
      <c r="J239">
        <v>6.4</v>
      </c>
      <c r="K239">
        <v>5.0999999999999996</v>
      </c>
      <c r="L239">
        <v>3.8</v>
      </c>
      <c r="M239">
        <v>3.1</v>
      </c>
      <c r="N239">
        <v>3</v>
      </c>
      <c r="O239">
        <v>3.1</v>
      </c>
      <c r="P239">
        <v>3.2</v>
      </c>
      <c r="Q239">
        <v>3.6</v>
      </c>
      <c r="R239">
        <v>4.5</v>
      </c>
      <c r="S239">
        <v>6</v>
      </c>
      <c r="T239">
        <v>5.0999999999999996</v>
      </c>
      <c r="U239">
        <v>3.1</v>
      </c>
      <c r="V239">
        <v>3.8</v>
      </c>
      <c r="W239">
        <v>6.5</v>
      </c>
      <c r="X239">
        <v>4.7</v>
      </c>
    </row>
    <row r="240" spans="6:24" x14ac:dyDescent="0.35">
      <c r="F240" t="s">
        <v>549</v>
      </c>
      <c r="H240">
        <v>13.7</v>
      </c>
      <c r="I240">
        <v>13.5</v>
      </c>
      <c r="J240">
        <v>13.8</v>
      </c>
      <c r="K240">
        <v>14.1</v>
      </c>
      <c r="L240">
        <v>15.5</v>
      </c>
      <c r="M240">
        <v>17.399999999999999</v>
      </c>
      <c r="N240">
        <v>19.399999999999999</v>
      </c>
      <c r="O240">
        <v>20.5</v>
      </c>
      <c r="P240">
        <v>20.100000000000001</v>
      </c>
      <c r="Q240">
        <v>18.5</v>
      </c>
      <c r="R240">
        <v>16.3</v>
      </c>
      <c r="S240">
        <v>14.5</v>
      </c>
      <c r="T240">
        <v>14.5</v>
      </c>
      <c r="U240">
        <v>19.100000000000001</v>
      </c>
      <c r="V240">
        <v>18.3</v>
      </c>
      <c r="W240">
        <v>13.4</v>
      </c>
      <c r="X240">
        <v>16.399999999999999</v>
      </c>
    </row>
    <row r="241" spans="6:24" x14ac:dyDescent="0.35">
      <c r="F241" t="s">
        <v>550</v>
      </c>
      <c r="H241">
        <v>26.8</v>
      </c>
      <c r="I241">
        <v>27.1</v>
      </c>
      <c r="J241">
        <v>27.2</v>
      </c>
      <c r="K241">
        <v>27.5</v>
      </c>
      <c r="L241">
        <v>27.6</v>
      </c>
      <c r="M241">
        <v>27.6</v>
      </c>
      <c r="N241">
        <v>27.4</v>
      </c>
      <c r="O241">
        <v>27.2</v>
      </c>
      <c r="P241">
        <v>27.4</v>
      </c>
      <c r="Q241">
        <v>27.4</v>
      </c>
      <c r="R241">
        <v>27.6</v>
      </c>
      <c r="S241">
        <v>27.3</v>
      </c>
      <c r="T241">
        <v>27.5</v>
      </c>
      <c r="U241">
        <v>27.4</v>
      </c>
      <c r="V241">
        <v>27.4</v>
      </c>
      <c r="W241">
        <v>26.2</v>
      </c>
      <c r="X241">
        <v>27.3</v>
      </c>
    </row>
    <row r="242" spans="6:24" x14ac:dyDescent="0.35">
      <c r="F242" t="s">
        <v>551</v>
      </c>
      <c r="H242">
        <v>26.9</v>
      </c>
      <c r="I242">
        <v>27.1</v>
      </c>
      <c r="J242">
        <v>27.2</v>
      </c>
      <c r="K242">
        <v>27.2</v>
      </c>
      <c r="L242">
        <v>26.7</v>
      </c>
      <c r="M242">
        <v>26.2</v>
      </c>
      <c r="N242">
        <v>25.7</v>
      </c>
      <c r="O242">
        <v>25.6</v>
      </c>
      <c r="P242">
        <v>25.8</v>
      </c>
      <c r="Q242">
        <v>26.3</v>
      </c>
      <c r="R242">
        <v>26.6</v>
      </c>
      <c r="S242">
        <v>27</v>
      </c>
      <c r="T242">
        <v>27</v>
      </c>
      <c r="U242">
        <v>25.8</v>
      </c>
      <c r="V242">
        <v>26.2</v>
      </c>
      <c r="W242">
        <v>26.1</v>
      </c>
      <c r="X242">
        <v>26.5</v>
      </c>
    </row>
    <row r="243" spans="6:24" x14ac:dyDescent="0.35">
      <c r="F243" t="s">
        <v>554</v>
      </c>
      <c r="G243" t="s">
        <v>555</v>
      </c>
      <c r="H243">
        <v>-39.4</v>
      </c>
      <c r="I243">
        <v>-38.4</v>
      </c>
      <c r="J243">
        <v>-32.4</v>
      </c>
      <c r="K243">
        <v>-22</v>
      </c>
      <c r="L243">
        <v>-7.4</v>
      </c>
      <c r="M243">
        <v>4.2</v>
      </c>
      <c r="N243">
        <v>7.5</v>
      </c>
      <c r="O243">
        <v>4.7</v>
      </c>
      <c r="P243">
        <v>-1.4</v>
      </c>
      <c r="Q243">
        <v>-16</v>
      </c>
      <c r="R243">
        <v>-31.3</v>
      </c>
      <c r="S243">
        <v>-36.799999999999997</v>
      </c>
      <c r="T243">
        <v>-20.6</v>
      </c>
      <c r="U243">
        <v>5.5</v>
      </c>
      <c r="V243">
        <v>-16.2</v>
      </c>
      <c r="W243">
        <v>-36.9</v>
      </c>
      <c r="X243">
        <v>-17.399999999999999</v>
      </c>
    </row>
    <row r="244" spans="6:24" x14ac:dyDescent="0.35">
      <c r="F244" t="s">
        <v>557</v>
      </c>
      <c r="G244" t="s">
        <v>475</v>
      </c>
      <c r="H244">
        <v>26.5</v>
      </c>
      <c r="I244">
        <v>26.9</v>
      </c>
      <c r="J244">
        <v>27.3</v>
      </c>
      <c r="K244">
        <v>27.9</v>
      </c>
      <c r="L244">
        <v>27.5</v>
      </c>
      <c r="M244">
        <v>27.2</v>
      </c>
      <c r="N244">
        <v>26.8</v>
      </c>
      <c r="O244">
        <v>26.8</v>
      </c>
      <c r="P244">
        <v>26.7</v>
      </c>
      <c r="Q244">
        <v>26.8</v>
      </c>
      <c r="R244">
        <v>26.9</v>
      </c>
      <c r="S244">
        <v>26.7</v>
      </c>
      <c r="T244">
        <v>27.6</v>
      </c>
      <c r="U244">
        <v>26.9</v>
      </c>
      <c r="V244">
        <v>26.8</v>
      </c>
      <c r="W244">
        <v>25.8</v>
      </c>
      <c r="X244">
        <v>27</v>
      </c>
    </row>
    <row r="245" spans="6:24" x14ac:dyDescent="0.35">
      <c r="F245" t="s">
        <v>559</v>
      </c>
      <c r="G245" t="s">
        <v>560</v>
      </c>
      <c r="H245">
        <v>-25.5</v>
      </c>
      <c r="I245">
        <v>-24.9</v>
      </c>
      <c r="J245">
        <v>-20.3</v>
      </c>
      <c r="K245">
        <v>-16</v>
      </c>
      <c r="L245">
        <v>-7.5</v>
      </c>
      <c r="M245">
        <v>1.8</v>
      </c>
      <c r="N245">
        <v>7.8</v>
      </c>
      <c r="O245">
        <v>5.3</v>
      </c>
      <c r="P245">
        <v>0.6</v>
      </c>
      <c r="Q245">
        <v>-8.6</v>
      </c>
      <c r="R245">
        <v>-16.899999999999999</v>
      </c>
      <c r="S245">
        <v>-21.1</v>
      </c>
      <c r="T245">
        <v>-14.6</v>
      </c>
      <c r="U245">
        <v>4.9000000000000004</v>
      </c>
      <c r="V245">
        <v>-8.3000000000000007</v>
      </c>
      <c r="W245">
        <v>-23</v>
      </c>
      <c r="X245">
        <v>-10.4</v>
      </c>
    </row>
    <row r="246" spans="6:24" x14ac:dyDescent="0.35">
      <c r="F246" t="s">
        <v>562</v>
      </c>
      <c r="G246" t="s">
        <v>475</v>
      </c>
      <c r="H246">
        <v>23</v>
      </c>
      <c r="I246">
        <v>23.6</v>
      </c>
      <c r="J246">
        <v>25.4</v>
      </c>
      <c r="K246">
        <v>27.4</v>
      </c>
      <c r="L246">
        <v>28.7</v>
      </c>
      <c r="M246">
        <v>28.9</v>
      </c>
      <c r="N246">
        <v>28.8</v>
      </c>
      <c r="O246">
        <v>28.4</v>
      </c>
      <c r="P246">
        <v>27.8</v>
      </c>
      <c r="Q246">
        <v>26.8</v>
      </c>
      <c r="R246">
        <v>25.6</v>
      </c>
      <c r="S246">
        <v>23.8</v>
      </c>
      <c r="T246">
        <v>27.2</v>
      </c>
      <c r="U246">
        <v>28.7</v>
      </c>
      <c r="V246">
        <v>26.7</v>
      </c>
      <c r="W246">
        <v>22.7</v>
      </c>
      <c r="X246">
        <v>26.5</v>
      </c>
    </row>
    <row r="247" spans="6:24" x14ac:dyDescent="0.35">
      <c r="F247" t="s">
        <v>563</v>
      </c>
      <c r="G247" t="s">
        <v>475</v>
      </c>
      <c r="H247">
        <v>27.6</v>
      </c>
      <c r="I247">
        <v>27.7</v>
      </c>
      <c r="J247">
        <v>28</v>
      </c>
      <c r="K247">
        <v>28.1</v>
      </c>
      <c r="L247">
        <v>28.1</v>
      </c>
      <c r="M247">
        <v>27.9</v>
      </c>
      <c r="N247">
        <v>27.7</v>
      </c>
      <c r="O247">
        <v>27.8</v>
      </c>
      <c r="P247">
        <v>28</v>
      </c>
      <c r="Q247">
        <v>28</v>
      </c>
      <c r="R247">
        <v>27.9</v>
      </c>
      <c r="S247">
        <v>27.8</v>
      </c>
      <c r="T247">
        <v>28</v>
      </c>
      <c r="U247">
        <v>27.8</v>
      </c>
      <c r="V247">
        <v>28</v>
      </c>
      <c r="W247">
        <v>26.8</v>
      </c>
      <c r="X247">
        <v>27.9</v>
      </c>
    </row>
    <row r="248" spans="6:24" x14ac:dyDescent="0.35">
      <c r="F248" t="s">
        <v>564</v>
      </c>
      <c r="G248" t="s">
        <v>565</v>
      </c>
      <c r="H248">
        <v>6</v>
      </c>
      <c r="I248">
        <v>6.4</v>
      </c>
      <c r="J248">
        <v>6.1</v>
      </c>
      <c r="K248">
        <v>4.8</v>
      </c>
      <c r="L248">
        <v>3.7</v>
      </c>
      <c r="M248">
        <v>3</v>
      </c>
      <c r="N248">
        <v>2.4</v>
      </c>
      <c r="O248">
        <v>1.9</v>
      </c>
      <c r="P248">
        <v>2.2999999999999998</v>
      </c>
      <c r="Q248">
        <v>3.1</v>
      </c>
      <c r="R248">
        <v>4.2</v>
      </c>
      <c r="S248">
        <v>5.2</v>
      </c>
      <c r="T248">
        <v>4.8</v>
      </c>
      <c r="U248">
        <v>2.4</v>
      </c>
      <c r="V248">
        <v>3.2</v>
      </c>
      <c r="W248">
        <v>5.7</v>
      </c>
      <c r="X248">
        <v>4.0999999999999996</v>
      </c>
    </row>
    <row r="249" spans="6:24" x14ac:dyDescent="0.35">
      <c r="F249" t="s">
        <v>567</v>
      </c>
      <c r="G249" t="s">
        <v>475</v>
      </c>
      <c r="H249">
        <v>26.1</v>
      </c>
      <c r="I249">
        <v>26.4</v>
      </c>
      <c r="J249">
        <v>26.3</v>
      </c>
      <c r="K249">
        <v>25.7</v>
      </c>
      <c r="L249">
        <v>24.2</v>
      </c>
      <c r="M249">
        <v>22.6</v>
      </c>
      <c r="N249">
        <v>21.7</v>
      </c>
      <c r="O249">
        <v>21.4</v>
      </c>
      <c r="P249">
        <v>22.1</v>
      </c>
      <c r="Q249">
        <v>22.9</v>
      </c>
      <c r="R249">
        <v>24.1</v>
      </c>
      <c r="S249">
        <v>25.4</v>
      </c>
      <c r="T249">
        <v>25.4</v>
      </c>
      <c r="U249">
        <v>21.9</v>
      </c>
      <c r="V249">
        <v>23</v>
      </c>
      <c r="W249">
        <v>25.1</v>
      </c>
      <c r="X249">
        <v>24.1</v>
      </c>
    </row>
    <row r="250" spans="6:24" x14ac:dyDescent="0.35">
      <c r="F250" t="s">
        <v>568</v>
      </c>
      <c r="G250" t="s">
        <v>475</v>
      </c>
      <c r="H250">
        <v>15.3</v>
      </c>
      <c r="I250">
        <v>15.6</v>
      </c>
      <c r="J250">
        <v>17.399999999999999</v>
      </c>
      <c r="K250">
        <v>20.5</v>
      </c>
      <c r="L250">
        <v>23.2</v>
      </c>
      <c r="M250">
        <v>25.9</v>
      </c>
      <c r="N250">
        <v>28</v>
      </c>
      <c r="O250">
        <v>27.8</v>
      </c>
      <c r="P250">
        <v>26.6</v>
      </c>
      <c r="Q250">
        <v>23.8</v>
      </c>
      <c r="R250">
        <v>20.6</v>
      </c>
      <c r="S250">
        <v>17.2</v>
      </c>
      <c r="T250">
        <v>20.399999999999999</v>
      </c>
      <c r="U250">
        <v>27.2</v>
      </c>
      <c r="V250">
        <v>23.7</v>
      </c>
      <c r="W250">
        <v>15.5</v>
      </c>
      <c r="X250">
        <v>21.8</v>
      </c>
    </row>
    <row r="251" spans="6:24" x14ac:dyDescent="0.35">
      <c r="F251" t="s">
        <v>573</v>
      </c>
      <c r="G251" t="s">
        <v>560</v>
      </c>
      <c r="H251">
        <v>-37.200000000000003</v>
      </c>
      <c r="I251">
        <v>-36.4</v>
      </c>
      <c r="J251">
        <v>-32.700000000000003</v>
      </c>
      <c r="K251">
        <v>-24.6</v>
      </c>
      <c r="L251">
        <v>-13.5</v>
      </c>
      <c r="M251">
        <v>-1.3</v>
      </c>
      <c r="N251">
        <v>5.3</v>
      </c>
      <c r="O251">
        <v>2.8</v>
      </c>
      <c r="P251">
        <v>-3.3</v>
      </c>
      <c r="Q251">
        <v>-16.899999999999999</v>
      </c>
      <c r="R251">
        <v>-30.1</v>
      </c>
      <c r="S251">
        <v>-33.1</v>
      </c>
      <c r="T251">
        <v>-23.6</v>
      </c>
      <c r="U251">
        <v>2.2000000000000002</v>
      </c>
      <c r="V251">
        <v>-16.8</v>
      </c>
      <c r="W251">
        <v>-34.299999999999997</v>
      </c>
      <c r="X251">
        <v>-18.399999999999999</v>
      </c>
    </row>
    <row r="252" spans="6:24" x14ac:dyDescent="0.35">
      <c r="F252" t="s">
        <v>576</v>
      </c>
      <c r="G252" t="s">
        <v>475</v>
      </c>
      <c r="H252">
        <v>25.9</v>
      </c>
      <c r="I252">
        <v>26.1</v>
      </c>
      <c r="J252">
        <v>26.2</v>
      </c>
      <c r="K252">
        <v>26.1</v>
      </c>
      <c r="L252">
        <v>25.3</v>
      </c>
      <c r="M252">
        <v>24.3</v>
      </c>
      <c r="N252">
        <v>23.9</v>
      </c>
      <c r="O252">
        <v>23.7</v>
      </c>
      <c r="P252">
        <v>24</v>
      </c>
      <c r="Q252">
        <v>24.5</v>
      </c>
      <c r="R252">
        <v>25.2</v>
      </c>
      <c r="S252">
        <v>25.5</v>
      </c>
      <c r="T252">
        <v>25.9</v>
      </c>
      <c r="U252">
        <v>23.9</v>
      </c>
      <c r="V252">
        <v>24.6</v>
      </c>
      <c r="W252">
        <v>25</v>
      </c>
      <c r="X252">
        <v>25.1</v>
      </c>
    </row>
    <row r="253" spans="6:24" x14ac:dyDescent="0.35">
      <c r="F253" t="s">
        <v>577</v>
      </c>
      <c r="H253">
        <v>22</v>
      </c>
      <c r="I253">
        <v>23.4</v>
      </c>
      <c r="J253">
        <v>25.1</v>
      </c>
      <c r="K253">
        <v>27.5</v>
      </c>
      <c r="L253">
        <v>29</v>
      </c>
      <c r="M253">
        <v>29</v>
      </c>
      <c r="N253">
        <v>27.6</v>
      </c>
      <c r="O253">
        <v>27.5</v>
      </c>
      <c r="P253">
        <v>27.6</v>
      </c>
      <c r="Q253">
        <v>26</v>
      </c>
      <c r="R253">
        <v>24.2</v>
      </c>
      <c r="S253">
        <v>22.7</v>
      </c>
      <c r="T253">
        <v>27.2</v>
      </c>
      <c r="U253">
        <v>28</v>
      </c>
      <c r="V253">
        <v>26</v>
      </c>
      <c r="W253">
        <v>21.9</v>
      </c>
      <c r="X253">
        <v>26</v>
      </c>
    </row>
    <row r="254" spans="6:24" x14ac:dyDescent="0.35">
      <c r="F254" t="s">
        <v>582</v>
      </c>
      <c r="G254" t="s">
        <v>583</v>
      </c>
      <c r="H254">
        <v>24</v>
      </c>
      <c r="I254">
        <v>24.1</v>
      </c>
      <c r="J254">
        <v>24.4</v>
      </c>
      <c r="K254">
        <v>25.1</v>
      </c>
      <c r="L254">
        <v>25.9</v>
      </c>
      <c r="M254">
        <v>26.6</v>
      </c>
      <c r="N254">
        <v>26.9</v>
      </c>
      <c r="O254">
        <v>27.1</v>
      </c>
      <c r="P254">
        <v>27.1</v>
      </c>
      <c r="Q254">
        <v>26.6</v>
      </c>
      <c r="R254">
        <v>25.9</v>
      </c>
      <c r="S254">
        <v>24.8</v>
      </c>
      <c r="T254">
        <v>25.1</v>
      </c>
      <c r="U254">
        <v>26.9</v>
      </c>
      <c r="V254">
        <v>26.5</v>
      </c>
      <c r="W254">
        <v>23.4</v>
      </c>
      <c r="X254">
        <v>25.7</v>
      </c>
    </row>
    <row r="255" spans="6:24" x14ac:dyDescent="0.35">
      <c r="F255" t="s">
        <v>588</v>
      </c>
      <c r="H255">
        <v>-16.5</v>
      </c>
      <c r="I255">
        <v>-16.8</v>
      </c>
      <c r="J255">
        <v>-16.2</v>
      </c>
      <c r="K255">
        <v>-13.1</v>
      </c>
      <c r="L255">
        <v>-5.8</v>
      </c>
      <c r="M255">
        <v>-0.1</v>
      </c>
      <c r="N255">
        <v>3.5</v>
      </c>
      <c r="O255">
        <v>2.7</v>
      </c>
      <c r="P255">
        <v>-1.5</v>
      </c>
      <c r="Q255">
        <v>-7</v>
      </c>
      <c r="R255">
        <v>-11.5</v>
      </c>
      <c r="S255">
        <v>-15.2</v>
      </c>
      <c r="T255">
        <v>-11.7</v>
      </c>
      <c r="U255">
        <v>2</v>
      </c>
      <c r="V255">
        <v>-6.7</v>
      </c>
      <c r="W255">
        <v>-15.6</v>
      </c>
      <c r="X255">
        <v>-8.1</v>
      </c>
    </row>
    <row r="256" spans="6:24" x14ac:dyDescent="0.35">
      <c r="F256" t="s">
        <v>589</v>
      </c>
      <c r="G256" t="s">
        <v>475</v>
      </c>
      <c r="H256">
        <v>25.4</v>
      </c>
      <c r="I256">
        <v>25.6</v>
      </c>
      <c r="J256">
        <v>26.5</v>
      </c>
      <c r="K256">
        <v>27.3</v>
      </c>
      <c r="L256">
        <v>28.3</v>
      </c>
      <c r="M256">
        <v>28.5</v>
      </c>
      <c r="N256">
        <v>28.3</v>
      </c>
      <c r="O256">
        <v>28.5</v>
      </c>
      <c r="P256">
        <v>28.4</v>
      </c>
      <c r="Q256">
        <v>27.7</v>
      </c>
      <c r="R256">
        <v>26.6</v>
      </c>
      <c r="S256">
        <v>25.9</v>
      </c>
      <c r="T256">
        <v>27.4</v>
      </c>
      <c r="U256">
        <v>28.4</v>
      </c>
      <c r="V256">
        <v>27.6</v>
      </c>
      <c r="W256">
        <v>24.8</v>
      </c>
      <c r="X256">
        <v>27.3</v>
      </c>
    </row>
    <row r="257" spans="6:24" x14ac:dyDescent="0.35">
      <c r="F257" t="s">
        <v>592</v>
      </c>
      <c r="G257" t="s">
        <v>593</v>
      </c>
      <c r="H257">
        <v>15.7</v>
      </c>
      <c r="I257">
        <v>16.2</v>
      </c>
      <c r="J257">
        <v>16</v>
      </c>
      <c r="K257">
        <v>14.8</v>
      </c>
      <c r="L257">
        <v>13.3</v>
      </c>
      <c r="M257">
        <v>12</v>
      </c>
      <c r="N257">
        <v>11</v>
      </c>
      <c r="O257">
        <v>10.7</v>
      </c>
      <c r="P257">
        <v>10.9</v>
      </c>
      <c r="Q257">
        <v>11.9</v>
      </c>
      <c r="R257">
        <v>13.5</v>
      </c>
      <c r="S257">
        <v>14.5</v>
      </c>
      <c r="T257">
        <v>14.7</v>
      </c>
      <c r="U257">
        <v>11.2</v>
      </c>
      <c r="V257">
        <v>12.1</v>
      </c>
      <c r="W257">
        <v>15</v>
      </c>
      <c r="X257">
        <v>13.4</v>
      </c>
    </row>
    <row r="258" spans="6:24" x14ac:dyDescent="0.35">
      <c r="F258" t="s">
        <v>594</v>
      </c>
      <c r="G258" t="s">
        <v>475</v>
      </c>
      <c r="H258">
        <v>27.1</v>
      </c>
      <c r="I258">
        <v>27.3</v>
      </c>
      <c r="J258">
        <v>27.1</v>
      </c>
      <c r="K258">
        <v>26.5</v>
      </c>
      <c r="L258">
        <v>25.3</v>
      </c>
      <c r="M258">
        <v>23.9</v>
      </c>
      <c r="N258">
        <v>23.1</v>
      </c>
      <c r="O258">
        <v>22.8</v>
      </c>
      <c r="P258">
        <v>23.3</v>
      </c>
      <c r="Q258">
        <v>24.4</v>
      </c>
      <c r="R258">
        <v>25.7</v>
      </c>
      <c r="S258">
        <v>26.8</v>
      </c>
      <c r="T258">
        <v>26.3</v>
      </c>
      <c r="U258">
        <v>23.3</v>
      </c>
      <c r="V258">
        <v>24.5</v>
      </c>
      <c r="W258">
        <v>26.2</v>
      </c>
      <c r="X258">
        <v>25.3</v>
      </c>
    </row>
    <row r="259" spans="6:24" x14ac:dyDescent="0.35">
      <c r="F259" t="s">
        <v>596</v>
      </c>
      <c r="H259">
        <v>27.1</v>
      </c>
      <c r="I259">
        <v>27.3</v>
      </c>
      <c r="J259">
        <v>27.5</v>
      </c>
      <c r="K259">
        <v>27.3</v>
      </c>
      <c r="L259">
        <v>26.7</v>
      </c>
      <c r="M259">
        <v>25.8</v>
      </c>
      <c r="N259">
        <v>25.3</v>
      </c>
      <c r="O259">
        <v>25</v>
      </c>
      <c r="P259">
        <v>25.3</v>
      </c>
      <c r="Q259">
        <v>25.8</v>
      </c>
      <c r="R259">
        <v>26.3</v>
      </c>
      <c r="S259">
        <v>26.8</v>
      </c>
      <c r="T259">
        <v>27.2</v>
      </c>
      <c r="U259">
        <v>25.4</v>
      </c>
      <c r="V259">
        <v>25.8</v>
      </c>
      <c r="W259">
        <v>26.2</v>
      </c>
      <c r="X259">
        <v>26.3</v>
      </c>
    </row>
    <row r="260" spans="6:24" x14ac:dyDescent="0.35">
      <c r="F260" t="s">
        <v>597</v>
      </c>
      <c r="G260" t="s">
        <v>475</v>
      </c>
      <c r="H260">
        <v>25</v>
      </c>
      <c r="I260">
        <v>25.4</v>
      </c>
      <c r="J260">
        <v>25.4</v>
      </c>
      <c r="K260">
        <v>24.5</v>
      </c>
      <c r="L260">
        <v>22.8</v>
      </c>
      <c r="M260">
        <v>21.3</v>
      </c>
      <c r="N260">
        <v>20.7</v>
      </c>
      <c r="O260">
        <v>20.5</v>
      </c>
      <c r="P260">
        <v>20.7</v>
      </c>
      <c r="Q260">
        <v>21.6</v>
      </c>
      <c r="R260">
        <v>22.7</v>
      </c>
      <c r="S260">
        <v>23.8</v>
      </c>
      <c r="T260">
        <v>24.2</v>
      </c>
      <c r="U260">
        <v>20.8</v>
      </c>
      <c r="V260">
        <v>21.7</v>
      </c>
      <c r="W260">
        <v>23.9</v>
      </c>
      <c r="X260">
        <v>22.9</v>
      </c>
    </row>
    <row r="261" spans="6:24" x14ac:dyDescent="0.35">
      <c r="F261" t="s">
        <v>603</v>
      </c>
      <c r="G261" t="s">
        <v>475</v>
      </c>
      <c r="H261">
        <v>-25</v>
      </c>
      <c r="I261">
        <v>-27.8</v>
      </c>
      <c r="J261">
        <v>-26.2</v>
      </c>
      <c r="K261">
        <v>-20.2</v>
      </c>
      <c r="L261">
        <v>-7.8</v>
      </c>
      <c r="M261">
        <v>0.9</v>
      </c>
      <c r="N261">
        <v>3.9</v>
      </c>
      <c r="O261">
        <v>2.8</v>
      </c>
      <c r="P261">
        <v>-1.4</v>
      </c>
      <c r="Q261">
        <v>-10.6</v>
      </c>
      <c r="R261">
        <v>-18.600000000000001</v>
      </c>
      <c r="S261">
        <v>-24.4</v>
      </c>
      <c r="T261">
        <v>-18.100000000000001</v>
      </c>
      <c r="U261">
        <v>2.5</v>
      </c>
      <c r="V261">
        <v>-10.199999999999999</v>
      </c>
      <c r="W261">
        <v>-24.8</v>
      </c>
      <c r="X261">
        <v>-12.9</v>
      </c>
    </row>
  </sheetData>
  <conditionalFormatting sqref="BE4:BE190 BT4:BT190 CE4:CE190 CW4:CW190 DG4:DG190 DX4:DX190 AO3:AO190">
    <cfRule type="cellIs" dxfId="11" priority="23" operator="equal">
      <formula>0</formula>
    </cfRule>
  </conditionalFormatting>
  <conditionalFormatting sqref="BE3">
    <cfRule type="cellIs" dxfId="10" priority="21" operator="equal">
      <formula>0</formula>
    </cfRule>
  </conditionalFormatting>
  <conditionalFormatting sqref="BT3">
    <cfRule type="cellIs" dxfId="9" priority="19" operator="equal">
      <formula>0</formula>
    </cfRule>
  </conditionalFormatting>
  <conditionalFormatting sqref="BT3:BT190 CE4:CE190 CW4:CW190 DG4:DG190 DX4:DX190">
    <cfRule type="cellIs" dxfId="8" priority="17" operator="equal">
      <formula>1</formula>
    </cfRule>
  </conditionalFormatting>
  <conditionalFormatting sqref="CE3">
    <cfRule type="cellIs" dxfId="7" priority="16" operator="equal">
      <formula>0</formula>
    </cfRule>
  </conditionalFormatting>
  <conditionalFormatting sqref="CE3">
    <cfRule type="cellIs" dxfId="6" priority="15" operator="equal">
      <formula>1</formula>
    </cfRule>
  </conditionalFormatting>
  <conditionalFormatting sqref="CW3">
    <cfRule type="cellIs" dxfId="5" priority="12" operator="equal">
      <formula>0</formula>
    </cfRule>
  </conditionalFormatting>
  <conditionalFormatting sqref="CW3">
    <cfRule type="cellIs" dxfId="4" priority="11" operator="equal">
      <formula>1</formula>
    </cfRule>
  </conditionalFormatting>
  <conditionalFormatting sqref="DG3">
    <cfRule type="cellIs" dxfId="3" priority="8" operator="equal">
      <formula>0</formula>
    </cfRule>
  </conditionalFormatting>
  <conditionalFormatting sqref="DG3">
    <cfRule type="cellIs" dxfId="2" priority="7" operator="equal">
      <formula>1</formula>
    </cfRule>
  </conditionalFormatting>
  <conditionalFormatting sqref="DX3">
    <cfRule type="cellIs" dxfId="1" priority="4" operator="equal">
      <formula>0</formula>
    </cfRule>
  </conditionalFormatting>
  <conditionalFormatting sqref="DX3"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190"/>
  <sheetViews>
    <sheetView tabSelected="1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M2" sqref="AM2"/>
    </sheetView>
  </sheetViews>
  <sheetFormatPr defaultRowHeight="14.5" x14ac:dyDescent="0.35"/>
  <cols>
    <col min="1" max="1" width="23.26953125" customWidth="1"/>
    <col min="2" max="4" width="9.54296875" bestFit="1" customWidth="1"/>
    <col min="9" max="9" width="12.7265625" bestFit="1" customWidth="1"/>
    <col min="16" max="16" width="9.1796875" customWidth="1"/>
    <col min="19" max="19" width="9.81640625" customWidth="1"/>
    <col min="59" max="59" width="15.7265625" bestFit="1" customWidth="1"/>
  </cols>
  <sheetData>
    <row r="1" spans="1:59" x14ac:dyDescent="0.35">
      <c r="B1" s="22">
        <f>SUM(B3:B190)</f>
        <v>6740012070</v>
      </c>
      <c r="C1" s="22">
        <f>SUM(C3:C190)</f>
        <v>51413242598227.898</v>
      </c>
      <c r="D1" s="10">
        <f>C1/B1</f>
        <v>7628.0638764832211</v>
      </c>
      <c r="G1">
        <v>7.4171800000000004E-4</v>
      </c>
      <c r="H1">
        <f>graph!B43</f>
        <v>-1.3500493119706913</v>
      </c>
      <c r="I1" s="7">
        <f t="shared" ref="I1:N1" si="0">SUMPRODUCT(I3:I190,$C3:$C190)/SUM($C3:$C190)</f>
        <v>-1.8692143617168011</v>
      </c>
      <c r="J1" s="7">
        <f t="shared" si="0"/>
        <v>-1.3500493119706911</v>
      </c>
      <c r="K1" s="7">
        <f t="shared" si="0"/>
        <v>3.7536009660294014</v>
      </c>
      <c r="L1" s="7">
        <f t="shared" si="0"/>
        <v>-1.350049311970694</v>
      </c>
      <c r="M1" s="7">
        <f>SUMPRODUCT(M3:M190,$C3:$C190)/SUM($C3:$C190)</f>
        <v>-1.7344922024177121</v>
      </c>
      <c r="N1" s="7">
        <f t="shared" si="0"/>
        <v>-1.3500493119706896</v>
      </c>
      <c r="O1" s="7"/>
      <c r="P1">
        <f>Table1!C4</f>
        <v>-3</v>
      </c>
      <c r="Q1">
        <f>Table1!C14</f>
        <v>2.5345622119815666E-2</v>
      </c>
      <c r="R1">
        <f>Table1!C15</f>
        <v>6.6820276497695855E-2</v>
      </c>
      <c r="AF1" s="7">
        <f t="shared" ref="AF1" si="1">SUMPRODUCT(AF3:AF190,$C3:$C190)/SUM($C3:$C190)</f>
        <v>11.595507797582293</v>
      </c>
      <c r="AG1" s="7"/>
      <c r="AH1" s="7">
        <f t="shared" ref="AH1:BC1" si="2">SUMPRODUCT(AH3:AH190,$C3:$C190)/SUM($C3:$C190)</f>
        <v>-1.1067831960920338</v>
      </c>
      <c r="AI1" s="7">
        <f t="shared" si="2"/>
        <v>-1.0329976496858984</v>
      </c>
      <c r="AJ1" s="7">
        <f t="shared" si="2"/>
        <v>-0.95921210327976181</v>
      </c>
      <c r="AK1" s="7">
        <f t="shared" si="2"/>
        <v>-0.81164101046749149</v>
      </c>
      <c r="AL1" s="7">
        <f t="shared" si="2"/>
        <v>-0.73785546406135583</v>
      </c>
      <c r="AM1" s="7">
        <f t="shared" si="2"/>
        <v>-0.66406991765521983</v>
      </c>
      <c r="AN1" s="7">
        <f t="shared" si="2"/>
        <v>-0.59028437124908451</v>
      </c>
      <c r="AO1" s="7">
        <f t="shared" si="2"/>
        <v>-0.51649882484294873</v>
      </c>
      <c r="AP1" s="7">
        <f t="shared" si="2"/>
        <v>-0.44271327843681307</v>
      </c>
      <c r="AQ1" s="7">
        <f t="shared" si="2"/>
        <v>-0.36892773203067786</v>
      </c>
      <c r="AR1" s="7">
        <f t="shared" si="2"/>
        <v>-0.29514218562454214</v>
      </c>
      <c r="AS1" s="7">
        <f t="shared" si="2"/>
        <v>-0.22135663921840654</v>
      </c>
      <c r="AT1" s="7">
        <f t="shared" si="2"/>
        <v>-0.14757109281227096</v>
      </c>
      <c r="AU1" s="7">
        <f t="shared" si="2"/>
        <v>-7.3785546406135424E-2</v>
      </c>
      <c r="AV1" s="7">
        <f t="shared" si="2"/>
        <v>0</v>
      </c>
      <c r="AW1" s="7">
        <f t="shared" si="2"/>
        <v>7.3785546406135577E-2</v>
      </c>
      <c r="AX1" s="7">
        <f t="shared" si="2"/>
        <v>0</v>
      </c>
      <c r="AY1" s="7">
        <f t="shared" si="2"/>
        <v>0.22135663921840665</v>
      </c>
      <c r="AZ1" s="7">
        <f t="shared" si="2"/>
        <v>0.29514218562454231</v>
      </c>
      <c r="BA1" s="7">
        <f t="shared" si="2"/>
        <v>0.36892773203067802</v>
      </c>
      <c r="BB1" s="7">
        <f t="shared" si="2"/>
        <v>0.44271327843681324</v>
      </c>
      <c r="BC1" s="7">
        <f t="shared" si="2"/>
        <v>0.51649882484294918</v>
      </c>
      <c r="BD1" s="7"/>
      <c r="BE1" s="7">
        <f>100*(EXP(LN($D1)-BE2)/$D1-1)</f>
        <v>0.18276572001518776</v>
      </c>
      <c r="BF1" s="7">
        <f>100*(EXP(LN($D1)-BF2)/$D1-1)</f>
        <v>0.21928303261120607</v>
      </c>
      <c r="BG1" s="7">
        <f>100*(EXP(LN($D1)-BG2)/$D1-1)</f>
        <v>0.25578843913327542</v>
      </c>
    </row>
    <row r="2" spans="1:59" x14ac:dyDescent="0.35">
      <c r="A2" t="s">
        <v>675</v>
      </c>
      <c r="B2" t="s">
        <v>323</v>
      </c>
      <c r="C2" t="s">
        <v>98</v>
      </c>
      <c r="D2" t="s">
        <v>619</v>
      </c>
      <c r="E2" t="s">
        <v>618</v>
      </c>
      <c r="G2" s="23">
        <v>-1.5797700000000001E-8</v>
      </c>
      <c r="I2" s="7">
        <f>$H1-I1</f>
        <v>0.51916504974610977</v>
      </c>
      <c r="K2" s="7">
        <f>$H1-K1</f>
        <v>-5.1036502780000923</v>
      </c>
      <c r="M2" s="7">
        <f>$H1-M1</f>
        <v>0.38444289044702074</v>
      </c>
      <c r="N2" t="s">
        <v>634</v>
      </c>
      <c r="P2" t="str">
        <f>Table1!A4</f>
        <v>Nordhaus 1982</v>
      </c>
      <c r="Q2" t="str">
        <f>Table1!A14</f>
        <v>Mendelsohn et al. 2000</v>
      </c>
      <c r="S2" t="str">
        <f>Table1!A16</f>
        <v>Nordhaus and Boyer 2000</v>
      </c>
      <c r="T2" t="str">
        <f>Table1!A11</f>
        <v>Tol 1995</v>
      </c>
      <c r="U2" t="str">
        <f>Table1!A12</f>
        <v>Nordhaus and Yang 1996</v>
      </c>
      <c r="V2" t="str">
        <f>Table1!A13</f>
        <v>Plambeck and Hope 1996</v>
      </c>
      <c r="W2" t="str">
        <f>Table1!A21</f>
        <v>Hope 2006</v>
      </c>
      <c r="X2" t="str">
        <f>Table1!A9</f>
        <v>Fankhauser 1995</v>
      </c>
      <c r="Y2" t="str">
        <f>Table1!A10</f>
        <v>Berz undated</v>
      </c>
      <c r="Z2" t="s">
        <v>318</v>
      </c>
      <c r="AC2">
        <f>AVERAGE(AC3:AC190)</f>
        <v>-3.0956232919976316</v>
      </c>
      <c r="AH2" s="7">
        <f>graph!$B3/$AF1</f>
        <v>-9.5449308077978426E-2</v>
      </c>
      <c r="AI2" s="7">
        <f>graph!$B4/$AF1</f>
        <v>-8.908602087277985E-2</v>
      </c>
      <c r="AJ2" s="7">
        <f>graph!$B5/$AF1</f>
        <v>-8.2722733667581275E-2</v>
      </c>
      <c r="AK2" s="7">
        <f>graph!$B7/$AF1</f>
        <v>-6.9996159257184151E-2</v>
      </c>
      <c r="AL2" s="7">
        <f>graph!$B8/$AF1</f>
        <v>-6.3632872051985589E-2</v>
      </c>
      <c r="AM2" s="7">
        <f>graph!$B9/$AF1</f>
        <v>-5.7269584846787028E-2</v>
      </c>
      <c r="AN2" s="7">
        <f>graph!$B10/$AF1</f>
        <v>-5.0906297641588466E-2</v>
      </c>
      <c r="AO2" s="7">
        <f>graph!$B11/$AF1</f>
        <v>-4.4543010436389904E-2</v>
      </c>
      <c r="AP2" s="7">
        <f>graph!$B12/$AF1</f>
        <v>-3.817972323119135E-2</v>
      </c>
      <c r="AQ2" s="7">
        <f>graph!$B13/$AF1</f>
        <v>-3.1816436025992788E-2</v>
      </c>
      <c r="AR2" s="7">
        <f>graph!$B14/$AF1</f>
        <v>-2.545314882079423E-2</v>
      </c>
      <c r="AS2" s="7">
        <f>graph!$B15/$AF1</f>
        <v>-1.9089861615595671E-2</v>
      </c>
      <c r="AT2" s="7">
        <f>graph!$B16/$AF1</f>
        <v>-1.272657441039711E-2</v>
      </c>
      <c r="AU2" s="7">
        <f>graph!$B17/$AF1</f>
        <v>-6.3632872051985487E-3</v>
      </c>
      <c r="AV2" s="7">
        <f>graph!$B18/$AF1</f>
        <v>0</v>
      </c>
      <c r="AW2" s="7">
        <f>graph!$B19/$AF1</f>
        <v>6.3632872051985609E-3</v>
      </c>
      <c r="AX2" s="7">
        <f>graph!$B203/$AF1</f>
        <v>0</v>
      </c>
      <c r="AY2" s="7">
        <f>graph!$B21/$AF1</f>
        <v>1.9089861615595685E-2</v>
      </c>
      <c r="AZ2" s="7">
        <f>graph!$B22/$AF1</f>
        <v>2.5453148820794243E-2</v>
      </c>
      <c r="BA2" s="7">
        <f>graph!$B23/$AF1</f>
        <v>3.1816436025992802E-2</v>
      </c>
      <c r="BB2" s="7">
        <f>graph!$B24/$AF1</f>
        <v>3.8179723231191363E-2</v>
      </c>
      <c r="BC2" s="7">
        <f>graph!$B25/$AF1</f>
        <v>4.4543010436389925E-2</v>
      </c>
      <c r="BD2" s="7"/>
      <c r="BE2" s="7">
        <f>SUMPRODUCT(BE3:BE190,$B3:$B190)/SUM($B3:$B190)</f>
        <v>-1.8259890669380923E-3</v>
      </c>
      <c r="BF2" s="7">
        <f>SUMPRODUCT(BF3:BF190,$B3:$B190)/SUM($B3:$B190)</f>
        <v>-2.1904295826662922E-3</v>
      </c>
      <c r="BG2" s="7">
        <f>SUMPRODUCT(BG3:BG190,$B3:$B190)/SUM($B3:$B190)</f>
        <v>-2.5546185729244898E-3</v>
      </c>
    </row>
    <row r="3" spans="1:59" x14ac:dyDescent="0.35">
      <c r="A3" t="str">
        <f>regions!A3</f>
        <v>Afghanistan</v>
      </c>
      <c r="B3" s="22">
        <f>regions!B3</f>
        <v>28397812</v>
      </c>
      <c r="C3" s="22">
        <f>regions!C3</f>
        <v>10243250245.699793</v>
      </c>
      <c r="D3" s="10">
        <f>regions!D3</f>
        <v>360.70561512625665</v>
      </c>
      <c r="E3" s="1">
        <f>regions!X3</f>
        <v>12.6</v>
      </c>
      <c r="G3">
        <v>-0.52455799999999997</v>
      </c>
      <c r="I3" s="7">
        <f>D3*G$1+D3*D3*G$2+E3*G$3</f>
        <v>-6.3439443682545198</v>
      </c>
      <c r="J3" s="1">
        <f>I3+I$2</f>
        <v>-5.8247793185084102</v>
      </c>
      <c r="K3" s="1">
        <f t="shared" ref="K3:K34" si="3">G$7*D3+G$8*D3*D3+G$9*D3*D3*D3+G$10*E3</f>
        <v>-4.8911586502044484</v>
      </c>
      <c r="L3" s="1">
        <f>K3+K$2</f>
        <v>-9.9948089282045416</v>
      </c>
      <c r="M3" s="1">
        <f>G$12+G$13*LN(D3)+G$14*E3</f>
        <v>-9.0875158863937067</v>
      </c>
      <c r="N3" s="1">
        <f>M3+M$2</f>
        <v>-8.7030729959466857</v>
      </c>
      <c r="O3" s="1">
        <f>STDEV(P3:Z3)</f>
        <v>3.096064451111721</v>
      </c>
      <c r="P3" s="1">
        <f>$M3+P$1-$M$1</f>
        <v>-10.353023683975994</v>
      </c>
      <c r="Q3" s="1">
        <f t="shared" ref="Q3:R22" si="4">$M3+Q$1-$M$1</f>
        <v>-7.3276780618561794</v>
      </c>
      <c r="R3" s="1">
        <f t="shared" si="4"/>
        <v>-7.2862034074782986</v>
      </c>
      <c r="S3" s="1">
        <f>$M3+SUMPRODUCT(regions!BG3:BS3,regions!BG$193:BS$193)</f>
        <v>-0.30157738659371702</v>
      </c>
      <c r="T3" s="1">
        <f>$M3+SUMPRODUCT(regions!BV3:CD3,regions!BV$193:CD$193)</f>
        <v>-8.8022651268755183</v>
      </c>
      <c r="U3" s="1">
        <f>$M3+SUMPRODUCT(regions!CQ3:CV3,regions!CQ$193:CV$193)</f>
        <v>-5.3670303381116238</v>
      </c>
      <c r="V3" s="1">
        <f>$M3+SUMPRODUCT(regions!CY3:DF3,regions!CY$193:DF$193)</f>
        <v>-8.9488784940739059</v>
      </c>
      <c r="W3" s="1">
        <f>$M3+SUMPRODUCT(regions!DI3:DP3,regions!DI$193:DP$193)</f>
        <v>-3.4438784940739078</v>
      </c>
      <c r="X3" s="1">
        <f>$M3+SUMPRODUCT(regions!DR3:DW3,regions!DR$193:DW$193)</f>
        <v>-3.2638542931585643</v>
      </c>
      <c r="Y3" s="1">
        <f>$M3+SUMPRODUCT(regions!DZ3:EE3,regions!DZ$193:EE$193)</f>
        <v>-2.7628663601738346</v>
      </c>
      <c r="Z3" s="1">
        <f t="shared" ref="Z3:Z8" si="5">IF(ISNUMBER(AB3),AB3,N3-AC$2)</f>
        <v>-5.6074497039490545</v>
      </c>
      <c r="AF3" s="1">
        <f t="shared" ref="AF3:AF34" si="6">$G$13*LN($D3)+$G$14*$E3</f>
        <v>4.2424841136062943</v>
      </c>
      <c r="AG3" s="1"/>
      <c r="AH3" s="1">
        <f>$AF3*AH$2</f>
        <v>-0.40494217317553644</v>
      </c>
      <c r="AI3" s="1">
        <f t="shared" ref="AI3:BC15" si="7">$AF3*AI$2</f>
        <v>-0.37794602829716728</v>
      </c>
      <c r="AJ3" s="1">
        <f t="shared" si="7"/>
        <v>-0.35094988341879813</v>
      </c>
      <c r="AK3" s="1">
        <f t="shared" si="7"/>
        <v>-0.29695759366205993</v>
      </c>
      <c r="AL3" s="1">
        <f t="shared" si="7"/>
        <v>-0.26996144878369083</v>
      </c>
      <c r="AM3" s="1">
        <f t="shared" si="7"/>
        <v>-0.24296530390532173</v>
      </c>
      <c r="AN3" s="1">
        <f t="shared" si="7"/>
        <v>-0.21596915902695263</v>
      </c>
      <c r="AO3" s="1">
        <f t="shared" si="7"/>
        <v>-0.18897301414858353</v>
      </c>
      <c r="AP3" s="1">
        <f t="shared" si="7"/>
        <v>-0.16197686927021449</v>
      </c>
      <c r="AQ3" s="1">
        <f t="shared" si="7"/>
        <v>-0.13498072439184539</v>
      </c>
      <c r="AR3" s="1">
        <f t="shared" si="7"/>
        <v>-0.1079845795134763</v>
      </c>
      <c r="AS3" s="1">
        <f t="shared" si="7"/>
        <v>-8.0988434635107229E-2</v>
      </c>
      <c r="AT3" s="1">
        <f>$AF3*AT$2</f>
        <v>-5.3992289756738129E-2</v>
      </c>
      <c r="AU3" s="1">
        <f t="shared" si="7"/>
        <v>-2.6996144878369037E-2</v>
      </c>
      <c r="AV3" s="1">
        <f t="shared" si="7"/>
        <v>0</v>
      </c>
      <c r="AW3" s="1">
        <f t="shared" si="7"/>
        <v>2.6996144878369089E-2</v>
      </c>
      <c r="AX3" s="1">
        <f t="shared" si="7"/>
        <v>0</v>
      </c>
      <c r="AY3" s="1">
        <f t="shared" si="7"/>
        <v>8.0988434635107284E-2</v>
      </c>
      <c r="AZ3" s="1">
        <f t="shared" si="7"/>
        <v>0.10798457951347636</v>
      </c>
      <c r="BA3" s="1">
        <f t="shared" si="7"/>
        <v>0.13498072439184544</v>
      </c>
      <c r="BB3" s="1">
        <f t="shared" si="7"/>
        <v>0.16197686927021454</v>
      </c>
      <c r="BC3" s="1">
        <f t="shared" si="7"/>
        <v>0.18897301414858364</v>
      </c>
      <c r="BD3" s="1"/>
      <c r="BE3">
        <f>LN($D3)-LN($D3*(1+BA3/100))</f>
        <v>-1.3488970730657357E-3</v>
      </c>
      <c r="BF3">
        <f>LN($D3)-LN($D3*(1+BB3/100))</f>
        <v>-1.6184582822438287E-3</v>
      </c>
      <c r="BG3">
        <f>LN($D3)-LN($D3*(1+BC3/100))</f>
        <v>-1.8879468477575045E-3</v>
      </c>
    </row>
    <row r="4" spans="1:59" x14ac:dyDescent="0.35">
      <c r="A4" t="str">
        <f>regions!A4</f>
        <v>Albania</v>
      </c>
      <c r="B4" s="22">
        <f>regions!B4</f>
        <v>3150143</v>
      </c>
      <c r="C4" s="22">
        <f>regions!C4</f>
        <v>10725150216.110325</v>
      </c>
      <c r="D4" s="10">
        <f>regions!D4</f>
        <v>3404.6550318859572</v>
      </c>
      <c r="E4" s="1">
        <f>regions!X4</f>
        <v>11.4</v>
      </c>
      <c r="I4" s="7">
        <f t="shared" ref="I4:I55" si="8">D4*G$1+D4*D4*G$2+E4*G$3</f>
        <v>-3.6377890972061859</v>
      </c>
      <c r="J4" s="1">
        <f t="shared" ref="J4:L55" si="9">I4+I$2</f>
        <v>-3.1186240474600764</v>
      </c>
      <c r="K4" s="1">
        <f t="shared" si="3"/>
        <v>1.8966158411982619</v>
      </c>
      <c r="L4" s="1">
        <f t="shared" si="9"/>
        <v>-3.2070344368018304</v>
      </c>
      <c r="M4" s="1">
        <f t="shared" ref="M4:M67" si="10">G$12+G$13*LN(D4)+G$14*E4</f>
        <v>-4.7775571371647931</v>
      </c>
      <c r="N4" s="1">
        <f t="shared" ref="N4" si="11">M4+M$2</f>
        <v>-4.3931142467177722</v>
      </c>
      <c r="O4" s="1">
        <f t="shared" ref="O4:O67" si="12">STDEV(P4:Z4)</f>
        <v>3.1476333816942783</v>
      </c>
      <c r="P4" s="1">
        <f t="shared" ref="P4:R23" si="13">$M4+P$1-$M$1</f>
        <v>-6.0430649347470808</v>
      </c>
      <c r="Q4" s="1">
        <f t="shared" si="4"/>
        <v>-3.017719312627265</v>
      </c>
      <c r="R4" s="1">
        <f t="shared" si="4"/>
        <v>-2.9762446582493851</v>
      </c>
      <c r="S4" s="1">
        <f>$M4+SUMPRODUCT(regions!BG4:BS4,regions!BG$193:BS$193)</f>
        <v>4.0083813626351965</v>
      </c>
      <c r="T4" s="1">
        <f>$M4+SUMPRODUCT(regions!BV4:CD4,regions!BV$193:CD$193)</f>
        <v>-4.608310993012287</v>
      </c>
      <c r="U4" s="1">
        <f>$M4+SUMPRODUCT(regions!CQ4:CV4,regions!CQ$193:CV$193)</f>
        <v>-1.0570715888827102</v>
      </c>
      <c r="V4" s="1">
        <f>$M4+SUMPRODUCT(regions!CY4:DF4,regions!CY$193:DF$193)</f>
        <v>-4.9083109930122868</v>
      </c>
      <c r="W4" s="1">
        <f>$M4+SUMPRODUCT(regions!DI4:DP4,regions!DI$193:DP$193)</f>
        <v>-4.4778109930122865</v>
      </c>
      <c r="X4" s="1">
        <f>$M4+SUMPRODUCT(regions!DR4:DW4,regions!DR$193:DW$193)</f>
        <v>1.0461044560703492</v>
      </c>
      <c r="Y4" s="1">
        <f>$M4+SUMPRODUCT(regions!DZ4:EE4,regions!DZ$193:EE$193)</f>
        <v>1.547092389055079</v>
      </c>
      <c r="Z4" s="1">
        <f t="shared" si="5"/>
        <v>-1.2974909547201405</v>
      </c>
      <c r="AF4" s="1">
        <f t="shared" si="6"/>
        <v>8.5524428628352069</v>
      </c>
      <c r="AG4" s="1"/>
      <c r="AH4" s="1">
        <f t="shared" ref="AH4:AV67" si="14">$AF4*AH$2</f>
        <v>-0.81632475363406543</v>
      </c>
      <c r="AI4" s="1">
        <f t="shared" si="14"/>
        <v>-0.76190310339179435</v>
      </c>
      <c r="AJ4" s="1">
        <f t="shared" si="14"/>
        <v>-0.70748145314952315</v>
      </c>
      <c r="AK4" s="1">
        <f t="shared" si="14"/>
        <v>-0.5986381526649811</v>
      </c>
      <c r="AL4" s="1">
        <f t="shared" si="14"/>
        <v>-0.54421650242271002</v>
      </c>
      <c r="AM4" s="1">
        <f t="shared" si="14"/>
        <v>-0.48979485218043906</v>
      </c>
      <c r="AN4" s="1">
        <f t="shared" si="14"/>
        <v>-0.43537320193816803</v>
      </c>
      <c r="AO4" s="1">
        <f t="shared" si="14"/>
        <v>-0.38095155169589695</v>
      </c>
      <c r="AP4" s="1">
        <f t="shared" si="14"/>
        <v>-0.32652990145362598</v>
      </c>
      <c r="AQ4" s="1">
        <f t="shared" si="14"/>
        <v>-0.27210825121135496</v>
      </c>
      <c r="AR4" s="1">
        <f t="shared" si="14"/>
        <v>-0.21768660096908396</v>
      </c>
      <c r="AS4" s="1">
        <f t="shared" si="14"/>
        <v>-0.16326495072681296</v>
      </c>
      <c r="AT4" s="1">
        <f t="shared" si="14"/>
        <v>-0.10884330048454194</v>
      </c>
      <c r="AU4" s="1">
        <f t="shared" si="14"/>
        <v>-5.4421650242270921E-2</v>
      </c>
      <c r="AV4" s="1">
        <f t="shared" si="14"/>
        <v>0</v>
      </c>
      <c r="AW4" s="1">
        <f t="shared" si="7"/>
        <v>5.4421650242271025E-2</v>
      </c>
      <c r="AX4" s="1">
        <f t="shared" si="7"/>
        <v>0</v>
      </c>
      <c r="AY4" s="1">
        <f t="shared" si="7"/>
        <v>0.1632649507268131</v>
      </c>
      <c r="AZ4" s="1">
        <f t="shared" si="7"/>
        <v>0.2176866009690841</v>
      </c>
      <c r="BA4" s="1">
        <f t="shared" si="7"/>
        <v>0.27210825121135507</v>
      </c>
      <c r="BB4" s="1">
        <f t="shared" si="7"/>
        <v>0.32652990145362615</v>
      </c>
      <c r="BC4" s="1">
        <f t="shared" si="7"/>
        <v>0.38095155169589717</v>
      </c>
      <c r="BD4" s="1"/>
      <c r="BE4">
        <f t="shared" ref="BE4" si="15">LN($D4)-LN($D4*(1+BA4/100))</f>
        <v>-2.7173870693122382E-3</v>
      </c>
      <c r="BF4">
        <f t="shared" ref="BF4:BG67" si="16">LN($D4)-LN($D4*(1+BB4/100))</f>
        <v>-3.2599795024275124E-3</v>
      </c>
      <c r="BG4">
        <f t="shared" si="16"/>
        <v>-3.8022776886439402E-3</v>
      </c>
    </row>
    <row r="5" spans="1:59" x14ac:dyDescent="0.35">
      <c r="A5" t="str">
        <f>regions!A5</f>
        <v>Algeria</v>
      </c>
      <c r="B5" s="22">
        <f>regions!B5</f>
        <v>37062820</v>
      </c>
      <c r="C5" s="22">
        <f>regions!C5</f>
        <v>116511760871.08984</v>
      </c>
      <c r="D5" s="10">
        <f>regions!D5</f>
        <v>3143.6291375316246</v>
      </c>
      <c r="E5" s="1">
        <f>regions!X5</f>
        <v>22.5</v>
      </c>
      <c r="G5" s="10">
        <f>-G1/G2/2</f>
        <v>23475.505928078139</v>
      </c>
      <c r="I5" s="7">
        <f t="shared" si="8"/>
        <v>-9.626987939477301</v>
      </c>
      <c r="J5" s="1">
        <f t="shared" si="9"/>
        <v>-9.1078228897311906</v>
      </c>
      <c r="K5" s="1">
        <f t="shared" si="3"/>
        <v>-3.6295971184027769</v>
      </c>
      <c r="L5" s="1">
        <f t="shared" si="9"/>
        <v>-8.7332473964028701</v>
      </c>
      <c r="M5" s="1">
        <f t="shared" si="10"/>
        <v>-9.8895750865416208</v>
      </c>
      <c r="N5" s="1">
        <f t="shared" ref="N5" si="17">M5+M$2</f>
        <v>-9.5051321960945998</v>
      </c>
      <c r="O5" s="1">
        <f t="shared" si="12"/>
        <v>2.3605460842533423</v>
      </c>
      <c r="P5" s="1">
        <f t="shared" si="13"/>
        <v>-11.155082884123908</v>
      </c>
      <c r="Q5" s="1">
        <f t="shared" si="4"/>
        <v>-8.1297372620040935</v>
      </c>
      <c r="R5" s="1">
        <f t="shared" si="4"/>
        <v>-8.0882626076262127</v>
      </c>
      <c r="S5" s="1">
        <f>$M5+SUMPRODUCT(regions!BG5:BS5,regions!BG$193:BS$193)</f>
        <v>-4.4446247166690611</v>
      </c>
      <c r="T5" s="1">
        <f>$M5+SUMPRODUCT(regions!BV5:CD5,regions!BV$193:CD$193)</f>
        <v>-8.2442577669259371</v>
      </c>
      <c r="U5" s="1">
        <f>$M5+SUMPRODUCT(regions!CQ5:CV5,regions!CQ$193:CV$193)</f>
        <v>-6.1690895382595379</v>
      </c>
      <c r="V5" s="1">
        <f>$M5+SUMPRODUCT(regions!CY5:DF5,regions!CY$193:DF$193)</f>
        <v>-7.7879975657159193</v>
      </c>
      <c r="W5" s="1">
        <f>$M5+SUMPRODUCT(regions!DI5:DP5,regions!DI$193:DP$193)</f>
        <v>-4.1888975657159193</v>
      </c>
      <c r="X5" s="1">
        <f>$M5+SUMPRODUCT(regions!DR5:DW5,regions!DR$193:DW$193)</f>
        <v>-4.0659134933064784</v>
      </c>
      <c r="Y5" s="1">
        <f>$M5+SUMPRODUCT(regions!DZ5:EE5,regions!DZ$193:EE$193)</f>
        <v>-3.5649255603217487</v>
      </c>
      <c r="Z5" s="1">
        <f t="shared" si="5"/>
        <v>-6.4095089040969686</v>
      </c>
      <c r="AF5" s="1">
        <f t="shared" si="6"/>
        <v>3.4404249134583793</v>
      </c>
      <c r="AG5" s="1"/>
      <c r="AH5" s="1">
        <f t="shared" si="14"/>
        <v>-0.32838617748384114</v>
      </c>
      <c r="AI5" s="1">
        <f t="shared" si="7"/>
        <v>-0.30649376565158498</v>
      </c>
      <c r="AJ5" s="1">
        <f t="shared" si="7"/>
        <v>-0.28460135381932888</v>
      </c>
      <c r="AK5" s="1">
        <f t="shared" si="7"/>
        <v>-0.24081653015481672</v>
      </c>
      <c r="AL5" s="1">
        <f t="shared" si="7"/>
        <v>-0.21892411832256065</v>
      </c>
      <c r="AM5" s="1">
        <f t="shared" si="7"/>
        <v>-0.19703170649030458</v>
      </c>
      <c r="AN5" s="1">
        <f t="shared" si="7"/>
        <v>-0.17513929465804851</v>
      </c>
      <c r="AO5" s="1">
        <f t="shared" si="7"/>
        <v>-0.15324688282579244</v>
      </c>
      <c r="AP5" s="1">
        <f t="shared" si="7"/>
        <v>-0.13135447099353637</v>
      </c>
      <c r="AQ5" s="1">
        <f t="shared" si="7"/>
        <v>-0.1094620591612803</v>
      </c>
      <c r="AR5" s="1">
        <f t="shared" si="7"/>
        <v>-8.7569647329024239E-2</v>
      </c>
      <c r="AS5" s="1">
        <f t="shared" si="7"/>
        <v>-6.5677235496768169E-2</v>
      </c>
      <c r="AT5" s="1">
        <f t="shared" si="7"/>
        <v>-4.3784823664512099E-2</v>
      </c>
      <c r="AU5" s="1">
        <f t="shared" si="7"/>
        <v>-2.1892411832256028E-2</v>
      </c>
      <c r="AV5" s="1">
        <f t="shared" si="7"/>
        <v>0</v>
      </c>
      <c r="AW5" s="1">
        <f t="shared" si="7"/>
        <v>2.189241183225607E-2</v>
      </c>
      <c r="AX5" s="1">
        <f t="shared" si="7"/>
        <v>0</v>
      </c>
      <c r="AY5" s="1">
        <f t="shared" si="7"/>
        <v>6.5677235496768224E-2</v>
      </c>
      <c r="AZ5" s="1">
        <f t="shared" si="7"/>
        <v>8.7569647329024281E-2</v>
      </c>
      <c r="BA5" s="1">
        <f t="shared" si="7"/>
        <v>0.10946205916128035</v>
      </c>
      <c r="BB5" s="1">
        <f t="shared" si="7"/>
        <v>0.13135447099353642</v>
      </c>
      <c r="BC5" s="1">
        <f t="shared" si="7"/>
        <v>0.15324688282579249</v>
      </c>
      <c r="BD5" s="1"/>
      <c r="BE5">
        <f t="shared" ref="BE5" si="18">LN($D5)-LN($D5*(1+BA5/100))</f>
        <v>-1.0940219313244626E-3</v>
      </c>
      <c r="BF5">
        <f t="shared" si="16"/>
        <v>-1.3126827648033412E-3</v>
      </c>
      <c r="BG5">
        <f t="shared" si="16"/>
        <v>-1.531295796173282E-3</v>
      </c>
    </row>
    <row r="6" spans="1:59" x14ac:dyDescent="0.35">
      <c r="A6" t="str">
        <f>regions!A6</f>
        <v>Angola</v>
      </c>
      <c r="B6" s="22">
        <f>regions!B6</f>
        <v>19549124</v>
      </c>
      <c r="C6" s="22">
        <f>regions!C6</f>
        <v>50371160616.47271</v>
      </c>
      <c r="D6" s="10">
        <f>regions!D6</f>
        <v>2576.6454096087737</v>
      </c>
      <c r="E6" s="1">
        <f>regions!X6</f>
        <v>21.5</v>
      </c>
      <c r="I6" s="7">
        <f t="shared" si="8"/>
        <v>-9.4717352548985509</v>
      </c>
      <c r="J6" s="1">
        <f t="shared" si="9"/>
        <v>-8.9525702051524405</v>
      </c>
      <c r="K6" s="1">
        <f t="shared" si="3"/>
        <v>-4.2496158284538401</v>
      </c>
      <c r="L6" s="1">
        <f t="shared" si="9"/>
        <v>-9.3532661064539333</v>
      </c>
      <c r="M6" s="1">
        <f t="shared" si="10"/>
        <v>-9.775283355717832</v>
      </c>
      <c r="N6" s="1">
        <f t="shared" ref="N6" si="19">M6+M$2</f>
        <v>-9.3908404652708111</v>
      </c>
      <c r="O6" s="1">
        <f t="shared" si="12"/>
        <v>2.9171998047435075</v>
      </c>
      <c r="P6" s="1">
        <f t="shared" si="13"/>
        <v>-11.04079115330012</v>
      </c>
      <c r="Q6" s="1">
        <f t="shared" si="4"/>
        <v>-8.0154455311803048</v>
      </c>
      <c r="R6" s="1">
        <f t="shared" si="4"/>
        <v>-7.973970876802424</v>
      </c>
      <c r="S6" s="1">
        <f>$M6+SUMPRODUCT(regions!BG6:BS6,regions!BG$193:BS$193)</f>
        <v>-0.52015504928988321</v>
      </c>
      <c r="T6" s="1">
        <f>$M6+SUMPRODUCT(regions!BV6:CD6,regions!BV$193:CD$193)</f>
        <v>-8.1299660361021484</v>
      </c>
      <c r="U6" s="1">
        <f>$M6+SUMPRODUCT(regions!CQ6:CV6,regions!CQ$193:CV$193)</f>
        <v>-6.0547978074357491</v>
      </c>
      <c r="V6" s="1">
        <f>$M6+SUMPRODUCT(regions!CY6:DF6,regions!CY$193:DF$193)</f>
        <v>-7.6737058348921305</v>
      </c>
      <c r="W6" s="1">
        <f>$M6+SUMPRODUCT(regions!DI6:DP6,regions!DI$193:DP$193)</f>
        <v>-4.0746058348921306</v>
      </c>
      <c r="X6" s="1">
        <f>$M6+SUMPRODUCT(regions!DR6:DW6,regions!DR$193:DW$193)</f>
        <v>-3.9516217624826897</v>
      </c>
      <c r="Y6" s="1">
        <f>$M6+SUMPRODUCT(regions!DZ6:EE6,regions!DZ$193:EE$193)</f>
        <v>-3.4506338294979599</v>
      </c>
      <c r="Z6" s="1">
        <f t="shared" si="5"/>
        <v>-6.2952171732731799</v>
      </c>
      <c r="AF6" s="1">
        <f t="shared" si="6"/>
        <v>3.554716644282168</v>
      </c>
      <c r="AG6" s="1"/>
      <c r="AH6" s="1">
        <f t="shared" si="14"/>
        <v>-0.33929524411000628</v>
      </c>
      <c r="AI6" s="1">
        <f t="shared" si="7"/>
        <v>-0.31667556116933915</v>
      </c>
      <c r="AJ6" s="1">
        <f t="shared" si="7"/>
        <v>-0.29405587822867202</v>
      </c>
      <c r="AK6" s="1">
        <f t="shared" si="7"/>
        <v>-0.24881651234733787</v>
      </c>
      <c r="AL6" s="1">
        <f t="shared" si="7"/>
        <v>-0.22619682940667077</v>
      </c>
      <c r="AM6" s="1">
        <f t="shared" si="7"/>
        <v>-0.20357714646600369</v>
      </c>
      <c r="AN6" s="1">
        <f t="shared" si="7"/>
        <v>-0.18095746352533659</v>
      </c>
      <c r="AO6" s="1">
        <f t="shared" si="7"/>
        <v>-0.15833778058466952</v>
      </c>
      <c r="AP6" s="1">
        <f t="shared" si="7"/>
        <v>-0.13571809764400244</v>
      </c>
      <c r="AQ6" s="1">
        <f t="shared" si="7"/>
        <v>-0.11309841470333536</v>
      </c>
      <c r="AR6" s="1">
        <f t="shared" si="7"/>
        <v>-9.0478731762668282E-2</v>
      </c>
      <c r="AS6" s="1">
        <f t="shared" si="7"/>
        <v>-6.7859048822001208E-2</v>
      </c>
      <c r="AT6" s="1">
        <f t="shared" si="7"/>
        <v>-4.5239365881334127E-2</v>
      </c>
      <c r="AU6" s="1">
        <f t="shared" si="7"/>
        <v>-2.2619682940667039E-2</v>
      </c>
      <c r="AV6" s="1">
        <f t="shared" si="7"/>
        <v>0</v>
      </c>
      <c r="AW6" s="1">
        <f t="shared" si="7"/>
        <v>2.2619682940667084E-2</v>
      </c>
      <c r="AX6" s="1">
        <f t="shared" si="7"/>
        <v>0</v>
      </c>
      <c r="AY6" s="1">
        <f t="shared" si="7"/>
        <v>6.7859048822001264E-2</v>
      </c>
      <c r="AZ6" s="1">
        <f t="shared" si="7"/>
        <v>9.0478731762668338E-2</v>
      </c>
      <c r="BA6" s="1">
        <f t="shared" si="7"/>
        <v>0.11309841470333541</v>
      </c>
      <c r="BB6" s="1">
        <f t="shared" si="7"/>
        <v>0.1357180976440025</v>
      </c>
      <c r="BC6" s="1">
        <f t="shared" si="7"/>
        <v>0.15833778058466957</v>
      </c>
      <c r="BD6" s="1"/>
      <c r="BE6">
        <f t="shared" ref="BE6" si="20">LN($D6)-LN($D6*(1+BA6/100))</f>
        <v>-1.1303450662776271E-3</v>
      </c>
      <c r="BF6">
        <f t="shared" si="16"/>
        <v>-1.3562608387731601E-3</v>
      </c>
      <c r="BG6">
        <f t="shared" si="16"/>
        <v>-1.582125584859817E-3</v>
      </c>
    </row>
    <row r="7" spans="1:59" x14ac:dyDescent="0.35">
      <c r="A7" t="str">
        <f>regions!A7</f>
        <v>Antigua and Barbuda</v>
      </c>
      <c r="B7" s="22">
        <f>regions!B7</f>
        <v>87233</v>
      </c>
      <c r="C7" s="22">
        <f>regions!C7</f>
        <v>1012173532.2035601</v>
      </c>
      <c r="D7" s="10">
        <f>regions!D7</f>
        <v>11603.103552595465</v>
      </c>
      <c r="E7" s="1">
        <f>regions!X7</f>
        <v>26</v>
      </c>
      <c r="G7">
        <v>2.3562100000000001E-3</v>
      </c>
      <c r="I7" s="7">
        <f t="shared" si="8"/>
        <v>-7.1591533759738812</v>
      </c>
      <c r="J7" s="1">
        <f t="shared" si="9"/>
        <v>-6.6399883262277717</v>
      </c>
      <c r="K7" s="1">
        <f t="shared" si="3"/>
        <v>5.3996313831596066</v>
      </c>
      <c r="L7" s="1">
        <f t="shared" si="9"/>
        <v>0.29598110515951426</v>
      </c>
      <c r="M7" s="1">
        <f t="shared" si="10"/>
        <v>-9.2650357507115046</v>
      </c>
      <c r="N7" s="1">
        <f t="shared" ref="N7" si="21">M7+M$2</f>
        <v>-8.8805928602644837</v>
      </c>
      <c r="O7" s="1">
        <f t="shared" si="12"/>
        <v>2.2389930977676742</v>
      </c>
      <c r="P7" s="1">
        <f t="shared" si="13"/>
        <v>-10.530543548293792</v>
      </c>
      <c r="Q7" s="1">
        <f t="shared" si="4"/>
        <v>-7.5051979261739774</v>
      </c>
      <c r="R7" s="1">
        <f t="shared" si="4"/>
        <v>-7.4637232717960966</v>
      </c>
      <c r="S7" s="1">
        <f>$M7+SUMPRODUCT(regions!BG7:BS7,regions!BG$193:BS$193)</f>
        <v>-5.5979368349726641</v>
      </c>
      <c r="T7" s="1">
        <f>$M7+SUMPRODUCT(regions!BV7:CD7,regions!BV$193:CD$193)</f>
        <v>-5.1058146392152208</v>
      </c>
      <c r="U7" s="1">
        <f>$M7+SUMPRODUCT(regions!CQ7:CV7,regions!CQ$193:CV$193)</f>
        <v>-5.5445502024294218</v>
      </c>
      <c r="V7" s="1">
        <f>$M7+SUMPRODUCT(regions!CY7:DF7,regions!CY$193:DF$193)</f>
        <v>-5.0958146392152202</v>
      </c>
      <c r="W7" s="1">
        <f>$M7+SUMPRODUCT(regions!DI7:DP7,regions!DI$193:DP$193)</f>
        <v>-3.0567146392152207</v>
      </c>
      <c r="X7" s="1">
        <f>$M7+SUMPRODUCT(regions!DR7:DW7,regions!DR$193:DW$193)</f>
        <v>-3.4413741574763623</v>
      </c>
      <c r="Y7" s="1">
        <f>$M7+SUMPRODUCT(regions!DZ7:EE7,regions!DZ$193:EE$193)</f>
        <v>-2.9403862244916326</v>
      </c>
      <c r="Z7" s="1">
        <f t="shared" si="5"/>
        <v>-5.7849695682668525</v>
      </c>
      <c r="AF7" s="1">
        <f t="shared" si="6"/>
        <v>4.0649642492884954</v>
      </c>
      <c r="AG7" s="1"/>
      <c r="AH7" s="1">
        <f t="shared" si="14"/>
        <v>-0.38799802495630592</v>
      </c>
      <c r="AI7" s="1">
        <f t="shared" si="7"/>
        <v>-0.36213148995921879</v>
      </c>
      <c r="AJ7" s="1">
        <f t="shared" si="7"/>
        <v>-0.33626495496213166</v>
      </c>
      <c r="AK7" s="1">
        <f t="shared" si="7"/>
        <v>-0.28453188496795756</v>
      </c>
      <c r="AL7" s="1">
        <f t="shared" si="7"/>
        <v>-0.25866534997087048</v>
      </c>
      <c r="AM7" s="1">
        <f t="shared" si="7"/>
        <v>-0.23279881497378344</v>
      </c>
      <c r="AN7" s="1">
        <f t="shared" si="7"/>
        <v>-0.20693227997669636</v>
      </c>
      <c r="AO7" s="1">
        <f t="shared" si="7"/>
        <v>-0.18106574497960931</v>
      </c>
      <c r="AP7" s="1">
        <f t="shared" si="7"/>
        <v>-0.15519920998252226</v>
      </c>
      <c r="AQ7" s="1">
        <f t="shared" si="7"/>
        <v>-0.12933267498543521</v>
      </c>
      <c r="AR7" s="1">
        <f t="shared" si="7"/>
        <v>-0.10346613998834817</v>
      </c>
      <c r="AS7" s="1">
        <f t="shared" si="7"/>
        <v>-7.7599604991261117E-2</v>
      </c>
      <c r="AT7" s="1">
        <f t="shared" si="7"/>
        <v>-5.1733069994174062E-2</v>
      </c>
      <c r="AU7" s="1">
        <f t="shared" si="7"/>
        <v>-2.5866534997087007E-2</v>
      </c>
      <c r="AV7" s="1">
        <f t="shared" si="7"/>
        <v>0</v>
      </c>
      <c r="AW7" s="1">
        <f t="shared" si="7"/>
        <v>2.5866534997087055E-2</v>
      </c>
      <c r="AX7" s="1">
        <f t="shared" si="7"/>
        <v>0</v>
      </c>
      <c r="AY7" s="1">
        <f t="shared" si="7"/>
        <v>7.7599604991261173E-2</v>
      </c>
      <c r="AZ7" s="1">
        <f t="shared" si="7"/>
        <v>0.10346613998834822</v>
      </c>
      <c r="BA7" s="1">
        <f t="shared" si="7"/>
        <v>0.12933267498543527</v>
      </c>
      <c r="BB7" s="1">
        <f t="shared" si="7"/>
        <v>0.15519920998252232</v>
      </c>
      <c r="BC7" s="1">
        <f t="shared" si="7"/>
        <v>0.18106574497960939</v>
      </c>
      <c r="BD7" s="1"/>
      <c r="BE7">
        <f t="shared" ref="BE7" si="22">LN($D7)-LN($D7*(1+BA7/100))</f>
        <v>-1.2924911232286007E-3</v>
      </c>
      <c r="BF7">
        <f t="shared" si="16"/>
        <v>-1.5507890047228301E-3</v>
      </c>
      <c r="BG7">
        <f t="shared" si="16"/>
        <v>-1.8090201856484356E-3</v>
      </c>
    </row>
    <row r="8" spans="1:59" x14ac:dyDescent="0.35">
      <c r="A8" t="str">
        <f>regions!A8</f>
        <v>Argentina</v>
      </c>
      <c r="B8" s="22">
        <f>regions!B8</f>
        <v>40374224</v>
      </c>
      <c r="C8" s="22">
        <f>regions!C8</f>
        <v>293697869622.22595</v>
      </c>
      <c r="D8" s="10">
        <f>regions!D8</f>
        <v>7274.3904532313973</v>
      </c>
      <c r="E8" s="1">
        <f>regions!X8</f>
        <v>14.8</v>
      </c>
      <c r="G8" s="23">
        <v>-8.3688800000000005E-8</v>
      </c>
      <c r="I8" s="7">
        <f t="shared" si="8"/>
        <v>-3.2038751054340553</v>
      </c>
      <c r="J8" s="1">
        <f t="shared" si="9"/>
        <v>-2.6847100556879457</v>
      </c>
      <c r="K8" s="1">
        <f t="shared" si="3"/>
        <v>6.2645341183588039</v>
      </c>
      <c r="L8" s="1">
        <f t="shared" si="9"/>
        <v>1.1608838403587116</v>
      </c>
      <c r="M8" s="1">
        <f t="shared" si="10"/>
        <v>-5.0267053483728015</v>
      </c>
      <c r="N8" s="1">
        <f t="shared" ref="N8" si="23">M8+M$2</f>
        <v>-4.6422624579257805</v>
      </c>
      <c r="O8" s="1">
        <f t="shared" si="12"/>
        <v>2.3707856322291589</v>
      </c>
      <c r="P8" s="1">
        <f t="shared" si="13"/>
        <v>-6.2922131459550883</v>
      </c>
      <c r="Q8" s="1">
        <f t="shared" si="4"/>
        <v>-3.2668675238352733</v>
      </c>
      <c r="R8" s="1">
        <f t="shared" si="4"/>
        <v>-3.2253928694573935</v>
      </c>
      <c r="S8" s="1">
        <f>$M8+SUMPRODUCT(regions!BG8:BS8,regions!BG$193:BS$193)</f>
        <v>-1.3596064326339614</v>
      </c>
      <c r="T8" s="1">
        <f>$M8+SUMPRODUCT(regions!BV8:CD8,regions!BV$193:CD$193)</f>
        <v>-0.86748423687651766</v>
      </c>
      <c r="U8" s="1">
        <f>$M8+SUMPRODUCT(regions!CQ8:CV8,regions!CQ$193:CV$193)</f>
        <v>-1.3062198000907186</v>
      </c>
      <c r="V8" s="1">
        <f>$M8+SUMPRODUCT(regions!CY8:DF8,regions!CY$193:DF$193)</f>
        <v>-0.85748423687651698</v>
      </c>
      <c r="W8" s="1">
        <f>$M8+SUMPRODUCT(regions!DI8:DP8,regions!DI$193:DP$193)</f>
        <v>1.1816157631234825</v>
      </c>
      <c r="X8" s="1">
        <f>$M8+SUMPRODUCT(regions!DR8:DW8,regions!DR$193:DW$193)</f>
        <v>0.79695624486234085</v>
      </c>
      <c r="Y8" s="1">
        <f>$M8+SUMPRODUCT(regions!DZ8:EE8,regions!DZ$193:EE$193)</f>
        <v>1.2979441778470706</v>
      </c>
      <c r="Z8" s="1">
        <f t="shared" si="5"/>
        <v>1.2</v>
      </c>
      <c r="AA8" t="str">
        <f>Maddison!A3</f>
        <v>Argentina</v>
      </c>
      <c r="AB8">
        <f>-Maddison!B3</f>
        <v>1.2</v>
      </c>
      <c r="AC8" s="1">
        <f>N8-AB8</f>
        <v>-5.8422624579257807</v>
      </c>
      <c r="AF8" s="1">
        <f t="shared" si="6"/>
        <v>8.3032946516271977</v>
      </c>
      <c r="AG8" s="1"/>
      <c r="AH8" s="1">
        <f t="shared" si="14"/>
        <v>-0.79254372926539496</v>
      </c>
      <c r="AI8" s="1">
        <f t="shared" si="7"/>
        <v>-0.73970748064770186</v>
      </c>
      <c r="AJ8" s="1">
        <f t="shared" si="7"/>
        <v>-0.68687123203000877</v>
      </c>
      <c r="AK8" s="1">
        <f t="shared" si="7"/>
        <v>-0.5811987347946227</v>
      </c>
      <c r="AL8" s="1">
        <f t="shared" si="7"/>
        <v>-0.52836248617692971</v>
      </c>
      <c r="AM8" s="1">
        <f t="shared" si="7"/>
        <v>-0.47552623755923673</v>
      </c>
      <c r="AN8" s="1">
        <f t="shared" si="7"/>
        <v>-0.42268998894154375</v>
      </c>
      <c r="AO8" s="1">
        <f t="shared" si="7"/>
        <v>-0.36985374032385077</v>
      </c>
      <c r="AP8" s="1">
        <f t="shared" si="7"/>
        <v>-0.31701749170615778</v>
      </c>
      <c r="AQ8" s="1">
        <f t="shared" si="7"/>
        <v>-0.2641812430884648</v>
      </c>
      <c r="AR8" s="1">
        <f t="shared" si="7"/>
        <v>-0.21134499447077185</v>
      </c>
      <c r="AS8" s="1">
        <f t="shared" si="7"/>
        <v>-0.15850874585307886</v>
      </c>
      <c r="AT8" s="1">
        <f t="shared" si="7"/>
        <v>-0.10567249723538588</v>
      </c>
      <c r="AU8" s="1">
        <f t="shared" si="7"/>
        <v>-5.2836248617692885E-2</v>
      </c>
      <c r="AV8" s="1">
        <f t="shared" si="7"/>
        <v>0</v>
      </c>
      <c r="AW8" s="1">
        <f t="shared" si="7"/>
        <v>5.2836248617692989E-2</v>
      </c>
      <c r="AX8" s="1">
        <f t="shared" si="7"/>
        <v>0</v>
      </c>
      <c r="AY8" s="1">
        <f t="shared" si="7"/>
        <v>0.15850874585307898</v>
      </c>
      <c r="AZ8" s="1">
        <f t="shared" si="7"/>
        <v>0.21134499447077196</v>
      </c>
      <c r="BA8" s="1">
        <f t="shared" si="7"/>
        <v>0.26418124308846491</v>
      </c>
      <c r="BB8" s="1">
        <f t="shared" si="7"/>
        <v>0.31701749170615789</v>
      </c>
      <c r="BC8" s="1">
        <f t="shared" si="7"/>
        <v>0.36985374032385093</v>
      </c>
      <c r="BD8" s="1"/>
      <c r="BE8">
        <f t="shared" ref="BE8" si="24">LN($D8)-LN($D8*(1+BA8/100))</f>
        <v>-2.6383289781612973E-3</v>
      </c>
      <c r="BF8">
        <f t="shared" si="16"/>
        <v>-3.1651605074678457E-3</v>
      </c>
      <c r="BG8">
        <f t="shared" si="16"/>
        <v>-3.6917146314525695E-3</v>
      </c>
    </row>
    <row r="9" spans="1:59" x14ac:dyDescent="0.35">
      <c r="A9" t="str">
        <f>regions!A9</f>
        <v>Armenia</v>
      </c>
      <c r="B9" s="22">
        <f>regions!B9</f>
        <v>2963496</v>
      </c>
      <c r="C9" s="22">
        <f>regions!C9</f>
        <v>5918216827.4621973</v>
      </c>
      <c r="D9" s="10">
        <f>regions!D9</f>
        <v>1997.0389119682286</v>
      </c>
      <c r="E9" s="1">
        <f>regions!X9</f>
        <v>7.1</v>
      </c>
      <c r="G9" s="23">
        <v>7.3725499999999997E-13</v>
      </c>
      <c r="I9" s="7">
        <f t="shared" si="8"/>
        <v>-2.3061259172860531</v>
      </c>
      <c r="J9" s="1">
        <f t="shared" si="9"/>
        <v>-1.7869608675399433</v>
      </c>
      <c r="K9" s="1">
        <f t="shared" si="3"/>
        <v>1.148626442441087</v>
      </c>
      <c r="L9" s="1">
        <f t="shared" si="9"/>
        <v>-3.9550238355590053</v>
      </c>
      <c r="M9" s="1">
        <f t="shared" si="10"/>
        <v>-3.7454999466524339</v>
      </c>
      <c r="N9" s="1">
        <f t="shared" ref="N9" si="25">M9+M$2</f>
        <v>-3.3610570562054134</v>
      </c>
      <c r="O9" s="1">
        <f t="shared" si="12"/>
        <v>3.3374758260599888</v>
      </c>
      <c r="P9" s="1">
        <f t="shared" si="13"/>
        <v>-5.0110077442347212</v>
      </c>
      <c r="Q9" s="1">
        <f t="shared" si="4"/>
        <v>-1.985662122114906</v>
      </c>
      <c r="R9" s="1">
        <f t="shared" si="4"/>
        <v>-1.9441874677370261</v>
      </c>
      <c r="S9" s="1">
        <f>$M9+SUMPRODUCT(regions!BG9:BS9,regions!BG$193:BS$193)</f>
        <v>5.0404385531475562</v>
      </c>
      <c r="T9" s="1">
        <f>$M9+SUMPRODUCT(regions!BV9:CD9,regions!BV$193:CD$193)</f>
        <v>-3.5762538024999273</v>
      </c>
      <c r="U9" s="1">
        <f>$M9+SUMPRODUCT(regions!CQ9:CV9,regions!CQ$193:CV$193)</f>
        <v>-6.3283965604000905</v>
      </c>
      <c r="V9" s="1">
        <f>$M9+SUMPRODUCT(regions!CY9:DF9,regions!CY$193:DF$193)</f>
        <v>-3.8762538024999276</v>
      </c>
      <c r="W9" s="1">
        <f>$M9+SUMPRODUCT(regions!DI9:DP9,regions!DI$193:DP$193)</f>
        <v>-3.4457538024999277</v>
      </c>
      <c r="X9" s="1">
        <f>$M9+SUMPRODUCT(regions!DR9:DW9,regions!DR$193:DW$193)</f>
        <v>-6.1713965604000904</v>
      </c>
      <c r="Y9" s="1">
        <f>$M9+SUMPRODUCT(regions!DZ9:EE9,regions!DZ$193:EE$193)</f>
        <v>-6.2713965604000901</v>
      </c>
      <c r="Z9" s="1">
        <f t="shared" ref="Z9:Z72" si="26">IF(ISNUMBER(AB9),AB9,N9-AC$2)</f>
        <v>-0.26543376420778175</v>
      </c>
      <c r="AF9" s="1">
        <f t="shared" si="6"/>
        <v>9.5845000533475666</v>
      </c>
      <c r="AG9" s="1"/>
      <c r="AH9" s="1">
        <f t="shared" si="14"/>
        <v>-0.91483389836537254</v>
      </c>
      <c r="AI9" s="1">
        <f t="shared" si="7"/>
        <v>-0.85384497180768093</v>
      </c>
      <c r="AJ9" s="1">
        <f t="shared" si="7"/>
        <v>-0.79285604524998932</v>
      </c>
      <c r="AK9" s="1">
        <f t="shared" si="7"/>
        <v>-0.67087819213460631</v>
      </c>
      <c r="AL9" s="1">
        <f t="shared" si="7"/>
        <v>-0.60988926557691481</v>
      </c>
      <c r="AM9" s="1">
        <f t="shared" si="7"/>
        <v>-0.5489003390192233</v>
      </c>
      <c r="AN9" s="1">
        <f t="shared" si="7"/>
        <v>-0.48791141246153175</v>
      </c>
      <c r="AO9" s="1">
        <f t="shared" si="7"/>
        <v>-0.42692248590384024</v>
      </c>
      <c r="AP9" s="1">
        <f t="shared" si="7"/>
        <v>-0.3659335593461488</v>
      </c>
      <c r="AQ9" s="1">
        <f t="shared" si="7"/>
        <v>-0.30494463278845729</v>
      </c>
      <c r="AR9" s="1">
        <f t="shared" si="7"/>
        <v>-0.24395570623076585</v>
      </c>
      <c r="AS9" s="1">
        <f t="shared" si="7"/>
        <v>-0.18296677967307437</v>
      </c>
      <c r="AT9" s="1">
        <f t="shared" si="7"/>
        <v>-0.12197785311538287</v>
      </c>
      <c r="AU9" s="1">
        <f t="shared" si="7"/>
        <v>-6.0988926557691378E-2</v>
      </c>
      <c r="AV9" s="1">
        <f t="shared" si="7"/>
        <v>0</v>
      </c>
      <c r="AW9" s="1">
        <f t="shared" si="7"/>
        <v>6.0988926557691496E-2</v>
      </c>
      <c r="AX9" s="1">
        <f t="shared" si="7"/>
        <v>0</v>
      </c>
      <c r="AY9" s="1">
        <f t="shared" si="7"/>
        <v>0.18296677967307451</v>
      </c>
      <c r="AZ9" s="1">
        <f t="shared" si="7"/>
        <v>0.24395570623076598</v>
      </c>
      <c r="BA9" s="1">
        <f t="shared" si="7"/>
        <v>0.30494463278845746</v>
      </c>
      <c r="BB9" s="1">
        <f t="shared" si="7"/>
        <v>0.36593355934614896</v>
      </c>
      <c r="BC9" s="1">
        <f t="shared" si="7"/>
        <v>0.42692248590384047</v>
      </c>
      <c r="BD9" s="1"/>
      <c r="BE9">
        <f t="shared" ref="BE9" si="27">LN($D9)-LN($D9*(1+BA9/100))</f>
        <v>-3.0448061972574436E-3</v>
      </c>
      <c r="BF9">
        <f t="shared" si="16"/>
        <v>-3.652656514004704E-3</v>
      </c>
      <c r="BG9">
        <f t="shared" si="16"/>
        <v>-4.260137573186995E-3</v>
      </c>
    </row>
    <row r="10" spans="1:59" x14ac:dyDescent="0.35">
      <c r="A10" t="str">
        <f>regions!A10</f>
        <v>Australia</v>
      </c>
      <c r="B10" s="22">
        <f>regions!B10</f>
        <v>22065300</v>
      </c>
      <c r="C10" s="22">
        <f>regions!C10</f>
        <v>797442264201.02002</v>
      </c>
      <c r="D10" s="10">
        <f>regions!D10</f>
        <v>36140.105242213795</v>
      </c>
      <c r="E10" s="1">
        <f>regions!X10</f>
        <v>21.6</v>
      </c>
      <c r="G10">
        <v>-0.45477800000000002</v>
      </c>
      <c r="I10" s="7">
        <f t="shared" si="8"/>
        <v>-5.1581760426887193</v>
      </c>
      <c r="J10" s="1">
        <f t="shared" si="9"/>
        <v>-4.6390109929426098</v>
      </c>
      <c r="K10" s="1">
        <f t="shared" si="3"/>
        <v>0.82446634347905778</v>
      </c>
      <c r="L10" s="1">
        <f t="shared" si="9"/>
        <v>-4.2791839345210345</v>
      </c>
      <c r="M10" s="1">
        <f t="shared" si="10"/>
        <v>-5.3828385766836853</v>
      </c>
      <c r="N10" s="1">
        <f t="shared" ref="N10" si="28">M10+M$2</f>
        <v>-4.9983956862366643</v>
      </c>
      <c r="O10" s="1">
        <f t="shared" si="12"/>
        <v>2.9697246801058581</v>
      </c>
      <c r="P10" s="1">
        <f t="shared" si="13"/>
        <v>-6.648346374265973</v>
      </c>
      <c r="Q10" s="1">
        <f t="shared" si="4"/>
        <v>-3.6230007521461571</v>
      </c>
      <c r="R10" s="1">
        <f t="shared" si="4"/>
        <v>-3.5815260977682772</v>
      </c>
      <c r="S10" s="1">
        <f>$M10+SUMPRODUCT(regions!BG10:BS10,regions!BG$193:BS$193)</f>
        <v>-5.1109910358990547</v>
      </c>
      <c r="T10" s="1">
        <f>$M10+SUMPRODUCT(regions!BV10:CD10,regions!BV$193:CD$193)</f>
        <v>-6.8429987024504211</v>
      </c>
      <c r="U10" s="1">
        <f>$M10+SUMPRODUCT(regions!CQ10:CV10,regions!CQ$193:CV$193)</f>
        <v>-1.6623530284016024</v>
      </c>
      <c r="V10" s="1">
        <f>$M10+SUMPRODUCT(regions!CY10:DF10,regions!CY$193:DF$193)</f>
        <v>-8.6911205159263254</v>
      </c>
      <c r="W10" s="1">
        <f>$M10+SUMPRODUCT(regions!DI10:DP10,regions!DI$193:DP$193)</f>
        <v>-6.1386205159263252</v>
      </c>
      <c r="X10" s="1">
        <f>$M10+SUMPRODUCT(regions!DR10:DW10,regions!DR$193:DW$193)</f>
        <v>-7.2311205159263254</v>
      </c>
      <c r="Y10" s="1">
        <f>$M10+SUMPRODUCT(regions!DZ10:EE10,regions!DZ$193:EE$193)</f>
        <v>-6.8875520538222013</v>
      </c>
      <c r="Z10" s="1">
        <f t="shared" si="26"/>
        <v>1.6</v>
      </c>
      <c r="AA10" t="str">
        <f>Maddison!A4</f>
        <v>Australia</v>
      </c>
      <c r="AB10">
        <f>-Maddison!B4</f>
        <v>1.6</v>
      </c>
      <c r="AC10" s="1">
        <f>N10-AB10</f>
        <v>-6.5983956862366639</v>
      </c>
      <c r="AF10" s="1">
        <f t="shared" si="6"/>
        <v>7.9471614233163148</v>
      </c>
      <c r="AG10" s="1"/>
      <c r="AH10" s="1">
        <f t="shared" si="14"/>
        <v>-0.75855105903954445</v>
      </c>
      <c r="AI10" s="1">
        <f t="shared" si="7"/>
        <v>-0.70798098843690804</v>
      </c>
      <c r="AJ10" s="1">
        <f t="shared" si="7"/>
        <v>-0.65741091783427164</v>
      </c>
      <c r="AK10" s="1">
        <f t="shared" si="7"/>
        <v>-0.55627077662899904</v>
      </c>
      <c r="AL10" s="1">
        <f t="shared" si="7"/>
        <v>-0.50570070602636275</v>
      </c>
      <c r="AM10" s="1">
        <f t="shared" si="7"/>
        <v>-0.45513063542372645</v>
      </c>
      <c r="AN10" s="1">
        <f t="shared" si="7"/>
        <v>-0.40456056482109015</v>
      </c>
      <c r="AO10" s="1">
        <f t="shared" si="7"/>
        <v>-0.35399049421845385</v>
      </c>
      <c r="AP10" s="1">
        <f t="shared" si="7"/>
        <v>-0.30342042361581761</v>
      </c>
      <c r="AQ10" s="1">
        <f t="shared" si="7"/>
        <v>-0.25285035301318132</v>
      </c>
      <c r="AR10" s="1">
        <f t="shared" si="7"/>
        <v>-0.20228028241054505</v>
      </c>
      <c r="AS10" s="1">
        <f t="shared" si="7"/>
        <v>-0.15171021180790878</v>
      </c>
      <c r="AT10" s="1">
        <f t="shared" si="7"/>
        <v>-0.10114014120527248</v>
      </c>
      <c r="AU10" s="1">
        <f t="shared" si="7"/>
        <v>-5.0570070602636193E-2</v>
      </c>
      <c r="AV10" s="1">
        <f t="shared" si="7"/>
        <v>0</v>
      </c>
      <c r="AW10" s="1">
        <f t="shared" si="7"/>
        <v>5.057007060263629E-2</v>
      </c>
      <c r="AX10" s="1">
        <f t="shared" si="7"/>
        <v>0</v>
      </c>
      <c r="AY10" s="1">
        <f t="shared" si="7"/>
        <v>0.15171021180790889</v>
      </c>
      <c r="AZ10" s="1">
        <f t="shared" si="7"/>
        <v>0.20228028241054516</v>
      </c>
      <c r="BA10" s="1">
        <f t="shared" si="7"/>
        <v>0.25285035301318143</v>
      </c>
      <c r="BB10" s="1">
        <f t="shared" si="7"/>
        <v>0.30342042361581772</v>
      </c>
      <c r="BC10" s="1">
        <f t="shared" si="7"/>
        <v>0.35399049421845402</v>
      </c>
      <c r="BD10" s="1"/>
      <c r="BE10">
        <f t="shared" ref="BE10" si="29">LN($D10)-LN($D10*(1+BA10/100))</f>
        <v>-2.5253122434012454E-3</v>
      </c>
      <c r="BF10">
        <f t="shared" si="16"/>
        <v>-3.0296103287081877E-3</v>
      </c>
      <c r="BG10">
        <f t="shared" si="16"/>
        <v>-3.5336542256363401E-3</v>
      </c>
    </row>
    <row r="11" spans="1:59" x14ac:dyDescent="0.35">
      <c r="A11" t="str">
        <f>regions!A11</f>
        <v>Austria</v>
      </c>
      <c r="B11" s="22">
        <f>regions!B11</f>
        <v>8389771</v>
      </c>
      <c r="C11" s="22">
        <f>regions!C11</f>
        <v>325550262356.948</v>
      </c>
      <c r="D11" s="10">
        <f>regions!D11</f>
        <v>38803.235792365253</v>
      </c>
      <c r="E11" s="1">
        <f>regions!X11</f>
        <v>6.3</v>
      </c>
      <c r="I11" s="7">
        <f t="shared" si="8"/>
        <v>1.6898866292551236</v>
      </c>
      <c r="J11" s="1">
        <f t="shared" si="9"/>
        <v>2.2090516790012336</v>
      </c>
      <c r="K11" s="1">
        <f t="shared" si="3"/>
        <v>5.6286187480859766</v>
      </c>
      <c r="L11" s="1">
        <f t="shared" si="9"/>
        <v>0.52496847008588432</v>
      </c>
      <c r="M11" s="1">
        <f t="shared" si="10"/>
        <v>1.5981854980317123</v>
      </c>
      <c r="N11" s="1">
        <f t="shared" ref="N11" si="30">M11+M$2</f>
        <v>1.982628388478733</v>
      </c>
      <c r="O11" s="1">
        <f t="shared" si="12"/>
        <v>1.3911495358353911</v>
      </c>
      <c r="P11" s="1">
        <f t="shared" si="13"/>
        <v>0.33267770044942435</v>
      </c>
      <c r="Q11" s="1">
        <f t="shared" si="4"/>
        <v>3.35802332256924</v>
      </c>
      <c r="R11" s="1">
        <f t="shared" si="4"/>
        <v>3.3994979769471203</v>
      </c>
      <c r="S11" s="1">
        <f>$M11+SUMPRODUCT(regions!BG11:BS11,regions!BG$193:BS$193)</f>
        <v>-1.2328697420449006</v>
      </c>
      <c r="T11" s="1">
        <f>$M11+SUMPRODUCT(regions!BV11:CD11,regions!BV$193:CD$193)</f>
        <v>0.36699654996418984</v>
      </c>
      <c r="U11" s="1">
        <f>$M11+SUMPRODUCT(regions!CQ11:CV11,regions!CQ$193:CV$193)</f>
        <v>0.61727273221434786</v>
      </c>
      <c r="V11" s="1">
        <f>$M11+SUMPRODUCT(regions!CY11:DF11,regions!CY$193:DF$193)</f>
        <v>0.49399052072233096</v>
      </c>
      <c r="W11" s="1">
        <f>$M11+SUMPRODUCT(regions!DI11:DP11,regions!DI$193:DP$193)</f>
        <v>0.5639905207223308</v>
      </c>
      <c r="X11" s="1">
        <f>$M11+SUMPRODUCT(regions!DR11:DW11,regions!DR$193:DW$193)</f>
        <v>0.39399052072233087</v>
      </c>
      <c r="Y11" s="1">
        <f>$M11+SUMPRODUCT(regions!DZ11:EE11,regions!DZ$193:EE$193)</f>
        <v>0.19399052072233069</v>
      </c>
      <c r="Z11" s="1">
        <f t="shared" si="26"/>
        <v>1.8</v>
      </c>
      <c r="AA11" t="str">
        <f>Maddison!A5</f>
        <v>Austria</v>
      </c>
      <c r="AB11">
        <f>-Maddison!B5</f>
        <v>1.8</v>
      </c>
      <c r="AC11" s="1">
        <f>N11-AB11</f>
        <v>0.18262838847873297</v>
      </c>
      <c r="AF11" s="1">
        <f t="shared" si="6"/>
        <v>14.928185498031713</v>
      </c>
      <c r="AG11" s="1"/>
      <c r="AH11" s="1">
        <f t="shared" si="14"/>
        <v>-1.4248849766468388</v>
      </c>
      <c r="AI11" s="1">
        <f t="shared" si="7"/>
        <v>-1.3298926448703827</v>
      </c>
      <c r="AJ11" s="1">
        <f t="shared" si="7"/>
        <v>-1.2349003130939264</v>
      </c>
      <c r="AK11" s="1">
        <f t="shared" si="7"/>
        <v>-1.0449156495410146</v>
      </c>
      <c r="AL11" s="1">
        <f t="shared" si="7"/>
        <v>-0.94992331776455874</v>
      </c>
      <c r="AM11" s="1">
        <f t="shared" si="7"/>
        <v>-0.8549309859881028</v>
      </c>
      <c r="AN11" s="1">
        <f t="shared" si="7"/>
        <v>-0.75993865421164697</v>
      </c>
      <c r="AO11" s="1">
        <f t="shared" si="7"/>
        <v>-0.66494632243519103</v>
      </c>
      <c r="AP11" s="1">
        <f t="shared" si="7"/>
        <v>-0.5699539906587352</v>
      </c>
      <c r="AQ11" s="1">
        <f t="shared" si="7"/>
        <v>-0.47496165888227926</v>
      </c>
      <c r="AR11" s="1">
        <f t="shared" si="7"/>
        <v>-0.37996932710582343</v>
      </c>
      <c r="AS11" s="1">
        <f t="shared" si="7"/>
        <v>-0.28497699532936754</v>
      </c>
      <c r="AT11" s="1">
        <f t="shared" si="7"/>
        <v>-0.18998466355291163</v>
      </c>
      <c r="AU11" s="1">
        <f t="shared" si="7"/>
        <v>-9.4992331776455718E-2</v>
      </c>
      <c r="AV11" s="1">
        <f t="shared" si="7"/>
        <v>0</v>
      </c>
      <c r="AW11" s="1">
        <f t="shared" si="7"/>
        <v>9.4992331776455899E-2</v>
      </c>
      <c r="AX11" s="1">
        <f t="shared" si="7"/>
        <v>0</v>
      </c>
      <c r="AY11" s="1">
        <f t="shared" si="7"/>
        <v>0.28497699532936777</v>
      </c>
      <c r="AZ11" s="1">
        <f t="shared" si="7"/>
        <v>0.3799693271058236</v>
      </c>
      <c r="BA11" s="1">
        <f t="shared" si="7"/>
        <v>0.47496165888227948</v>
      </c>
      <c r="BB11" s="1">
        <f t="shared" si="7"/>
        <v>0.56995399065873542</v>
      </c>
      <c r="BC11" s="1">
        <f t="shared" si="7"/>
        <v>0.66494632243519136</v>
      </c>
      <c r="BD11" s="1"/>
      <c r="BE11">
        <f t="shared" ref="BE11" si="31">LN($D11)-LN($D11*(1+BA11/100))</f>
        <v>-4.7383727485161842E-3</v>
      </c>
      <c r="BF11">
        <f t="shared" si="16"/>
        <v>-5.6833589824485387E-3</v>
      </c>
      <c r="BG11">
        <f t="shared" si="16"/>
        <v>-6.6274530604086834E-3</v>
      </c>
    </row>
    <row r="12" spans="1:59" x14ac:dyDescent="0.35">
      <c r="A12" t="str">
        <f>regions!A12</f>
        <v>Azerbaijan</v>
      </c>
      <c r="B12" s="22">
        <f>regions!B12</f>
        <v>9054332</v>
      </c>
      <c r="C12" s="22">
        <f>regions!C12</f>
        <v>28310397706.794827</v>
      </c>
      <c r="D12" s="10">
        <f>regions!D12</f>
        <v>3126.7240594662121</v>
      </c>
      <c r="E12" s="1">
        <f>regions!X12</f>
        <v>11.9</v>
      </c>
      <c r="G12">
        <v>-13.33</v>
      </c>
      <c r="H12">
        <v>8.6854600000000008</v>
      </c>
      <c r="I12" s="7">
        <f t="shared" si="8"/>
        <v>-4.0775373711690577</v>
      </c>
      <c r="J12" s="1">
        <f t="shared" si="9"/>
        <v>-3.5583723214229481</v>
      </c>
      <c r="K12" s="1">
        <f t="shared" si="3"/>
        <v>1.1597213280062384</v>
      </c>
      <c r="L12" s="1">
        <f t="shared" si="9"/>
        <v>-3.9439289499938539</v>
      </c>
      <c r="M12" s="1">
        <f t="shared" si="10"/>
        <v>-5.1448741111299467</v>
      </c>
      <c r="N12" s="1">
        <f t="shared" ref="N12" si="32">M12+M$2</f>
        <v>-4.7604312206829258</v>
      </c>
      <c r="O12" s="1">
        <f t="shared" si="12"/>
        <v>3.3374758260599875</v>
      </c>
      <c r="P12" s="1">
        <f t="shared" si="13"/>
        <v>-6.4103819087122353</v>
      </c>
      <c r="Q12" s="1">
        <f t="shared" si="4"/>
        <v>-3.3850362865924186</v>
      </c>
      <c r="R12" s="1">
        <f t="shared" si="4"/>
        <v>-3.3435616322145387</v>
      </c>
      <c r="S12" s="1">
        <f>$M12+SUMPRODUCT(regions!BG12:BS12,regions!BG$193:BS$193)</f>
        <v>3.6410643886700429</v>
      </c>
      <c r="T12" s="1">
        <f>$M12+SUMPRODUCT(regions!BV12:CD12,regions!BV$193:CD$193)</f>
        <v>-4.9756279669774406</v>
      </c>
      <c r="U12" s="1">
        <f>$M12+SUMPRODUCT(regions!CQ12:CV12,regions!CQ$193:CV$193)</f>
        <v>-7.7277707248776029</v>
      </c>
      <c r="V12" s="1">
        <f>$M12+SUMPRODUCT(regions!CY12:DF12,regions!CY$193:DF$193)</f>
        <v>-5.2756279669774404</v>
      </c>
      <c r="W12" s="1">
        <f>$M12+SUMPRODUCT(regions!DI12:DP12,regions!DI$193:DP$193)</f>
        <v>-4.8451279669774401</v>
      </c>
      <c r="X12" s="1">
        <f>$M12+SUMPRODUCT(regions!DR12:DW12,regions!DR$193:DW$193)</f>
        <v>-7.5707707248776028</v>
      </c>
      <c r="Y12" s="1">
        <f>$M12+SUMPRODUCT(regions!DZ12:EE12,regions!DZ$193:EE$193)</f>
        <v>-7.6707707248776034</v>
      </c>
      <c r="Z12" s="1">
        <f t="shared" si="26"/>
        <v>-1.6648079286852941</v>
      </c>
      <c r="AF12" s="1">
        <f t="shared" si="6"/>
        <v>8.1851258888700542</v>
      </c>
      <c r="AG12" s="1"/>
      <c r="AH12" s="1">
        <f t="shared" si="14"/>
        <v>-0.78126460262379482</v>
      </c>
      <c r="AI12" s="1">
        <f t="shared" si="7"/>
        <v>-0.72918029578220833</v>
      </c>
      <c r="AJ12" s="1">
        <f t="shared" si="7"/>
        <v>-0.67709598894062195</v>
      </c>
      <c r="AK12" s="1">
        <f t="shared" si="7"/>
        <v>-0.5729273752574493</v>
      </c>
      <c r="AL12" s="1">
        <f t="shared" si="7"/>
        <v>-0.52084306841586303</v>
      </c>
      <c r="AM12" s="1">
        <f t="shared" si="7"/>
        <v>-0.46875876157427665</v>
      </c>
      <c r="AN12" s="1">
        <f t="shared" si="7"/>
        <v>-0.41667445473269032</v>
      </c>
      <c r="AO12" s="1">
        <f t="shared" si="7"/>
        <v>-0.364590147891104</v>
      </c>
      <c r="AP12" s="1">
        <f t="shared" si="7"/>
        <v>-0.31250584104951773</v>
      </c>
      <c r="AQ12" s="1">
        <f t="shared" si="7"/>
        <v>-0.26042153420793146</v>
      </c>
      <c r="AR12" s="1">
        <f t="shared" si="7"/>
        <v>-0.20833722736634513</v>
      </c>
      <c r="AS12" s="1">
        <f t="shared" si="7"/>
        <v>-0.15625292052475884</v>
      </c>
      <c r="AT12" s="1">
        <f t="shared" si="7"/>
        <v>-0.10416861368317253</v>
      </c>
      <c r="AU12" s="1">
        <f t="shared" si="7"/>
        <v>-5.2084306841586214E-2</v>
      </c>
      <c r="AV12" s="1">
        <f t="shared" si="7"/>
        <v>0</v>
      </c>
      <c r="AW12" s="1">
        <f t="shared" si="7"/>
        <v>5.2084306841586311E-2</v>
      </c>
      <c r="AX12" s="1">
        <f t="shared" si="7"/>
        <v>0</v>
      </c>
      <c r="AY12" s="1">
        <f t="shared" si="7"/>
        <v>0.15625292052475895</v>
      </c>
      <c r="AZ12" s="1">
        <f t="shared" si="7"/>
        <v>0.20833722736634525</v>
      </c>
      <c r="BA12" s="1">
        <f t="shared" si="7"/>
        <v>0.26042153420793157</v>
      </c>
      <c r="BB12" s="1">
        <f t="shared" si="7"/>
        <v>0.31250584104951784</v>
      </c>
      <c r="BC12" s="1">
        <f t="shared" si="7"/>
        <v>0.36459014789110417</v>
      </c>
      <c r="BD12" s="1"/>
      <c r="BE12">
        <f t="shared" ref="BE12" si="33">LN($D12)-LN($D12*(1+BA12/100))</f>
        <v>-2.600830249038566E-3</v>
      </c>
      <c r="BF12">
        <f t="shared" si="16"/>
        <v>-3.1201855647733368E-3</v>
      </c>
      <c r="BG12">
        <f t="shared" si="16"/>
        <v>-3.6392712905701785E-3</v>
      </c>
    </row>
    <row r="13" spans="1:59" x14ac:dyDescent="0.35">
      <c r="A13" t="str">
        <f>regions!A13</f>
        <v>Bahamas</v>
      </c>
      <c r="B13" s="22">
        <f>regions!B13</f>
        <v>360498</v>
      </c>
      <c r="C13" s="22">
        <f>regions!C13</f>
        <v>7575468595.4633093</v>
      </c>
      <c r="D13" s="10">
        <f>regions!D13</f>
        <v>21013.899093651864</v>
      </c>
      <c r="E13" s="1">
        <f>regions!X13</f>
        <v>24.8</v>
      </c>
      <c r="G13">
        <v>1.68021</v>
      </c>
      <c r="H13">
        <v>0.79040500000000002</v>
      </c>
      <c r="I13" s="7">
        <f t="shared" si="8"/>
        <v>-4.3986620398252398</v>
      </c>
      <c r="J13" s="1">
        <f t="shared" si="9"/>
        <v>-3.8794969900791303</v>
      </c>
      <c r="K13" s="1">
        <f t="shared" si="3"/>
        <v>8.1203180244377346</v>
      </c>
      <c r="L13" s="1">
        <f t="shared" si="9"/>
        <v>3.0166677464376424</v>
      </c>
      <c r="M13" s="1">
        <f t="shared" si="10"/>
        <v>-7.7289781589858162</v>
      </c>
      <c r="N13" s="1">
        <f t="shared" ref="N13" si="34">M13+M$2</f>
        <v>-7.3445352685387952</v>
      </c>
      <c r="O13" s="1">
        <f t="shared" si="12"/>
        <v>2.4830845041512104</v>
      </c>
      <c r="P13" s="1">
        <f t="shared" si="13"/>
        <v>-8.9944859565681039</v>
      </c>
      <c r="Q13" s="1">
        <f t="shared" si="4"/>
        <v>-5.9691403344482881</v>
      </c>
      <c r="R13" s="1">
        <f t="shared" si="4"/>
        <v>-5.9276656800704082</v>
      </c>
      <c r="S13" s="1">
        <f>$M13+SUMPRODUCT(regions!BG13:BS13,regions!BG$193:BS$193)</f>
        <v>-7.4571306182011856</v>
      </c>
      <c r="T13" s="1">
        <f>$M13+SUMPRODUCT(regions!BV13:CD13,regions!BV$193:CD$193)</f>
        <v>-3.5697570474895324</v>
      </c>
      <c r="U13" s="1">
        <f>$M13+SUMPRODUCT(regions!CQ13:CV13,regions!CQ$193:CV$193)</f>
        <v>-4.0084926107037333</v>
      </c>
      <c r="V13" s="1">
        <f>$M13+SUMPRODUCT(regions!CY13:DF13,regions!CY$193:DF$193)</f>
        <v>-3.5597570474895317</v>
      </c>
      <c r="W13" s="1">
        <f>$M13+SUMPRODUCT(regions!DI13:DP13,regions!DI$193:DP$193)</f>
        <v>-1.5206570474895322</v>
      </c>
      <c r="X13" s="1">
        <f>$M13+SUMPRODUCT(regions!DR13:DW13,regions!DR$193:DW$193)</f>
        <v>-1.9053165657506739</v>
      </c>
      <c r="Y13" s="1">
        <f>$M13+SUMPRODUCT(regions!DZ13:EE13,regions!DZ$193:EE$193)</f>
        <v>-1.4043286327659441</v>
      </c>
      <c r="Z13" s="1">
        <f t="shared" si="26"/>
        <v>-3.2</v>
      </c>
      <c r="AA13" t="str">
        <f>Maddison!A6</f>
        <v>Bahamas</v>
      </c>
      <c r="AB13">
        <f>-Maddison!B6</f>
        <v>-3.2</v>
      </c>
      <c r="AC13" s="1">
        <f>N13-AB13</f>
        <v>-4.1445352685387951</v>
      </c>
      <c r="AF13" s="1">
        <f t="shared" si="6"/>
        <v>5.6010218410141839</v>
      </c>
      <c r="AG13" s="1"/>
      <c r="AH13" s="1">
        <f t="shared" si="14"/>
        <v>-0.5346136592544487</v>
      </c>
      <c r="AI13" s="1">
        <f t="shared" si="7"/>
        <v>-0.49897274863748542</v>
      </c>
      <c r="AJ13" s="1">
        <f t="shared" si="7"/>
        <v>-0.46333183802052208</v>
      </c>
      <c r="AK13" s="1">
        <f t="shared" si="7"/>
        <v>-0.39205001678659557</v>
      </c>
      <c r="AL13" s="1">
        <f t="shared" si="7"/>
        <v>-0.35640910616963234</v>
      </c>
      <c r="AM13" s="1">
        <f t="shared" si="7"/>
        <v>-0.32076819555266911</v>
      </c>
      <c r="AN13" s="1">
        <f t="shared" si="7"/>
        <v>-0.28512728493570583</v>
      </c>
      <c r="AO13" s="1">
        <f t="shared" si="7"/>
        <v>-0.2494863743187426</v>
      </c>
      <c r="AP13" s="1">
        <f t="shared" si="7"/>
        <v>-0.21384546370177937</v>
      </c>
      <c r="AQ13" s="1">
        <f t="shared" si="7"/>
        <v>-0.17820455308481614</v>
      </c>
      <c r="AR13" s="1">
        <f t="shared" si="7"/>
        <v>-0.14256364246785289</v>
      </c>
      <c r="AS13" s="1">
        <f t="shared" si="7"/>
        <v>-0.10692273185088967</v>
      </c>
      <c r="AT13" s="1">
        <f t="shared" si="7"/>
        <v>-7.1281821233926415E-2</v>
      </c>
      <c r="AU13" s="1">
        <f t="shared" si="7"/>
        <v>-3.5640910616963173E-2</v>
      </c>
      <c r="AV13" s="1">
        <f t="shared" si="7"/>
        <v>0</v>
      </c>
      <c r="AW13" s="1">
        <f t="shared" si="7"/>
        <v>3.5640910616963242E-2</v>
      </c>
      <c r="AX13" s="1">
        <f t="shared" si="7"/>
        <v>0</v>
      </c>
      <c r="AY13" s="1">
        <f t="shared" si="7"/>
        <v>0.10692273185088974</v>
      </c>
      <c r="AZ13" s="1">
        <f t="shared" si="7"/>
        <v>0.14256364246785297</v>
      </c>
      <c r="BA13" s="1">
        <f t="shared" si="7"/>
        <v>0.1782045530848162</v>
      </c>
      <c r="BB13" s="1">
        <f t="shared" si="7"/>
        <v>0.21384546370177945</v>
      </c>
      <c r="BC13" s="1">
        <f t="shared" si="7"/>
        <v>0.24948637431874271</v>
      </c>
      <c r="BD13" s="1"/>
      <c r="BE13">
        <f t="shared" ref="BE13" si="35">LN($D13)-LN($D13*(1+BA13/100))</f>
        <v>-1.7804595716004457E-3</v>
      </c>
      <c r="BF13">
        <f t="shared" si="16"/>
        <v>-2.1361713973906404E-3</v>
      </c>
      <c r="BG13">
        <f t="shared" si="16"/>
        <v>-2.4917567372710892E-3</v>
      </c>
    </row>
    <row r="14" spans="1:59" x14ac:dyDescent="0.35">
      <c r="A14" t="str">
        <f>regions!A14</f>
        <v>Bahrain</v>
      </c>
      <c r="B14" s="22">
        <f>regions!B14</f>
        <v>1251513</v>
      </c>
      <c r="C14" s="22">
        <f>regions!C14</f>
        <v>20928102319.771168</v>
      </c>
      <c r="D14" s="10">
        <f>regions!D14</f>
        <v>16722.241255001882</v>
      </c>
      <c r="E14" s="1">
        <f>regions!X14</f>
        <v>27.1</v>
      </c>
      <c r="G14">
        <v>-0.44846799999999998</v>
      </c>
      <c r="H14">
        <v>0.13506699999999999</v>
      </c>
      <c r="I14" s="7">
        <f t="shared" si="8"/>
        <v>-6.229898275041247</v>
      </c>
      <c r="J14" s="1">
        <f t="shared" si="9"/>
        <v>-5.7107332252951375</v>
      </c>
      <c r="K14" s="1">
        <f t="shared" si="3"/>
        <v>7.121923989469229</v>
      </c>
      <c r="L14" s="1">
        <f t="shared" si="9"/>
        <v>2.0182737114691367</v>
      </c>
      <c r="M14" s="1">
        <f t="shared" si="10"/>
        <v>-9.144289183734081</v>
      </c>
      <c r="N14" s="1">
        <f t="shared" ref="N14" si="36">M14+M$2</f>
        <v>-8.75984629328706</v>
      </c>
      <c r="O14" s="1">
        <f t="shared" si="12"/>
        <v>2.3788817405873082</v>
      </c>
      <c r="P14" s="1">
        <f t="shared" si="13"/>
        <v>-10.409796981316369</v>
      </c>
      <c r="Q14" s="1">
        <f t="shared" si="4"/>
        <v>-7.3844513591965537</v>
      </c>
      <c r="R14" s="1">
        <f t="shared" si="4"/>
        <v>-7.3429767048186729</v>
      </c>
      <c r="S14" s="1">
        <f>$M14+SUMPRODUCT(regions!BG14:BS14,regions!BG$193:BS$193)</f>
        <v>-3.0490346633641989</v>
      </c>
      <c r="T14" s="1">
        <f>$M14+SUMPRODUCT(regions!BV14:CD14,regions!BV$193:CD$193)</f>
        <v>-6.6573096934505287</v>
      </c>
      <c r="U14" s="1">
        <f>$M14+SUMPRODUCT(regions!CQ14:CV14,regions!CQ$193:CV$193)</f>
        <v>-5.4238036354519981</v>
      </c>
      <c r="V14" s="1">
        <f>$M14+SUMPRODUCT(regions!CY14:DF14,regions!CY$193:DF$193)</f>
        <v>-7.0427116629083795</v>
      </c>
      <c r="W14" s="1">
        <f>$M14+SUMPRODUCT(regions!DI14:DP14,regions!DI$193:DP$193)</f>
        <v>-3.4436116629083795</v>
      </c>
      <c r="X14" s="1">
        <f>$M14+SUMPRODUCT(regions!DR14:DW14,regions!DR$193:DW$193)</f>
        <v>-3.3206275904989386</v>
      </c>
      <c r="Y14" s="1">
        <f>$M14+SUMPRODUCT(regions!DZ14:EE14,regions!DZ$193:EE$193)</f>
        <v>-2.8196396575142089</v>
      </c>
      <c r="Z14" s="1">
        <f t="shared" si="26"/>
        <v>-5.6642230012894288</v>
      </c>
      <c r="AF14" s="1">
        <f t="shared" si="6"/>
        <v>4.1857108162659191</v>
      </c>
      <c r="AG14" s="1"/>
      <c r="AH14" s="1">
        <f t="shared" si="14"/>
        <v>-0.39952320122709228</v>
      </c>
      <c r="AI14" s="1">
        <f t="shared" si="7"/>
        <v>-0.37288832114528603</v>
      </c>
      <c r="AJ14" s="1">
        <f t="shared" si="7"/>
        <v>-0.34625344106347983</v>
      </c>
      <c r="AK14" s="1">
        <f t="shared" si="7"/>
        <v>-0.29298368089986754</v>
      </c>
      <c r="AL14" s="1">
        <f t="shared" si="7"/>
        <v>-0.26634880081806139</v>
      </c>
      <c r="AM14" s="1">
        <f t="shared" si="7"/>
        <v>-0.23971392073625525</v>
      </c>
      <c r="AN14" s="1">
        <f t="shared" si="7"/>
        <v>-0.2130790406544491</v>
      </c>
      <c r="AO14" s="1">
        <f t="shared" si="7"/>
        <v>-0.18644416057264293</v>
      </c>
      <c r="AP14" s="1">
        <f t="shared" si="7"/>
        <v>-0.15980928049083681</v>
      </c>
      <c r="AQ14" s="1">
        <f t="shared" si="7"/>
        <v>-0.13317440040903067</v>
      </c>
      <c r="AR14" s="1">
        <f t="shared" si="7"/>
        <v>-0.10653952032722454</v>
      </c>
      <c r="AS14" s="1">
        <f t="shared" si="7"/>
        <v>-7.9904640245418393E-2</v>
      </c>
      <c r="AT14" s="1">
        <f t="shared" si="7"/>
        <v>-5.3269760163612241E-2</v>
      </c>
      <c r="AU14" s="1">
        <f t="shared" si="7"/>
        <v>-2.6634880081806096E-2</v>
      </c>
      <c r="AV14" s="1">
        <f t="shared" si="7"/>
        <v>0</v>
      </c>
      <c r="AW14" s="1">
        <f t="shared" si="7"/>
        <v>2.6634880081806148E-2</v>
      </c>
      <c r="AX14" s="1">
        <f t="shared" si="7"/>
        <v>0</v>
      </c>
      <c r="AY14" s="1">
        <f t="shared" si="7"/>
        <v>7.9904640245418448E-2</v>
      </c>
      <c r="AZ14" s="1">
        <f t="shared" si="7"/>
        <v>0.10653952032722459</v>
      </c>
      <c r="BA14" s="1">
        <f t="shared" si="7"/>
        <v>0.13317440040903072</v>
      </c>
      <c r="BB14" s="1">
        <f t="shared" si="7"/>
        <v>0.15980928049083687</v>
      </c>
      <c r="BC14" s="1">
        <f t="shared" si="7"/>
        <v>0.18644416057264301</v>
      </c>
      <c r="BD14" s="1"/>
      <c r="BE14">
        <f t="shared" ref="BE14" si="37">LN($D14)-LN($D14*(1+BA14/100))</f>
        <v>-1.3308580195605657E-3</v>
      </c>
      <c r="BF14">
        <f t="shared" si="16"/>
        <v>-1.5968172134304126E-3</v>
      </c>
      <c r="BG14">
        <f t="shared" si="16"/>
        <v>-1.8627056918152363E-3</v>
      </c>
    </row>
    <row r="15" spans="1:59" x14ac:dyDescent="0.35">
      <c r="A15" t="str">
        <f>regions!A15</f>
        <v>Bangladesh</v>
      </c>
      <c r="B15" s="22">
        <f>regions!B15</f>
        <v>151125475</v>
      </c>
      <c r="C15" s="22">
        <f>regions!C15</f>
        <v>81471733197.377762</v>
      </c>
      <c r="D15" s="10">
        <f>regions!D15</f>
        <v>539.09993134762863</v>
      </c>
      <c r="E15" s="1">
        <f>regions!X15</f>
        <v>25</v>
      </c>
      <c r="I15" s="7">
        <f t="shared" si="8"/>
        <v>-12.718681142703074</v>
      </c>
      <c r="J15" s="1">
        <f t="shared" si="9"/>
        <v>-12.199516092956964</v>
      </c>
      <c r="K15" s="1">
        <f t="shared" si="3"/>
        <v>-10.123424209330533</v>
      </c>
      <c r="L15" s="1">
        <f t="shared" si="9"/>
        <v>-15.227074487330626</v>
      </c>
      <c r="M15" s="1">
        <f t="shared" si="10"/>
        <v>-13.973345516212357</v>
      </c>
      <c r="N15" s="1">
        <f t="shared" ref="N15" si="38">M15+M$2</f>
        <v>-13.588902625765336</v>
      </c>
      <c r="O15" s="1">
        <f t="shared" si="12"/>
        <v>3.9376964529861587</v>
      </c>
      <c r="P15" s="1">
        <f t="shared" si="13"/>
        <v>-15.238853313794642</v>
      </c>
      <c r="Q15" s="1">
        <f t="shared" si="4"/>
        <v>-12.213507691674829</v>
      </c>
      <c r="R15" s="1">
        <f t="shared" si="4"/>
        <v>-12.172033037296949</v>
      </c>
      <c r="S15" s="1">
        <f>$M15+SUMPRODUCT(regions!BG15:BS15,regions!BG$193:BS$193)</f>
        <v>-5.1874070164123669</v>
      </c>
      <c r="T15" s="1">
        <f>$M15+SUMPRODUCT(regions!BV15:CD15,regions!BV$193:CD$193)</f>
        <v>-13.688094756694168</v>
      </c>
      <c r="U15" s="1">
        <f>$M15+SUMPRODUCT(regions!CQ15:CV15,regions!CQ$193:CV$193)</f>
        <v>-10.252859967930274</v>
      </c>
      <c r="V15" s="1">
        <f>$M15+SUMPRODUCT(regions!CY15:DF15,regions!CY$193:DF$193)</f>
        <v>-13.834708123892556</v>
      </c>
      <c r="W15" s="1">
        <f>$M15+SUMPRODUCT(regions!DI15:DP15,regions!DI$193:DP$193)</f>
        <v>-8.3297081238925585</v>
      </c>
      <c r="X15" s="1">
        <f>$M15+SUMPRODUCT(regions!DR15:DW15,regions!DR$193:DW$193)</f>
        <v>-8.1496839229772142</v>
      </c>
      <c r="Y15" s="1">
        <f>$M15+SUMPRODUCT(regions!DZ15:EE15,regions!DZ$193:EE$193)</f>
        <v>-7.6486959899924845</v>
      </c>
      <c r="Z15" s="1">
        <f t="shared" si="26"/>
        <v>-2.6</v>
      </c>
      <c r="AA15" t="str">
        <f>Maddison!A7</f>
        <v>Bangladesh</v>
      </c>
      <c r="AB15">
        <f>-Maddison!B7</f>
        <v>-2.6</v>
      </c>
      <c r="AC15" s="1">
        <f>N15-AB15</f>
        <v>-10.988902625765336</v>
      </c>
      <c r="AF15" s="1">
        <f t="shared" si="6"/>
        <v>-0.64334551621235647</v>
      </c>
      <c r="AG15" s="1"/>
      <c r="AH15" s="1">
        <f t="shared" si="14"/>
        <v>6.1406884377539279E-2</v>
      </c>
      <c r="AI15" s="1">
        <f t="shared" si="7"/>
        <v>5.7313092085703315E-2</v>
      </c>
      <c r="AJ15" s="1">
        <f t="shared" si="7"/>
        <v>5.3219299793867358E-2</v>
      </c>
      <c r="AK15" s="1">
        <f t="shared" si="7"/>
        <v>4.5031715210195451E-2</v>
      </c>
      <c r="AL15" s="1">
        <f t="shared" si="7"/>
        <v>4.0937922918359501E-2</v>
      </c>
      <c r="AM15" s="1">
        <f t="shared" si="7"/>
        <v>3.6844130626523551E-2</v>
      </c>
      <c r="AN15" s="1">
        <f t="shared" ref="AI15:BC26" si="39">$AF15*AN$2</f>
        <v>3.2750338334687594E-2</v>
      </c>
      <c r="AO15" s="1">
        <f t="shared" si="39"/>
        <v>2.8656546042851644E-2</v>
      </c>
      <c r="AP15" s="1">
        <f t="shared" si="39"/>
        <v>2.4562753751015697E-2</v>
      </c>
      <c r="AQ15" s="1">
        <f t="shared" si="39"/>
        <v>2.0468961459179747E-2</v>
      </c>
      <c r="AR15" s="1">
        <f t="shared" si="39"/>
        <v>1.6375169167343797E-2</v>
      </c>
      <c r="AS15" s="1">
        <f t="shared" si="39"/>
        <v>1.2281376875507847E-2</v>
      </c>
      <c r="AT15" s="1">
        <f t="shared" si="39"/>
        <v>8.187584583671895E-3</v>
      </c>
      <c r="AU15" s="1">
        <f t="shared" si="39"/>
        <v>4.0937922918359432E-3</v>
      </c>
      <c r="AV15" s="1">
        <f t="shared" si="39"/>
        <v>0</v>
      </c>
      <c r="AW15" s="1">
        <f t="shared" si="39"/>
        <v>-4.093792291835951E-3</v>
      </c>
      <c r="AX15" s="1">
        <f t="shared" si="39"/>
        <v>0</v>
      </c>
      <c r="AY15" s="1">
        <f t="shared" si="39"/>
        <v>-1.2281376875507856E-2</v>
      </c>
      <c r="AZ15" s="1">
        <f t="shared" si="39"/>
        <v>-1.6375169167343804E-2</v>
      </c>
      <c r="BA15" s="1">
        <f t="shared" si="39"/>
        <v>-2.0468961459179754E-2</v>
      </c>
      <c r="BB15" s="1">
        <f t="shared" si="39"/>
        <v>-2.4562753751015708E-2</v>
      </c>
      <c r="BC15" s="1">
        <f t="shared" si="39"/>
        <v>-2.8656546042851658E-2</v>
      </c>
      <c r="BD15" s="1"/>
      <c r="BE15">
        <f t="shared" ref="BE15" si="40">LN($D15)-LN($D15*(1+BA15/100))</f>
        <v>2.0471056637028084E-4</v>
      </c>
      <c r="BF15">
        <f t="shared" si="16"/>
        <v>2.4565770889495298E-4</v>
      </c>
      <c r="BG15">
        <f t="shared" si="16"/>
        <v>2.8660652815570842E-4</v>
      </c>
    </row>
    <row r="16" spans="1:59" x14ac:dyDescent="0.35">
      <c r="A16" t="str">
        <f>regions!A16</f>
        <v>Barbados</v>
      </c>
      <c r="B16" s="22">
        <f>regions!B16</f>
        <v>280396</v>
      </c>
      <c r="C16" s="22">
        <f>regions!C16</f>
        <v>4033125824.922358</v>
      </c>
      <c r="D16" s="10">
        <f>regions!D16</f>
        <v>14383.678172735552</v>
      </c>
      <c r="E16" s="1">
        <f>regions!X16</f>
        <v>26</v>
      </c>
      <c r="I16" s="7">
        <f t="shared" si="8"/>
        <v>-6.2382642704939455</v>
      </c>
      <c r="J16" s="1">
        <f t="shared" si="9"/>
        <v>-5.7190992207478359</v>
      </c>
      <c r="K16" s="1">
        <f t="shared" si="3"/>
        <v>6.9463003735430657</v>
      </c>
      <c r="L16" s="1">
        <f t="shared" si="9"/>
        <v>1.8426500955429734</v>
      </c>
      <c r="M16" s="1">
        <f t="shared" si="10"/>
        <v>-8.9040905290539687</v>
      </c>
      <c r="N16" s="1">
        <f t="shared" ref="N16" si="41">M16+M$2</f>
        <v>-8.5196476386069477</v>
      </c>
      <c r="O16" s="1">
        <f t="shared" si="12"/>
        <v>2.3236527196621259</v>
      </c>
      <c r="P16" s="1">
        <f t="shared" si="13"/>
        <v>-10.169598326636256</v>
      </c>
      <c r="Q16" s="1">
        <f t="shared" si="4"/>
        <v>-7.1442527045164415</v>
      </c>
      <c r="R16" s="1">
        <f t="shared" si="4"/>
        <v>-7.1027780501385607</v>
      </c>
      <c r="S16" s="1">
        <f>$M16+SUMPRODUCT(regions!BG16:BS16,regions!BG$193:BS$193)</f>
        <v>-5.2369916133151282</v>
      </c>
      <c r="T16" s="1">
        <f>$M16+SUMPRODUCT(regions!BV16:CD16,regions!BV$193:CD$193)</f>
        <v>-4.7448694175576849</v>
      </c>
      <c r="U16" s="1">
        <f>$M16+SUMPRODUCT(regions!CQ16:CV16,regions!CQ$193:CV$193)</f>
        <v>-5.1836049807718858</v>
      </c>
      <c r="V16" s="1">
        <f>$M16+SUMPRODUCT(regions!CY16:DF16,regions!CY$193:DF$193)</f>
        <v>-4.7348694175576842</v>
      </c>
      <c r="W16" s="1">
        <f>$M16+SUMPRODUCT(regions!DI16:DP16,regions!DI$193:DP$193)</f>
        <v>-2.6957694175576847</v>
      </c>
      <c r="X16" s="1">
        <f>$M16+SUMPRODUCT(regions!DR16:DW16,regions!DR$193:DW$193)</f>
        <v>-3.0804289358188264</v>
      </c>
      <c r="Y16" s="1">
        <f>$M16+SUMPRODUCT(regions!DZ16:EE16,regions!DZ$193:EE$193)</f>
        <v>-2.5794410028340966</v>
      </c>
      <c r="Z16" s="1">
        <f t="shared" si="26"/>
        <v>-3.2</v>
      </c>
      <c r="AA16" t="str">
        <f>Maddison!A8</f>
        <v>Barbados</v>
      </c>
      <c r="AB16">
        <f>-Maddison!B8</f>
        <v>-3.2</v>
      </c>
      <c r="AC16" s="1">
        <f>N16-AB16</f>
        <v>-5.3196476386069476</v>
      </c>
      <c r="AF16" s="1">
        <f t="shared" si="6"/>
        <v>4.4259094709460314</v>
      </c>
      <c r="AG16" s="1"/>
      <c r="AH16" s="1">
        <f t="shared" si="14"/>
        <v>-0.42244999661757027</v>
      </c>
      <c r="AI16" s="1">
        <f t="shared" si="39"/>
        <v>-0.39428666350973218</v>
      </c>
      <c r="AJ16" s="1">
        <f t="shared" si="39"/>
        <v>-0.3661233304018941</v>
      </c>
      <c r="AK16" s="1">
        <f t="shared" si="39"/>
        <v>-0.30979666418621804</v>
      </c>
      <c r="AL16" s="1">
        <f t="shared" si="39"/>
        <v>-0.28163333107838007</v>
      </c>
      <c r="AM16" s="1">
        <f t="shared" si="39"/>
        <v>-0.25346999797054204</v>
      </c>
      <c r="AN16" s="1">
        <f t="shared" si="39"/>
        <v>-0.22530666486270401</v>
      </c>
      <c r="AO16" s="1">
        <f t="shared" si="39"/>
        <v>-0.19714333175486601</v>
      </c>
      <c r="AP16" s="1">
        <f t="shared" si="39"/>
        <v>-0.16897999864702801</v>
      </c>
      <c r="AQ16" s="1">
        <f t="shared" si="39"/>
        <v>-0.14081666553919001</v>
      </c>
      <c r="AR16" s="1">
        <f t="shared" si="39"/>
        <v>-0.11265333243135199</v>
      </c>
      <c r="AS16" s="1">
        <f t="shared" si="39"/>
        <v>-8.448999932351399E-2</v>
      </c>
      <c r="AT16" s="1">
        <f t="shared" si="39"/>
        <v>-5.6326666215675975E-2</v>
      </c>
      <c r="AU16" s="1">
        <f t="shared" si="39"/>
        <v>-2.816333310783796E-2</v>
      </c>
      <c r="AV16" s="1">
        <f t="shared" si="39"/>
        <v>0</v>
      </c>
      <c r="AW16" s="1">
        <f t="shared" si="39"/>
        <v>2.8163333107838012E-2</v>
      </c>
      <c r="AX16" s="1">
        <f t="shared" si="39"/>
        <v>0</v>
      </c>
      <c r="AY16" s="1">
        <f t="shared" si="39"/>
        <v>8.4489999323514045E-2</v>
      </c>
      <c r="AZ16" s="1">
        <f t="shared" si="39"/>
        <v>0.11265333243135205</v>
      </c>
      <c r="BA16" s="1">
        <f t="shared" si="39"/>
        <v>0.14081666553919006</v>
      </c>
      <c r="BB16" s="1">
        <f t="shared" si="39"/>
        <v>0.16897999864702806</v>
      </c>
      <c r="BC16" s="1">
        <f t="shared" si="39"/>
        <v>0.19714333175486609</v>
      </c>
      <c r="BD16" s="1"/>
      <c r="BE16">
        <f t="shared" ref="BE16" si="42">LN($D16)-LN($D16*(1+BA16/100))</f>
        <v>-1.4071761185121545E-3</v>
      </c>
      <c r="BF16">
        <f t="shared" si="16"/>
        <v>-1.6883738808033399E-3</v>
      </c>
      <c r="BG16">
        <f t="shared" si="16"/>
        <v>-1.9694925931403873E-3</v>
      </c>
    </row>
    <row r="17" spans="1:59" x14ac:dyDescent="0.35">
      <c r="A17" t="str">
        <f>regions!A17</f>
        <v>Belarus</v>
      </c>
      <c r="B17" s="22">
        <f>regions!B17</f>
        <v>9490000</v>
      </c>
      <c r="C17" s="22">
        <f>regions!C17</f>
        <v>42955347353.866852</v>
      </c>
      <c r="D17" s="10">
        <f>regions!D17</f>
        <v>4526.3801215876556</v>
      </c>
      <c r="E17" s="1">
        <f>regions!X17</f>
        <v>6.2</v>
      </c>
      <c r="I17" s="7">
        <f t="shared" si="8"/>
        <v>-0.21862711498777676</v>
      </c>
      <c r="J17" s="1">
        <f t="shared" si="9"/>
        <v>0.30053793475833301</v>
      </c>
      <c r="K17" s="1">
        <f t="shared" si="3"/>
        <v>6.1992234008891973</v>
      </c>
      <c r="L17" s="1">
        <f t="shared" si="9"/>
        <v>1.095573122889105</v>
      </c>
      <c r="M17" s="1">
        <f t="shared" si="10"/>
        <v>-1.9670351687466026</v>
      </c>
      <c r="N17" s="1">
        <f t="shared" ref="N17" si="43">M17+M$2</f>
        <v>-1.5825922782995818</v>
      </c>
      <c r="O17" s="1">
        <f t="shared" si="12"/>
        <v>2.0112086293259952</v>
      </c>
      <c r="P17" s="1">
        <f t="shared" si="13"/>
        <v>-3.2325429663288903</v>
      </c>
      <c r="Q17" s="1">
        <f t="shared" si="4"/>
        <v>-0.20719734420907487</v>
      </c>
      <c r="R17" s="1">
        <f t="shared" si="4"/>
        <v>-0.16572268983119454</v>
      </c>
      <c r="S17" s="1">
        <f>$M17+SUMPRODUCT(regions!BG17:BS17,regions!BG$193:BS$193)</f>
        <v>-0.81381799605649197</v>
      </c>
      <c r="T17" s="1">
        <f>$M17+SUMPRODUCT(regions!BV17:CD17,regions!BV$193:CD$193)</f>
        <v>-1.7977890245940962</v>
      </c>
      <c r="U17" s="1">
        <f>$M17+SUMPRODUCT(regions!CQ17:CV17,regions!CQ$193:CV$193)</f>
        <v>-4.5499317824942587</v>
      </c>
      <c r="V17" s="1">
        <f>$M17+SUMPRODUCT(regions!CY17:DF17,regions!CY$193:DF$193)</f>
        <v>-2.0977890245940962</v>
      </c>
      <c r="W17" s="1">
        <f>$M17+SUMPRODUCT(regions!DI17:DP17,regions!DI$193:DP$193)</f>
        <v>-1.6672890245940961</v>
      </c>
      <c r="X17" s="1">
        <f>$M17+SUMPRODUCT(regions!DR17:DW17,regions!DR$193:DW$193)</f>
        <v>-4.3929317824942586</v>
      </c>
      <c r="Y17" s="1">
        <f>$M17+SUMPRODUCT(regions!DZ17:EE17,regions!DZ$193:EE$193)</f>
        <v>-4.4929317824942592</v>
      </c>
      <c r="Z17" s="1">
        <f t="shared" si="26"/>
        <v>1.5130310136980498</v>
      </c>
      <c r="AF17" s="1">
        <f t="shared" si="6"/>
        <v>11.362964831253397</v>
      </c>
      <c r="AG17" s="1"/>
      <c r="AH17" s="1">
        <f t="shared" si="14"/>
        <v>-1.0845871308575397</v>
      </c>
      <c r="AI17" s="1">
        <f t="shared" si="39"/>
        <v>-1.0122813221337035</v>
      </c>
      <c r="AJ17" s="1">
        <f t="shared" si="39"/>
        <v>-0.93997551340986729</v>
      </c>
      <c r="AK17" s="1">
        <f t="shared" si="39"/>
        <v>-0.79536389596219537</v>
      </c>
      <c r="AL17" s="1">
        <f t="shared" si="39"/>
        <v>-0.7230580872383594</v>
      </c>
      <c r="AM17" s="1">
        <f t="shared" si="39"/>
        <v>-0.65075227851452344</v>
      </c>
      <c r="AN17" s="1">
        <f t="shared" si="39"/>
        <v>-0.57844646979068748</v>
      </c>
      <c r="AO17" s="1">
        <f t="shared" si="39"/>
        <v>-0.50614066106685152</v>
      </c>
      <c r="AP17" s="1">
        <f t="shared" si="39"/>
        <v>-0.43383485234301561</v>
      </c>
      <c r="AQ17" s="1">
        <f t="shared" si="39"/>
        <v>-0.36152904361917965</v>
      </c>
      <c r="AR17" s="1">
        <f t="shared" si="39"/>
        <v>-0.28922323489534368</v>
      </c>
      <c r="AS17" s="1">
        <f t="shared" si="39"/>
        <v>-0.21691742617150775</v>
      </c>
      <c r="AT17" s="1">
        <f t="shared" si="39"/>
        <v>-0.14461161744767179</v>
      </c>
      <c r="AU17" s="1">
        <f t="shared" si="39"/>
        <v>-7.2305808723835824E-2</v>
      </c>
      <c r="AV17" s="1">
        <f t="shared" si="39"/>
        <v>0</v>
      </c>
      <c r="AW17" s="1">
        <f t="shared" si="39"/>
        <v>7.2305808723835963E-2</v>
      </c>
      <c r="AX17" s="1">
        <f t="shared" si="39"/>
        <v>0</v>
      </c>
      <c r="AY17" s="1">
        <f t="shared" si="39"/>
        <v>0.21691742617150792</v>
      </c>
      <c r="AZ17" s="1">
        <f t="shared" si="39"/>
        <v>0.28922323489534385</v>
      </c>
      <c r="BA17" s="1">
        <f t="shared" si="39"/>
        <v>0.36152904361917976</v>
      </c>
      <c r="BB17" s="1">
        <f t="shared" si="39"/>
        <v>0.43383485234301578</v>
      </c>
      <c r="BC17" s="1">
        <f t="shared" si="39"/>
        <v>0.50614066106685174</v>
      </c>
      <c r="BD17" s="1"/>
      <c r="BE17">
        <f t="shared" ref="BE17" si="44">LN($D17)-LN($D17*(1+BA17/100))</f>
        <v>-3.6087709821437386E-3</v>
      </c>
      <c r="BF17">
        <f t="shared" si="16"/>
        <v>-4.3289650189599627E-3</v>
      </c>
      <c r="BG17">
        <f t="shared" si="16"/>
        <v>-5.048640749583555E-3</v>
      </c>
    </row>
    <row r="18" spans="1:59" x14ac:dyDescent="0.35">
      <c r="A18" t="str">
        <f>regions!A18</f>
        <v>Belgium</v>
      </c>
      <c r="B18" s="22">
        <f>regions!B18</f>
        <v>10895586</v>
      </c>
      <c r="C18" s="22">
        <f>regions!C18</f>
        <v>400383139123.5824</v>
      </c>
      <c r="D18" s="10">
        <f>regions!D18</f>
        <v>36747.279047091397</v>
      </c>
      <c r="E18" s="1">
        <f>regions!X18</f>
        <v>9.6</v>
      </c>
      <c r="I18" s="7">
        <f t="shared" si="8"/>
        <v>0.88773957967659989</v>
      </c>
      <c r="J18" s="1">
        <f t="shared" si="9"/>
        <v>1.4069046294227097</v>
      </c>
      <c r="K18" s="1">
        <f t="shared" si="3"/>
        <v>5.7923958212375419</v>
      </c>
      <c r="L18" s="1">
        <f t="shared" si="9"/>
        <v>0.68874554323744963</v>
      </c>
      <c r="M18" s="1">
        <f t="shared" si="10"/>
        <v>2.6771378860284578E-2</v>
      </c>
      <c r="N18" s="1">
        <f t="shared" ref="N18" si="45">M18+M$2</f>
        <v>0.41121426930730531</v>
      </c>
      <c r="O18" s="1">
        <f t="shared" si="12"/>
        <v>1.8434086945480375</v>
      </c>
      <c r="P18" s="1">
        <f t="shared" si="13"/>
        <v>-1.2387364187220034</v>
      </c>
      <c r="Q18" s="1">
        <f t="shared" si="4"/>
        <v>1.7866092033978123</v>
      </c>
      <c r="R18" s="1">
        <f t="shared" si="4"/>
        <v>1.8280838577756926</v>
      </c>
      <c r="S18" s="1">
        <f>$M18+SUMPRODUCT(regions!BG18:BS18,regions!BG$193:BS$193)</f>
        <v>-2.8042838612163283</v>
      </c>
      <c r="T18" s="1">
        <f>$M18+SUMPRODUCT(regions!BV18:CD18,regions!BV$193:CD$193)</f>
        <v>-1.2044175692072379</v>
      </c>
      <c r="U18" s="1">
        <f>$M18+SUMPRODUCT(regions!CQ18:CV18,regions!CQ$193:CV$193)</f>
        <v>-0.95414138695707984</v>
      </c>
      <c r="V18" s="1">
        <f>$M18+SUMPRODUCT(regions!CY18:DF18,regions!CY$193:DF$193)</f>
        <v>-1.0774235984490967</v>
      </c>
      <c r="W18" s="1">
        <f>$M18+SUMPRODUCT(regions!DI18:DP18,regions!DI$193:DP$193)</f>
        <v>-1.0074235984490969</v>
      </c>
      <c r="X18" s="1">
        <f>$M18+SUMPRODUCT(regions!DR18:DW18,regions!DR$193:DW$193)</f>
        <v>-1.1774235984490968</v>
      </c>
      <c r="Y18" s="1">
        <f>$M18+SUMPRODUCT(regions!DZ18:EE18,regions!DZ$193:EE$193)</f>
        <v>-1.377423598449097</v>
      </c>
      <c r="Z18" s="1">
        <f t="shared" si="26"/>
        <v>3.4</v>
      </c>
      <c r="AA18" t="str">
        <f>Maddison!A9</f>
        <v>Belgium</v>
      </c>
      <c r="AB18">
        <f>-Maddison!B9</f>
        <v>3.4</v>
      </c>
      <c r="AC18" s="1">
        <f>N18-AB18</f>
        <v>-2.9887857306926948</v>
      </c>
      <c r="AF18" s="1">
        <f t="shared" si="6"/>
        <v>13.356771378860284</v>
      </c>
      <c r="AG18" s="1"/>
      <c r="AH18" s="1">
        <f t="shared" si="14"/>
        <v>-1.2748945862679599</v>
      </c>
      <c r="AI18" s="1">
        <f t="shared" si="39"/>
        <v>-1.1899016138500957</v>
      </c>
      <c r="AJ18" s="1">
        <f t="shared" si="39"/>
        <v>-1.1049086414322316</v>
      </c>
      <c r="AK18" s="1">
        <f t="shared" si="39"/>
        <v>-0.93492269659650362</v>
      </c>
      <c r="AL18" s="1">
        <f t="shared" si="39"/>
        <v>-0.84992972417863955</v>
      </c>
      <c r="AM18" s="1">
        <f t="shared" si="39"/>
        <v>-0.76493675176077558</v>
      </c>
      <c r="AN18" s="1">
        <f t="shared" si="39"/>
        <v>-0.67994377934291161</v>
      </c>
      <c r="AO18" s="1">
        <f t="shared" si="39"/>
        <v>-0.59495080692504754</v>
      </c>
      <c r="AP18" s="1">
        <f t="shared" si="39"/>
        <v>-0.50995783450718368</v>
      </c>
      <c r="AQ18" s="1">
        <f t="shared" si="39"/>
        <v>-0.42496486208931972</v>
      </c>
      <c r="AR18" s="1">
        <f t="shared" si="39"/>
        <v>-0.33997188967145575</v>
      </c>
      <c r="AS18" s="1">
        <f t="shared" si="39"/>
        <v>-0.25497891725359179</v>
      </c>
      <c r="AT18" s="1">
        <f t="shared" si="39"/>
        <v>-0.16998594483572779</v>
      </c>
      <c r="AU18" s="1">
        <f t="shared" si="39"/>
        <v>-8.4992972417863827E-2</v>
      </c>
      <c r="AV18" s="1">
        <f t="shared" si="39"/>
        <v>0</v>
      </c>
      <c r="AW18" s="1">
        <f t="shared" si="39"/>
        <v>8.4992972417863979E-2</v>
      </c>
      <c r="AX18" s="1">
        <f t="shared" si="39"/>
        <v>0</v>
      </c>
      <c r="AY18" s="1">
        <f t="shared" si="39"/>
        <v>0.25497891725359201</v>
      </c>
      <c r="AZ18" s="1">
        <f t="shared" si="39"/>
        <v>0.33997188967145592</v>
      </c>
      <c r="BA18" s="1">
        <f t="shared" si="39"/>
        <v>0.42496486208931988</v>
      </c>
      <c r="BB18" s="1">
        <f t="shared" si="39"/>
        <v>0.5099578345071839</v>
      </c>
      <c r="BC18" s="1">
        <f t="shared" si="39"/>
        <v>0.59495080692504787</v>
      </c>
      <c r="BD18" s="1"/>
      <c r="BE18">
        <f t="shared" ref="BE18" si="46">LN($D18)-LN($D18*(1+BA18/100))</f>
        <v>-4.2406443651277215E-3</v>
      </c>
      <c r="BF18">
        <f t="shared" si="16"/>
        <v>-5.0866195330687702E-3</v>
      </c>
      <c r="BG18">
        <f t="shared" si="16"/>
        <v>-5.9318796319143274E-3</v>
      </c>
    </row>
    <row r="19" spans="1:59" x14ac:dyDescent="0.35">
      <c r="A19" t="str">
        <f>regions!A19</f>
        <v>Belize</v>
      </c>
      <c r="B19" s="22">
        <f>regions!B19</f>
        <v>308595</v>
      </c>
      <c r="C19" s="22">
        <f>regions!C19</f>
        <v>1277265951.2394526</v>
      </c>
      <c r="D19" s="10">
        <f>regions!D19</f>
        <v>4138.971633498445</v>
      </c>
      <c r="E19" s="1">
        <f>regions!X19</f>
        <v>25.3</v>
      </c>
      <c r="I19" s="7">
        <f t="shared" si="8"/>
        <v>-10.471999398136475</v>
      </c>
      <c r="J19" s="1">
        <f t="shared" si="9"/>
        <v>-9.9528343483903647</v>
      </c>
      <c r="K19" s="1">
        <f t="shared" si="3"/>
        <v>-3.1350019681985319</v>
      </c>
      <c r="L19" s="1">
        <f t="shared" si="9"/>
        <v>-8.2386522461986242</v>
      </c>
      <c r="M19" s="1">
        <f t="shared" si="10"/>
        <v>-10.683111045172776</v>
      </c>
      <c r="N19" s="1">
        <f t="shared" ref="N19" si="47">M19+M$2</f>
        <v>-10.298668154725755</v>
      </c>
      <c r="O19" s="1">
        <f t="shared" si="12"/>
        <v>2.3057019607949445</v>
      </c>
      <c r="P19" s="1">
        <f t="shared" si="13"/>
        <v>-11.948618842755064</v>
      </c>
      <c r="Q19" s="1">
        <f t="shared" si="4"/>
        <v>-8.9232732206352487</v>
      </c>
      <c r="R19" s="1">
        <f t="shared" si="4"/>
        <v>-8.881798566257368</v>
      </c>
      <c r="S19" s="1">
        <f>$M19+SUMPRODUCT(regions!BG19:BS19,regions!BG$193:BS$193)</f>
        <v>-5.2381606753002163</v>
      </c>
      <c r="T19" s="1">
        <f>$M19+SUMPRODUCT(regions!BV19:CD19,regions!BV$193:CD$193)</f>
        <v>-6.5238899336764922</v>
      </c>
      <c r="U19" s="1">
        <f>$M19+SUMPRODUCT(regions!CQ19:CV19,regions!CQ$193:CV$193)</f>
        <v>-6.9626254968906931</v>
      </c>
      <c r="V19" s="1">
        <f>$M19+SUMPRODUCT(regions!CY19:DF19,regions!CY$193:DF$193)</f>
        <v>-6.5138899336764915</v>
      </c>
      <c r="W19" s="1">
        <f>$M19+SUMPRODUCT(regions!DI19:DP19,regions!DI$193:DP$193)</f>
        <v>-4.474789933676492</v>
      </c>
      <c r="X19" s="1">
        <f>$M19+SUMPRODUCT(regions!DR19:DW19,regions!DR$193:DW$193)</f>
        <v>-4.8594494519376337</v>
      </c>
      <c r="Y19" s="1">
        <f>$M19+SUMPRODUCT(regions!DZ19:EE19,regions!DZ$193:EE$193)</f>
        <v>-4.3584615189529039</v>
      </c>
      <c r="Z19" s="1">
        <f t="shared" si="26"/>
        <v>-7.2030448627281238</v>
      </c>
      <c r="AF19" s="1">
        <f t="shared" si="6"/>
        <v>2.6468889548272241</v>
      </c>
      <c r="AG19" s="1"/>
      <c r="AH19" s="1">
        <f t="shared" si="14"/>
        <v>-0.25264371929750201</v>
      </c>
      <c r="AI19" s="1">
        <f t="shared" si="39"/>
        <v>-0.23580080467766854</v>
      </c>
      <c r="AJ19" s="1">
        <f t="shared" si="39"/>
        <v>-0.21895789005783503</v>
      </c>
      <c r="AK19" s="1">
        <f t="shared" si="39"/>
        <v>-0.18527206081816808</v>
      </c>
      <c r="AL19" s="1">
        <f t="shared" si="39"/>
        <v>-0.16842914619833463</v>
      </c>
      <c r="AM19" s="1">
        <f t="shared" si="39"/>
        <v>-0.15158623157850115</v>
      </c>
      <c r="AN19" s="1">
        <f t="shared" si="39"/>
        <v>-0.13474331695866767</v>
      </c>
      <c r="AO19" s="1">
        <f t="shared" si="39"/>
        <v>-0.11790040233883421</v>
      </c>
      <c r="AP19" s="1">
        <f t="shared" si="39"/>
        <v>-0.10105748771900076</v>
      </c>
      <c r="AQ19" s="1">
        <f t="shared" si="39"/>
        <v>-8.4214573099167286E-2</v>
      </c>
      <c r="AR19" s="1">
        <f t="shared" si="39"/>
        <v>-6.7371658479333824E-2</v>
      </c>
      <c r="AS19" s="1">
        <f t="shared" si="39"/>
        <v>-5.0528743859500368E-2</v>
      </c>
      <c r="AT19" s="1">
        <f t="shared" si="39"/>
        <v>-3.3685829239666898E-2</v>
      </c>
      <c r="AU19" s="1">
        <f t="shared" si="39"/>
        <v>-1.6842914619833435E-2</v>
      </c>
      <c r="AV19" s="1">
        <f t="shared" si="39"/>
        <v>0</v>
      </c>
      <c r="AW19" s="1">
        <f t="shared" si="39"/>
        <v>1.6842914619833466E-2</v>
      </c>
      <c r="AX19" s="1">
        <f t="shared" si="39"/>
        <v>0</v>
      </c>
      <c r="AY19" s="1">
        <f t="shared" si="39"/>
        <v>5.0528743859500409E-2</v>
      </c>
      <c r="AZ19" s="1">
        <f t="shared" si="39"/>
        <v>6.7371658479333865E-2</v>
      </c>
      <c r="BA19" s="1">
        <f t="shared" si="39"/>
        <v>8.4214573099167328E-2</v>
      </c>
      <c r="BB19" s="1">
        <f t="shared" si="39"/>
        <v>0.10105748771900079</v>
      </c>
      <c r="BC19" s="1">
        <f t="shared" si="39"/>
        <v>0.11790040233883427</v>
      </c>
      <c r="BD19" s="1"/>
      <c r="BE19">
        <f t="shared" ref="BE19" si="48">LN($D19)-LN($D19*(1+BA19/100))</f>
        <v>-8.4179132523587441E-4</v>
      </c>
      <c r="BF19">
        <f t="shared" si="16"/>
        <v>-1.0100645901580663E-3</v>
      </c>
      <c r="BG19">
        <f t="shared" si="16"/>
        <v>-1.1783095439525937E-3</v>
      </c>
    </row>
    <row r="20" spans="1:59" x14ac:dyDescent="0.35">
      <c r="A20" t="str">
        <f>regions!A20</f>
        <v>Benin</v>
      </c>
      <c r="B20" s="22">
        <f>regions!B20</f>
        <v>9509798</v>
      </c>
      <c r="C20" s="22">
        <f>regions!C20</f>
        <v>5230812507.6709518</v>
      </c>
      <c r="D20" s="10">
        <f>regions!D20</f>
        <v>550.04454433952765</v>
      </c>
      <c r="E20" s="1">
        <f>regions!X20</f>
        <v>27.5</v>
      </c>
      <c r="I20" s="7">
        <f t="shared" si="8"/>
        <v>-14.022146639010842</v>
      </c>
      <c r="J20" s="1">
        <f t="shared" si="9"/>
        <v>-13.502981589264731</v>
      </c>
      <c r="K20" s="1">
        <f t="shared" si="3"/>
        <v>-11.235571816390546</v>
      </c>
      <c r="L20" s="1">
        <f t="shared" si="9"/>
        <v>-16.339222094390639</v>
      </c>
      <c r="M20" s="1">
        <f t="shared" si="10"/>
        <v>-15.060746135533588</v>
      </c>
      <c r="N20" s="1">
        <f t="shared" ref="N20" si="49">M20+M$2</f>
        <v>-14.676303245086567</v>
      </c>
      <c r="O20" s="1">
        <f t="shared" si="12"/>
        <v>3.1764823711394605</v>
      </c>
      <c r="P20" s="1">
        <f t="shared" si="13"/>
        <v>-16.326253933115876</v>
      </c>
      <c r="Q20" s="1">
        <f t="shared" si="4"/>
        <v>-13.300908310996061</v>
      </c>
      <c r="R20" s="1">
        <f t="shared" si="4"/>
        <v>-13.25943365661818</v>
      </c>
      <c r="S20" s="1">
        <f>$M20+SUMPRODUCT(regions!BG20:BS20,regions!BG$193:BS$193)</f>
        <v>-5.8056178291056391</v>
      </c>
      <c r="T20" s="1">
        <f>$M20+SUMPRODUCT(regions!BV20:CD20,regions!BV$193:CD$193)</f>
        <v>-13.415428815917904</v>
      </c>
      <c r="U20" s="1">
        <f>$M20+SUMPRODUCT(regions!CQ20:CV20,regions!CQ$193:CV$193)</f>
        <v>-11.340260587251505</v>
      </c>
      <c r="V20" s="1">
        <f>$M20+SUMPRODUCT(regions!CY20:DF20,regions!CY$193:DF$193)</f>
        <v>-12.959168614707886</v>
      </c>
      <c r="W20" s="1">
        <f>$M20+SUMPRODUCT(regions!DI20:DP20,regions!DI$193:DP$193)</f>
        <v>-9.3600686147078864</v>
      </c>
      <c r="X20" s="1">
        <f>$M20+SUMPRODUCT(regions!DR20:DW20,regions!DR$193:DW$193)</f>
        <v>-9.2370845422984456</v>
      </c>
      <c r="Y20" s="1">
        <f>$M20+SUMPRODUCT(regions!DZ20:EE20,regions!DZ$193:EE$193)</f>
        <v>-8.7360966093137158</v>
      </c>
      <c r="Z20" s="1">
        <f t="shared" si="26"/>
        <v>-7.2</v>
      </c>
      <c r="AA20" t="str">
        <f>Maddison!A10</f>
        <v>Benin</v>
      </c>
      <c r="AB20">
        <f>-Maddison!B10</f>
        <v>-7.2</v>
      </c>
      <c r="AC20" s="1">
        <f>N20-AB20</f>
        <v>-7.4763032450865667</v>
      </c>
      <c r="AF20" s="1">
        <f t="shared" si="6"/>
        <v>-1.7307461355335878</v>
      </c>
      <c r="AG20" s="1"/>
      <c r="AH20" s="1">
        <f t="shared" si="14"/>
        <v>0.16519852109531602</v>
      </c>
      <c r="AI20" s="1">
        <f t="shared" si="39"/>
        <v>0.15418528635562825</v>
      </c>
      <c r="AJ20" s="1">
        <f t="shared" si="39"/>
        <v>0.14317205161594052</v>
      </c>
      <c r="AK20" s="1">
        <f t="shared" si="39"/>
        <v>0.12114558213656504</v>
      </c>
      <c r="AL20" s="1">
        <f t="shared" si="39"/>
        <v>0.1101323473968773</v>
      </c>
      <c r="AM20" s="1">
        <f t="shared" si="39"/>
        <v>9.9119112657189562E-2</v>
      </c>
      <c r="AN20" s="1">
        <f t="shared" si="39"/>
        <v>8.8105877917501838E-2</v>
      </c>
      <c r="AO20" s="1">
        <f t="shared" si="39"/>
        <v>7.7092643177814099E-2</v>
      </c>
      <c r="AP20" s="1">
        <f t="shared" si="39"/>
        <v>6.6079408438126375E-2</v>
      </c>
      <c r="AQ20" s="1">
        <f t="shared" si="39"/>
        <v>5.5066173698438636E-2</v>
      </c>
      <c r="AR20" s="1">
        <f t="shared" si="39"/>
        <v>4.4052938958750912E-2</v>
      </c>
      <c r="AS20" s="1">
        <f t="shared" si="39"/>
        <v>3.303970421906318E-2</v>
      </c>
      <c r="AT20" s="1">
        <f t="shared" si="39"/>
        <v>2.2026469479375445E-2</v>
      </c>
      <c r="AU20" s="1">
        <f t="shared" si="39"/>
        <v>1.1013234739687712E-2</v>
      </c>
      <c r="AV20" s="1">
        <f t="shared" si="39"/>
        <v>0</v>
      </c>
      <c r="AW20" s="1">
        <f t="shared" si="39"/>
        <v>-1.1013234739687733E-2</v>
      </c>
      <c r="AX20" s="1">
        <f t="shared" si="39"/>
        <v>0</v>
      </c>
      <c r="AY20" s="1">
        <f t="shared" si="39"/>
        <v>-3.3039704219063208E-2</v>
      </c>
      <c r="AZ20" s="1">
        <f t="shared" si="39"/>
        <v>-4.4052938958750933E-2</v>
      </c>
      <c r="BA20" s="1">
        <f t="shared" si="39"/>
        <v>-5.5066173698438664E-2</v>
      </c>
      <c r="BB20" s="1">
        <f t="shared" si="39"/>
        <v>-6.6079408438126402E-2</v>
      </c>
      <c r="BC20" s="1">
        <f t="shared" si="39"/>
        <v>-7.7092643177814127E-2</v>
      </c>
      <c r="BD20" s="1"/>
      <c r="BE20">
        <f t="shared" ref="BE20" si="50">LN($D20)-LN($D20*(1+BA20/100))</f>
        <v>5.5081340684015601E-4</v>
      </c>
      <c r="BF20">
        <f t="shared" si="16"/>
        <v>6.6101250501748865E-4</v>
      </c>
      <c r="BG20">
        <f t="shared" si="16"/>
        <v>7.7122374837568231E-4</v>
      </c>
    </row>
    <row r="21" spans="1:59" x14ac:dyDescent="0.35">
      <c r="A21" t="str">
        <f>regions!A21</f>
        <v>Bermuda</v>
      </c>
      <c r="B21" s="22">
        <f>regions!B21</f>
        <v>65124</v>
      </c>
      <c r="C21" s="22">
        <f>regions!C21</f>
        <v>4975071875.076025</v>
      </c>
      <c r="D21" s="10">
        <f>regions!D21</f>
        <v>76393.831384374804</v>
      </c>
      <c r="E21" s="1">
        <f>regions!X21</f>
        <v>21.3</v>
      </c>
      <c r="I21" s="7">
        <f t="shared" si="8"/>
        <v>-46.706058815686802</v>
      </c>
      <c r="J21" s="1">
        <f t="shared" si="9"/>
        <v>-46.186893765940695</v>
      </c>
      <c r="K21" s="1">
        <f t="shared" si="3"/>
        <v>10.598463587374336</v>
      </c>
      <c r="L21" s="1">
        <f t="shared" si="9"/>
        <v>5.4948133093742442</v>
      </c>
      <c r="M21" s="1">
        <f t="shared" si="10"/>
        <v>-3.9906630841490482</v>
      </c>
      <c r="N21" s="1">
        <f t="shared" ref="N21" si="51">M21+M$2</f>
        <v>-3.6062201937020273</v>
      </c>
      <c r="O21" s="1">
        <f t="shared" si="12"/>
        <v>2.4557757169543919</v>
      </c>
      <c r="P21" s="1">
        <f t="shared" si="13"/>
        <v>-5.256170881731336</v>
      </c>
      <c r="Q21" s="1">
        <f t="shared" si="4"/>
        <v>-2.2308252596115201</v>
      </c>
      <c r="R21" s="1">
        <f t="shared" si="4"/>
        <v>-2.1893506052336402</v>
      </c>
      <c r="S21" s="1">
        <f>$M21+SUMPRODUCT(regions!BG21:BS21,regions!BG$193:BS$193)</f>
        <v>-3.7188155433644172</v>
      </c>
      <c r="T21" s="1">
        <f>$M21+SUMPRODUCT(regions!BV21:CD21,regions!BV$193:CD$193)</f>
        <v>0.16855802734723557</v>
      </c>
      <c r="U21" s="1">
        <f>$M21+SUMPRODUCT(regions!CQ21:CV21,regions!CQ$193:CV$193)</f>
        <v>-0.27017753586696536</v>
      </c>
      <c r="V21" s="1">
        <f>$M21+SUMPRODUCT(regions!CY21:DF21,regions!CY$193:DF$193)</f>
        <v>0.17855802734723625</v>
      </c>
      <c r="W21" s="1">
        <f>$M21+SUMPRODUCT(regions!DI21:DP21,regions!DI$193:DP$193)</f>
        <v>2.2176580273472357</v>
      </c>
      <c r="X21" s="1">
        <f>$M21+SUMPRODUCT(regions!DR21:DW21,regions!DR$193:DW$193)</f>
        <v>1.8329985090860941</v>
      </c>
      <c r="Y21" s="1">
        <f>$M21+SUMPRODUCT(regions!DZ21:EE21,regions!DZ$193:EE$193)</f>
        <v>2.3339864420708238</v>
      </c>
      <c r="Z21" s="1">
        <f t="shared" si="26"/>
        <v>-0.51059690170439564</v>
      </c>
      <c r="AF21" s="1">
        <f t="shared" si="6"/>
        <v>9.3393369158509518</v>
      </c>
      <c r="AG21" s="1"/>
      <c r="AH21" s="1">
        <f t="shared" si="14"/>
        <v>-0.89143324652509437</v>
      </c>
      <c r="AI21" s="1">
        <f t="shared" si="39"/>
        <v>-0.83200436342342132</v>
      </c>
      <c r="AJ21" s="1">
        <f t="shared" si="39"/>
        <v>-0.77257548032174816</v>
      </c>
      <c r="AK21" s="1">
        <f t="shared" si="39"/>
        <v>-0.65371771411840229</v>
      </c>
      <c r="AL21" s="1">
        <f t="shared" si="39"/>
        <v>-0.59428883101672936</v>
      </c>
      <c r="AM21" s="1">
        <f t="shared" si="39"/>
        <v>-0.53485994791505631</v>
      </c>
      <c r="AN21" s="1">
        <f t="shared" si="39"/>
        <v>-0.47543106481338343</v>
      </c>
      <c r="AO21" s="1">
        <f t="shared" si="39"/>
        <v>-0.41600218171171044</v>
      </c>
      <c r="AP21" s="1">
        <f t="shared" si="39"/>
        <v>-0.35657329861003756</v>
      </c>
      <c r="AQ21" s="1">
        <f t="shared" si="39"/>
        <v>-0.29714441550836462</v>
      </c>
      <c r="AR21" s="1">
        <f t="shared" si="39"/>
        <v>-0.23771553240669166</v>
      </c>
      <c r="AS21" s="1">
        <f t="shared" si="39"/>
        <v>-0.17828664930501875</v>
      </c>
      <c r="AT21" s="1">
        <f t="shared" si="39"/>
        <v>-0.11885776620334579</v>
      </c>
      <c r="AU21" s="1">
        <f t="shared" si="39"/>
        <v>-5.9428883101672839E-2</v>
      </c>
      <c r="AV21" s="1">
        <f t="shared" si="39"/>
        <v>0</v>
      </c>
      <c r="AW21" s="1">
        <f t="shared" si="39"/>
        <v>5.942888310167295E-2</v>
      </c>
      <c r="AX21" s="1">
        <f t="shared" si="39"/>
        <v>0</v>
      </c>
      <c r="AY21" s="1">
        <f t="shared" si="39"/>
        <v>0.17828664930501886</v>
      </c>
      <c r="AZ21" s="1">
        <f t="shared" si="39"/>
        <v>0.2377155324066918</v>
      </c>
      <c r="BA21" s="1">
        <f t="shared" si="39"/>
        <v>0.29714441550836473</v>
      </c>
      <c r="BB21" s="1">
        <f t="shared" si="39"/>
        <v>0.35657329861003767</v>
      </c>
      <c r="BC21" s="1">
        <f t="shared" si="39"/>
        <v>0.41600218171171066</v>
      </c>
      <c r="BD21" s="1"/>
      <c r="BE21">
        <f t="shared" ref="BE21" si="52">LN($D21)-LN($D21*(1+BA21/100))</f>
        <v>-2.9670381408930524E-3</v>
      </c>
      <c r="BF21">
        <f t="shared" si="16"/>
        <v>-3.5593908320503687E-3</v>
      </c>
      <c r="BG21">
        <f t="shared" si="16"/>
        <v>-4.151392849209401E-3</v>
      </c>
    </row>
    <row r="22" spans="1:59" x14ac:dyDescent="0.35">
      <c r="A22" t="str">
        <f>regions!A22</f>
        <v>Bhutan</v>
      </c>
      <c r="B22" s="22">
        <f>regions!B22</f>
        <v>716939</v>
      </c>
      <c r="C22" s="22">
        <f>regions!C22</f>
        <v>1288216614.4579239</v>
      </c>
      <c r="D22" s="10">
        <f>regions!D22</f>
        <v>1796.8287601287193</v>
      </c>
      <c r="E22" s="1">
        <f>regions!X22</f>
        <v>7.4</v>
      </c>
      <c r="I22" s="7">
        <f t="shared" si="8"/>
        <v>-2.5999933187025484</v>
      </c>
      <c r="J22" s="1">
        <f t="shared" si="9"/>
        <v>-2.0808282689564388</v>
      </c>
      <c r="K22" s="1">
        <f t="shared" si="3"/>
        <v>0.60242855509135307</v>
      </c>
      <c r="L22" s="1">
        <f t="shared" si="9"/>
        <v>-4.5012217229087392</v>
      </c>
      <c r="M22" s="1">
        <f t="shared" si="10"/>
        <v>-4.0575414750255501</v>
      </c>
      <c r="N22" s="1">
        <f t="shared" ref="N22" si="53">M22+M$2</f>
        <v>-3.6730985845785291</v>
      </c>
      <c r="O22" s="1">
        <f t="shared" si="12"/>
        <v>3.0960644511117201</v>
      </c>
      <c r="P22" s="1">
        <f t="shared" si="13"/>
        <v>-5.3230492726078378</v>
      </c>
      <c r="Q22" s="1">
        <f t="shared" si="4"/>
        <v>-2.2977036504880219</v>
      </c>
      <c r="R22" s="1">
        <f t="shared" si="4"/>
        <v>-2.256228996110142</v>
      </c>
      <c r="S22" s="1">
        <f>$M22+SUMPRODUCT(regions!BG22:BS22,regions!BG$193:BS$193)</f>
        <v>4.7283970247744396</v>
      </c>
      <c r="T22" s="1">
        <f>$M22+SUMPRODUCT(regions!BV22:CD22,regions!BV$193:CD$193)</f>
        <v>-3.7722907155073617</v>
      </c>
      <c r="U22" s="1">
        <f>$M22+SUMPRODUCT(regions!CQ22:CV22,regions!CQ$193:CV$193)</f>
        <v>-0.33705592674346718</v>
      </c>
      <c r="V22" s="1">
        <f>$M22+SUMPRODUCT(regions!CY22:DF22,regions!CY$193:DF$193)</f>
        <v>-3.9189040827057493</v>
      </c>
      <c r="W22" s="1">
        <f>$M22+SUMPRODUCT(regions!DI22:DP22,regions!DI$193:DP$193)</f>
        <v>1.5860959172942488</v>
      </c>
      <c r="X22" s="1">
        <f>$M22+SUMPRODUCT(regions!DR22:DW22,regions!DR$193:DW$193)</f>
        <v>1.7661201182095922</v>
      </c>
      <c r="Y22" s="1">
        <f>$M22+SUMPRODUCT(regions!DZ22:EE22,regions!DZ$193:EE$193)</f>
        <v>2.267108051194322</v>
      </c>
      <c r="Z22" s="1">
        <f t="shared" si="26"/>
        <v>-0.57747529258089747</v>
      </c>
      <c r="AF22" s="1">
        <f t="shared" si="6"/>
        <v>9.27245852497445</v>
      </c>
      <c r="AG22" s="1"/>
      <c r="AH22" s="1">
        <f t="shared" si="14"/>
        <v>-0.88504975039056366</v>
      </c>
      <c r="AI22" s="1">
        <f t="shared" si="39"/>
        <v>-0.82604643369785935</v>
      </c>
      <c r="AJ22" s="1">
        <f t="shared" si="39"/>
        <v>-0.76704311700515493</v>
      </c>
      <c r="AK22" s="1">
        <f t="shared" si="39"/>
        <v>-0.64903648361974642</v>
      </c>
      <c r="AL22" s="1">
        <f t="shared" si="39"/>
        <v>-0.59003316692704222</v>
      </c>
      <c r="AM22" s="1">
        <f t="shared" si="39"/>
        <v>-0.53102985023433791</v>
      </c>
      <c r="AN22" s="1">
        <f t="shared" si="39"/>
        <v>-0.47202653354163371</v>
      </c>
      <c r="AO22" s="1">
        <f t="shared" si="39"/>
        <v>-0.41302321684892945</v>
      </c>
      <c r="AP22" s="1">
        <f t="shared" si="39"/>
        <v>-0.35401990015622531</v>
      </c>
      <c r="AQ22" s="1">
        <f t="shared" si="39"/>
        <v>-0.29501658346352105</v>
      </c>
      <c r="AR22" s="1">
        <f t="shared" si="39"/>
        <v>-0.23601326677081683</v>
      </c>
      <c r="AS22" s="1">
        <f t="shared" si="39"/>
        <v>-0.1770099500781126</v>
      </c>
      <c r="AT22" s="1">
        <f t="shared" si="39"/>
        <v>-0.11800663338540836</v>
      </c>
      <c r="AU22" s="1">
        <f t="shared" si="39"/>
        <v>-5.9003316692704123E-2</v>
      </c>
      <c r="AV22" s="1">
        <f t="shared" si="39"/>
        <v>0</v>
      </c>
      <c r="AW22" s="1">
        <f t="shared" si="39"/>
        <v>5.9003316692704241E-2</v>
      </c>
      <c r="AX22" s="1">
        <f t="shared" si="39"/>
        <v>0</v>
      </c>
      <c r="AY22" s="1">
        <f t="shared" si="39"/>
        <v>0.17700995007811274</v>
      </c>
      <c r="AZ22" s="1">
        <f t="shared" si="39"/>
        <v>0.23601326677081697</v>
      </c>
      <c r="BA22" s="1">
        <f t="shared" si="39"/>
        <v>0.29501658346352116</v>
      </c>
      <c r="BB22" s="1">
        <f t="shared" si="39"/>
        <v>0.35401990015622542</v>
      </c>
      <c r="BC22" s="1">
        <f t="shared" si="39"/>
        <v>0.41302321684892968</v>
      </c>
      <c r="BD22" s="1"/>
      <c r="BE22">
        <f t="shared" ref="BE22" si="54">LN($D22)-LN($D22*(1+BA22/100))</f>
        <v>-2.9458226354170947E-3</v>
      </c>
      <c r="BF22">
        <f t="shared" si="16"/>
        <v>-3.5339472477007305E-3</v>
      </c>
      <c r="BG22">
        <f t="shared" si="16"/>
        <v>-4.1217261727206633E-3</v>
      </c>
    </row>
    <row r="23" spans="1:59" x14ac:dyDescent="0.35">
      <c r="A23" t="str">
        <f>regions!A23</f>
        <v>Bolivia</v>
      </c>
      <c r="B23" s="22">
        <f>regions!B23</f>
        <v>10156601</v>
      </c>
      <c r="C23" s="22">
        <f>regions!C23</f>
        <v>11954060130.08857</v>
      </c>
      <c r="D23" s="10">
        <f>regions!D23</f>
        <v>1176.9744750324021</v>
      </c>
      <c r="E23" s="1">
        <f>regions!X23</f>
        <v>21.5</v>
      </c>
      <c r="I23" s="7">
        <f t="shared" si="8"/>
        <v>-10.426897909064481</v>
      </c>
      <c r="J23" s="1">
        <f t="shared" si="9"/>
        <v>-9.9077328593183704</v>
      </c>
      <c r="K23" s="1">
        <f t="shared" si="3"/>
        <v>-7.1192574255132604</v>
      </c>
      <c r="L23" s="1">
        <f t="shared" si="9"/>
        <v>-12.222907703513354</v>
      </c>
      <c r="M23" s="1">
        <f t="shared" si="10"/>
        <v>-11.09179708594824</v>
      </c>
      <c r="N23" s="1">
        <f t="shared" ref="N23" si="55">M23+M$2</f>
        <v>-10.707354195501219</v>
      </c>
      <c r="O23" s="1">
        <f t="shared" si="12"/>
        <v>2.727767482090937</v>
      </c>
      <c r="P23" s="1">
        <f t="shared" si="13"/>
        <v>-12.357304883530528</v>
      </c>
      <c r="Q23" s="1">
        <f t="shared" si="13"/>
        <v>-9.331959261410713</v>
      </c>
      <c r="R23" s="1">
        <f t="shared" si="13"/>
        <v>-9.2904846070328322</v>
      </c>
      <c r="S23" s="1">
        <f>$M23+SUMPRODUCT(regions!BG23:BS23,regions!BG$193:BS$193)</f>
        <v>-2.3058585861482506</v>
      </c>
      <c r="T23" s="1">
        <f>$M23+SUMPRODUCT(regions!BV23:CD23,regions!BV$193:CD$193)</f>
        <v>-6.9325759744519564</v>
      </c>
      <c r="U23" s="1">
        <f>$M23+SUMPRODUCT(regions!CQ23:CV23,regions!CQ$193:CV$193)</f>
        <v>-7.3713115376661573</v>
      </c>
      <c r="V23" s="1">
        <f>$M23+SUMPRODUCT(regions!CY23:DF23,regions!CY$193:DF$193)</f>
        <v>-6.9225759744519557</v>
      </c>
      <c r="W23" s="1">
        <f>$M23+SUMPRODUCT(regions!DI23:DP23,regions!DI$193:DP$193)</f>
        <v>-4.8834759744519562</v>
      </c>
      <c r="X23" s="1">
        <f>$M23+SUMPRODUCT(regions!DR23:DW23,regions!DR$193:DW$193)</f>
        <v>-5.2681354927130979</v>
      </c>
      <c r="Y23" s="1">
        <f>$M23+SUMPRODUCT(regions!DZ23:EE23,regions!DZ$193:EE$193)</f>
        <v>-4.7671475597283681</v>
      </c>
      <c r="Z23" s="1">
        <f t="shared" si="26"/>
        <v>-7.6117309035035881</v>
      </c>
      <c r="AF23" s="1">
        <f t="shared" si="6"/>
        <v>2.2382029140517599</v>
      </c>
      <c r="AG23" s="1"/>
      <c r="AH23" s="1">
        <f t="shared" si="14"/>
        <v>-0.21363491948435551</v>
      </c>
      <c r="AI23" s="1">
        <f t="shared" si="39"/>
        <v>-0.19939259151873176</v>
      </c>
      <c r="AJ23" s="1">
        <f t="shared" si="39"/>
        <v>-0.18515026355310804</v>
      </c>
      <c r="AK23" s="1">
        <f t="shared" si="39"/>
        <v>-0.15666560762186063</v>
      </c>
      <c r="AL23" s="1">
        <f t="shared" si="39"/>
        <v>-0.14242327965623694</v>
      </c>
      <c r="AM23" s="1">
        <f t="shared" si="39"/>
        <v>-0.12818095169061325</v>
      </c>
      <c r="AN23" s="1">
        <f t="shared" si="39"/>
        <v>-0.11393862372498953</v>
      </c>
      <c r="AO23" s="1">
        <f t="shared" si="39"/>
        <v>-9.9696295759365838E-2</v>
      </c>
      <c r="AP23" s="1">
        <f t="shared" si="39"/>
        <v>-8.5453967793742147E-2</v>
      </c>
      <c r="AQ23" s="1">
        <f t="shared" si="39"/>
        <v>-7.1211639828118456E-2</v>
      </c>
      <c r="AR23" s="1">
        <f t="shared" si="39"/>
        <v>-5.6969311862494758E-2</v>
      </c>
      <c r="AS23" s="1">
        <f t="shared" si="39"/>
        <v>-4.2726983896871067E-2</v>
      </c>
      <c r="AT23" s="1">
        <f t="shared" si="39"/>
        <v>-2.8484655931247368E-2</v>
      </c>
      <c r="AU23" s="1">
        <f t="shared" si="39"/>
        <v>-1.424232796562367E-2</v>
      </c>
      <c r="AV23" s="1">
        <f t="shared" si="39"/>
        <v>0</v>
      </c>
      <c r="AW23" s="1">
        <f t="shared" si="39"/>
        <v>1.4242327965623698E-2</v>
      </c>
      <c r="AX23" s="1">
        <f t="shared" si="39"/>
        <v>0</v>
      </c>
      <c r="AY23" s="1">
        <f t="shared" si="39"/>
        <v>4.2726983896871101E-2</v>
      </c>
      <c r="AZ23" s="1">
        <f t="shared" si="39"/>
        <v>5.6969311862494793E-2</v>
      </c>
      <c r="BA23" s="1">
        <f t="shared" si="39"/>
        <v>7.1211639828118484E-2</v>
      </c>
      <c r="BB23" s="1">
        <f t="shared" si="39"/>
        <v>8.5453967793742189E-2</v>
      </c>
      <c r="BC23" s="1">
        <f t="shared" si="39"/>
        <v>9.969629575936588E-2</v>
      </c>
      <c r="BD23" s="1"/>
      <c r="BE23">
        <f t="shared" ref="BE23" si="56">LN($D23)-LN($D23*(1+BA23/100))</f>
        <v>-7.1186296370839841E-4</v>
      </c>
      <c r="BF23">
        <f t="shared" si="16"/>
        <v>-8.5417476678006921E-4</v>
      </c>
      <c r="BG23">
        <f t="shared" si="16"/>
        <v>-9.9646632008276725E-4</v>
      </c>
    </row>
    <row r="24" spans="1:59" x14ac:dyDescent="0.35">
      <c r="A24" t="str">
        <f>regions!A24</f>
        <v>Bosnia and Herzegovina</v>
      </c>
      <c r="B24" s="22">
        <f>regions!B24</f>
        <v>3845929</v>
      </c>
      <c r="C24" s="22">
        <f>regions!C24</f>
        <v>12803068421.085346</v>
      </c>
      <c r="D24" s="10">
        <f>regions!D24</f>
        <v>3328.9924023780331</v>
      </c>
      <c r="E24" s="1">
        <f>regions!X24</f>
        <v>9.8000000000000007</v>
      </c>
      <c r="I24" s="7">
        <f t="shared" si="8"/>
        <v>-2.8465679328134477</v>
      </c>
      <c r="J24" s="1">
        <f t="shared" si="9"/>
        <v>-2.3274028830673377</v>
      </c>
      <c r="K24" s="1">
        <f t="shared" si="3"/>
        <v>2.4867247717014083</v>
      </c>
      <c r="L24" s="1">
        <f t="shared" si="9"/>
        <v>-2.616925506298684</v>
      </c>
      <c r="M24" s="1">
        <f t="shared" si="10"/>
        <v>-4.0977692858236292</v>
      </c>
      <c r="N24" s="1">
        <f t="shared" ref="N24" si="57">M24+M$2</f>
        <v>-3.7133263953766082</v>
      </c>
      <c r="O24" s="1">
        <f t="shared" si="12"/>
        <v>2.4620460994655313</v>
      </c>
      <c r="P24" s="1">
        <f t="shared" ref="P24:R43" si="58">$M24+P$1-$M$1</f>
        <v>-5.3632770834059169</v>
      </c>
      <c r="Q24" s="1">
        <f t="shared" si="58"/>
        <v>-2.3379314612861011</v>
      </c>
      <c r="R24" s="1">
        <f t="shared" si="58"/>
        <v>-2.2964568069082212</v>
      </c>
      <c r="S24" s="1">
        <f>$M24+SUMPRODUCT(regions!BG24:BS24,regions!BG$193:BS$193)</f>
        <v>-2.9445521131335184</v>
      </c>
      <c r="T24" s="1">
        <f>$M24+SUMPRODUCT(regions!BV24:CD24,regions!BV$193:CD$193)</f>
        <v>-3.9285231416711226</v>
      </c>
      <c r="U24" s="1">
        <f>$M24+SUMPRODUCT(regions!CQ24:CV24,regions!CQ$193:CV$193)</f>
        <v>-0.37728373754154632</v>
      </c>
      <c r="V24" s="1">
        <f>$M24+SUMPRODUCT(regions!CY24:DF24,regions!CY$193:DF$193)</f>
        <v>-4.2285231416711229</v>
      </c>
      <c r="W24" s="1">
        <f>$M24+SUMPRODUCT(regions!DI24:DP24,regions!DI$193:DP$193)</f>
        <v>-3.7980231416711225</v>
      </c>
      <c r="X24" s="1">
        <f>$M24+SUMPRODUCT(regions!DR24:DW24,regions!DR$193:DW$193)</f>
        <v>1.7258923074115131</v>
      </c>
      <c r="Y24" s="1">
        <f>$M24+SUMPRODUCT(regions!DZ24:EE24,regions!DZ$193:EE$193)</f>
        <v>2.2268802403962429</v>
      </c>
      <c r="Z24" s="1">
        <f t="shared" si="26"/>
        <v>-0.6177031033789766</v>
      </c>
      <c r="AF24" s="1">
        <f t="shared" si="6"/>
        <v>9.2322307141763709</v>
      </c>
      <c r="AG24" s="1"/>
      <c r="AH24" s="1">
        <f t="shared" si="14"/>
        <v>-0.88121003368439521</v>
      </c>
      <c r="AI24" s="1">
        <f t="shared" si="39"/>
        <v>-0.82246269810543537</v>
      </c>
      <c r="AJ24" s="1">
        <f t="shared" si="39"/>
        <v>-0.76371536252647554</v>
      </c>
      <c r="AK24" s="1">
        <f t="shared" si="39"/>
        <v>-0.6462206913685562</v>
      </c>
      <c r="AL24" s="1">
        <f t="shared" si="39"/>
        <v>-0.58747335578959659</v>
      </c>
      <c r="AM24" s="1">
        <f t="shared" si="39"/>
        <v>-0.52872602021063686</v>
      </c>
      <c r="AN24" s="1">
        <f t="shared" si="39"/>
        <v>-0.46997868463167719</v>
      </c>
      <c r="AO24" s="1">
        <f t="shared" si="39"/>
        <v>-0.41123134905271752</v>
      </c>
      <c r="AP24" s="1">
        <f t="shared" si="39"/>
        <v>-0.35248401347375791</v>
      </c>
      <c r="AQ24" s="1">
        <f t="shared" si="39"/>
        <v>-0.29373667789479824</v>
      </c>
      <c r="AR24" s="1">
        <f t="shared" si="39"/>
        <v>-0.23498934231583857</v>
      </c>
      <c r="AS24" s="1">
        <f t="shared" si="39"/>
        <v>-0.17624200673687893</v>
      </c>
      <c r="AT24" s="1">
        <f t="shared" si="39"/>
        <v>-0.11749467115791923</v>
      </c>
      <c r="AU24" s="1">
        <f t="shared" si="39"/>
        <v>-5.8747335578959559E-2</v>
      </c>
      <c r="AV24" s="1">
        <f t="shared" si="39"/>
        <v>0</v>
      </c>
      <c r="AW24" s="1">
        <f t="shared" si="39"/>
        <v>5.874733557895967E-2</v>
      </c>
      <c r="AX24" s="1">
        <f t="shared" si="39"/>
        <v>0</v>
      </c>
      <c r="AY24" s="1">
        <f t="shared" si="39"/>
        <v>0.17624200673687904</v>
      </c>
      <c r="AZ24" s="1">
        <f t="shared" si="39"/>
        <v>0.23498934231583868</v>
      </c>
      <c r="BA24" s="1">
        <f t="shared" si="39"/>
        <v>0.29373667789479835</v>
      </c>
      <c r="BB24" s="1">
        <f t="shared" si="39"/>
        <v>0.35248401347375802</v>
      </c>
      <c r="BC24" s="1">
        <f t="shared" si="39"/>
        <v>0.41123134905271769</v>
      </c>
      <c r="BD24" s="1"/>
      <c r="BE24">
        <f t="shared" ref="BE24" si="59">LN($D24)-LN($D24*(1+BA24/100))</f>
        <v>-2.9330611465709922E-3</v>
      </c>
      <c r="BF24">
        <f t="shared" si="16"/>
        <v>-3.5186424453890197E-3</v>
      </c>
      <c r="BG24">
        <f t="shared" si="16"/>
        <v>-4.1038810394216085E-3</v>
      </c>
    </row>
    <row r="25" spans="1:59" x14ac:dyDescent="0.35">
      <c r="A25" t="str">
        <f>regions!A25</f>
        <v>Botswana</v>
      </c>
      <c r="B25" s="22">
        <f>regions!B25</f>
        <v>1969341</v>
      </c>
      <c r="C25" s="22">
        <f>regions!C25</f>
        <v>12116816308.861942</v>
      </c>
      <c r="D25" s="10">
        <f>regions!D25</f>
        <v>6152.7263733715708</v>
      </c>
      <c r="E25" s="1">
        <f>regions!X25</f>
        <v>21.5</v>
      </c>
      <c r="I25" s="7">
        <f t="shared" si="8"/>
        <v>-7.3124474917435816</v>
      </c>
      <c r="J25" s="1">
        <f t="shared" si="9"/>
        <v>-6.793282441997472</v>
      </c>
      <c r="K25" s="1">
        <f t="shared" si="3"/>
        <v>1.7229815570537959</v>
      </c>
      <c r="L25" s="1">
        <f t="shared" si="9"/>
        <v>-3.3806687209462964</v>
      </c>
      <c r="M25" s="1">
        <f t="shared" si="10"/>
        <v>-8.312816856858646</v>
      </c>
      <c r="N25" s="1">
        <f t="shared" ref="N25" si="60">M25+M$2</f>
        <v>-7.9283739664116251</v>
      </c>
      <c r="O25" s="1">
        <f t="shared" si="12"/>
        <v>2.9798259748711931</v>
      </c>
      <c r="P25" s="1">
        <f t="shared" si="58"/>
        <v>-9.5783246544409337</v>
      </c>
      <c r="Q25" s="1">
        <f t="shared" si="58"/>
        <v>-6.5529790323211188</v>
      </c>
      <c r="R25" s="1">
        <f t="shared" si="58"/>
        <v>-6.511504377943238</v>
      </c>
      <c r="S25" s="1">
        <f>$M25+SUMPRODUCT(regions!BG25:BS25,regions!BG$193:BS$193)</f>
        <v>0.94231144956930279</v>
      </c>
      <c r="T25" s="1">
        <f>$M25+SUMPRODUCT(regions!BV25:CD25,regions!BV$193:CD$193)</f>
        <v>-6.6674995372429624</v>
      </c>
      <c r="U25" s="1">
        <f>$M25+SUMPRODUCT(regions!CQ25:CV25,regions!CQ$193:CV$193)</f>
        <v>-4.5923313085765631</v>
      </c>
      <c r="V25" s="1">
        <f>$M25+SUMPRODUCT(regions!CY25:DF25,regions!CY$193:DF$193)</f>
        <v>-6.2112393360329445</v>
      </c>
      <c r="W25" s="1">
        <f>$M25+SUMPRODUCT(regions!DI25:DP25,regions!DI$193:DP$193)</f>
        <v>-2.6121393360329446</v>
      </c>
      <c r="X25" s="1">
        <f>$M25+SUMPRODUCT(regions!DR25:DW25,regions!DR$193:DW$193)</f>
        <v>-2.4891552636235037</v>
      </c>
      <c r="Y25" s="1">
        <f>$M25+SUMPRODUCT(regions!DZ25:EE25,regions!DZ$193:EE$193)</f>
        <v>-1.9881673306387739</v>
      </c>
      <c r="Z25" s="1">
        <f t="shared" si="26"/>
        <v>-2.6</v>
      </c>
      <c r="AA25" t="str">
        <f>Maddison!A12</f>
        <v>Botswana</v>
      </c>
      <c r="AB25">
        <f>-Maddison!B12</f>
        <v>-2.6</v>
      </c>
      <c r="AC25" s="1">
        <f>N25-AB25</f>
        <v>-5.3283739664116254</v>
      </c>
      <c r="AF25" s="1">
        <f t="shared" si="6"/>
        <v>5.0171831431413541</v>
      </c>
      <c r="AG25" s="1"/>
      <c r="AH25" s="1">
        <f t="shared" si="14"/>
        <v>-0.47888665951333925</v>
      </c>
      <c r="AI25" s="1">
        <f t="shared" si="39"/>
        <v>-0.44696088221244989</v>
      </c>
      <c r="AJ25" s="1">
        <f t="shared" si="39"/>
        <v>-0.41503510491156054</v>
      </c>
      <c r="AK25" s="1">
        <f t="shared" si="39"/>
        <v>-0.35118355030978199</v>
      </c>
      <c r="AL25" s="1">
        <f t="shared" si="39"/>
        <v>-0.31925777300889269</v>
      </c>
      <c r="AM25" s="1">
        <f t="shared" si="39"/>
        <v>-0.28733199570800338</v>
      </c>
      <c r="AN25" s="1">
        <f t="shared" si="39"/>
        <v>-0.25540621840711414</v>
      </c>
      <c r="AO25" s="1">
        <f t="shared" si="39"/>
        <v>-0.22348044110622484</v>
      </c>
      <c r="AP25" s="1">
        <f t="shared" si="39"/>
        <v>-0.19155466380533559</v>
      </c>
      <c r="AQ25" s="1">
        <f t="shared" si="39"/>
        <v>-0.15962888650444632</v>
      </c>
      <c r="AR25" s="1">
        <f t="shared" si="39"/>
        <v>-0.12770310920355704</v>
      </c>
      <c r="AS25" s="1">
        <f t="shared" si="39"/>
        <v>-9.5777331902667781E-2</v>
      </c>
      <c r="AT25" s="1">
        <f t="shared" si="39"/>
        <v>-6.3851554601778493E-2</v>
      </c>
      <c r="AU25" s="1">
        <f t="shared" si="39"/>
        <v>-3.1925777300889219E-2</v>
      </c>
      <c r="AV25" s="1">
        <f t="shared" si="39"/>
        <v>0</v>
      </c>
      <c r="AW25" s="1">
        <f t="shared" si="39"/>
        <v>3.1925777300889281E-2</v>
      </c>
      <c r="AX25" s="1">
        <f t="shared" si="39"/>
        <v>0</v>
      </c>
      <c r="AY25" s="1">
        <f t="shared" si="39"/>
        <v>9.577733190266785E-2</v>
      </c>
      <c r="AZ25" s="1">
        <f t="shared" si="39"/>
        <v>0.12770310920355712</v>
      </c>
      <c r="BA25" s="1">
        <f t="shared" si="39"/>
        <v>0.15962888650444637</v>
      </c>
      <c r="BB25" s="1">
        <f t="shared" si="39"/>
        <v>0.19155466380533565</v>
      </c>
      <c r="BC25" s="1">
        <f t="shared" si="39"/>
        <v>0.22348044110622495</v>
      </c>
      <c r="BD25" s="1"/>
      <c r="BE25">
        <f t="shared" ref="BE25" si="61">LN($D25)-LN($D25*(1+BA25/100))</f>
        <v>-1.5950161502082949E-3</v>
      </c>
      <c r="BF25">
        <f t="shared" si="16"/>
        <v>-1.913714318149573E-3</v>
      </c>
      <c r="BG25">
        <f t="shared" si="16"/>
        <v>-2.2323109499264859E-3</v>
      </c>
    </row>
    <row r="26" spans="1:59" x14ac:dyDescent="0.35">
      <c r="A26" t="str">
        <f>regions!A26</f>
        <v>Brazil</v>
      </c>
      <c r="B26" s="22">
        <f>regions!B26</f>
        <v>195210154</v>
      </c>
      <c r="C26" s="22">
        <f>regions!C26</f>
        <v>1096754010432.5254</v>
      </c>
      <c r="D26" s="10">
        <f>regions!D26</f>
        <v>5618.3246002281494</v>
      </c>
      <c r="E26" s="1">
        <f>regions!X26</f>
        <v>24.9</v>
      </c>
      <c r="I26" s="7">
        <f t="shared" si="8"/>
        <v>-9.3929451401077095</v>
      </c>
      <c r="J26" s="1">
        <f t="shared" si="9"/>
        <v>-8.8737800903615991</v>
      </c>
      <c r="K26" s="1">
        <f t="shared" si="3"/>
        <v>-0.59695542886800546</v>
      </c>
      <c r="L26" s="1">
        <f t="shared" si="9"/>
        <v>-5.7006057068680978</v>
      </c>
      <c r="M26" s="1">
        <f t="shared" si="10"/>
        <v>-9.9902749462195626</v>
      </c>
      <c r="N26" s="1">
        <f t="shared" ref="N26" si="62">M26+M$2</f>
        <v>-9.6058320557725416</v>
      </c>
      <c r="O26" s="1">
        <f t="shared" si="12"/>
        <v>2.3981349442614595</v>
      </c>
      <c r="P26" s="1">
        <f t="shared" si="58"/>
        <v>-11.25578274380185</v>
      </c>
      <c r="Q26" s="1">
        <f t="shared" si="58"/>
        <v>-8.2304371216820353</v>
      </c>
      <c r="R26" s="1">
        <f t="shared" si="58"/>
        <v>-8.1889624673041546</v>
      </c>
      <c r="S26" s="1">
        <f>$M26+SUMPRODUCT(regions!BG26:BS26,regions!BG$193:BS$193)</f>
        <v>-6.3231760304807221</v>
      </c>
      <c r="T26" s="1">
        <f>$M26+SUMPRODUCT(regions!BV26:CD26,regions!BV$193:CD$193)</f>
        <v>-5.8310538347232788</v>
      </c>
      <c r="U26" s="1">
        <f>$M26+SUMPRODUCT(regions!CQ26:CV26,regions!CQ$193:CV$193)</f>
        <v>-6.2697893979374797</v>
      </c>
      <c r="V26" s="1">
        <f>$M26+SUMPRODUCT(regions!CY26:DF26,regions!CY$193:DF$193)</f>
        <v>-5.8210538347232781</v>
      </c>
      <c r="W26" s="1">
        <f>$M26+SUMPRODUCT(regions!DI26:DP26,regions!DI$193:DP$193)</f>
        <v>-3.7819538347232786</v>
      </c>
      <c r="X26" s="1">
        <f>$M26+SUMPRODUCT(regions!DR26:DW26,regions!DR$193:DW$193)</f>
        <v>-4.1666133529844203</v>
      </c>
      <c r="Y26" s="1">
        <f>$M26+SUMPRODUCT(regions!DZ26:EE26,regions!DZ$193:EE$193)</f>
        <v>-3.6656254199996905</v>
      </c>
      <c r="Z26" s="1">
        <f t="shared" si="26"/>
        <v>-3.5</v>
      </c>
      <c r="AA26" t="str">
        <f>Maddison!A13</f>
        <v>Brazil</v>
      </c>
      <c r="AB26">
        <f>-Maddison!B13</f>
        <v>-3.5</v>
      </c>
      <c r="AC26" s="1">
        <f>N26-AB26</f>
        <v>-6.1058320557725416</v>
      </c>
      <c r="AF26" s="1">
        <f t="shared" si="6"/>
        <v>3.3397250537804375</v>
      </c>
      <c r="AG26" s="1"/>
      <c r="AH26" s="1">
        <f t="shared" si="14"/>
        <v>-0.31877444555403206</v>
      </c>
      <c r="AI26" s="1">
        <f t="shared" si="39"/>
        <v>-0.29752281585042989</v>
      </c>
      <c r="AJ26" s="1">
        <f t="shared" si="39"/>
        <v>-0.27627118614682766</v>
      </c>
      <c r="AK26" s="1">
        <f t="shared" si="39"/>
        <v>-0.23376792673962341</v>
      </c>
      <c r="AL26" s="1">
        <f t="shared" si="39"/>
        <v>-0.21251629703602126</v>
      </c>
      <c r="AM26" s="1">
        <f t="shared" si="39"/>
        <v>-0.19126466733241915</v>
      </c>
      <c r="AN26" s="1">
        <f t="shared" si="39"/>
        <v>-0.170013037628817</v>
      </c>
      <c r="AO26" s="1">
        <f t="shared" si="39"/>
        <v>-0.14876140792521486</v>
      </c>
      <c r="AP26" s="1">
        <f t="shared" si="39"/>
        <v>-0.12750977822161275</v>
      </c>
      <c r="AQ26" s="1">
        <f t="shared" si="39"/>
        <v>-0.10625814851801062</v>
      </c>
      <c r="AR26" s="1">
        <f t="shared" si="39"/>
        <v>-8.5006518814408488E-2</v>
      </c>
      <c r="AS26" s="1">
        <f t="shared" si="39"/>
        <v>-6.3754889110806359E-2</v>
      </c>
      <c r="AT26" s="1">
        <f t="shared" si="39"/>
        <v>-4.2503259407204223E-2</v>
      </c>
      <c r="AU26" s="1">
        <f t="shared" si="39"/>
        <v>-2.1251629703602094E-2</v>
      </c>
      <c r="AV26" s="1">
        <f t="shared" si="39"/>
        <v>0</v>
      </c>
      <c r="AW26" s="1">
        <f t="shared" si="39"/>
        <v>2.1251629703602132E-2</v>
      </c>
      <c r="AX26" s="1">
        <f t="shared" si="39"/>
        <v>0</v>
      </c>
      <c r="AY26" s="1">
        <f t="shared" si="39"/>
        <v>6.3754889110806415E-2</v>
      </c>
      <c r="AZ26" s="1">
        <f t="shared" si="39"/>
        <v>8.500651881440853E-2</v>
      </c>
      <c r="BA26" s="1">
        <f t="shared" ref="AI26:BC38" si="63">$AF26*BA$2</f>
        <v>0.10625814851801066</v>
      </c>
      <c r="BB26" s="1">
        <f t="shared" si="63"/>
        <v>0.1275097782216128</v>
      </c>
      <c r="BC26" s="1">
        <f t="shared" si="63"/>
        <v>0.14876140792521494</v>
      </c>
      <c r="BD26" s="1"/>
      <c r="BE26">
        <f t="shared" ref="BE26" si="64">LN($D26)-LN($D26*(1+BA26/100))</f>
        <v>-1.062017345068611E-3</v>
      </c>
      <c r="BF26">
        <f t="shared" si="16"/>
        <v>-1.274285535428632E-3</v>
      </c>
      <c r="BG26">
        <f t="shared" si="16"/>
        <v>-1.4865086775657232E-3</v>
      </c>
    </row>
    <row r="27" spans="1:59" x14ac:dyDescent="0.35">
      <c r="A27" t="str">
        <f>regions!A27</f>
        <v>Brunei</v>
      </c>
      <c r="B27" s="22">
        <f>regions!B27</f>
        <v>400569</v>
      </c>
      <c r="C27" s="22">
        <f>regions!C27</f>
        <v>9849702194.2507877</v>
      </c>
      <c r="D27" s="10">
        <f>regions!D27</f>
        <v>24589.277238754839</v>
      </c>
      <c r="E27" s="1">
        <f>regions!X27</f>
        <v>26.9</v>
      </c>
      <c r="I27" s="7">
        <f t="shared" si="8"/>
        <v>-5.4241043811131284</v>
      </c>
      <c r="J27" s="1">
        <f t="shared" si="9"/>
        <v>-4.9049393313670189</v>
      </c>
      <c r="K27" s="1">
        <f t="shared" si="3"/>
        <v>6.0641218865201925</v>
      </c>
      <c r="L27" s="1">
        <f t="shared" si="9"/>
        <v>0.96047160852010016</v>
      </c>
      <c r="M27" s="1">
        <f t="shared" si="10"/>
        <v>-8.4067556391440892</v>
      </c>
      <c r="N27" s="1">
        <f t="shared" ref="N27" si="65">M27+M$2</f>
        <v>-8.0223127486970682</v>
      </c>
      <c r="O27" s="1">
        <f t="shared" si="12"/>
        <v>2.7020874388949085</v>
      </c>
      <c r="P27" s="1">
        <f t="shared" si="58"/>
        <v>-9.6722634367263769</v>
      </c>
      <c r="Q27" s="1">
        <f t="shared" si="58"/>
        <v>-6.6469178146065619</v>
      </c>
      <c r="R27" s="1">
        <f t="shared" si="58"/>
        <v>-6.6054431602286812</v>
      </c>
      <c r="S27" s="1">
        <f>$M27+SUMPRODUCT(regions!BG27:BS27,regions!BG$193:BS$193)</f>
        <v>-2.3115011187742072</v>
      </c>
      <c r="T27" s="1">
        <f>$M27+SUMPRODUCT(regions!BV27:CD27,regions!BV$193:CD$193)</f>
        <v>-8.1215048796259008</v>
      </c>
      <c r="U27" s="1">
        <f>$M27+SUMPRODUCT(regions!CQ27:CV27,regions!CQ$193:CV$193)</f>
        <v>-4.6862700908620063</v>
      </c>
      <c r="V27" s="1">
        <f>$M27+SUMPRODUCT(regions!CY27:DF27,regions!CY$193:DF$193)</f>
        <v>-8.2681182468242884</v>
      </c>
      <c r="W27" s="1">
        <f>$M27+SUMPRODUCT(regions!DI27:DP27,regions!DI$193:DP$193)</f>
        <v>-2.7631182468242903</v>
      </c>
      <c r="X27" s="1">
        <f>$M27+SUMPRODUCT(regions!DR27:DW27,regions!DR$193:DW$193)</f>
        <v>-2.5830940459089469</v>
      </c>
      <c r="Y27" s="1">
        <f>$M27+SUMPRODUCT(regions!DZ27:EE27,regions!DZ$193:EE$193)</f>
        <v>-2.0821061129242171</v>
      </c>
      <c r="Z27" s="1">
        <f t="shared" si="26"/>
        <v>-4.926689456699437</v>
      </c>
      <c r="AF27" s="1">
        <f t="shared" si="6"/>
        <v>4.9232443608559109</v>
      </c>
      <c r="AG27" s="1"/>
      <c r="AH27" s="1">
        <f t="shared" si="14"/>
        <v>-0.46992026774250584</v>
      </c>
      <c r="AI27" s="1">
        <f t="shared" si="63"/>
        <v>-0.43859224989300538</v>
      </c>
      <c r="AJ27" s="1">
        <f t="shared" si="63"/>
        <v>-0.40726423204350493</v>
      </c>
      <c r="AK27" s="1">
        <f t="shared" si="63"/>
        <v>-0.34460819634450413</v>
      </c>
      <c r="AL27" s="1">
        <f t="shared" si="63"/>
        <v>-0.31328017849500372</v>
      </c>
      <c r="AM27" s="1">
        <f t="shared" si="63"/>
        <v>-0.28195216064550338</v>
      </c>
      <c r="AN27" s="1">
        <f t="shared" si="63"/>
        <v>-0.25062414279600298</v>
      </c>
      <c r="AO27" s="1">
        <f t="shared" si="63"/>
        <v>-0.21929612494650258</v>
      </c>
      <c r="AP27" s="1">
        <f t="shared" si="63"/>
        <v>-0.18796810709700223</v>
      </c>
      <c r="AQ27" s="1">
        <f t="shared" si="63"/>
        <v>-0.15664008924750183</v>
      </c>
      <c r="AR27" s="1">
        <f t="shared" si="63"/>
        <v>-0.12531207139800146</v>
      </c>
      <c r="AS27" s="1">
        <f t="shared" si="63"/>
        <v>-9.3984053548501104E-2</v>
      </c>
      <c r="AT27" s="1">
        <f t="shared" si="63"/>
        <v>-6.2656035699000703E-2</v>
      </c>
      <c r="AU27" s="1">
        <f t="shared" si="63"/>
        <v>-3.1328017849500324E-2</v>
      </c>
      <c r="AV27" s="1">
        <f t="shared" si="63"/>
        <v>0</v>
      </c>
      <c r="AW27" s="1">
        <f t="shared" si="63"/>
        <v>3.1328017849500386E-2</v>
      </c>
      <c r="AX27" s="1">
        <f t="shared" si="63"/>
        <v>0</v>
      </c>
      <c r="AY27" s="1">
        <f t="shared" si="63"/>
        <v>9.3984053548501159E-2</v>
      </c>
      <c r="AZ27" s="1">
        <f t="shared" si="63"/>
        <v>0.12531207139800155</v>
      </c>
      <c r="BA27" s="1">
        <f t="shared" si="63"/>
        <v>0.15664008924750192</v>
      </c>
      <c r="BB27" s="1">
        <f t="shared" si="63"/>
        <v>0.18796810709700229</v>
      </c>
      <c r="BC27" s="1">
        <f t="shared" si="63"/>
        <v>0.21929612494650269</v>
      </c>
      <c r="BD27" s="1"/>
      <c r="BE27">
        <f t="shared" ref="BE27" si="66">LN($D27)-LN($D27*(1+BA27/100))</f>
        <v>-1.5651753662062617E-3</v>
      </c>
      <c r="BF27">
        <f t="shared" si="16"/>
        <v>-1.8779166811526693E-3</v>
      </c>
      <c r="BG27">
        <f t="shared" si="16"/>
        <v>-2.1905602195460006E-3</v>
      </c>
    </row>
    <row r="28" spans="1:59" x14ac:dyDescent="0.35">
      <c r="A28" t="str">
        <f>regions!A28</f>
        <v>Bulgaria</v>
      </c>
      <c r="B28" s="22">
        <f>regions!B28</f>
        <v>7534289</v>
      </c>
      <c r="C28" s="22">
        <f>regions!C28</f>
        <v>32991740544.129009</v>
      </c>
      <c r="D28" s="10">
        <f>regions!D28</f>
        <v>4378.8790878779682</v>
      </c>
      <c r="E28" s="1">
        <f>regions!X28</f>
        <v>10.5</v>
      </c>
      <c r="I28" s="7">
        <f t="shared" si="8"/>
        <v>-2.5628798558054053</v>
      </c>
      <c r="J28" s="1">
        <f t="shared" si="9"/>
        <v>-2.0437148060592953</v>
      </c>
      <c r="K28" s="1">
        <f t="shared" si="3"/>
        <v>3.9995942036605054</v>
      </c>
      <c r="L28" s="1">
        <f t="shared" si="9"/>
        <v>-1.1040560743395869</v>
      </c>
      <c r="M28" s="1">
        <f t="shared" si="10"/>
        <v>-3.9511125131657394</v>
      </c>
      <c r="N28" s="1">
        <f t="shared" ref="N28" si="67">M28+M$2</f>
        <v>-3.5666696227187185</v>
      </c>
      <c r="O28" s="1">
        <f t="shared" si="12"/>
        <v>2.4620460994655309</v>
      </c>
      <c r="P28" s="1">
        <f t="shared" si="58"/>
        <v>-5.2166203107480271</v>
      </c>
      <c r="Q28" s="1">
        <f t="shared" si="58"/>
        <v>-2.1912746886282113</v>
      </c>
      <c r="R28" s="1">
        <f t="shared" si="58"/>
        <v>-2.1498000342503314</v>
      </c>
      <c r="S28" s="1">
        <f>$M28+SUMPRODUCT(regions!BG28:BS28,regions!BG$193:BS$193)</f>
        <v>-2.7978953404756286</v>
      </c>
      <c r="T28" s="1">
        <f>$M28+SUMPRODUCT(regions!BV28:CD28,regions!BV$193:CD$193)</f>
        <v>-3.7818663690132328</v>
      </c>
      <c r="U28" s="1">
        <f>$M28+SUMPRODUCT(regions!CQ28:CV28,regions!CQ$193:CV$193)</f>
        <v>-0.23062696488365653</v>
      </c>
      <c r="V28" s="1">
        <f>$M28+SUMPRODUCT(regions!CY28:DF28,regions!CY$193:DF$193)</f>
        <v>-4.0818663690132331</v>
      </c>
      <c r="W28" s="1">
        <f>$M28+SUMPRODUCT(regions!DI28:DP28,regions!DI$193:DP$193)</f>
        <v>-3.6513663690132327</v>
      </c>
      <c r="X28" s="1">
        <f>$M28+SUMPRODUCT(regions!DR28:DW28,regions!DR$193:DW$193)</f>
        <v>1.8725490800694029</v>
      </c>
      <c r="Y28" s="1">
        <f>$M28+SUMPRODUCT(regions!DZ28:EE28,regions!DZ$193:EE$193)</f>
        <v>2.3735370130541327</v>
      </c>
      <c r="Z28" s="1">
        <f t="shared" si="26"/>
        <v>-0.47104633072108681</v>
      </c>
      <c r="AF28" s="1">
        <f t="shared" si="6"/>
        <v>9.3788874868342607</v>
      </c>
      <c r="AG28" s="1"/>
      <c r="AH28" s="1">
        <f t="shared" si="14"/>
        <v>-0.89520832115954019</v>
      </c>
      <c r="AI28" s="1">
        <f t="shared" si="63"/>
        <v>-0.83552776641557069</v>
      </c>
      <c r="AJ28" s="1">
        <f t="shared" si="63"/>
        <v>-0.7758472116716012</v>
      </c>
      <c r="AK28" s="1">
        <f t="shared" si="63"/>
        <v>-0.65648610218366255</v>
      </c>
      <c r="AL28" s="1">
        <f t="shared" si="63"/>
        <v>-0.59680554743969316</v>
      </c>
      <c r="AM28" s="1">
        <f t="shared" si="63"/>
        <v>-0.53712499269572389</v>
      </c>
      <c r="AN28" s="1">
        <f t="shared" si="63"/>
        <v>-0.47744443795175451</v>
      </c>
      <c r="AO28" s="1">
        <f t="shared" si="63"/>
        <v>-0.41776388320778518</v>
      </c>
      <c r="AP28" s="1">
        <f t="shared" si="63"/>
        <v>-0.35808332846381585</v>
      </c>
      <c r="AQ28" s="1">
        <f t="shared" si="63"/>
        <v>-0.29840277371984653</v>
      </c>
      <c r="AR28" s="1">
        <f t="shared" si="63"/>
        <v>-0.23872221897587723</v>
      </c>
      <c r="AS28" s="1">
        <f t="shared" si="63"/>
        <v>-0.1790416642319079</v>
      </c>
      <c r="AT28" s="1">
        <f t="shared" si="63"/>
        <v>-0.11936110948793856</v>
      </c>
      <c r="AU28" s="1">
        <f t="shared" si="63"/>
        <v>-5.9680554743969223E-2</v>
      </c>
      <c r="AV28" s="1">
        <f t="shared" si="63"/>
        <v>0</v>
      </c>
      <c r="AW28" s="1">
        <f t="shared" si="63"/>
        <v>5.9680554743969334E-2</v>
      </c>
      <c r="AX28" s="1">
        <f t="shared" si="63"/>
        <v>0</v>
      </c>
      <c r="AY28" s="1">
        <f t="shared" si="63"/>
        <v>0.17904166423190804</v>
      </c>
      <c r="AZ28" s="1">
        <f t="shared" si="63"/>
        <v>0.23872221897587734</v>
      </c>
      <c r="BA28" s="1">
        <f t="shared" si="63"/>
        <v>0.29840277371984664</v>
      </c>
      <c r="BB28" s="1">
        <f t="shared" si="63"/>
        <v>0.35808332846381602</v>
      </c>
      <c r="BC28" s="1">
        <f t="shared" si="63"/>
        <v>0.41776388320778535</v>
      </c>
      <c r="BD28" s="1"/>
      <c r="BE28">
        <f t="shared" ref="BE28" si="68">LN($D28)-LN($D28*(1+BA28/100))</f>
        <v>-2.9795843636684083E-3</v>
      </c>
      <c r="BF28">
        <f t="shared" si="16"/>
        <v>-3.5744373650654637E-3</v>
      </c>
      <c r="BG28">
        <f t="shared" si="16"/>
        <v>-4.168936726722805E-3</v>
      </c>
    </row>
    <row r="29" spans="1:59" x14ac:dyDescent="0.35">
      <c r="A29" t="str">
        <f>regions!A29</f>
        <v>Burkina Faso</v>
      </c>
      <c r="B29" s="22">
        <f>regions!B29</f>
        <v>15540284</v>
      </c>
      <c r="C29" s="22">
        <f>regions!C29</f>
        <v>7105465610.4591045</v>
      </c>
      <c r="D29" s="10">
        <f>regions!D29</f>
        <v>457.22881322240346</v>
      </c>
      <c r="E29" s="1">
        <f>regions!X29</f>
        <v>28.2</v>
      </c>
      <c r="I29" s="7">
        <f t="shared" si="8"/>
        <v>-14.456703397645198</v>
      </c>
      <c r="J29" s="1">
        <f t="shared" si="9"/>
        <v>-13.937538347899087</v>
      </c>
      <c r="K29" s="1">
        <f t="shared" si="3"/>
        <v>-11.764837854542558</v>
      </c>
      <c r="L29" s="1">
        <f t="shared" si="9"/>
        <v>-16.868488132542652</v>
      </c>
      <c r="M29" s="1">
        <f t="shared" si="10"/>
        <v>-15.685202273721726</v>
      </c>
      <c r="N29" s="1">
        <f t="shared" ref="N29" si="69">M29+M$2</f>
        <v>-15.300759383274706</v>
      </c>
      <c r="O29" s="1">
        <f t="shared" si="12"/>
        <v>2.9171998047435075</v>
      </c>
      <c r="P29" s="1">
        <f t="shared" si="58"/>
        <v>-16.950710071304016</v>
      </c>
      <c r="Q29" s="1">
        <f t="shared" si="58"/>
        <v>-13.925364449184199</v>
      </c>
      <c r="R29" s="1">
        <f t="shared" si="58"/>
        <v>-13.883889794806318</v>
      </c>
      <c r="S29" s="1">
        <f>$M29+SUMPRODUCT(regions!BG29:BS29,regions!BG$193:BS$193)</f>
        <v>-6.4300739672937777</v>
      </c>
      <c r="T29" s="1">
        <f>$M29+SUMPRODUCT(regions!BV29:CD29,regions!BV$193:CD$193)</f>
        <v>-14.039884954106043</v>
      </c>
      <c r="U29" s="1">
        <f>$M29+SUMPRODUCT(regions!CQ29:CV29,regions!CQ$193:CV$193)</f>
        <v>-11.964716725439644</v>
      </c>
      <c r="V29" s="1">
        <f>$M29+SUMPRODUCT(regions!CY29:DF29,regions!CY$193:DF$193)</f>
        <v>-13.583624752896025</v>
      </c>
      <c r="W29" s="1">
        <f>$M29+SUMPRODUCT(regions!DI29:DP29,regions!DI$193:DP$193)</f>
        <v>-9.984524752896025</v>
      </c>
      <c r="X29" s="1">
        <f>$M29+SUMPRODUCT(regions!DR29:DW29,regions!DR$193:DW$193)</f>
        <v>-9.8615406804865842</v>
      </c>
      <c r="Y29" s="1">
        <f>$M29+SUMPRODUCT(regions!DZ29:EE29,regions!DZ$193:EE$193)</f>
        <v>-9.3605527475018544</v>
      </c>
      <c r="Z29" s="1">
        <f t="shared" si="26"/>
        <v>-12.205136091277074</v>
      </c>
      <c r="AF29" s="1">
        <f t="shared" si="6"/>
        <v>-2.3552022737217264</v>
      </c>
      <c r="AG29" s="1"/>
      <c r="AH29" s="1">
        <f t="shared" si="14"/>
        <v>0.22480242741042034</v>
      </c>
      <c r="AI29" s="1">
        <f t="shared" si="63"/>
        <v>0.20981559891639229</v>
      </c>
      <c r="AJ29" s="1">
        <f t="shared" si="63"/>
        <v>0.19482877042236424</v>
      </c>
      <c r="AK29" s="1">
        <f t="shared" si="63"/>
        <v>0.16485511343430817</v>
      </c>
      <c r="AL29" s="1">
        <f t="shared" si="63"/>
        <v>0.14986828494028015</v>
      </c>
      <c r="AM29" s="1">
        <f t="shared" si="63"/>
        <v>0.13488145644625213</v>
      </c>
      <c r="AN29" s="1">
        <f t="shared" si="63"/>
        <v>0.11989462795222411</v>
      </c>
      <c r="AO29" s="1">
        <f t="shared" si="63"/>
        <v>0.10490779945819609</v>
      </c>
      <c r="AP29" s="1">
        <f t="shared" si="63"/>
        <v>8.9920970964168082E-2</v>
      </c>
      <c r="AQ29" s="1">
        <f t="shared" si="63"/>
        <v>7.4934142470140061E-2</v>
      </c>
      <c r="AR29" s="1">
        <f t="shared" si="63"/>
        <v>5.9947313976112047E-2</v>
      </c>
      <c r="AS29" s="1">
        <f t="shared" si="63"/>
        <v>4.4960485482084034E-2</v>
      </c>
      <c r="AT29" s="1">
        <f t="shared" si="63"/>
        <v>2.9973656988056013E-2</v>
      </c>
      <c r="AU29" s="1">
        <f t="shared" si="63"/>
        <v>1.4986828494027991E-2</v>
      </c>
      <c r="AV29" s="1">
        <f t="shared" si="63"/>
        <v>0</v>
      </c>
      <c r="AW29" s="1">
        <f t="shared" si="63"/>
        <v>-1.4986828494028021E-2</v>
      </c>
      <c r="AX29" s="1">
        <f t="shared" si="63"/>
        <v>0</v>
      </c>
      <c r="AY29" s="1">
        <f t="shared" si="63"/>
        <v>-4.4960485482084069E-2</v>
      </c>
      <c r="AZ29" s="1">
        <f t="shared" si="63"/>
        <v>-5.9947313976112082E-2</v>
      </c>
      <c r="BA29" s="1">
        <f t="shared" si="63"/>
        <v>-7.4934142470140103E-2</v>
      </c>
      <c r="BB29" s="1">
        <f t="shared" si="63"/>
        <v>-8.9920970964168123E-2</v>
      </c>
      <c r="BC29" s="1">
        <f t="shared" si="63"/>
        <v>-0.10490779945819614</v>
      </c>
      <c r="BD29" s="1"/>
      <c r="BE29">
        <f t="shared" ref="BE29" si="70">LN($D29)-LN($D29*(1+BA29/100))</f>
        <v>7.4962232132058659E-4</v>
      </c>
      <c r="BF29">
        <f t="shared" si="16"/>
        <v>8.9961424121653977E-4</v>
      </c>
      <c r="BG29">
        <f t="shared" si="16"/>
        <v>1.0496286620638173E-3</v>
      </c>
    </row>
    <row r="30" spans="1:59" x14ac:dyDescent="0.35">
      <c r="A30" t="str">
        <f>regions!A30</f>
        <v>Burundi</v>
      </c>
      <c r="B30" s="22">
        <f>regions!B30</f>
        <v>9232753</v>
      </c>
      <c r="C30" s="22">
        <f>regions!C30</f>
        <v>1391766915.34813</v>
      </c>
      <c r="D30" s="10">
        <f>regions!D30</f>
        <v>150.74235337478757</v>
      </c>
      <c r="E30" s="1">
        <f>regions!X30</f>
        <v>19.7</v>
      </c>
      <c r="I30" s="7">
        <f t="shared" si="8"/>
        <v>-10.222343258338261</v>
      </c>
      <c r="J30" s="1">
        <f t="shared" si="9"/>
        <v>-9.703178208592151</v>
      </c>
      <c r="K30" s="1">
        <f t="shared" si="3"/>
        <v>-8.6058451163119027</v>
      </c>
      <c r="L30" s="1">
        <f t="shared" si="9"/>
        <v>-13.709495394311995</v>
      </c>
      <c r="M30" s="1">
        <f t="shared" si="10"/>
        <v>-13.737605184319641</v>
      </c>
      <c r="N30" s="1">
        <f t="shared" ref="N30" si="71">M30+M$2</f>
        <v>-13.35316229387262</v>
      </c>
      <c r="O30" s="1">
        <f t="shared" si="12"/>
        <v>2.9171998047435035</v>
      </c>
      <c r="P30" s="1">
        <f t="shared" si="58"/>
        <v>-15.003112981901928</v>
      </c>
      <c r="Q30" s="1">
        <f t="shared" si="58"/>
        <v>-11.977767359782113</v>
      </c>
      <c r="R30" s="1">
        <f t="shared" si="58"/>
        <v>-11.936292705404233</v>
      </c>
      <c r="S30" s="1">
        <f>$M30+SUMPRODUCT(regions!BG30:BS30,regions!BG$193:BS$193)</f>
        <v>-4.4824768778916919</v>
      </c>
      <c r="T30" s="1">
        <f>$M30+SUMPRODUCT(regions!BV30:CD30,regions!BV$193:CD$193)</f>
        <v>-12.092287864703957</v>
      </c>
      <c r="U30" s="1">
        <f>$M30+SUMPRODUCT(regions!CQ30:CV30,regions!CQ$193:CV$193)</f>
        <v>-10.017119636037558</v>
      </c>
      <c r="V30" s="1">
        <f>$M30+SUMPRODUCT(regions!CY30:DF30,regions!CY$193:DF$193)</f>
        <v>-11.636027663493939</v>
      </c>
      <c r="W30" s="1">
        <f>$M30+SUMPRODUCT(regions!DI30:DP30,regions!DI$193:DP$193)</f>
        <v>-8.0369276634939393</v>
      </c>
      <c r="X30" s="1">
        <f>$M30+SUMPRODUCT(regions!DR30:DW30,regions!DR$193:DW$193)</f>
        <v>-7.9139435910844984</v>
      </c>
      <c r="Y30" s="1">
        <f>$M30+SUMPRODUCT(regions!DZ30:EE30,regions!DZ$193:EE$193)</f>
        <v>-7.4129556580997686</v>
      </c>
      <c r="Z30" s="1">
        <f t="shared" si="26"/>
        <v>-10.257539001874989</v>
      </c>
      <c r="AF30" s="1">
        <f t="shared" si="6"/>
        <v>-0.40760518431964066</v>
      </c>
      <c r="AG30" s="1"/>
      <c r="AH30" s="1">
        <f t="shared" si="14"/>
        <v>3.8905632812306565E-2</v>
      </c>
      <c r="AI30" s="1">
        <f t="shared" si="63"/>
        <v>3.6311923958152782E-2</v>
      </c>
      <c r="AJ30" s="1">
        <f t="shared" si="63"/>
        <v>3.3718215103999007E-2</v>
      </c>
      <c r="AK30" s="1">
        <f t="shared" si="63"/>
        <v>2.8530797395691469E-2</v>
      </c>
      <c r="AL30" s="1">
        <f t="shared" si="63"/>
        <v>2.5937088541537697E-2</v>
      </c>
      <c r="AM30" s="1">
        <f t="shared" si="63"/>
        <v>2.3343379687383925E-2</v>
      </c>
      <c r="AN30" s="1">
        <f t="shared" si="63"/>
        <v>2.0749670833230156E-2</v>
      </c>
      <c r="AO30" s="1">
        <f t="shared" si="63"/>
        <v>1.8155961979076384E-2</v>
      </c>
      <c r="AP30" s="1">
        <f t="shared" si="63"/>
        <v>1.5562253124922616E-2</v>
      </c>
      <c r="AQ30" s="1">
        <f t="shared" si="63"/>
        <v>1.2968544270768845E-2</v>
      </c>
      <c r="AR30" s="1">
        <f t="shared" si="63"/>
        <v>1.0374835416615076E-2</v>
      </c>
      <c r="AS30" s="1">
        <f t="shared" si="63"/>
        <v>7.7811265624613069E-3</v>
      </c>
      <c r="AT30" s="1">
        <f t="shared" si="63"/>
        <v>5.1874177083075356E-3</v>
      </c>
      <c r="AU30" s="1">
        <f t="shared" si="63"/>
        <v>2.5937088541537656E-3</v>
      </c>
      <c r="AV30" s="1">
        <f t="shared" si="63"/>
        <v>0</v>
      </c>
      <c r="AW30" s="1">
        <f t="shared" si="63"/>
        <v>-2.5937088541537704E-3</v>
      </c>
      <c r="AX30" s="1">
        <f t="shared" si="63"/>
        <v>0</v>
      </c>
      <c r="AY30" s="1">
        <f t="shared" si="63"/>
        <v>-7.7811265624613121E-3</v>
      </c>
      <c r="AZ30" s="1">
        <f t="shared" si="63"/>
        <v>-1.0374835416615082E-2</v>
      </c>
      <c r="BA30" s="1">
        <f t="shared" si="63"/>
        <v>-1.2968544270768852E-2</v>
      </c>
      <c r="BB30" s="1">
        <f t="shared" si="63"/>
        <v>-1.5562253124922622E-2</v>
      </c>
      <c r="BC30" s="1">
        <f t="shared" si="63"/>
        <v>-1.8155961979076391E-2</v>
      </c>
      <c r="BD30" s="1"/>
      <c r="BE30">
        <f t="shared" ref="BE30" si="72">LN($D30)-LN($D30*(1+BA30/100))</f>
        <v>1.2969385259253841E-4</v>
      </c>
      <c r="BF30">
        <f t="shared" si="16"/>
        <v>1.5563464169243701E-4</v>
      </c>
      <c r="BG30">
        <f t="shared" si="16"/>
        <v>1.8157610373403799E-4</v>
      </c>
    </row>
    <row r="31" spans="1:59" x14ac:dyDescent="0.35">
      <c r="A31" t="str">
        <f>regions!A31</f>
        <v>CÃ´te d'Ivoire</v>
      </c>
      <c r="B31" s="22">
        <f>regions!B31</f>
        <v>18976588</v>
      </c>
      <c r="C31" s="22">
        <f>regions!C31</f>
        <v>18173099407.3027</v>
      </c>
      <c r="D31" s="10">
        <f>regions!D31</f>
        <v>957.65895361709386</v>
      </c>
      <c r="E31" s="1">
        <f>regions!X31</f>
        <v>26.3</v>
      </c>
      <c r="I31" s="7">
        <f t="shared" si="8"/>
        <v>-13.100050755495291</v>
      </c>
      <c r="J31" s="1">
        <f t="shared" si="9"/>
        <v>-12.58088570574918</v>
      </c>
      <c r="K31" s="1">
        <f t="shared" si="3"/>
        <v>-9.7803201726926421</v>
      </c>
      <c r="L31" s="1">
        <f t="shared" si="9"/>
        <v>-14.883970450692734</v>
      </c>
      <c r="M31" s="1">
        <f t="shared" si="10"/>
        <v>-13.590920773395215</v>
      </c>
      <c r="N31" s="1">
        <f t="shared" ref="N31" si="73">M31+M$2</f>
        <v>-13.206477882948194</v>
      </c>
      <c r="O31" s="1">
        <f t="shared" si="12"/>
        <v>3.548550114522262</v>
      </c>
      <c r="P31" s="1">
        <f t="shared" si="58"/>
        <v>-14.856428570977503</v>
      </c>
      <c r="Q31" s="1">
        <f t="shared" si="58"/>
        <v>-11.831082948857688</v>
      </c>
      <c r="R31" s="1">
        <f t="shared" si="58"/>
        <v>-11.789608294479807</v>
      </c>
      <c r="S31" s="1">
        <f>$M31+SUMPRODUCT(regions!BG31:BS31,regions!BG$193:BS$193)</f>
        <v>-4.3357924669672663</v>
      </c>
      <c r="T31" s="1">
        <f>$M31+SUMPRODUCT(regions!BV31:CD31,regions!BV$193:CD$193)</f>
        <v>-11.945603453779531</v>
      </c>
      <c r="U31" s="1">
        <f>$M31+SUMPRODUCT(regions!CQ31:CV31,regions!CQ$193:CV$193)</f>
        <v>-9.8704352251131322</v>
      </c>
      <c r="V31" s="1">
        <f>$M31+SUMPRODUCT(regions!CY31:DF31,regions!CY$193:DF$193)</f>
        <v>-11.489343252569514</v>
      </c>
      <c r="W31" s="1">
        <f>$M31+SUMPRODUCT(regions!DI31:DP31,regions!DI$193:DP$193)</f>
        <v>-7.8902432525695136</v>
      </c>
      <c r="X31" s="1">
        <f>$M31+SUMPRODUCT(regions!DR31:DW31,regions!DR$193:DW$193)</f>
        <v>-7.7672591801600728</v>
      </c>
      <c r="Y31" s="1">
        <f>$M31+SUMPRODUCT(regions!DZ31:EE31,regions!DZ$193:EE$193)</f>
        <v>-7.266271247175343</v>
      </c>
      <c r="Z31" s="1">
        <f t="shared" si="26"/>
        <v>-3.2</v>
      </c>
      <c r="AA31" t="str">
        <f>Maddison!A42</f>
        <v>Ivory Coast</v>
      </c>
      <c r="AB31">
        <f>-Maddison!B42</f>
        <v>-3.2</v>
      </c>
      <c r="AC31" s="1">
        <f>N31-AB31</f>
        <v>-10.006477882948193</v>
      </c>
      <c r="AF31" s="1">
        <f t="shared" si="6"/>
        <v>-0.26092077339521502</v>
      </c>
      <c r="AG31" s="1"/>
      <c r="AH31" s="1">
        <f t="shared" si="14"/>
        <v>2.4904707283744276E-2</v>
      </c>
      <c r="AI31" s="1">
        <f t="shared" si="63"/>
        <v>2.3244393464827987E-2</v>
      </c>
      <c r="AJ31" s="1">
        <f t="shared" si="63"/>
        <v>2.1584079645911698E-2</v>
      </c>
      <c r="AK31" s="1">
        <f t="shared" si="63"/>
        <v>1.8263452008079127E-2</v>
      </c>
      <c r="AL31" s="1">
        <f t="shared" si="63"/>
        <v>1.6603138189162842E-2</v>
      </c>
      <c r="AM31" s="1">
        <f t="shared" si="63"/>
        <v>1.4942824370246558E-2</v>
      </c>
      <c r="AN31" s="1">
        <f t="shared" si="63"/>
        <v>1.3282510551330272E-2</v>
      </c>
      <c r="AO31" s="1">
        <f t="shared" si="63"/>
        <v>1.1622196732413988E-2</v>
      </c>
      <c r="AP31" s="1">
        <f t="shared" si="63"/>
        <v>9.9618829134977046E-3</v>
      </c>
      <c r="AQ31" s="1">
        <f t="shared" si="63"/>
        <v>8.301569094581419E-3</v>
      </c>
      <c r="AR31" s="1">
        <f t="shared" si="63"/>
        <v>6.6412552756651352E-3</v>
      </c>
      <c r="AS31" s="1">
        <f t="shared" si="63"/>
        <v>4.9809414567488514E-3</v>
      </c>
      <c r="AT31" s="1">
        <f t="shared" si="63"/>
        <v>3.3206276378325663E-3</v>
      </c>
      <c r="AU31" s="1">
        <f t="shared" si="63"/>
        <v>1.6603138189162816E-3</v>
      </c>
      <c r="AV31" s="1">
        <f t="shared" si="63"/>
        <v>0</v>
      </c>
      <c r="AW31" s="1">
        <f t="shared" si="63"/>
        <v>-1.6603138189162849E-3</v>
      </c>
      <c r="AX31" s="1">
        <f t="shared" si="63"/>
        <v>0</v>
      </c>
      <c r="AY31" s="1">
        <f t="shared" si="63"/>
        <v>-4.9809414567488549E-3</v>
      </c>
      <c r="AZ31" s="1">
        <f t="shared" si="63"/>
        <v>-6.6412552756651396E-3</v>
      </c>
      <c r="BA31" s="1">
        <f t="shared" si="63"/>
        <v>-8.3015690945814225E-3</v>
      </c>
      <c r="BB31" s="1">
        <f t="shared" si="63"/>
        <v>-9.9618829134977081E-3</v>
      </c>
      <c r="BC31" s="1">
        <f t="shared" si="63"/>
        <v>-1.1622196732413994E-2</v>
      </c>
      <c r="BD31" s="1"/>
      <c r="BE31">
        <f t="shared" ref="BE31" si="74">LN($D31)-LN($D31*(1+BA31/100))</f>
        <v>8.3019136939199711E-5</v>
      </c>
      <c r="BF31">
        <f t="shared" si="16"/>
        <v>9.9623791420810903E-5</v>
      </c>
      <c r="BG31">
        <f t="shared" si="16"/>
        <v>1.162287216205371E-4</v>
      </c>
    </row>
    <row r="32" spans="1:59" x14ac:dyDescent="0.35">
      <c r="A32" t="str">
        <f>regions!A32</f>
        <v>Cambodia</v>
      </c>
      <c r="B32" s="22">
        <f>regions!B32</f>
        <v>14364931</v>
      </c>
      <c r="C32" s="22">
        <f>regions!C32</f>
        <v>8693197235.5684757</v>
      </c>
      <c r="D32" s="10">
        <f>regions!D32</f>
        <v>605.16804679176505</v>
      </c>
      <c r="E32" s="1">
        <f>regions!X32</f>
        <v>26.8</v>
      </c>
      <c r="I32" s="7">
        <f t="shared" si="8"/>
        <v>-13.615075932509219</v>
      </c>
      <c r="J32" s="1">
        <f t="shared" si="9"/>
        <v>-13.095910882763109</v>
      </c>
      <c r="K32" s="1">
        <f t="shared" si="3"/>
        <v>-10.792633211242086</v>
      </c>
      <c r="L32" s="1">
        <f t="shared" si="9"/>
        <v>-15.896283489242178</v>
      </c>
      <c r="M32" s="1">
        <f t="shared" si="10"/>
        <v>-14.586346856675014</v>
      </c>
      <c r="N32" s="1">
        <f t="shared" ref="N32" si="75">M32+M$2</f>
        <v>-14.201903966227993</v>
      </c>
      <c r="O32" s="1">
        <f t="shared" si="12"/>
        <v>3.0960644511117192</v>
      </c>
      <c r="P32" s="1">
        <f t="shared" si="58"/>
        <v>-15.851854654257302</v>
      </c>
      <c r="Q32" s="1">
        <f t="shared" si="58"/>
        <v>-12.826509032137487</v>
      </c>
      <c r="R32" s="1">
        <f t="shared" si="58"/>
        <v>-12.785034377759606</v>
      </c>
      <c r="S32" s="1">
        <f>$M32+SUMPRODUCT(regions!BG32:BS32,regions!BG$193:BS$193)</f>
        <v>-5.8004083568750247</v>
      </c>
      <c r="T32" s="1">
        <f>$M32+SUMPRODUCT(regions!BV32:CD32,regions!BV$193:CD$193)</f>
        <v>-14.301096097156826</v>
      </c>
      <c r="U32" s="1">
        <f>$M32+SUMPRODUCT(regions!CQ32:CV32,regions!CQ$193:CV$193)</f>
        <v>-10.865861308392931</v>
      </c>
      <c r="V32" s="1">
        <f>$M32+SUMPRODUCT(regions!CY32:DF32,regions!CY$193:DF$193)</f>
        <v>-14.447709464355214</v>
      </c>
      <c r="W32" s="1">
        <f>$M32+SUMPRODUCT(regions!DI32:DP32,regions!DI$193:DP$193)</f>
        <v>-8.9427094643552145</v>
      </c>
      <c r="X32" s="1">
        <f>$M32+SUMPRODUCT(regions!DR32:DW32,regions!DR$193:DW$193)</f>
        <v>-8.762685263439872</v>
      </c>
      <c r="Y32" s="1">
        <f>$M32+SUMPRODUCT(regions!DZ32:EE32,regions!DZ$193:EE$193)</f>
        <v>-8.2616973304551422</v>
      </c>
      <c r="Z32" s="1">
        <f t="shared" si="26"/>
        <v>-11.106280674230362</v>
      </c>
      <c r="AF32" s="1">
        <f t="shared" si="6"/>
        <v>-1.2563468566750142</v>
      </c>
      <c r="AG32" s="1"/>
      <c r="AH32" s="1">
        <f t="shared" si="14"/>
        <v>0.11991743817557324</v>
      </c>
      <c r="AI32" s="1">
        <f t="shared" si="63"/>
        <v>0.11192294229720168</v>
      </c>
      <c r="AJ32" s="1">
        <f t="shared" si="63"/>
        <v>0.1039284464188301</v>
      </c>
      <c r="AK32" s="1">
        <f t="shared" si="63"/>
        <v>8.793945466208701E-2</v>
      </c>
      <c r="AL32" s="1">
        <f t="shared" si="63"/>
        <v>7.9944958783715464E-2</v>
      </c>
      <c r="AM32" s="1">
        <f t="shared" si="63"/>
        <v>7.1950462905343904E-2</v>
      </c>
      <c r="AN32" s="1">
        <f t="shared" si="63"/>
        <v>6.3955967026972357E-2</v>
      </c>
      <c r="AO32" s="1">
        <f t="shared" si="63"/>
        <v>5.5961471148600811E-2</v>
      </c>
      <c r="AP32" s="1">
        <f t="shared" si="63"/>
        <v>4.7966975270229271E-2</v>
      </c>
      <c r="AQ32" s="1">
        <f t="shared" si="63"/>
        <v>3.9972479391857718E-2</v>
      </c>
      <c r="AR32" s="1">
        <f t="shared" si="63"/>
        <v>3.1977983513486172E-2</v>
      </c>
      <c r="AS32" s="1">
        <f t="shared" si="63"/>
        <v>2.3983487635114629E-2</v>
      </c>
      <c r="AT32" s="1">
        <f t="shared" si="63"/>
        <v>1.5988991756743082E-2</v>
      </c>
      <c r="AU32" s="1">
        <f t="shared" si="63"/>
        <v>7.9944958783715325E-3</v>
      </c>
      <c r="AV32" s="1">
        <f t="shared" si="63"/>
        <v>0</v>
      </c>
      <c r="AW32" s="1">
        <f t="shared" si="63"/>
        <v>-7.9944958783715481E-3</v>
      </c>
      <c r="AX32" s="1">
        <f t="shared" si="63"/>
        <v>0</v>
      </c>
      <c r="AY32" s="1">
        <f t="shared" si="63"/>
        <v>-2.3983487635114646E-2</v>
      </c>
      <c r="AZ32" s="1">
        <f t="shared" si="63"/>
        <v>-3.1977983513486193E-2</v>
      </c>
      <c r="BA32" s="1">
        <f t="shared" si="63"/>
        <v>-3.9972479391857739E-2</v>
      </c>
      <c r="BB32" s="1">
        <f t="shared" si="63"/>
        <v>-4.7966975270229285E-2</v>
      </c>
      <c r="BC32" s="1">
        <f t="shared" si="63"/>
        <v>-5.5961471148600839E-2</v>
      </c>
      <c r="BD32" s="1"/>
      <c r="BE32">
        <f t="shared" ref="BE32" si="76">LN($D32)-LN($D32*(1+BA32/100))</f>
        <v>3.9980470516987054E-4</v>
      </c>
      <c r="BF32">
        <f t="shared" si="16"/>
        <v>4.7978483103960912E-4</v>
      </c>
      <c r="BG32">
        <f t="shared" si="16"/>
        <v>5.5977135424090108E-4</v>
      </c>
    </row>
    <row r="33" spans="1:59" x14ac:dyDescent="0.35">
      <c r="A33" t="str">
        <f>regions!A33</f>
        <v>Cameroon</v>
      </c>
      <c r="B33" s="22">
        <f>regions!B33</f>
        <v>20624343</v>
      </c>
      <c r="C33" s="22">
        <f>regions!C33</f>
        <v>19209829592.645119</v>
      </c>
      <c r="D33" s="10">
        <f>regions!D33</f>
        <v>931.41534703166633</v>
      </c>
      <c r="E33" s="1">
        <f>regions!X33</f>
        <v>24.6</v>
      </c>
      <c r="I33" s="7">
        <f t="shared" si="8"/>
        <v>-12.226984322170145</v>
      </c>
      <c r="J33" s="1">
        <f t="shared" si="9"/>
        <v>-11.707819272424034</v>
      </c>
      <c r="K33" s="1">
        <f t="shared" si="3"/>
        <v>-9.0649358426700388</v>
      </c>
      <c r="L33" s="1">
        <f t="shared" si="9"/>
        <v>-14.168586120670131</v>
      </c>
      <c r="M33" s="1">
        <f t="shared" si="10"/>
        <v>-12.875212174794038</v>
      </c>
      <c r="N33" s="1">
        <f t="shared" ref="N33" si="77">M33+M$2</f>
        <v>-12.490769284347017</v>
      </c>
      <c r="O33" s="1">
        <f t="shared" si="12"/>
        <v>3.9405306384951535</v>
      </c>
      <c r="P33" s="1">
        <f t="shared" si="58"/>
        <v>-14.140719972376326</v>
      </c>
      <c r="Q33" s="1">
        <f t="shared" si="58"/>
        <v>-11.115374350256511</v>
      </c>
      <c r="R33" s="1">
        <f t="shared" si="58"/>
        <v>-11.07389969587863</v>
      </c>
      <c r="S33" s="1">
        <f>$M33+SUMPRODUCT(regions!BG33:BS33,regions!BG$193:BS$193)</f>
        <v>-3.6200838683660894</v>
      </c>
      <c r="T33" s="1">
        <f>$M33+SUMPRODUCT(regions!BV33:CD33,regions!BV$193:CD$193)</f>
        <v>-11.229894855178355</v>
      </c>
      <c r="U33" s="1">
        <f>$M33+SUMPRODUCT(regions!CQ33:CV33,regions!CQ$193:CV$193)</f>
        <v>-9.1547266265119553</v>
      </c>
      <c r="V33" s="1">
        <f>$M33+SUMPRODUCT(regions!CY33:DF33,regions!CY$193:DF$193)</f>
        <v>-10.773634653968337</v>
      </c>
      <c r="W33" s="1">
        <f>$M33+SUMPRODUCT(regions!DI33:DP33,regions!DI$193:DP$193)</f>
        <v>-7.1745346539683368</v>
      </c>
      <c r="X33" s="1">
        <f>$M33+SUMPRODUCT(regions!DR33:DW33,regions!DR$193:DW$193)</f>
        <v>-7.0515505815588959</v>
      </c>
      <c r="Y33" s="1">
        <f>$M33+SUMPRODUCT(regions!DZ33:EE33,regions!DZ$193:EE$193)</f>
        <v>-6.5505626485741661</v>
      </c>
      <c r="Z33" s="1">
        <f t="shared" si="26"/>
        <v>-0.4</v>
      </c>
      <c r="AA33" t="str">
        <f>Maddison!A14</f>
        <v>Cameroon</v>
      </c>
      <c r="AB33">
        <f>-Maddison!B14</f>
        <v>-0.4</v>
      </c>
      <c r="AC33" s="1">
        <f>N33-AB33</f>
        <v>-12.090769284347017</v>
      </c>
      <c r="AF33" s="1">
        <f t="shared" si="6"/>
        <v>0.45478782520596184</v>
      </c>
      <c r="AG33" s="1"/>
      <c r="AH33" s="1">
        <f t="shared" si="14"/>
        <v>-4.3409183238197653E-2</v>
      </c>
      <c r="AI33" s="1">
        <f t="shared" si="63"/>
        <v>-4.0515237688984469E-2</v>
      </c>
      <c r="AJ33" s="1">
        <f t="shared" si="63"/>
        <v>-3.7621292139771285E-2</v>
      </c>
      <c r="AK33" s="1">
        <f t="shared" si="63"/>
        <v>-3.1833401041344932E-2</v>
      </c>
      <c r="AL33" s="1">
        <f t="shared" si="63"/>
        <v>-2.8939455492131755E-2</v>
      </c>
      <c r="AM33" s="1">
        <f t="shared" si="63"/>
        <v>-2.6045509942918578E-2</v>
      </c>
      <c r="AN33" s="1">
        <f t="shared" si="63"/>
        <v>-2.3151564393705401E-2</v>
      </c>
      <c r="AO33" s="1">
        <f t="shared" si="63"/>
        <v>-2.0257618844492224E-2</v>
      </c>
      <c r="AP33" s="1">
        <f t="shared" si="63"/>
        <v>-1.7363673295279051E-2</v>
      </c>
      <c r="AQ33" s="1">
        <f t="shared" si="63"/>
        <v>-1.4469727746065876E-2</v>
      </c>
      <c r="AR33" s="1">
        <f t="shared" si="63"/>
        <v>-1.1575782196852701E-2</v>
      </c>
      <c r="AS33" s="1">
        <f t="shared" si="63"/>
        <v>-8.6818366476395237E-3</v>
      </c>
      <c r="AT33" s="1">
        <f t="shared" si="63"/>
        <v>-5.7878910984263477E-3</v>
      </c>
      <c r="AU33" s="1">
        <f t="shared" si="63"/>
        <v>-2.8939455492131708E-3</v>
      </c>
      <c r="AV33" s="1">
        <f t="shared" si="63"/>
        <v>0</v>
      </c>
      <c r="AW33" s="1">
        <f t="shared" si="63"/>
        <v>2.8939455492131764E-3</v>
      </c>
      <c r="AX33" s="1">
        <f t="shared" si="63"/>
        <v>0</v>
      </c>
      <c r="AY33" s="1">
        <f t="shared" si="63"/>
        <v>8.6818366476395306E-3</v>
      </c>
      <c r="AZ33" s="1">
        <f t="shared" si="63"/>
        <v>1.1575782196852706E-2</v>
      </c>
      <c r="BA33" s="1">
        <f t="shared" si="63"/>
        <v>1.4469727746065881E-2</v>
      </c>
      <c r="BB33" s="1">
        <f t="shared" si="63"/>
        <v>1.7363673295279058E-2</v>
      </c>
      <c r="BC33" s="1">
        <f t="shared" si="63"/>
        <v>2.0257618844492235E-2</v>
      </c>
      <c r="BD33" s="1"/>
      <c r="BE33">
        <f t="shared" ref="BE33" si="78">LN($D33)-LN($D33*(1+BA33/100))</f>
        <v>-1.446868098193832E-4</v>
      </c>
      <c r="BF33">
        <f t="shared" si="16"/>
        <v>-1.7362165984025069E-4</v>
      </c>
      <c r="BG33">
        <f t="shared" si="16"/>
        <v>-2.0255567265969887E-4</v>
      </c>
    </row>
    <row r="34" spans="1:59" x14ac:dyDescent="0.35">
      <c r="A34" t="str">
        <f>regions!A34</f>
        <v>Canada</v>
      </c>
      <c r="B34" s="22">
        <f>regions!B34</f>
        <v>34126547</v>
      </c>
      <c r="C34" s="22">
        <f>regions!C34</f>
        <v>1240064039807.2598</v>
      </c>
      <c r="D34" s="10">
        <f>regions!D34</f>
        <v>36337.22567382102</v>
      </c>
      <c r="E34" s="1">
        <f>regions!X34</f>
        <v>-5.4</v>
      </c>
      <c r="I34" s="7">
        <f t="shared" si="8"/>
        <v>8.925399737676301</v>
      </c>
      <c r="J34" s="1">
        <f t="shared" si="9"/>
        <v>9.4445647874224115</v>
      </c>
      <c r="K34" s="1">
        <f t="shared" si="3"/>
        <v>12.944840959848843</v>
      </c>
      <c r="L34" s="1">
        <f t="shared" si="9"/>
        <v>7.8411906818487509</v>
      </c>
      <c r="M34" s="1">
        <f t="shared" si="10"/>
        <v>6.7349369579225833</v>
      </c>
      <c r="N34" s="1">
        <f t="shared" ref="N34" si="79">M34+M$2</f>
        <v>7.1193798483696042</v>
      </c>
      <c r="O34" s="1">
        <f t="shared" si="12"/>
        <v>2.4255697386790742</v>
      </c>
      <c r="P34" s="1">
        <f t="shared" si="58"/>
        <v>5.4694291603402956</v>
      </c>
      <c r="Q34" s="1">
        <f t="shared" si="58"/>
        <v>8.4947747824601105</v>
      </c>
      <c r="R34" s="1">
        <f t="shared" si="58"/>
        <v>8.5362494368379913</v>
      </c>
      <c r="S34" s="1">
        <f>$M34+SUMPRODUCT(regions!BG34:BS34,regions!BG$193:BS$193)</f>
        <v>7.0067844987072139</v>
      </c>
      <c r="T34" s="1">
        <f>$M34+SUMPRODUCT(regions!BV34:CD34,regions!BV$193:CD$193)</f>
        <v>3.9196872866024322</v>
      </c>
      <c r="U34" s="1">
        <f>$M34+SUMPRODUCT(regions!CQ34:CV34,regions!CQ$193:CV$193)</f>
        <v>10.455422506204666</v>
      </c>
      <c r="V34" s="1">
        <f>$M34+SUMPRODUCT(regions!CY34:DF34,regions!CY$193:DF$193)</f>
        <v>3.4266550186799432</v>
      </c>
      <c r="W34" s="1">
        <f>$M34+SUMPRODUCT(regions!DI34:DP34,regions!DI$193:DP$193)</f>
        <v>5.9791550186799434</v>
      </c>
      <c r="X34" s="1">
        <f>$M34+SUMPRODUCT(regions!DR34:DW34,regions!DR$193:DW$193)</f>
        <v>4.8866550186799431</v>
      </c>
      <c r="Y34" s="1">
        <f>$M34+SUMPRODUCT(regions!DZ34:EE34,regions!DZ$193:EE$193)</f>
        <v>5.2302234807840673</v>
      </c>
      <c r="Z34" s="1">
        <f t="shared" si="26"/>
        <v>2.5</v>
      </c>
      <c r="AA34" t="str">
        <f>Maddison!A15</f>
        <v>Canada</v>
      </c>
      <c r="AB34">
        <f>-Maddison!B15</f>
        <v>2.5</v>
      </c>
      <c r="AC34" s="1">
        <f>N34-AB34</f>
        <v>4.6193798483696042</v>
      </c>
      <c r="AF34" s="1">
        <f t="shared" si="6"/>
        <v>20.064936957922583</v>
      </c>
      <c r="AG34" s="1"/>
      <c r="AH34" s="1">
        <f t="shared" si="14"/>
        <v>-1.9151843492619678</v>
      </c>
      <c r="AI34" s="1">
        <f t="shared" si="63"/>
        <v>-1.787505392644503</v>
      </c>
      <c r="AJ34" s="1">
        <f t="shared" si="63"/>
        <v>-1.6598264360270383</v>
      </c>
      <c r="AK34" s="1">
        <f t="shared" si="63"/>
        <v>-1.4044685227921092</v>
      </c>
      <c r="AL34" s="1">
        <f t="shared" si="63"/>
        <v>-1.2767895661746447</v>
      </c>
      <c r="AM34" s="1">
        <f t="shared" si="63"/>
        <v>-1.1491106095571801</v>
      </c>
      <c r="AN34" s="1">
        <f t="shared" si="63"/>
        <v>-1.0214316529397156</v>
      </c>
      <c r="AO34" s="1">
        <f t="shared" si="63"/>
        <v>-0.89375269632225118</v>
      </c>
      <c r="AP34" s="1">
        <f t="shared" si="63"/>
        <v>-0.76607373970478676</v>
      </c>
      <c r="AQ34" s="1">
        <f t="shared" si="63"/>
        <v>-0.63839478308732223</v>
      </c>
      <c r="AR34" s="1">
        <f t="shared" si="63"/>
        <v>-0.5107158264698578</v>
      </c>
      <c r="AS34" s="1">
        <f t="shared" si="63"/>
        <v>-0.38303686985239332</v>
      </c>
      <c r="AT34" s="1">
        <f t="shared" si="63"/>
        <v>-0.25535791323492879</v>
      </c>
      <c r="AU34" s="1">
        <f t="shared" si="63"/>
        <v>-0.12767895661746426</v>
      </c>
      <c r="AV34" s="1">
        <f t="shared" si="63"/>
        <v>0</v>
      </c>
      <c r="AW34" s="1">
        <f t="shared" si="63"/>
        <v>0.12767895661746451</v>
      </c>
      <c r="AX34" s="1">
        <f t="shared" si="63"/>
        <v>0</v>
      </c>
      <c r="AY34" s="1">
        <f t="shared" si="63"/>
        <v>0.3830368698523936</v>
      </c>
      <c r="AZ34" s="1">
        <f t="shared" si="63"/>
        <v>0.51071582646985803</v>
      </c>
      <c r="BA34" s="1">
        <f t="shared" si="63"/>
        <v>0.63839478308732245</v>
      </c>
      <c r="BB34" s="1">
        <f t="shared" si="63"/>
        <v>0.76607373970478698</v>
      </c>
      <c r="BC34" s="1">
        <f t="shared" si="63"/>
        <v>0.89375269632225152</v>
      </c>
      <c r="BD34" s="1"/>
      <c r="BE34">
        <f t="shared" ref="BE34" si="80">LN($D34)-LN($D34*(1+BA34/100))</f>
        <v>-6.363656748275659E-3</v>
      </c>
      <c r="BF34">
        <f t="shared" si="16"/>
        <v>-7.6315429541562452E-3</v>
      </c>
      <c r="BG34">
        <f t="shared" si="16"/>
        <v>-8.8978236599839278E-3</v>
      </c>
    </row>
    <row r="35" spans="1:59" x14ac:dyDescent="0.35">
      <c r="A35" t="str">
        <f>regions!A35</f>
        <v>Cape Verde</v>
      </c>
      <c r="B35" s="22">
        <f>regions!B35</f>
        <v>487601</v>
      </c>
      <c r="C35" s="22">
        <f>regions!C35</f>
        <v>1291490221.8474941</v>
      </c>
      <c r="D35" s="10">
        <f>regions!D35</f>
        <v>2648.6619630548216</v>
      </c>
      <c r="E35" s="1">
        <f>regions!X35</f>
        <v>23.3</v>
      </c>
      <c r="I35" s="7">
        <f t="shared" si="8"/>
        <v>-10.368468491717083</v>
      </c>
      <c r="J35" s="1">
        <f t="shared" si="9"/>
        <v>-9.8493034419709726</v>
      </c>
      <c r="K35" s="1">
        <f t="shared" ref="K35:K66" si="81">G$7*D35+G$8*D35*D35+G$9*D35*D35*D35+G$10*E35</f>
        <v>-4.9289355896977529</v>
      </c>
      <c r="L35" s="1">
        <f t="shared" si="9"/>
        <v>-10.032585867697845</v>
      </c>
      <c r="M35" s="1">
        <f t="shared" si="10"/>
        <v>-10.53620863519625</v>
      </c>
      <c r="N35" s="1">
        <f t="shared" ref="N35" si="82">M35+M$2</f>
        <v>-10.151765744749229</v>
      </c>
      <c r="O35" s="1">
        <f t="shared" si="12"/>
        <v>2.9171998047435075</v>
      </c>
      <c r="P35" s="1">
        <f t="shared" si="58"/>
        <v>-11.801716432778537</v>
      </c>
      <c r="Q35" s="1">
        <f t="shared" si="58"/>
        <v>-8.7763708106587224</v>
      </c>
      <c r="R35" s="1">
        <f t="shared" si="58"/>
        <v>-8.7348961562808416</v>
      </c>
      <c r="S35" s="1">
        <f>$M35+SUMPRODUCT(regions!BG35:BS35,regions!BG$193:BS$193)</f>
        <v>-1.2810803287683008</v>
      </c>
      <c r="T35" s="1">
        <f>$M35+SUMPRODUCT(regions!BV35:CD35,regions!BV$193:CD$193)</f>
        <v>-8.890891315580566</v>
      </c>
      <c r="U35" s="1">
        <f>$M35+SUMPRODUCT(regions!CQ35:CV35,regions!CQ$193:CV$193)</f>
        <v>-6.8157230869141667</v>
      </c>
      <c r="V35" s="1">
        <f>$M35+SUMPRODUCT(regions!CY35:DF35,regions!CY$193:DF$193)</f>
        <v>-8.4346311143705481</v>
      </c>
      <c r="W35" s="1">
        <f>$M35+SUMPRODUCT(regions!DI35:DP35,regions!DI$193:DP$193)</f>
        <v>-4.8355311143705482</v>
      </c>
      <c r="X35" s="1">
        <f>$M35+SUMPRODUCT(regions!DR35:DW35,regions!DR$193:DW$193)</f>
        <v>-4.7125470419611073</v>
      </c>
      <c r="Y35" s="1">
        <f>$M35+SUMPRODUCT(regions!DZ35:EE35,regions!DZ$193:EE$193)</f>
        <v>-4.2115591089763775</v>
      </c>
      <c r="Z35" s="1">
        <f t="shared" si="26"/>
        <v>-7.0561424527515975</v>
      </c>
      <c r="AF35" s="1">
        <f t="shared" ref="AF35:AF66" si="83">$G$13*LN($D35)+$G$14*$E35</f>
        <v>2.7937913648037505</v>
      </c>
      <c r="AG35" s="1"/>
      <c r="AH35" s="1">
        <f t="shared" si="14"/>
        <v>-0.266665452684749</v>
      </c>
      <c r="AI35" s="1">
        <f t="shared" si="63"/>
        <v>-0.24888775583909903</v>
      </c>
      <c r="AJ35" s="1">
        <f t="shared" si="63"/>
        <v>-0.23111005899344905</v>
      </c>
      <c r="AK35" s="1">
        <f t="shared" si="63"/>
        <v>-0.19555466530214918</v>
      </c>
      <c r="AL35" s="1">
        <f t="shared" si="63"/>
        <v>-0.17777696845649926</v>
      </c>
      <c r="AM35" s="1">
        <f t="shared" si="63"/>
        <v>-0.15999927161084931</v>
      </c>
      <c r="AN35" s="1">
        <f t="shared" si="63"/>
        <v>-0.14222157476519939</v>
      </c>
      <c r="AO35" s="1">
        <f t="shared" si="63"/>
        <v>-0.12444387791954944</v>
      </c>
      <c r="AP35" s="1">
        <f t="shared" si="63"/>
        <v>-0.10666618107389954</v>
      </c>
      <c r="AQ35" s="1">
        <f t="shared" si="63"/>
        <v>-8.8888484228249603E-2</v>
      </c>
      <c r="AR35" s="1">
        <f t="shared" si="63"/>
        <v>-7.1110787382599683E-2</v>
      </c>
      <c r="AS35" s="1">
        <f t="shared" si="63"/>
        <v>-5.3333090536949762E-2</v>
      </c>
      <c r="AT35" s="1">
        <f t="shared" si="63"/>
        <v>-3.5555393691299828E-2</v>
      </c>
      <c r="AU35" s="1">
        <f t="shared" si="63"/>
        <v>-1.7777696845649896E-2</v>
      </c>
      <c r="AV35" s="1">
        <f t="shared" si="63"/>
        <v>0</v>
      </c>
      <c r="AW35" s="1">
        <f t="shared" si="63"/>
        <v>1.7777696845649931E-2</v>
      </c>
      <c r="AX35" s="1">
        <f t="shared" si="63"/>
        <v>0</v>
      </c>
      <c r="AY35" s="1">
        <f t="shared" si="63"/>
        <v>5.3333090536949797E-2</v>
      </c>
      <c r="AZ35" s="1">
        <f t="shared" si="63"/>
        <v>7.1110787382599724E-2</v>
      </c>
      <c r="BA35" s="1">
        <f t="shared" si="63"/>
        <v>8.8888484228249645E-2</v>
      </c>
      <c r="BB35" s="1">
        <f t="shared" si="63"/>
        <v>0.10666618107389958</v>
      </c>
      <c r="BC35" s="1">
        <f t="shared" si="63"/>
        <v>0.12444387791954951</v>
      </c>
      <c r="BD35" s="1"/>
      <c r="BE35">
        <f t="shared" ref="BE35" si="84">LN($D35)-LN($D35*(1+BA35/100))</f>
        <v>-8.8849001810231698E-4</v>
      </c>
      <c r="BF35">
        <f t="shared" si="16"/>
        <v>-1.0660933312438559E-3</v>
      </c>
      <c r="BG35">
        <f t="shared" si="16"/>
        <v>-1.2436651070490967E-3</v>
      </c>
    </row>
    <row r="36" spans="1:59" x14ac:dyDescent="0.35">
      <c r="A36" t="str">
        <f>regions!A36</f>
        <v>Central African Republic</v>
      </c>
      <c r="B36" s="22">
        <f>regions!B36</f>
        <v>4349921</v>
      </c>
      <c r="C36" s="22">
        <f>regions!C36</f>
        <v>1895403784.9660907</v>
      </c>
      <c r="D36" s="10">
        <f>regions!D36</f>
        <v>435.73292134870741</v>
      </c>
      <c r="E36" s="1">
        <f>regions!X36</f>
        <v>24.9</v>
      </c>
      <c r="I36" s="7">
        <f t="shared" si="8"/>
        <v>-12.741302650581972</v>
      </c>
      <c r="J36" s="1">
        <f t="shared" si="9"/>
        <v>-12.222137600835861</v>
      </c>
      <c r="K36" s="1">
        <f t="shared" si="81"/>
        <v>-10.313122362143572</v>
      </c>
      <c r="L36" s="1">
        <f t="shared" si="9"/>
        <v>-15.416772640143664</v>
      </c>
      <c r="M36" s="1">
        <f t="shared" si="10"/>
        <v>-14.286167480707862</v>
      </c>
      <c r="N36" s="1">
        <f t="shared" ref="N36" si="85">M36+M$2</f>
        <v>-13.901724590260841</v>
      </c>
      <c r="O36" s="1">
        <f t="shared" si="12"/>
        <v>2.9171998047435035</v>
      </c>
      <c r="P36" s="1">
        <f t="shared" si="58"/>
        <v>-15.551675278290148</v>
      </c>
      <c r="Q36" s="1">
        <f t="shared" si="58"/>
        <v>-12.526329656170335</v>
      </c>
      <c r="R36" s="1">
        <f t="shared" si="58"/>
        <v>-12.484855001792454</v>
      </c>
      <c r="S36" s="1">
        <f>$M36+SUMPRODUCT(regions!BG36:BS36,regions!BG$193:BS$193)</f>
        <v>-5.031039174279913</v>
      </c>
      <c r="T36" s="1">
        <f>$M36+SUMPRODUCT(regions!BV36:CD36,regions!BV$193:CD$193)</f>
        <v>-12.640850161092178</v>
      </c>
      <c r="U36" s="1">
        <f>$M36+SUMPRODUCT(regions!CQ36:CV36,regions!CQ$193:CV$193)</f>
        <v>-10.565681932425779</v>
      </c>
      <c r="V36" s="1">
        <f>$M36+SUMPRODUCT(regions!CY36:DF36,regions!CY$193:DF$193)</f>
        <v>-12.18458995988216</v>
      </c>
      <c r="W36" s="1">
        <f>$M36+SUMPRODUCT(regions!DI36:DP36,regions!DI$193:DP$193)</f>
        <v>-8.5854899598821603</v>
      </c>
      <c r="X36" s="1">
        <f>$M36+SUMPRODUCT(regions!DR36:DW36,regions!DR$193:DW$193)</f>
        <v>-8.4625058874727195</v>
      </c>
      <c r="Y36" s="1">
        <f>$M36+SUMPRODUCT(regions!DZ36:EE36,regions!DZ$193:EE$193)</f>
        <v>-7.9615179544879897</v>
      </c>
      <c r="Z36" s="1">
        <f t="shared" si="26"/>
        <v>-10.80610129826321</v>
      </c>
      <c r="AF36" s="1">
        <f t="shared" si="83"/>
        <v>-0.95616748070786173</v>
      </c>
      <c r="AG36" s="1"/>
      <c r="AH36" s="1">
        <f t="shared" si="14"/>
        <v>9.1265524440229187E-2</v>
      </c>
      <c r="AI36" s="1">
        <f t="shared" si="63"/>
        <v>8.5181156144213899E-2</v>
      </c>
      <c r="AJ36" s="1">
        <f t="shared" si="63"/>
        <v>7.9096787848198596E-2</v>
      </c>
      <c r="AK36" s="1">
        <f t="shared" si="63"/>
        <v>6.6928051256168047E-2</v>
      </c>
      <c r="AL36" s="1">
        <f t="shared" si="63"/>
        <v>6.0843682960152766E-2</v>
      </c>
      <c r="AM36" s="1">
        <f t="shared" si="63"/>
        <v>5.4759314664137484E-2</v>
      </c>
      <c r="AN36" s="1">
        <f t="shared" si="63"/>
        <v>4.867494636812221E-2</v>
      </c>
      <c r="AO36" s="1">
        <f t="shared" si="63"/>
        <v>4.2590578072106929E-2</v>
      </c>
      <c r="AP36" s="1">
        <f t="shared" si="63"/>
        <v>3.6506209776091654E-2</v>
      </c>
      <c r="AQ36" s="1">
        <f t="shared" si="63"/>
        <v>3.0421841480076376E-2</v>
      </c>
      <c r="AR36" s="1">
        <f t="shared" si="63"/>
        <v>2.4337473184061102E-2</v>
      </c>
      <c r="AS36" s="1">
        <f t="shared" si="63"/>
        <v>1.8253104888045824E-2</v>
      </c>
      <c r="AT36" s="1">
        <f t="shared" si="63"/>
        <v>1.2168736592030546E-2</v>
      </c>
      <c r="AU36" s="1">
        <f t="shared" si="63"/>
        <v>6.0843682960152667E-3</v>
      </c>
      <c r="AV36" s="1">
        <f t="shared" si="63"/>
        <v>0</v>
      </c>
      <c r="AW36" s="1">
        <f t="shared" si="63"/>
        <v>-6.084368296015278E-3</v>
      </c>
      <c r="AX36" s="1">
        <f t="shared" si="63"/>
        <v>0</v>
      </c>
      <c r="AY36" s="1">
        <f t="shared" si="63"/>
        <v>-1.8253104888045837E-2</v>
      </c>
      <c r="AZ36" s="1">
        <f t="shared" si="63"/>
        <v>-2.4337473184061112E-2</v>
      </c>
      <c r="BA36" s="1">
        <f t="shared" si="63"/>
        <v>-3.042184148007639E-2</v>
      </c>
      <c r="BB36" s="1">
        <f t="shared" si="63"/>
        <v>-3.6506209776091668E-2</v>
      </c>
      <c r="BC36" s="1">
        <f t="shared" si="63"/>
        <v>-4.2590578072106949E-2</v>
      </c>
      <c r="BD36" s="1"/>
      <c r="BE36">
        <f t="shared" ref="BE36" si="86">LN($D36)-LN($D36*(1+BA36/100))</f>
        <v>3.0426469861044581E-4</v>
      </c>
      <c r="BF36">
        <f t="shared" si="16"/>
        <v>3.6512874915040072E-4</v>
      </c>
      <c r="BG36">
        <f t="shared" si="16"/>
        <v>4.2599650434915759E-4</v>
      </c>
    </row>
    <row r="37" spans="1:59" x14ac:dyDescent="0.35">
      <c r="A37" t="str">
        <f>regions!A37</f>
        <v>Chad</v>
      </c>
      <c r="B37" s="22">
        <f>regions!B37</f>
        <v>11720781</v>
      </c>
      <c r="C37" s="22">
        <f>regions!C37</f>
        <v>8425171572.2620554</v>
      </c>
      <c r="D37" s="10">
        <f>regions!D37</f>
        <v>718.82339344639706</v>
      </c>
      <c r="E37" s="1">
        <f>regions!X37</f>
        <v>26.5</v>
      </c>
      <c r="I37" s="7">
        <f t="shared" si="8"/>
        <v>-13.375785533554721</v>
      </c>
      <c r="J37" s="1">
        <f t="shared" si="9"/>
        <v>-12.85662048380861</v>
      </c>
      <c r="K37" s="1">
        <f t="shared" si="81"/>
        <v>-10.400886894762984</v>
      </c>
      <c r="L37" s="1">
        <f t="shared" si="9"/>
        <v>-15.504537172763076</v>
      </c>
      <c r="M37" s="1">
        <f t="shared" si="10"/>
        <v>-14.162626325510349</v>
      </c>
      <c r="N37" s="1">
        <f t="shared" ref="N37" si="87">M37+M$2</f>
        <v>-13.778183435063328</v>
      </c>
      <c r="O37" s="1">
        <f t="shared" si="12"/>
        <v>2.9171998047435075</v>
      </c>
      <c r="P37" s="1">
        <f t="shared" si="58"/>
        <v>-15.428134123092637</v>
      </c>
      <c r="Q37" s="1">
        <f t="shared" si="58"/>
        <v>-12.402788500972822</v>
      </c>
      <c r="R37" s="1">
        <f t="shared" si="58"/>
        <v>-12.361313846594941</v>
      </c>
      <c r="S37" s="1">
        <f>$M37+SUMPRODUCT(regions!BG37:BS37,regions!BG$193:BS$193)</f>
        <v>-4.9074980190824</v>
      </c>
      <c r="T37" s="1">
        <f>$M37+SUMPRODUCT(regions!BV37:CD37,regions!BV$193:CD$193)</f>
        <v>-12.517309005894665</v>
      </c>
      <c r="U37" s="1">
        <f>$M37+SUMPRODUCT(regions!CQ37:CV37,regions!CQ$193:CV$193)</f>
        <v>-10.442140777228266</v>
      </c>
      <c r="V37" s="1">
        <f>$M37+SUMPRODUCT(regions!CY37:DF37,regions!CY$193:DF$193)</f>
        <v>-12.061048804684647</v>
      </c>
      <c r="W37" s="1">
        <f>$M37+SUMPRODUCT(regions!DI37:DP37,regions!DI$193:DP$193)</f>
        <v>-8.4619488046846474</v>
      </c>
      <c r="X37" s="1">
        <f>$M37+SUMPRODUCT(regions!DR37:DW37,regions!DR$193:DW$193)</f>
        <v>-8.3389647322752065</v>
      </c>
      <c r="Y37" s="1">
        <f>$M37+SUMPRODUCT(regions!DZ37:EE37,regions!DZ$193:EE$193)</f>
        <v>-7.8379767992904767</v>
      </c>
      <c r="Z37" s="1">
        <f t="shared" si="26"/>
        <v>-10.682560143065697</v>
      </c>
      <c r="AF37" s="1">
        <f t="shared" si="83"/>
        <v>-0.83262632551034876</v>
      </c>
      <c r="AG37" s="1"/>
      <c r="AH37" s="1">
        <f t="shared" si="14"/>
        <v>7.9473606657472426E-2</v>
      </c>
      <c r="AI37" s="1">
        <f t="shared" si="63"/>
        <v>7.4175366213640917E-2</v>
      </c>
      <c r="AJ37" s="1">
        <f t="shared" si="63"/>
        <v>6.8877125769809408E-2</v>
      </c>
      <c r="AK37" s="1">
        <f t="shared" si="63"/>
        <v>5.8280644882146425E-2</v>
      </c>
      <c r="AL37" s="1">
        <f t="shared" si="63"/>
        <v>5.298240443831493E-2</v>
      </c>
      <c r="AM37" s="1">
        <f t="shared" si="63"/>
        <v>4.7684163994483435E-2</v>
      </c>
      <c r="AN37" s="1">
        <f t="shared" si="63"/>
        <v>4.238592355065194E-2</v>
      </c>
      <c r="AO37" s="1">
        <f t="shared" si="63"/>
        <v>3.7087683106820445E-2</v>
      </c>
      <c r="AP37" s="1">
        <f t="shared" si="63"/>
        <v>3.1789442662988956E-2</v>
      </c>
      <c r="AQ37" s="1">
        <f t="shared" si="63"/>
        <v>2.6491202219157458E-2</v>
      </c>
      <c r="AR37" s="1">
        <f t="shared" si="63"/>
        <v>2.1192961775325966E-2</v>
      </c>
      <c r="AS37" s="1">
        <f t="shared" si="63"/>
        <v>1.5894721331494475E-2</v>
      </c>
      <c r="AT37" s="1">
        <f t="shared" si="63"/>
        <v>1.0596480887662978E-2</v>
      </c>
      <c r="AU37" s="1">
        <f t="shared" si="63"/>
        <v>5.2982404438314847E-3</v>
      </c>
      <c r="AV37" s="1">
        <f t="shared" si="63"/>
        <v>0</v>
      </c>
      <c r="AW37" s="1">
        <f t="shared" si="63"/>
        <v>-5.2982404438314942E-3</v>
      </c>
      <c r="AX37" s="1">
        <f t="shared" si="63"/>
        <v>0</v>
      </c>
      <c r="AY37" s="1">
        <f t="shared" si="63"/>
        <v>-1.5894721331494485E-2</v>
      </c>
      <c r="AZ37" s="1">
        <f t="shared" si="63"/>
        <v>-2.1192961775325977E-2</v>
      </c>
      <c r="BA37" s="1">
        <f t="shared" si="63"/>
        <v>-2.6491202219157468E-2</v>
      </c>
      <c r="BB37" s="1">
        <f t="shared" si="63"/>
        <v>-3.1789442662988963E-2</v>
      </c>
      <c r="BC37" s="1">
        <f t="shared" si="63"/>
        <v>-3.7087683106820458E-2</v>
      </c>
      <c r="BD37" s="1"/>
      <c r="BE37">
        <f t="shared" ref="BE37" si="88">LN($D37)-LN($D37*(1+BA37/100))</f>
        <v>2.6494711757951706E-4</v>
      </c>
      <c r="BF37">
        <f t="shared" si="16"/>
        <v>3.1794496577397524E-4</v>
      </c>
      <c r="BG37">
        <f t="shared" si="16"/>
        <v>3.7094562288952915E-4</v>
      </c>
    </row>
    <row r="38" spans="1:59" x14ac:dyDescent="0.35">
      <c r="A38" t="str">
        <f>regions!A38</f>
        <v>Chile</v>
      </c>
      <c r="B38" s="22">
        <f>regions!B38</f>
        <v>17150760</v>
      </c>
      <c r="C38" s="22">
        <f>regions!C38</f>
        <v>147668421646.38379</v>
      </c>
      <c r="D38" s="10">
        <f>regions!D38</f>
        <v>8610.0220425441075</v>
      </c>
      <c r="E38" s="1">
        <f>regions!X38</f>
        <v>8.5</v>
      </c>
      <c r="I38" s="7">
        <f t="shared" si="8"/>
        <v>0.75634265679984125</v>
      </c>
      <c r="J38" s="1">
        <f t="shared" si="9"/>
        <v>1.275507706545951</v>
      </c>
      <c r="K38" s="1">
        <f t="shared" si="81"/>
        <v>10.687925585061294</v>
      </c>
      <c r="L38" s="1">
        <f t="shared" si="9"/>
        <v>5.5842753070612012</v>
      </c>
      <c r="M38" s="1">
        <f t="shared" si="10"/>
        <v>-1.9181292320996235</v>
      </c>
      <c r="N38" s="1">
        <f t="shared" ref="N38" si="89">M38+M$2</f>
        <v>-1.5336863416526028</v>
      </c>
      <c r="O38" s="1">
        <f t="shared" si="12"/>
        <v>4.5213395627550339</v>
      </c>
      <c r="P38" s="1">
        <f t="shared" si="58"/>
        <v>-3.1836370296819112</v>
      </c>
      <c r="Q38" s="1">
        <f t="shared" si="58"/>
        <v>-0.15829140756209581</v>
      </c>
      <c r="R38" s="1">
        <f t="shared" si="58"/>
        <v>-0.11681675318421547</v>
      </c>
      <c r="S38" s="1">
        <f>$M38+SUMPRODUCT(regions!BG38:BS38,regions!BG$193:BS$193)</f>
        <v>3.5268211377729362</v>
      </c>
      <c r="T38" s="1">
        <f>$M38+SUMPRODUCT(regions!BV38:CD38,regions!BV$193:CD$193)</f>
        <v>2.2410918793966603</v>
      </c>
      <c r="U38" s="1">
        <f>$M38+SUMPRODUCT(regions!CQ38:CV38,regions!CQ$193:CV$193)</f>
        <v>1.8023563161824594</v>
      </c>
      <c r="V38" s="1">
        <f>$M38+SUMPRODUCT(regions!CY38:DF38,regions!CY$193:DF$193)</f>
        <v>2.251091879396661</v>
      </c>
      <c r="W38" s="1">
        <f>$M38+SUMPRODUCT(regions!DI38:DP38,regions!DI$193:DP$193)</f>
        <v>4.2901918793966605</v>
      </c>
      <c r="X38" s="1">
        <f>$M38+SUMPRODUCT(regions!DR38:DW38,regions!DR$193:DW$193)</f>
        <v>3.9055323611355188</v>
      </c>
      <c r="Y38" s="1">
        <f>$M38+SUMPRODUCT(regions!DZ38:EE38,regions!DZ$193:EE$193)</f>
        <v>4.4065202941202486</v>
      </c>
      <c r="Z38" s="1">
        <f t="shared" si="26"/>
        <v>14.8</v>
      </c>
      <c r="AA38" t="str">
        <f>Maddison!A16</f>
        <v>Chile</v>
      </c>
      <c r="AB38">
        <f>-Maddison!B16</f>
        <v>14.8</v>
      </c>
      <c r="AC38" s="1">
        <f>N38-AB38</f>
        <v>-16.333686341652605</v>
      </c>
      <c r="AF38" s="1">
        <f t="shared" si="83"/>
        <v>11.411870767900377</v>
      </c>
      <c r="AG38" s="1"/>
      <c r="AH38" s="1">
        <f t="shared" si="14"/>
        <v>-1.0892551686713994</v>
      </c>
      <c r="AI38" s="1">
        <f t="shared" si="63"/>
        <v>-1.0166381574266392</v>
      </c>
      <c r="AJ38" s="1">
        <f t="shared" si="63"/>
        <v>-0.94402114618187905</v>
      </c>
      <c r="AK38" s="1">
        <f t="shared" si="63"/>
        <v>-0.79878712369235916</v>
      </c>
      <c r="AL38" s="1">
        <f t="shared" si="63"/>
        <v>-0.72617011244759921</v>
      </c>
      <c r="AM38" s="1">
        <f t="shared" si="63"/>
        <v>-0.65355310120283927</v>
      </c>
      <c r="AN38" s="1">
        <f t="shared" si="63"/>
        <v>-0.58093608995807933</v>
      </c>
      <c r="AO38" s="1">
        <f t="shared" si="63"/>
        <v>-0.50831907871331938</v>
      </c>
      <c r="AP38" s="1">
        <f t="shared" si="63"/>
        <v>-0.4357020674685595</v>
      </c>
      <c r="AQ38" s="1">
        <f t="shared" si="63"/>
        <v>-0.3630850562237995</v>
      </c>
      <c r="AR38" s="1">
        <f t="shared" ref="AI38:BC50" si="90">$AF38*AR$2</f>
        <v>-0.29046804497903961</v>
      </c>
      <c r="AS38" s="1">
        <f t="shared" si="90"/>
        <v>-0.21785103373427969</v>
      </c>
      <c r="AT38" s="1">
        <f t="shared" si="90"/>
        <v>-0.14523402248951975</v>
      </c>
      <c r="AU38" s="1">
        <f t="shared" si="90"/>
        <v>-7.2617011244759805E-2</v>
      </c>
      <c r="AV38" s="1">
        <f t="shared" si="90"/>
        <v>0</v>
      </c>
      <c r="AW38" s="1">
        <f t="shared" si="90"/>
        <v>7.2617011244759944E-2</v>
      </c>
      <c r="AX38" s="1">
        <f t="shared" si="90"/>
        <v>0</v>
      </c>
      <c r="AY38" s="1">
        <f t="shared" si="90"/>
        <v>0.21785103373427986</v>
      </c>
      <c r="AZ38" s="1">
        <f t="shared" si="90"/>
        <v>0.29046804497903977</v>
      </c>
      <c r="BA38" s="1">
        <f t="shared" si="90"/>
        <v>0.36308505622379966</v>
      </c>
      <c r="BB38" s="1">
        <f t="shared" si="90"/>
        <v>0.43570206746855961</v>
      </c>
      <c r="BC38" s="1">
        <f t="shared" si="90"/>
        <v>0.50831907871331961</v>
      </c>
      <c r="BD38" s="1"/>
      <c r="BE38">
        <f t="shared" ref="BE38" si="91">LN($D38)-LN($D38*(1+BA38/100))</f>
        <v>-3.6242749362713766E-3</v>
      </c>
      <c r="BF38">
        <f t="shared" si="16"/>
        <v>-4.3475563410115825E-3</v>
      </c>
      <c r="BG38">
        <f t="shared" si="16"/>
        <v>-5.0703149878401632E-3</v>
      </c>
    </row>
    <row r="39" spans="1:59" x14ac:dyDescent="0.35">
      <c r="A39" t="str">
        <f>regions!A39</f>
        <v>China</v>
      </c>
      <c r="B39" s="22">
        <f>regions!B39</f>
        <v>1337705000</v>
      </c>
      <c r="C39" s="22">
        <f>regions!C39</f>
        <v>3839284159376.0742</v>
      </c>
      <c r="D39" s="10">
        <f>regions!D39</f>
        <v>2870.0529334764196</v>
      </c>
      <c r="E39" s="1">
        <f>regions!X39</f>
        <v>6.9</v>
      </c>
      <c r="I39" s="7">
        <f t="shared" si="8"/>
        <v>-1.6208091534060172</v>
      </c>
      <c r="J39" s="1">
        <f t="shared" si="9"/>
        <v>-1.1016441036599074</v>
      </c>
      <c r="K39" s="1">
        <f t="shared" si="81"/>
        <v>2.9525471186321628</v>
      </c>
      <c r="L39" s="1">
        <f t="shared" si="9"/>
        <v>-2.1511031593679295</v>
      </c>
      <c r="M39" s="1">
        <f t="shared" si="10"/>
        <v>-3.0464530981219844</v>
      </c>
      <c r="N39" s="1">
        <f t="shared" ref="N39" si="92">M39+M$2</f>
        <v>-2.6620102076749639</v>
      </c>
      <c r="O39" s="1">
        <f t="shared" si="12"/>
        <v>2.3934605509118891</v>
      </c>
      <c r="P39" s="1">
        <f t="shared" si="58"/>
        <v>-4.3119608957042725</v>
      </c>
      <c r="Q39" s="1">
        <f t="shared" si="58"/>
        <v>-1.2866152735844565</v>
      </c>
      <c r="R39" s="1">
        <f t="shared" si="58"/>
        <v>-1.2451406192065766</v>
      </c>
      <c r="S39" s="1">
        <f>$M39+SUMPRODUCT(regions!BG39:BS39,regions!BG$193:BS$193)</f>
        <v>-0.2200000000000002</v>
      </c>
      <c r="T39" s="1">
        <f>$M39+SUMPRODUCT(regions!BV39:CD39,regions!BV$193:CD$193)</f>
        <v>-5.0223183817529744</v>
      </c>
      <c r="U39" s="1">
        <f>$M39+SUMPRODUCT(regions!CQ39:CV39,regions!CQ$193:CV$193)</f>
        <v>-1.5230000000000001</v>
      </c>
      <c r="V39" s="1">
        <f>$M39+SUMPRODUCT(regions!CY39:DF39,regions!CY$193:DF$193)</f>
        <v>-5.2018358491682459</v>
      </c>
      <c r="W39" s="1">
        <f>$M39+SUMPRODUCT(regions!DI39:DP39,regions!DI$193:DP$193)</f>
        <v>-0.24783584916824664</v>
      </c>
      <c r="X39" s="1">
        <f>$M39+SUMPRODUCT(regions!DR39:DW39,regions!DR$193:DW$193)</f>
        <v>-4.7</v>
      </c>
      <c r="Y39" s="1">
        <f>$M39+SUMPRODUCT(regions!DZ39:EE39,regions!DZ$193:EE$193)</f>
        <v>-6.1</v>
      </c>
      <c r="Z39" s="1">
        <f t="shared" si="26"/>
        <v>0.43361308432266776</v>
      </c>
      <c r="AF39" s="1">
        <f t="shared" si="83"/>
        <v>10.283546901878015</v>
      </c>
      <c r="AG39" s="1"/>
      <c r="AH39" s="1">
        <f t="shared" si="14"/>
        <v>-0.98155743637169524</v>
      </c>
      <c r="AI39" s="1">
        <f t="shared" si="90"/>
        <v>-0.91612027394691542</v>
      </c>
      <c r="AJ39" s="1">
        <f t="shared" si="90"/>
        <v>-0.8506831115221356</v>
      </c>
      <c r="AK39" s="1">
        <f t="shared" si="90"/>
        <v>-0.7198087866725762</v>
      </c>
      <c r="AL39" s="1">
        <f t="shared" si="90"/>
        <v>-0.6543716242477966</v>
      </c>
      <c r="AM39" s="1">
        <f t="shared" si="90"/>
        <v>-0.5889344618230169</v>
      </c>
      <c r="AN39" s="1">
        <f t="shared" si="90"/>
        <v>-0.52349729939823719</v>
      </c>
      <c r="AO39" s="1">
        <f t="shared" si="90"/>
        <v>-0.45806013697345749</v>
      </c>
      <c r="AP39" s="1">
        <f t="shared" si="90"/>
        <v>-0.39262297454867789</v>
      </c>
      <c r="AQ39" s="1">
        <f t="shared" si="90"/>
        <v>-0.32718581212389819</v>
      </c>
      <c r="AR39" s="1">
        <f t="shared" si="90"/>
        <v>-0.26174864969911854</v>
      </c>
      <c r="AS39" s="1">
        <f t="shared" si="90"/>
        <v>-0.19631148727433892</v>
      </c>
      <c r="AT39" s="1">
        <f t="shared" si="90"/>
        <v>-0.13087432484955921</v>
      </c>
      <c r="AU39" s="1">
        <f t="shared" si="90"/>
        <v>-6.5437162424779552E-2</v>
      </c>
      <c r="AV39" s="1">
        <f t="shared" si="90"/>
        <v>0</v>
      </c>
      <c r="AW39" s="1">
        <f t="shared" si="90"/>
        <v>6.5437162424779677E-2</v>
      </c>
      <c r="AX39" s="1">
        <f t="shared" si="90"/>
        <v>0</v>
      </c>
      <c r="AY39" s="1">
        <f t="shared" si="90"/>
        <v>0.19631148727433906</v>
      </c>
      <c r="AZ39" s="1">
        <f t="shared" si="90"/>
        <v>0.26174864969911871</v>
      </c>
      <c r="BA39" s="1">
        <f t="shared" si="90"/>
        <v>0.32718581212389836</v>
      </c>
      <c r="BB39" s="1">
        <f t="shared" si="90"/>
        <v>0.39262297454867801</v>
      </c>
      <c r="BC39" s="1">
        <f t="shared" si="90"/>
        <v>0.45806013697345771</v>
      </c>
      <c r="BD39" s="1"/>
      <c r="BE39">
        <f t="shared" ref="BE39" si="93">LN($D39)-LN($D39*(1+BA39/100))</f>
        <v>-3.2665172400223597E-3</v>
      </c>
      <c r="BF39">
        <f t="shared" si="16"/>
        <v>-3.9185422209015996E-3</v>
      </c>
      <c r="BG39">
        <f t="shared" si="16"/>
        <v>-4.5701423422093157E-3</v>
      </c>
    </row>
    <row r="40" spans="1:59" x14ac:dyDescent="0.35">
      <c r="A40" t="str">
        <f>regions!A40</f>
        <v>Colombia</v>
      </c>
      <c r="B40" s="22">
        <f>regions!B40</f>
        <v>46444798</v>
      </c>
      <c r="C40" s="22">
        <f>regions!C40</f>
        <v>182893446717.7428</v>
      </c>
      <c r="D40" s="10">
        <f>regions!D40</f>
        <v>3937.8672013546661</v>
      </c>
      <c r="E40" s="1">
        <f>regions!X40</f>
        <v>24.5</v>
      </c>
      <c r="I40" s="7">
        <f t="shared" si="8"/>
        <v>-10.175855759418976</v>
      </c>
      <c r="J40" s="1">
        <f t="shared" si="9"/>
        <v>-9.6566907096728656</v>
      </c>
      <c r="K40" s="1">
        <f t="shared" si="81"/>
        <v>-3.1163447192420435</v>
      </c>
      <c r="L40" s="1">
        <f t="shared" si="9"/>
        <v>-8.2199949972421358</v>
      </c>
      <c r="M40" s="1">
        <f t="shared" si="10"/>
        <v>-10.40802471620945</v>
      </c>
      <c r="N40" s="1">
        <f t="shared" ref="N40" si="94">M40+M$2</f>
        <v>-10.023581825762429</v>
      </c>
      <c r="O40" s="1">
        <f t="shared" si="12"/>
        <v>2.3057019607949423</v>
      </c>
      <c r="P40" s="1">
        <f t="shared" si="58"/>
        <v>-11.673532513791738</v>
      </c>
      <c r="Q40" s="1">
        <f t="shared" si="58"/>
        <v>-8.6481868916719229</v>
      </c>
      <c r="R40" s="1">
        <f t="shared" si="58"/>
        <v>-8.6067122372940421</v>
      </c>
      <c r="S40" s="1">
        <f>$M40+SUMPRODUCT(regions!BG40:BS40,regions!BG$193:BS$193)</f>
        <v>-4.9630743463368905</v>
      </c>
      <c r="T40" s="1">
        <f>$M40+SUMPRODUCT(regions!BV40:CD40,regions!BV$193:CD$193)</f>
        <v>-6.2488036047131663</v>
      </c>
      <c r="U40" s="1">
        <f>$M40+SUMPRODUCT(regions!CQ40:CV40,regions!CQ$193:CV$193)</f>
        <v>-6.6875391679273672</v>
      </c>
      <c r="V40" s="1">
        <f>$M40+SUMPRODUCT(regions!CY40:DF40,regions!CY$193:DF$193)</f>
        <v>-6.2388036047131656</v>
      </c>
      <c r="W40" s="1">
        <f>$M40+SUMPRODUCT(regions!DI40:DP40,regions!DI$193:DP$193)</f>
        <v>-4.1997036047131662</v>
      </c>
      <c r="X40" s="1">
        <f>$M40+SUMPRODUCT(regions!DR40:DW40,regions!DR$193:DW$193)</f>
        <v>-4.5843631229743078</v>
      </c>
      <c r="Y40" s="1">
        <f>$M40+SUMPRODUCT(regions!DZ40:EE40,regions!DZ$193:EE$193)</f>
        <v>-4.083375189989578</v>
      </c>
      <c r="Z40" s="1">
        <f t="shared" si="26"/>
        <v>-6.927958533764798</v>
      </c>
      <c r="AF40" s="1">
        <f t="shared" si="83"/>
        <v>2.9219752837905499</v>
      </c>
      <c r="AG40" s="1"/>
      <c r="AH40" s="1">
        <f t="shared" si="14"/>
        <v>-0.27890051905876262</v>
      </c>
      <c r="AI40" s="1">
        <f t="shared" si="90"/>
        <v>-0.26030715112151176</v>
      </c>
      <c r="AJ40" s="1">
        <f t="shared" si="90"/>
        <v>-0.24171378318426087</v>
      </c>
      <c r="AK40" s="1">
        <f t="shared" si="90"/>
        <v>-0.20452704730975918</v>
      </c>
      <c r="AL40" s="1">
        <f t="shared" si="90"/>
        <v>-0.18593367937250835</v>
      </c>
      <c r="AM40" s="1">
        <f t="shared" si="90"/>
        <v>-0.16734031143525752</v>
      </c>
      <c r="AN40" s="1">
        <f t="shared" si="90"/>
        <v>-0.14874694349800666</v>
      </c>
      <c r="AO40" s="1">
        <f t="shared" si="90"/>
        <v>-0.13015357556075582</v>
      </c>
      <c r="AP40" s="1">
        <f t="shared" si="90"/>
        <v>-0.11156020762350499</v>
      </c>
      <c r="AQ40" s="1">
        <f t="shared" si="90"/>
        <v>-9.2966839686254146E-2</v>
      </c>
      <c r="AR40" s="1">
        <f t="shared" si="90"/>
        <v>-7.4373471749003314E-2</v>
      </c>
      <c r="AS40" s="1">
        <f t="shared" si="90"/>
        <v>-5.5780103811752489E-2</v>
      </c>
      <c r="AT40" s="1">
        <f t="shared" si="90"/>
        <v>-3.7186735874501643E-2</v>
      </c>
      <c r="AU40" s="1">
        <f t="shared" si="90"/>
        <v>-1.8593367937250804E-2</v>
      </c>
      <c r="AV40" s="1">
        <f t="shared" si="90"/>
        <v>0</v>
      </c>
      <c r="AW40" s="1">
        <f t="shared" si="90"/>
        <v>1.8593367937250839E-2</v>
      </c>
      <c r="AX40" s="1">
        <f t="shared" si="90"/>
        <v>0</v>
      </c>
      <c r="AY40" s="1">
        <f t="shared" si="90"/>
        <v>5.5780103811752531E-2</v>
      </c>
      <c r="AZ40" s="1">
        <f t="shared" si="90"/>
        <v>7.4373471749003356E-2</v>
      </c>
      <c r="BA40" s="1">
        <f t="shared" si="90"/>
        <v>9.2966839686254188E-2</v>
      </c>
      <c r="BB40" s="1">
        <f t="shared" si="90"/>
        <v>0.11156020762350503</v>
      </c>
      <c r="BC40" s="1">
        <f t="shared" si="90"/>
        <v>0.13015357556075588</v>
      </c>
      <c r="BD40" s="1"/>
      <c r="BE40">
        <f t="shared" ref="BE40" si="95">LN($D40)-LN($D40*(1+BA40/100))</f>
        <v>-9.2923652284326863E-4</v>
      </c>
      <c r="BF40">
        <f t="shared" si="16"/>
        <v>-1.1149802546661647E-3</v>
      </c>
      <c r="BG40">
        <f t="shared" si="16"/>
        <v>-1.3006894921616663E-3</v>
      </c>
    </row>
    <row r="41" spans="1:59" x14ac:dyDescent="0.35">
      <c r="A41" t="str">
        <f>regions!A41</f>
        <v>Comoros</v>
      </c>
      <c r="B41" s="22">
        <f>regions!B41</f>
        <v>683081</v>
      </c>
      <c r="C41" s="22">
        <f>regions!C41</f>
        <v>413107576.03941357</v>
      </c>
      <c r="D41" s="10">
        <f>regions!D41</f>
        <v>604.77099500559018</v>
      </c>
      <c r="E41" s="1">
        <f>regions!X41</f>
        <v>25.6</v>
      </c>
      <c r="I41" s="7">
        <f t="shared" si="8"/>
        <v>-12.985893243617264</v>
      </c>
      <c r="J41" s="1">
        <f t="shared" si="9"/>
        <v>-12.466728193871154</v>
      </c>
      <c r="K41" s="1">
        <f t="shared" si="81"/>
        <v>-10.247795265229232</v>
      </c>
      <c r="L41" s="1">
        <f t="shared" si="9"/>
        <v>-15.351445543229325</v>
      </c>
      <c r="M41" s="1">
        <f t="shared" si="10"/>
        <v>-14.049288007115408</v>
      </c>
      <c r="N41" s="1">
        <f t="shared" ref="N41" si="96">M41+M$2</f>
        <v>-13.664845116668387</v>
      </c>
      <c r="O41" s="1">
        <f t="shared" si="12"/>
        <v>2.9171998047435035</v>
      </c>
      <c r="P41" s="1">
        <f t="shared" si="58"/>
        <v>-15.314795804697695</v>
      </c>
      <c r="Q41" s="1">
        <f t="shared" si="58"/>
        <v>-12.28945018257788</v>
      </c>
      <c r="R41" s="1">
        <f t="shared" si="58"/>
        <v>-12.2479755282</v>
      </c>
      <c r="S41" s="1">
        <f>$M41+SUMPRODUCT(regions!BG41:BS41,regions!BG$193:BS$193)</f>
        <v>-4.7941597006874588</v>
      </c>
      <c r="T41" s="1">
        <f>$M41+SUMPRODUCT(regions!BV41:CD41,regions!BV$193:CD$193)</f>
        <v>-12.403970687499724</v>
      </c>
      <c r="U41" s="1">
        <f>$M41+SUMPRODUCT(regions!CQ41:CV41,regions!CQ$193:CV$193)</f>
        <v>-10.328802458833325</v>
      </c>
      <c r="V41" s="1">
        <f>$M41+SUMPRODUCT(regions!CY41:DF41,regions!CY$193:DF$193)</f>
        <v>-11.947710486289706</v>
      </c>
      <c r="W41" s="1">
        <f>$M41+SUMPRODUCT(regions!DI41:DP41,regions!DI$193:DP$193)</f>
        <v>-8.3486104862897061</v>
      </c>
      <c r="X41" s="1">
        <f>$M41+SUMPRODUCT(regions!DR41:DW41,regions!DR$193:DW$193)</f>
        <v>-8.2256264138802653</v>
      </c>
      <c r="Y41" s="1">
        <f>$M41+SUMPRODUCT(regions!DZ41:EE41,regions!DZ$193:EE$193)</f>
        <v>-7.7246384808955355</v>
      </c>
      <c r="Z41" s="1">
        <f t="shared" si="26"/>
        <v>-10.569221824670755</v>
      </c>
      <c r="AF41" s="1">
        <f t="shared" si="83"/>
        <v>-0.71928800711540752</v>
      </c>
      <c r="AG41" s="1"/>
      <c r="AH41" s="1">
        <f t="shared" si="14"/>
        <v>6.8655542587953672E-2</v>
      </c>
      <c r="AI41" s="1">
        <f t="shared" si="90"/>
        <v>6.4078506415423411E-2</v>
      </c>
      <c r="AJ41" s="1">
        <f t="shared" si="90"/>
        <v>5.9501470242893165E-2</v>
      </c>
      <c r="AK41" s="1">
        <f t="shared" si="90"/>
        <v>5.0347397897832671E-2</v>
      </c>
      <c r="AL41" s="1">
        <f t="shared" si="90"/>
        <v>4.5770361725302425E-2</v>
      </c>
      <c r="AM41" s="1">
        <f t="shared" si="90"/>
        <v>4.1193325552772185E-2</v>
      </c>
      <c r="AN41" s="1">
        <f t="shared" si="90"/>
        <v>3.6616289380241938E-2</v>
      </c>
      <c r="AO41" s="1">
        <f t="shared" si="90"/>
        <v>3.2039253207711692E-2</v>
      </c>
      <c r="AP41" s="1">
        <f t="shared" si="90"/>
        <v>2.7462217035181452E-2</v>
      </c>
      <c r="AQ41" s="1">
        <f t="shared" si="90"/>
        <v>2.2885180862651209E-2</v>
      </c>
      <c r="AR41" s="1">
        <f t="shared" si="90"/>
        <v>1.8308144690120966E-2</v>
      </c>
      <c r="AS41" s="1">
        <f t="shared" si="90"/>
        <v>1.3731108517590724E-2</v>
      </c>
      <c r="AT41" s="1">
        <f t="shared" si="90"/>
        <v>9.1540723450604794E-3</v>
      </c>
      <c r="AU41" s="1">
        <f t="shared" si="90"/>
        <v>4.5770361725302354E-3</v>
      </c>
      <c r="AV41" s="1">
        <f t="shared" si="90"/>
        <v>0</v>
      </c>
      <c r="AW41" s="1">
        <f t="shared" si="90"/>
        <v>-4.577036172530244E-3</v>
      </c>
      <c r="AX41" s="1">
        <f t="shared" si="90"/>
        <v>0</v>
      </c>
      <c r="AY41" s="1">
        <f t="shared" si="90"/>
        <v>-1.3731108517590735E-2</v>
      </c>
      <c r="AZ41" s="1">
        <f t="shared" si="90"/>
        <v>-1.8308144690120976E-2</v>
      </c>
      <c r="BA41" s="1">
        <f t="shared" si="90"/>
        <v>-2.2885180862651219E-2</v>
      </c>
      <c r="BB41" s="1">
        <f t="shared" si="90"/>
        <v>-2.7462217035181462E-2</v>
      </c>
      <c r="BC41" s="1">
        <f t="shared" si="90"/>
        <v>-3.2039253207711706E-2</v>
      </c>
      <c r="BD41" s="1"/>
      <c r="BE41">
        <f t="shared" ref="BE41" si="97">LN($D41)-LN($D41*(1+BA41/100))</f>
        <v>2.2887799919679708E-4</v>
      </c>
      <c r="BF41">
        <f t="shared" si="16"/>
        <v>2.7465988592467738E-4</v>
      </c>
      <c r="BG41">
        <f t="shared" si="16"/>
        <v>3.2044386872964736E-4</v>
      </c>
    </row>
    <row r="42" spans="1:59" x14ac:dyDescent="0.35">
      <c r="A42" t="str">
        <f>regions!A42</f>
        <v>Congo [DRC]</v>
      </c>
      <c r="B42" s="22">
        <f>regions!B42</f>
        <v>62191161</v>
      </c>
      <c r="C42" s="22">
        <f>regions!C42</f>
        <v>15665220568.04055</v>
      </c>
      <c r="D42" s="10">
        <f>regions!D42</f>
        <v>251.88821556234575</v>
      </c>
      <c r="E42" s="1">
        <f>regions!X42</f>
        <v>24</v>
      </c>
      <c r="I42" s="7">
        <f t="shared" si="8"/>
        <v>-12.403564303835479</v>
      </c>
      <c r="J42" s="1">
        <f t="shared" si="9"/>
        <v>-11.884399254089368</v>
      </c>
      <c r="K42" s="1">
        <f t="shared" si="81"/>
        <v>-10.326468544633816</v>
      </c>
      <c r="L42" s="1">
        <f t="shared" si="9"/>
        <v>-15.430118822633908</v>
      </c>
      <c r="M42" s="1">
        <f t="shared" si="10"/>
        <v>-14.803375440967891</v>
      </c>
      <c r="N42" s="1">
        <f t="shared" ref="N42" si="98">M42+M$2</f>
        <v>-14.41893255052087</v>
      </c>
      <c r="O42" s="1">
        <f t="shared" si="12"/>
        <v>2.9171998047435035</v>
      </c>
      <c r="P42" s="1">
        <f t="shared" si="58"/>
        <v>-16.068883238550178</v>
      </c>
      <c r="Q42" s="1">
        <f t="shared" si="58"/>
        <v>-13.043537616430363</v>
      </c>
      <c r="R42" s="1">
        <f t="shared" si="58"/>
        <v>-13.002062962052483</v>
      </c>
      <c r="S42" s="1">
        <f>$M42+SUMPRODUCT(regions!BG42:BS42,regions!BG$193:BS$193)</f>
        <v>-5.5482471345399418</v>
      </c>
      <c r="T42" s="1">
        <f>$M42+SUMPRODUCT(regions!BV42:CD42,regions!BV$193:CD$193)</f>
        <v>-13.158058121352207</v>
      </c>
      <c r="U42" s="1">
        <f>$M42+SUMPRODUCT(regions!CQ42:CV42,regions!CQ$193:CV$193)</f>
        <v>-11.082889892685808</v>
      </c>
      <c r="V42" s="1">
        <f>$M42+SUMPRODUCT(regions!CY42:DF42,regions!CY$193:DF$193)</f>
        <v>-12.701797920142189</v>
      </c>
      <c r="W42" s="1">
        <f>$M42+SUMPRODUCT(regions!DI42:DP42,regions!DI$193:DP$193)</f>
        <v>-9.1026979201421891</v>
      </c>
      <c r="X42" s="1">
        <f>$M42+SUMPRODUCT(regions!DR42:DW42,regions!DR$193:DW$193)</f>
        <v>-8.9797138477327483</v>
      </c>
      <c r="Y42" s="1">
        <f>$M42+SUMPRODUCT(regions!DZ42:EE42,regions!DZ$193:EE$193)</f>
        <v>-8.4787259147480185</v>
      </c>
      <c r="Z42" s="1">
        <f t="shared" si="26"/>
        <v>-11.323309258523238</v>
      </c>
      <c r="AF42" s="1">
        <f t="shared" si="83"/>
        <v>-1.4733754409678905</v>
      </c>
      <c r="AG42" s="1"/>
      <c r="AH42" s="1">
        <f t="shared" si="14"/>
        <v>0.1406326663794715</v>
      </c>
      <c r="AI42" s="1">
        <f t="shared" si="90"/>
        <v>0.1312571552875067</v>
      </c>
      <c r="AJ42" s="1">
        <f t="shared" si="90"/>
        <v>0.12188164419554193</v>
      </c>
      <c r="AK42" s="1">
        <f t="shared" si="90"/>
        <v>0.1031306220116124</v>
      </c>
      <c r="AL42" s="1">
        <f t="shared" si="90"/>
        <v>9.3755110919647625E-2</v>
      </c>
      <c r="AM42" s="1">
        <f t="shared" si="90"/>
        <v>8.4379599827682852E-2</v>
      </c>
      <c r="AN42" s="1">
        <f t="shared" si="90"/>
        <v>7.5004088735718094E-2</v>
      </c>
      <c r="AO42" s="1">
        <f t="shared" si="90"/>
        <v>6.5628577643753322E-2</v>
      </c>
      <c r="AP42" s="1">
        <f t="shared" si="90"/>
        <v>5.6253066551788571E-2</v>
      </c>
      <c r="AQ42" s="1">
        <f t="shared" si="90"/>
        <v>4.6877555459823805E-2</v>
      </c>
      <c r="AR42" s="1">
        <f t="shared" si="90"/>
        <v>3.750204436785904E-2</v>
      </c>
      <c r="AS42" s="1">
        <f t="shared" si="90"/>
        <v>2.8126533275894278E-2</v>
      </c>
      <c r="AT42" s="1">
        <f t="shared" si="90"/>
        <v>1.8751022183929513E-2</v>
      </c>
      <c r="AU42" s="1">
        <f t="shared" si="90"/>
        <v>9.3755110919647479E-3</v>
      </c>
      <c r="AV42" s="1">
        <f t="shared" si="90"/>
        <v>0</v>
      </c>
      <c r="AW42" s="1">
        <f t="shared" si="90"/>
        <v>-9.3755110919647652E-3</v>
      </c>
      <c r="AX42" s="1">
        <f t="shared" si="90"/>
        <v>0</v>
      </c>
      <c r="AY42" s="1">
        <f t="shared" si="90"/>
        <v>-2.8126533275894299E-2</v>
      </c>
      <c r="AZ42" s="1">
        <f t="shared" si="90"/>
        <v>-3.7502044367859061E-2</v>
      </c>
      <c r="BA42" s="1">
        <f t="shared" si="90"/>
        <v>-4.6877555459823819E-2</v>
      </c>
      <c r="BB42" s="1">
        <f t="shared" si="90"/>
        <v>-5.6253066551788591E-2</v>
      </c>
      <c r="BC42" s="1">
        <f t="shared" si="90"/>
        <v>-6.562857764375335E-2</v>
      </c>
      <c r="BD42" s="1"/>
      <c r="BE42">
        <f t="shared" ref="BE42" si="99">LN($D42)-LN($D42*(1+BA42/100))</f>
        <v>4.688854642083129E-4</v>
      </c>
      <c r="BF42">
        <f t="shared" si="16"/>
        <v>5.626889452541306E-4</v>
      </c>
      <c r="BG42">
        <f t="shared" si="16"/>
        <v>6.5650122621718765E-4</v>
      </c>
    </row>
    <row r="43" spans="1:59" x14ac:dyDescent="0.35">
      <c r="A43" t="str">
        <f>regions!A43</f>
        <v>Congo [Republic]</v>
      </c>
      <c r="B43" s="22">
        <f>regions!B43</f>
        <v>4111715</v>
      </c>
      <c r="C43" s="22">
        <f>regions!C43</f>
        <v>7852666838.4847937</v>
      </c>
      <c r="D43" s="10">
        <f>regions!D43</f>
        <v>1909.827611710635</v>
      </c>
      <c r="E43" s="1">
        <f>regions!X43</f>
        <v>24.5</v>
      </c>
      <c r="I43" s="7">
        <f t="shared" si="8"/>
        <v>-11.492738670183693</v>
      </c>
      <c r="J43" s="1">
        <f t="shared" si="9"/>
        <v>-10.973573620437582</v>
      </c>
      <c r="K43" s="1">
        <f t="shared" si="81"/>
        <v>-6.9422203788530989</v>
      </c>
      <c r="L43" s="1">
        <f t="shared" si="9"/>
        <v>-12.045870656853191</v>
      </c>
      <c r="M43" s="1">
        <f t="shared" si="10"/>
        <v>-11.623868819650029</v>
      </c>
      <c r="N43" s="1">
        <f t="shared" ref="N43" si="100">M43+M$2</f>
        <v>-11.239425929203009</v>
      </c>
      <c r="O43" s="1">
        <f t="shared" si="12"/>
        <v>3.2343483728058997</v>
      </c>
      <c r="P43" s="1">
        <f t="shared" si="58"/>
        <v>-12.889376617232317</v>
      </c>
      <c r="Q43" s="1">
        <f t="shared" si="58"/>
        <v>-9.8640309951125023</v>
      </c>
      <c r="R43" s="1">
        <f t="shared" si="58"/>
        <v>-9.8225563407346215</v>
      </c>
      <c r="S43" s="1">
        <f>$M43+SUMPRODUCT(regions!BG43:BS43,regions!BG$193:BS$193)</f>
        <v>-2.3687405132220807</v>
      </c>
      <c r="T43" s="1">
        <f>$M43+SUMPRODUCT(regions!BV43:CD43,regions!BV$193:CD$193)</f>
        <v>-9.9785515000343459</v>
      </c>
      <c r="U43" s="1">
        <f>$M43+SUMPRODUCT(regions!CQ43:CV43,regions!CQ$193:CV$193)</f>
        <v>-7.9033832713679466</v>
      </c>
      <c r="V43" s="1">
        <f>$M43+SUMPRODUCT(regions!CY43:DF43,regions!CY$193:DF$193)</f>
        <v>-9.522291298824328</v>
      </c>
      <c r="W43" s="1">
        <f>$M43+SUMPRODUCT(regions!DI43:DP43,regions!DI$193:DP$193)</f>
        <v>-5.923191298824328</v>
      </c>
      <c r="X43" s="1">
        <f>$M43+SUMPRODUCT(regions!DR43:DW43,regions!DR$193:DW$193)</f>
        <v>-5.8002072264148872</v>
      </c>
      <c r="Y43" s="1">
        <f>$M43+SUMPRODUCT(regions!DZ43:EE43,regions!DZ$193:EE$193)</f>
        <v>-5.2992192934301574</v>
      </c>
      <c r="Z43" s="1">
        <f t="shared" si="26"/>
        <v>-3.3</v>
      </c>
      <c r="AA43" t="str">
        <f>Maddison!A18</f>
        <v>Congo</v>
      </c>
      <c r="AB43">
        <f>-Maddison!B18</f>
        <v>-3.3</v>
      </c>
      <c r="AC43" s="1">
        <f>N43-AB43</f>
        <v>-7.9394259292030087</v>
      </c>
      <c r="AF43" s="1">
        <f t="shared" si="83"/>
        <v>1.7061311803499706</v>
      </c>
      <c r="AG43" s="1"/>
      <c r="AH43" s="1">
        <f t="shared" si="14"/>
        <v>-0.16284904065466932</v>
      </c>
      <c r="AI43" s="1">
        <f t="shared" si="90"/>
        <v>-0.15199243794435799</v>
      </c>
      <c r="AJ43" s="1">
        <f t="shared" si="90"/>
        <v>-0.14113583523404669</v>
      </c>
      <c r="AK43" s="1">
        <f t="shared" si="90"/>
        <v>-0.11942262981342412</v>
      </c>
      <c r="AL43" s="1">
        <f t="shared" si="90"/>
        <v>-0.10856602710311283</v>
      </c>
      <c r="AM43" s="1">
        <f t="shared" si="90"/>
        <v>-9.7709424392801544E-2</v>
      </c>
      <c r="AN43" s="1">
        <f t="shared" si="90"/>
        <v>-8.6852821682490255E-2</v>
      </c>
      <c r="AO43" s="1">
        <f t="shared" si="90"/>
        <v>-7.5996218972178967E-2</v>
      </c>
      <c r="AP43" s="1">
        <f t="shared" si="90"/>
        <v>-6.5139616261867692E-2</v>
      </c>
      <c r="AQ43" s="1">
        <f t="shared" si="90"/>
        <v>-5.4283013551556403E-2</v>
      </c>
      <c r="AR43" s="1">
        <f t="shared" si="90"/>
        <v>-4.3426410841245121E-2</v>
      </c>
      <c r="AS43" s="1">
        <f t="shared" si="90"/>
        <v>-3.2569808130933839E-2</v>
      </c>
      <c r="AT43" s="1">
        <f t="shared" si="90"/>
        <v>-2.171320542062255E-2</v>
      </c>
      <c r="AU43" s="1">
        <f t="shared" si="90"/>
        <v>-1.0856602710311265E-2</v>
      </c>
      <c r="AV43" s="1">
        <f t="shared" si="90"/>
        <v>0</v>
      </c>
      <c r="AW43" s="1">
        <f t="shared" si="90"/>
        <v>1.0856602710311285E-2</v>
      </c>
      <c r="AX43" s="1">
        <f t="shared" si="90"/>
        <v>0</v>
      </c>
      <c r="AY43" s="1">
        <f t="shared" si="90"/>
        <v>3.256980813093386E-2</v>
      </c>
      <c r="AZ43" s="1">
        <f t="shared" si="90"/>
        <v>4.3426410841245142E-2</v>
      </c>
      <c r="BA43" s="1">
        <f t="shared" si="90"/>
        <v>5.4283013551556424E-2</v>
      </c>
      <c r="BB43" s="1">
        <f t="shared" si="90"/>
        <v>6.5139616261867719E-2</v>
      </c>
      <c r="BC43" s="1">
        <f t="shared" si="90"/>
        <v>7.5996218972178994E-2</v>
      </c>
      <c r="BD43" s="1"/>
      <c r="BE43">
        <f t="shared" ref="BE43" si="101">LN($D43)-LN($D43*(1+BA43/100))</f>
        <v>-5.4268285653336079E-4</v>
      </c>
      <c r="BF43">
        <f t="shared" si="16"/>
        <v>-6.5118409622577644E-4</v>
      </c>
      <c r="BG43">
        <f t="shared" si="16"/>
        <v>-7.5967356467643299E-4</v>
      </c>
    </row>
    <row r="44" spans="1:59" x14ac:dyDescent="0.35">
      <c r="A44" t="str">
        <f>regions!A44</f>
        <v>Costa Rica</v>
      </c>
      <c r="B44" s="22">
        <f>regions!B44</f>
        <v>4669685</v>
      </c>
      <c r="C44" s="22">
        <f>regions!C44</f>
        <v>25017792422.605213</v>
      </c>
      <c r="D44" s="10">
        <f>regions!D44</f>
        <v>5357.4903708933716</v>
      </c>
      <c r="E44" s="1">
        <f>regions!X44</f>
        <v>24.8</v>
      </c>
      <c r="I44" s="7">
        <f t="shared" si="8"/>
        <v>-9.4887280494372384</v>
      </c>
      <c r="J44" s="1">
        <f t="shared" si="9"/>
        <v>-8.9695629996911279</v>
      </c>
      <c r="K44" s="1">
        <f t="shared" si="81"/>
        <v>-0.94384580416396169</v>
      </c>
      <c r="L44" s="1">
        <f t="shared" si="9"/>
        <v>-6.047496082164054</v>
      </c>
      <c r="M44" s="1">
        <f t="shared" si="10"/>
        <v>-10.025301724849756</v>
      </c>
      <c r="N44" s="1">
        <f t="shared" ref="N44" si="102">M44+M$2</f>
        <v>-9.6408588344027351</v>
      </c>
      <c r="O44" s="1">
        <f t="shared" si="12"/>
        <v>2.4154495694110589</v>
      </c>
      <c r="P44" s="1">
        <f t="shared" ref="P44:R63" si="103">$M44+P$1-$M$1</f>
        <v>-11.290809522432044</v>
      </c>
      <c r="Q44" s="1">
        <f t="shared" si="103"/>
        <v>-8.2654639003122288</v>
      </c>
      <c r="R44" s="1">
        <f t="shared" si="103"/>
        <v>-8.223989245934348</v>
      </c>
      <c r="S44" s="1">
        <f>$M44+SUMPRODUCT(regions!BG44:BS44,regions!BG$193:BS$193)</f>
        <v>-4.5803513549771964</v>
      </c>
      <c r="T44" s="1">
        <f>$M44+SUMPRODUCT(regions!BV44:CD44,regions!BV$193:CD$193)</f>
        <v>-5.8660806133534722</v>
      </c>
      <c r="U44" s="1">
        <f>$M44+SUMPRODUCT(regions!CQ44:CV44,regions!CQ$193:CV$193)</f>
        <v>-6.3048161765676731</v>
      </c>
      <c r="V44" s="1">
        <f>$M44+SUMPRODUCT(regions!CY44:DF44,regions!CY$193:DF$193)</f>
        <v>-5.8560806133534715</v>
      </c>
      <c r="W44" s="1">
        <f>$M44+SUMPRODUCT(regions!DI44:DP44,regions!DI$193:DP$193)</f>
        <v>-3.8169806133534721</v>
      </c>
      <c r="X44" s="1">
        <f>$M44+SUMPRODUCT(regions!DR44:DW44,regions!DR$193:DW$193)</f>
        <v>-4.2016401316146137</v>
      </c>
      <c r="Y44" s="1">
        <f>$M44+SUMPRODUCT(regions!DZ44:EE44,regions!DZ$193:EE$193)</f>
        <v>-3.7006521986298839</v>
      </c>
      <c r="Z44" s="1">
        <f t="shared" si="26"/>
        <v>-3.8</v>
      </c>
      <c r="AA44" t="str">
        <f>Maddison!A19</f>
        <v>Costa Rica</v>
      </c>
      <c r="AB44">
        <f>-Maddison!B19</f>
        <v>-3.8</v>
      </c>
      <c r="AC44" s="1">
        <f>N44-AB44</f>
        <v>-5.8408588344027352</v>
      </c>
      <c r="AF44" s="1">
        <f t="shared" si="83"/>
        <v>3.3046982751502441</v>
      </c>
      <c r="AG44" s="1"/>
      <c r="AH44" s="1">
        <f t="shared" si="14"/>
        <v>-0.31543116376957958</v>
      </c>
      <c r="AI44" s="1">
        <f t="shared" si="90"/>
        <v>-0.29440241951827423</v>
      </c>
      <c r="AJ44" s="1">
        <f t="shared" si="90"/>
        <v>-0.27337367526696887</v>
      </c>
      <c r="AK44" s="1">
        <f t="shared" si="90"/>
        <v>-0.23131618676435825</v>
      </c>
      <c r="AL44" s="1">
        <f t="shared" si="90"/>
        <v>-0.21028744251305295</v>
      </c>
      <c r="AM44" s="1">
        <f t="shared" si="90"/>
        <v>-0.18925869826174765</v>
      </c>
      <c r="AN44" s="1">
        <f t="shared" si="90"/>
        <v>-0.16822995401044233</v>
      </c>
      <c r="AO44" s="1">
        <f t="shared" si="90"/>
        <v>-0.14720120975913703</v>
      </c>
      <c r="AP44" s="1">
        <f t="shared" si="90"/>
        <v>-0.12617246550783176</v>
      </c>
      <c r="AQ44" s="1">
        <f t="shared" si="90"/>
        <v>-0.10514372125652645</v>
      </c>
      <c r="AR44" s="1">
        <f t="shared" si="90"/>
        <v>-8.4114977005221164E-2</v>
      </c>
      <c r="AS44" s="1">
        <f t="shared" si="90"/>
        <v>-6.3086232753915866E-2</v>
      </c>
      <c r="AT44" s="1">
        <f t="shared" si="90"/>
        <v>-4.2057488502610561E-2</v>
      </c>
      <c r="AU44" s="1">
        <f t="shared" si="90"/>
        <v>-2.102874425130526E-2</v>
      </c>
      <c r="AV44" s="1">
        <f t="shared" si="90"/>
        <v>0</v>
      </c>
      <c r="AW44" s="1">
        <f t="shared" si="90"/>
        <v>2.1028744251305301E-2</v>
      </c>
      <c r="AX44" s="1">
        <f t="shared" si="90"/>
        <v>0</v>
      </c>
      <c r="AY44" s="1">
        <f t="shared" si="90"/>
        <v>6.3086232753915908E-2</v>
      </c>
      <c r="AZ44" s="1">
        <f t="shared" si="90"/>
        <v>8.4114977005221206E-2</v>
      </c>
      <c r="BA44" s="1">
        <f t="shared" si="90"/>
        <v>0.1051437212565265</v>
      </c>
      <c r="BB44" s="1">
        <f t="shared" si="90"/>
        <v>0.12617246550783179</v>
      </c>
      <c r="BC44" s="1">
        <f t="shared" si="90"/>
        <v>0.14720120975913711</v>
      </c>
      <c r="BD44" s="1"/>
      <c r="BE44">
        <f t="shared" ref="BE44" si="104">LN($D44)-LN($D44*(1+BA44/100))</f>
        <v>-1.0508848396142412E-3</v>
      </c>
      <c r="BF44">
        <f t="shared" si="16"/>
        <v>-1.2609293494261209E-3</v>
      </c>
      <c r="BG44">
        <f t="shared" si="16"/>
        <v>-1.4709297498054497E-3</v>
      </c>
    </row>
    <row r="45" spans="1:59" x14ac:dyDescent="0.35">
      <c r="A45" t="str">
        <f>regions!A45</f>
        <v>Croatia</v>
      </c>
      <c r="B45" s="22">
        <f>regions!B45</f>
        <v>4417800</v>
      </c>
      <c r="C45" s="22">
        <f>regions!C45</f>
        <v>45872253522.123985</v>
      </c>
      <c r="D45" s="10">
        <f>regions!D45</f>
        <v>10383.506161918598</v>
      </c>
      <c r="E45" s="1">
        <f>regions!X45</f>
        <v>10.9</v>
      </c>
      <c r="I45" s="7">
        <f t="shared" si="8"/>
        <v>0.28068743957572906</v>
      </c>
      <c r="J45" s="1">
        <f t="shared" si="9"/>
        <v>0.79985248932183883</v>
      </c>
      <c r="K45" s="1">
        <f t="shared" si="81"/>
        <v>11.310920880973576</v>
      </c>
      <c r="L45" s="1">
        <f t="shared" si="9"/>
        <v>6.2072706029734839</v>
      </c>
      <c r="M45" s="1">
        <f t="shared" si="10"/>
        <v>-2.679763006721374</v>
      </c>
      <c r="N45" s="1">
        <f t="shared" ref="N45" si="105">M45+M$2</f>
        <v>-2.2953201162743531</v>
      </c>
      <c r="O45" s="1">
        <f t="shared" si="12"/>
        <v>2.4620460994655304</v>
      </c>
      <c r="P45" s="1">
        <f t="shared" si="103"/>
        <v>-3.9452708043036617</v>
      </c>
      <c r="Q45" s="1">
        <f t="shared" si="103"/>
        <v>-0.91992518218384611</v>
      </c>
      <c r="R45" s="1">
        <f t="shared" si="103"/>
        <v>-0.87845052780596622</v>
      </c>
      <c r="S45" s="1">
        <f>$M45+SUMPRODUCT(regions!BG45:BS45,regions!BG$193:BS$193)</f>
        <v>-1.5265458340312634</v>
      </c>
      <c r="T45" s="1">
        <f>$M45+SUMPRODUCT(regions!BV45:CD45,regions!BV$193:CD$193)</f>
        <v>-2.5105168625688674</v>
      </c>
      <c r="U45" s="1">
        <f>$M45+SUMPRODUCT(regions!CQ45:CV45,regions!CQ$193:CV$193)</f>
        <v>1.0407225415607089</v>
      </c>
      <c r="V45" s="1">
        <f>$M45+SUMPRODUCT(regions!CY45:DF45,regions!CY$193:DF$193)</f>
        <v>-2.8105168625688677</v>
      </c>
      <c r="W45" s="1">
        <f>$M45+SUMPRODUCT(regions!DI45:DP45,regions!DI$193:DP$193)</f>
        <v>-2.3800168625688674</v>
      </c>
      <c r="X45" s="1">
        <f>$M45+SUMPRODUCT(regions!DR45:DW45,regions!DR$193:DW$193)</f>
        <v>3.1438985865137683</v>
      </c>
      <c r="Y45" s="1">
        <f>$M45+SUMPRODUCT(regions!DZ45:EE45,regions!DZ$193:EE$193)</f>
        <v>3.6448865194984981</v>
      </c>
      <c r="Z45" s="1">
        <f t="shared" si="26"/>
        <v>0.80030317572327858</v>
      </c>
      <c r="AF45" s="1">
        <f t="shared" si="83"/>
        <v>10.650236993278625</v>
      </c>
      <c r="AG45" s="1"/>
      <c r="AH45" s="1">
        <f t="shared" si="14"/>
        <v>-1.0165577518749342</v>
      </c>
      <c r="AI45" s="1">
        <f t="shared" si="90"/>
        <v>-0.94878723508327167</v>
      </c>
      <c r="AJ45" s="1">
        <f t="shared" si="90"/>
        <v>-0.88101671829160932</v>
      </c>
      <c r="AK45" s="1">
        <f t="shared" si="90"/>
        <v>-0.74547568470828474</v>
      </c>
      <c r="AL45" s="1">
        <f t="shared" si="90"/>
        <v>-0.6777051679166225</v>
      </c>
      <c r="AM45" s="1">
        <f t="shared" si="90"/>
        <v>-0.60993465112496015</v>
      </c>
      <c r="AN45" s="1">
        <f t="shared" si="90"/>
        <v>-0.54216413433329791</v>
      </c>
      <c r="AO45" s="1">
        <f t="shared" si="90"/>
        <v>-0.47439361754163561</v>
      </c>
      <c r="AP45" s="1">
        <f t="shared" si="90"/>
        <v>-0.40662310074997343</v>
      </c>
      <c r="AQ45" s="1">
        <f t="shared" si="90"/>
        <v>-0.33885258395831114</v>
      </c>
      <c r="AR45" s="1">
        <f t="shared" si="90"/>
        <v>-0.2710820671666489</v>
      </c>
      <c r="AS45" s="1">
        <f t="shared" si="90"/>
        <v>-0.20331155037498669</v>
      </c>
      <c r="AT45" s="1">
        <f t="shared" si="90"/>
        <v>-0.13554103358332439</v>
      </c>
      <c r="AU45" s="1">
        <f t="shared" si="90"/>
        <v>-6.7770516791662141E-2</v>
      </c>
      <c r="AV45" s="1">
        <f t="shared" si="90"/>
        <v>0</v>
      </c>
      <c r="AW45" s="1">
        <f t="shared" si="90"/>
        <v>6.7770516791662266E-2</v>
      </c>
      <c r="AX45" s="1">
        <f t="shared" si="90"/>
        <v>0</v>
      </c>
      <c r="AY45" s="1">
        <f t="shared" si="90"/>
        <v>0.20331155037498683</v>
      </c>
      <c r="AZ45" s="1">
        <f t="shared" si="90"/>
        <v>0.27108206716664907</v>
      </c>
      <c r="BA45" s="1">
        <f t="shared" si="90"/>
        <v>0.3388525839583113</v>
      </c>
      <c r="BB45" s="1">
        <f t="shared" si="90"/>
        <v>0.4066231007499736</v>
      </c>
      <c r="BC45" s="1">
        <f t="shared" si="90"/>
        <v>0.47439361754163584</v>
      </c>
      <c r="BD45" s="1"/>
      <c r="BE45">
        <f t="shared" ref="BE45" si="106">LN($D45)-LN($D45*(1+BA45/100))</f>
        <v>-3.3827977221694283E-3</v>
      </c>
      <c r="BF45">
        <f t="shared" si="16"/>
        <v>-4.0579862327447813E-3</v>
      </c>
      <c r="BG45">
        <f t="shared" si="16"/>
        <v>-4.7327191713772976E-3</v>
      </c>
    </row>
    <row r="46" spans="1:59" x14ac:dyDescent="0.35">
      <c r="A46" t="str">
        <f>regions!A46</f>
        <v>Cuba</v>
      </c>
      <c r="B46" s="22">
        <f>regions!B46</f>
        <v>11281768</v>
      </c>
      <c r="C46" s="22">
        <f>regions!C46</f>
        <v>55436887630.693001</v>
      </c>
      <c r="D46" s="10">
        <f>regions!D46</f>
        <v>4913.8475131462556</v>
      </c>
      <c r="E46" s="1">
        <f>regions!X46</f>
        <v>25.2</v>
      </c>
      <c r="I46" s="7">
        <f t="shared" si="8"/>
        <v>-9.9556220933229724</v>
      </c>
      <c r="J46" s="1">
        <f t="shared" si="9"/>
        <v>-9.436457043576862</v>
      </c>
      <c r="K46" s="1">
        <f t="shared" si="81"/>
        <v>-1.8156153693469879</v>
      </c>
      <c r="L46" s="1">
        <f t="shared" si="9"/>
        <v>-6.9192656473470802</v>
      </c>
      <c r="M46" s="1">
        <f t="shared" si="10"/>
        <v>-10.349923603260764</v>
      </c>
      <c r="N46" s="1">
        <f t="shared" ref="N46" si="107">M46+M$2</f>
        <v>-9.9654807128137435</v>
      </c>
      <c r="O46" s="1">
        <f t="shared" si="12"/>
        <v>2.3057019607949472</v>
      </c>
      <c r="P46" s="1">
        <f t="shared" si="103"/>
        <v>-11.615431400843052</v>
      </c>
      <c r="Q46" s="1">
        <f t="shared" si="103"/>
        <v>-8.5900857787232372</v>
      </c>
      <c r="R46" s="1">
        <f t="shared" si="103"/>
        <v>-8.5486111243453564</v>
      </c>
      <c r="S46" s="1">
        <f>$M46+SUMPRODUCT(regions!BG46:BS46,regions!BG$193:BS$193)</f>
        <v>-4.9049732333882048</v>
      </c>
      <c r="T46" s="1">
        <f>$M46+SUMPRODUCT(regions!BV46:CD46,regions!BV$193:CD$193)</f>
        <v>-6.1907024917644806</v>
      </c>
      <c r="U46" s="1">
        <f>$M46+SUMPRODUCT(regions!CQ46:CV46,regions!CQ$193:CV$193)</f>
        <v>-6.6294380549786815</v>
      </c>
      <c r="V46" s="1">
        <f>$M46+SUMPRODUCT(regions!CY46:DF46,regions!CY$193:DF$193)</f>
        <v>-6.1807024917644799</v>
      </c>
      <c r="W46" s="1">
        <f>$M46+SUMPRODUCT(regions!DI46:DP46,regions!DI$193:DP$193)</f>
        <v>-4.1416024917644805</v>
      </c>
      <c r="X46" s="1">
        <f>$M46+SUMPRODUCT(regions!DR46:DW46,regions!DR$193:DW$193)</f>
        <v>-4.5262620100256221</v>
      </c>
      <c r="Y46" s="1">
        <f>$M46+SUMPRODUCT(regions!DZ46:EE46,regions!DZ$193:EE$193)</f>
        <v>-4.0252740770408924</v>
      </c>
      <c r="Z46" s="1">
        <f t="shared" si="26"/>
        <v>-6.8698574208161123</v>
      </c>
      <c r="AF46" s="1">
        <f t="shared" si="83"/>
        <v>2.9800763967392356</v>
      </c>
      <c r="AG46" s="1"/>
      <c r="AH46" s="1">
        <f t="shared" si="14"/>
        <v>-0.28444623008827519</v>
      </c>
      <c r="AI46" s="1">
        <f t="shared" si="90"/>
        <v>-0.2654831480823901</v>
      </c>
      <c r="AJ46" s="1">
        <f t="shared" si="90"/>
        <v>-0.24652006607650506</v>
      </c>
      <c r="AK46" s="1">
        <f t="shared" si="90"/>
        <v>-0.20859390206473505</v>
      </c>
      <c r="AL46" s="1">
        <f t="shared" si="90"/>
        <v>-0.18963082005885001</v>
      </c>
      <c r="AM46" s="1">
        <f t="shared" si="90"/>
        <v>-0.17066773805296501</v>
      </c>
      <c r="AN46" s="1">
        <f t="shared" si="90"/>
        <v>-0.15170465604708</v>
      </c>
      <c r="AO46" s="1">
        <f t="shared" si="90"/>
        <v>-0.13274157404119499</v>
      </c>
      <c r="AP46" s="1">
        <f t="shared" si="90"/>
        <v>-0.11377849203531</v>
      </c>
      <c r="AQ46" s="1">
        <f t="shared" si="90"/>
        <v>-9.4815410029424993E-2</v>
      </c>
      <c r="AR46" s="1">
        <f t="shared" si="90"/>
        <v>-7.5852328023539986E-2</v>
      </c>
      <c r="AS46" s="1">
        <f t="shared" si="90"/>
        <v>-5.6889246017654993E-2</v>
      </c>
      <c r="AT46" s="1">
        <f t="shared" si="90"/>
        <v>-3.7926164011769979E-2</v>
      </c>
      <c r="AU46" s="1">
        <f t="shared" si="90"/>
        <v>-1.8963082005884972E-2</v>
      </c>
      <c r="AV46" s="1">
        <f t="shared" si="90"/>
        <v>0</v>
      </c>
      <c r="AW46" s="1">
        <f t="shared" si="90"/>
        <v>1.8963082005885007E-2</v>
      </c>
      <c r="AX46" s="1">
        <f t="shared" si="90"/>
        <v>0</v>
      </c>
      <c r="AY46" s="1">
        <f t="shared" si="90"/>
        <v>5.6889246017655035E-2</v>
      </c>
      <c r="AZ46" s="1">
        <f t="shared" si="90"/>
        <v>7.5852328023540028E-2</v>
      </c>
      <c r="BA46" s="1">
        <f t="shared" si="90"/>
        <v>9.4815410029425035E-2</v>
      </c>
      <c r="BB46" s="1">
        <f t="shared" si="90"/>
        <v>0.11377849203531004</v>
      </c>
      <c r="BC46" s="1">
        <f t="shared" si="90"/>
        <v>0.13274157404119505</v>
      </c>
      <c r="BD46" s="1"/>
      <c r="BE46">
        <f t="shared" ref="BE46" si="108">LN($D46)-LN($D46*(1+BA46/100))</f>
        <v>-9.4770488612283543E-4</v>
      </c>
      <c r="BF46">
        <f t="shared" si="16"/>
        <v>-1.1371381336466868E-3</v>
      </c>
      <c r="BG46">
        <f t="shared" si="16"/>
        <v>-1.3265355030132042E-3</v>
      </c>
    </row>
    <row r="47" spans="1:59" x14ac:dyDescent="0.35">
      <c r="A47" t="str">
        <f>regions!A47</f>
        <v>Cyprus</v>
      </c>
      <c r="B47" s="22">
        <f>regions!B47</f>
        <v>1103685</v>
      </c>
      <c r="C47" s="22">
        <f>regions!C47</f>
        <v>19207097486.442326</v>
      </c>
      <c r="D47" s="10">
        <f>regions!D47</f>
        <v>17402.698674388368</v>
      </c>
      <c r="E47" s="1">
        <f>regions!X47</f>
        <v>18.399999999999999</v>
      </c>
      <c r="I47" s="7">
        <f t="shared" si="8"/>
        <v>-1.5283677348059825</v>
      </c>
      <c r="J47" s="1">
        <f t="shared" si="9"/>
        <v>-1.0092026850598728</v>
      </c>
      <c r="K47" s="1">
        <f t="shared" si="81"/>
        <v>11.176700645572868</v>
      </c>
      <c r="L47" s="1">
        <f t="shared" si="9"/>
        <v>6.0730503675727761</v>
      </c>
      <c r="M47" s="1">
        <f t="shared" si="10"/>
        <v>-5.1756013234789169</v>
      </c>
      <c r="N47" s="1">
        <f t="shared" ref="N47" si="109">M47+M$2</f>
        <v>-4.7911584330318959</v>
      </c>
      <c r="O47" s="1">
        <f t="shared" si="12"/>
        <v>2.5338229061816522</v>
      </c>
      <c r="P47" s="1">
        <f t="shared" si="103"/>
        <v>-6.4411091210612046</v>
      </c>
      <c r="Q47" s="1">
        <f t="shared" si="103"/>
        <v>-3.4157634989413888</v>
      </c>
      <c r="R47" s="1">
        <f t="shared" si="103"/>
        <v>-3.3742888445635089</v>
      </c>
      <c r="S47" s="1">
        <f>$M47+SUMPRODUCT(regions!BG47:BS47,regions!BG$193:BS$193)</f>
        <v>-1.5085024077400768</v>
      </c>
      <c r="T47" s="1">
        <f>$M47+SUMPRODUCT(regions!BV47:CD47,regions!BV$193:CD$193)</f>
        <v>-6.4067902715464395</v>
      </c>
      <c r="U47" s="1">
        <f>$M47+SUMPRODUCT(regions!CQ47:CV47,regions!CQ$193:CV$193)</f>
        <v>-1.455115775196834</v>
      </c>
      <c r="V47" s="1">
        <f>$M47+SUMPRODUCT(regions!CY47:DF47,regions!CY$193:DF$193)</f>
        <v>-8.483883262721557</v>
      </c>
      <c r="W47" s="1">
        <f>$M47+SUMPRODUCT(regions!DI47:DP47,regions!DI$193:DP$193)</f>
        <v>-5.9313832627215568</v>
      </c>
      <c r="X47" s="1">
        <f>$M47+SUMPRODUCT(regions!DR47:DW47,regions!DR$193:DW$193)</f>
        <v>-7.0238832627215571</v>
      </c>
      <c r="Y47" s="1">
        <f>$M47+SUMPRODUCT(regions!DZ47:EE47,regions!DZ$193:EE$193)</f>
        <v>-6.6803148006174329</v>
      </c>
      <c r="Z47" s="1">
        <f t="shared" si="26"/>
        <v>-1.6955351410342643</v>
      </c>
      <c r="AF47" s="1">
        <f t="shared" si="83"/>
        <v>8.1543986765210832</v>
      </c>
      <c r="AG47" s="1"/>
      <c r="AH47" s="1">
        <f t="shared" si="14"/>
        <v>-0.7783317114659204</v>
      </c>
      <c r="AI47" s="1">
        <f t="shared" si="90"/>
        <v>-0.72644293070152566</v>
      </c>
      <c r="AJ47" s="1">
        <f t="shared" si="90"/>
        <v>-0.67455414993713081</v>
      </c>
      <c r="AK47" s="1">
        <f t="shared" si="90"/>
        <v>-0.57077658840834145</v>
      </c>
      <c r="AL47" s="1">
        <f t="shared" si="90"/>
        <v>-0.51888780764394671</v>
      </c>
      <c r="AM47" s="1">
        <f t="shared" si="90"/>
        <v>-0.46699902687955203</v>
      </c>
      <c r="AN47" s="1">
        <f t="shared" si="90"/>
        <v>-0.41511024611515734</v>
      </c>
      <c r="AO47" s="1">
        <f t="shared" si="90"/>
        <v>-0.36322146535076261</v>
      </c>
      <c r="AP47" s="1">
        <f t="shared" si="90"/>
        <v>-0.31133268458636798</v>
      </c>
      <c r="AQ47" s="1">
        <f t="shared" si="90"/>
        <v>-0.2594439038219733</v>
      </c>
      <c r="AR47" s="1">
        <f t="shared" si="90"/>
        <v>-0.20755512305757864</v>
      </c>
      <c r="AS47" s="1">
        <f t="shared" si="90"/>
        <v>-0.15566634229318396</v>
      </c>
      <c r="AT47" s="1">
        <f t="shared" si="90"/>
        <v>-0.10377756152878928</v>
      </c>
      <c r="AU47" s="1">
        <f t="shared" si="90"/>
        <v>-5.1888780764394585E-2</v>
      </c>
      <c r="AV47" s="1">
        <f t="shared" si="90"/>
        <v>0</v>
      </c>
      <c r="AW47" s="1">
        <f t="shared" si="90"/>
        <v>5.1888780764394689E-2</v>
      </c>
      <c r="AX47" s="1">
        <f t="shared" si="90"/>
        <v>0</v>
      </c>
      <c r="AY47" s="1">
        <f t="shared" si="90"/>
        <v>0.15566634229318407</v>
      </c>
      <c r="AZ47" s="1">
        <f t="shared" si="90"/>
        <v>0.20755512305757876</v>
      </c>
      <c r="BA47" s="1">
        <f t="shared" si="90"/>
        <v>0.25944390382197341</v>
      </c>
      <c r="BB47" s="1">
        <f t="shared" si="90"/>
        <v>0.31133268458636809</v>
      </c>
      <c r="BC47" s="1">
        <f t="shared" si="90"/>
        <v>0.36322146535076283</v>
      </c>
      <c r="BD47" s="1"/>
      <c r="BE47">
        <f t="shared" ref="BE47" si="110">LN($D47)-LN($D47*(1+BA47/100))</f>
        <v>-2.5910792911112424E-3</v>
      </c>
      <c r="BF47">
        <f t="shared" si="16"/>
        <v>-3.1084904793665658E-3</v>
      </c>
      <c r="BG47">
        <f t="shared" si="16"/>
        <v>-3.6256340917244501E-3</v>
      </c>
    </row>
    <row r="48" spans="1:59" x14ac:dyDescent="0.35">
      <c r="A48" t="str">
        <f>regions!A48</f>
        <v>Czech Republic</v>
      </c>
      <c r="B48" s="22">
        <f>regions!B48</f>
        <v>10519792</v>
      </c>
      <c r="C48" s="22">
        <f>regions!C48</f>
        <v>148480783612.59024</v>
      </c>
      <c r="D48" s="10">
        <f>regions!D48</f>
        <v>14114.421997373165</v>
      </c>
      <c r="E48" s="1">
        <f>regions!X48</f>
        <v>7.5</v>
      </c>
      <c r="I48" s="7">
        <f t="shared" si="8"/>
        <v>3.3875669024818484</v>
      </c>
      <c r="J48" s="1">
        <f t="shared" si="9"/>
        <v>3.9067319522279584</v>
      </c>
      <c r="K48" s="1">
        <f t="shared" si="81"/>
        <v>15.246520099571489</v>
      </c>
      <c r="L48" s="1">
        <f t="shared" si="9"/>
        <v>10.142869821571397</v>
      </c>
      <c r="M48" s="1">
        <f t="shared" si="10"/>
        <v>-0.63918344426318185</v>
      </c>
      <c r="N48" s="1">
        <f t="shared" ref="N48" si="111">M48+M$2</f>
        <v>-0.25474055381616112</v>
      </c>
      <c r="O48" s="1">
        <f t="shared" si="12"/>
        <v>2.4620460994655309</v>
      </c>
      <c r="P48" s="1">
        <f t="shared" si="103"/>
        <v>-1.9046912418454698</v>
      </c>
      <c r="Q48" s="1">
        <f t="shared" si="103"/>
        <v>1.1206543802743458</v>
      </c>
      <c r="R48" s="1">
        <f t="shared" si="103"/>
        <v>1.1621290346522262</v>
      </c>
      <c r="S48" s="1">
        <f>$M48+SUMPRODUCT(regions!BG48:BS48,regions!BG$193:BS$193)</f>
        <v>0.51403372842692874</v>
      </c>
      <c r="T48" s="1">
        <f>$M48+SUMPRODUCT(regions!BV48:CD48,regions!BV$193:CD$193)</f>
        <v>-0.46993730011067542</v>
      </c>
      <c r="U48" s="1">
        <f>$M48+SUMPRODUCT(regions!CQ48:CV48,regions!CQ$193:CV$193)</f>
        <v>3.081302104018901</v>
      </c>
      <c r="V48" s="1">
        <f>$M48+SUMPRODUCT(regions!CY48:DF48,regions!CY$193:DF$193)</f>
        <v>-0.7699373001106754</v>
      </c>
      <c r="W48" s="1">
        <f>$M48+SUMPRODUCT(regions!DI48:DP48,regions!DI$193:DP$193)</f>
        <v>-0.33943730011067541</v>
      </c>
      <c r="X48" s="1">
        <f>$M48+SUMPRODUCT(regions!DR48:DW48,regions!DR$193:DW$193)</f>
        <v>5.1844781489719605</v>
      </c>
      <c r="Y48" s="1">
        <f>$M48+SUMPRODUCT(regions!DZ48:EE48,regions!DZ$193:EE$193)</f>
        <v>5.6854660819566902</v>
      </c>
      <c r="Z48" s="1">
        <f t="shared" si="26"/>
        <v>2.8408827381814703</v>
      </c>
      <c r="AF48" s="1">
        <f t="shared" si="83"/>
        <v>12.690816555736818</v>
      </c>
      <c r="AG48" s="1"/>
      <c r="AH48" s="1">
        <f t="shared" si="14"/>
        <v>-1.2113296591896325</v>
      </c>
      <c r="AI48" s="1">
        <f t="shared" si="90"/>
        <v>-1.1305743485769904</v>
      </c>
      <c r="AJ48" s="1">
        <f t="shared" si="90"/>
        <v>-1.0498190379643479</v>
      </c>
      <c r="AK48" s="1">
        <f t="shared" si="90"/>
        <v>-0.88830841673906358</v>
      </c>
      <c r="AL48" s="1">
        <f t="shared" si="90"/>
        <v>-0.80755310612642139</v>
      </c>
      <c r="AM48" s="1">
        <f t="shared" si="90"/>
        <v>-0.72679779551377921</v>
      </c>
      <c r="AN48" s="1">
        <f t="shared" si="90"/>
        <v>-0.64604248490113703</v>
      </c>
      <c r="AO48" s="1">
        <f t="shared" si="90"/>
        <v>-0.56528717428849484</v>
      </c>
      <c r="AP48" s="1">
        <f t="shared" si="90"/>
        <v>-0.48453186367585277</v>
      </c>
      <c r="AQ48" s="1">
        <f t="shared" si="90"/>
        <v>-0.40377655306321059</v>
      </c>
      <c r="AR48" s="1">
        <f t="shared" si="90"/>
        <v>-0.32302124245056846</v>
      </c>
      <c r="AS48" s="1">
        <f t="shared" si="90"/>
        <v>-0.24226593183792636</v>
      </c>
      <c r="AT48" s="1">
        <f t="shared" si="90"/>
        <v>-0.16151062122528417</v>
      </c>
      <c r="AU48" s="1">
        <f t="shared" si="90"/>
        <v>-8.0755310612642003E-2</v>
      </c>
      <c r="AV48" s="1">
        <f t="shared" si="90"/>
        <v>0</v>
      </c>
      <c r="AW48" s="1">
        <f t="shared" si="90"/>
        <v>8.075531061264217E-2</v>
      </c>
      <c r="AX48" s="1">
        <f t="shared" si="90"/>
        <v>0</v>
      </c>
      <c r="AY48" s="1">
        <f t="shared" si="90"/>
        <v>0.24226593183792652</v>
      </c>
      <c r="AZ48" s="1">
        <f t="shared" si="90"/>
        <v>0.32302124245056868</v>
      </c>
      <c r="BA48" s="1">
        <f t="shared" si="90"/>
        <v>0.40377655306321081</v>
      </c>
      <c r="BB48" s="1">
        <f t="shared" si="90"/>
        <v>0.48453186367585294</v>
      </c>
      <c r="BC48" s="1">
        <f t="shared" si="90"/>
        <v>0.56528717428849518</v>
      </c>
      <c r="BD48" s="1"/>
      <c r="BE48">
        <f t="shared" ref="BE48" si="112">LN($D48)-LN($D48*(1+BA48/100))</f>
        <v>-4.0296356324578397E-3</v>
      </c>
      <c r="BF48">
        <f t="shared" si="16"/>
        <v>-4.8336178611805281E-3</v>
      </c>
      <c r="BG48">
        <f t="shared" si="16"/>
        <v>-5.6369542217105106E-3</v>
      </c>
    </row>
    <row r="49" spans="1:59" x14ac:dyDescent="0.35">
      <c r="A49" t="str">
        <f>regions!A49</f>
        <v>Denmark</v>
      </c>
      <c r="B49" s="22">
        <f>regions!B49</f>
        <v>5547683</v>
      </c>
      <c r="C49" s="22">
        <f>regions!C49</f>
        <v>256817427641.90231</v>
      </c>
      <c r="D49" s="10">
        <f>regions!D49</f>
        <v>46292.736560813282</v>
      </c>
      <c r="E49" s="1">
        <f>regions!X49</f>
        <v>7.5</v>
      </c>
      <c r="I49" s="7">
        <f t="shared" si="8"/>
        <v>-3.4527759243965908</v>
      </c>
      <c r="J49" s="1">
        <f t="shared" si="9"/>
        <v>-2.9336108746504808</v>
      </c>
      <c r="K49" s="1">
        <f t="shared" si="81"/>
        <v>-0.54176095791805201</v>
      </c>
      <c r="L49" s="1">
        <f t="shared" si="9"/>
        <v>-5.6454112359181448</v>
      </c>
      <c r="M49" s="1">
        <f t="shared" si="10"/>
        <v>1.3565497635264485</v>
      </c>
      <c r="N49" s="1">
        <f t="shared" ref="N49" si="113">M49+M$2</f>
        <v>1.7409926539734693</v>
      </c>
      <c r="O49" s="1">
        <f t="shared" si="12"/>
        <v>1.5406396380680412</v>
      </c>
      <c r="P49" s="1">
        <f t="shared" si="103"/>
        <v>9.1041965944160586E-2</v>
      </c>
      <c r="Q49" s="1">
        <f t="shared" si="103"/>
        <v>3.1163875880639762</v>
      </c>
      <c r="R49" s="1">
        <f t="shared" si="103"/>
        <v>3.1578622424418565</v>
      </c>
      <c r="S49" s="1">
        <f>$M49+SUMPRODUCT(regions!BG49:BS49,regions!BG$193:BS$193)</f>
        <v>-1.4745054765501644</v>
      </c>
      <c r="T49" s="1">
        <f>$M49+SUMPRODUCT(regions!BV49:CD49,regions!BV$193:CD$193)</f>
        <v>0.12536081545892608</v>
      </c>
      <c r="U49" s="1">
        <f>$M49+SUMPRODUCT(regions!CQ49:CV49,regions!CQ$193:CV$193)</f>
        <v>0.3756369977090841</v>
      </c>
      <c r="V49" s="1">
        <f>$M49+SUMPRODUCT(regions!CY49:DF49,regions!CY$193:DF$193)</f>
        <v>0.2523547862170672</v>
      </c>
      <c r="W49" s="1">
        <f>$M49+SUMPRODUCT(regions!DI49:DP49,regions!DI$193:DP$193)</f>
        <v>0.32235478621706704</v>
      </c>
      <c r="X49" s="1">
        <f>$M49+SUMPRODUCT(regions!DR49:DW49,regions!DR$193:DW$193)</f>
        <v>0.15235478621706711</v>
      </c>
      <c r="Y49" s="1">
        <f>$M49+SUMPRODUCT(regions!DZ49:EE49,regions!DZ$193:EE$193)</f>
        <v>-4.7645213782933071E-2</v>
      </c>
      <c r="Z49" s="1">
        <f t="shared" si="26"/>
        <v>3</v>
      </c>
      <c r="AA49" t="str">
        <f>Maddison!A20</f>
        <v>Denmark</v>
      </c>
      <c r="AB49">
        <f>-Maddison!B20</f>
        <v>3</v>
      </c>
      <c r="AC49" s="1">
        <f>N49-AB49</f>
        <v>-1.2590073460265307</v>
      </c>
      <c r="AF49" s="1">
        <f t="shared" si="83"/>
        <v>14.686549763526449</v>
      </c>
      <c r="AG49" s="1"/>
      <c r="AH49" s="1">
        <f t="shared" si="14"/>
        <v>-1.4018210129813973</v>
      </c>
      <c r="AI49" s="1">
        <f t="shared" si="90"/>
        <v>-1.3083662787826371</v>
      </c>
      <c r="AJ49" s="1">
        <f t="shared" si="90"/>
        <v>-1.2149115445838772</v>
      </c>
      <c r="AK49" s="1">
        <f t="shared" si="90"/>
        <v>-1.0280020761863575</v>
      </c>
      <c r="AL49" s="1">
        <f t="shared" si="90"/>
        <v>-0.9345473419875977</v>
      </c>
      <c r="AM49" s="1">
        <f t="shared" si="90"/>
        <v>-0.84109260778883788</v>
      </c>
      <c r="AN49" s="1">
        <f t="shared" si="90"/>
        <v>-0.74763787359007805</v>
      </c>
      <c r="AO49" s="1">
        <f t="shared" si="90"/>
        <v>-0.65418313939131834</v>
      </c>
      <c r="AP49" s="1">
        <f t="shared" si="90"/>
        <v>-0.56072840519255862</v>
      </c>
      <c r="AQ49" s="1">
        <f t="shared" si="90"/>
        <v>-0.46727367099379874</v>
      </c>
      <c r="AR49" s="1">
        <f t="shared" si="90"/>
        <v>-0.37381893679503897</v>
      </c>
      <c r="AS49" s="1">
        <f t="shared" si="90"/>
        <v>-0.28036420259627925</v>
      </c>
      <c r="AT49" s="1">
        <f t="shared" si="90"/>
        <v>-0.18690946839751943</v>
      </c>
      <c r="AU49" s="1">
        <f t="shared" si="90"/>
        <v>-9.3454734198759618E-2</v>
      </c>
      <c r="AV49" s="1">
        <f t="shared" si="90"/>
        <v>0</v>
      </c>
      <c r="AW49" s="1">
        <f t="shared" si="90"/>
        <v>9.3454734198759798E-2</v>
      </c>
      <c r="AX49" s="1">
        <f t="shared" si="90"/>
        <v>0</v>
      </c>
      <c r="AY49" s="1">
        <f t="shared" si="90"/>
        <v>0.28036420259627942</v>
      </c>
      <c r="AZ49" s="1">
        <f t="shared" si="90"/>
        <v>0.37381893679503919</v>
      </c>
      <c r="BA49" s="1">
        <f t="shared" si="90"/>
        <v>0.46727367099379896</v>
      </c>
      <c r="BB49" s="1">
        <f t="shared" si="90"/>
        <v>0.56072840519255873</v>
      </c>
      <c r="BC49" s="1">
        <f t="shared" si="90"/>
        <v>0.65418313939131856</v>
      </c>
      <c r="BD49" s="1"/>
      <c r="BE49">
        <f t="shared" ref="BE49" si="114">LN($D49)-LN($D49*(1+BA49/100))</f>
        <v>-4.6618533659223971E-3</v>
      </c>
      <c r="BF49">
        <f t="shared" si="16"/>
        <v>-5.5916217560572079E-3</v>
      </c>
      <c r="BG49">
        <f t="shared" si="16"/>
        <v>-6.5205264798784413E-3</v>
      </c>
    </row>
    <row r="50" spans="1:59" x14ac:dyDescent="0.35">
      <c r="A50" t="str">
        <f>regions!A50</f>
        <v>Djibouti</v>
      </c>
      <c r="B50" s="22">
        <f>regions!B50</f>
        <v>834036</v>
      </c>
      <c r="C50" s="22">
        <f>regions!C50</f>
        <v>905664174.69392717</v>
      </c>
      <c r="D50" s="10">
        <f>regions!D50</f>
        <v>1085.8813944409201</v>
      </c>
      <c r="E50" s="1">
        <f>regions!X50</f>
        <v>28</v>
      </c>
      <c r="I50" s="7">
        <f t="shared" si="8"/>
        <v>-13.900833898623871</v>
      </c>
      <c r="J50" s="1">
        <f t="shared" si="9"/>
        <v>-13.38166884887776</v>
      </c>
      <c r="K50" s="1">
        <f t="shared" si="81"/>
        <v>-10.272956092982975</v>
      </c>
      <c r="L50" s="1">
        <f t="shared" si="9"/>
        <v>-15.376606370983067</v>
      </c>
      <c r="M50" s="1">
        <f t="shared" si="10"/>
        <v>-14.142188636473998</v>
      </c>
      <c r="N50" s="1">
        <f t="shared" ref="N50" si="115">M50+M$2</f>
        <v>-13.757745746026977</v>
      </c>
      <c r="O50" s="1">
        <f t="shared" si="12"/>
        <v>2.9171998047435035</v>
      </c>
      <c r="P50" s="1">
        <f t="shared" si="103"/>
        <v>-15.407696434056284</v>
      </c>
      <c r="Q50" s="1">
        <f t="shared" si="103"/>
        <v>-12.382350811936471</v>
      </c>
      <c r="R50" s="1">
        <f t="shared" si="103"/>
        <v>-12.34087615755859</v>
      </c>
      <c r="S50" s="1">
        <f>$M50+SUMPRODUCT(regions!BG50:BS50,regions!BG$193:BS$193)</f>
        <v>-4.8870603300460491</v>
      </c>
      <c r="T50" s="1">
        <f>$M50+SUMPRODUCT(regions!BV50:CD50,regions!BV$193:CD$193)</f>
        <v>-12.496871316858314</v>
      </c>
      <c r="U50" s="1">
        <f>$M50+SUMPRODUCT(regions!CQ50:CV50,regions!CQ$193:CV$193)</f>
        <v>-10.421703088191915</v>
      </c>
      <c r="V50" s="1">
        <f>$M50+SUMPRODUCT(regions!CY50:DF50,regions!CY$193:DF$193)</f>
        <v>-12.040611115648296</v>
      </c>
      <c r="W50" s="1">
        <f>$M50+SUMPRODUCT(regions!DI50:DP50,regions!DI$193:DP$193)</f>
        <v>-8.4415111156482965</v>
      </c>
      <c r="X50" s="1">
        <f>$M50+SUMPRODUCT(regions!DR50:DW50,regions!DR$193:DW$193)</f>
        <v>-8.3185270432388556</v>
      </c>
      <c r="Y50" s="1">
        <f>$M50+SUMPRODUCT(regions!DZ50:EE50,regions!DZ$193:EE$193)</f>
        <v>-7.8175391102541258</v>
      </c>
      <c r="Z50" s="1">
        <f t="shared" si="26"/>
        <v>-10.662122454029346</v>
      </c>
      <c r="AF50" s="1">
        <f t="shared" si="83"/>
        <v>-0.81218863647399786</v>
      </c>
      <c r="AG50" s="1"/>
      <c r="AH50" s="1">
        <f t="shared" si="14"/>
        <v>7.7522843380239848E-2</v>
      </c>
      <c r="AI50" s="1">
        <f t="shared" si="90"/>
        <v>7.2354653821557174E-2</v>
      </c>
      <c r="AJ50" s="1">
        <f t="shared" ref="AI50:BC61" si="116">$AF50*AJ$2</f>
        <v>6.7186464262874515E-2</v>
      </c>
      <c r="AK50" s="1">
        <f t="shared" si="116"/>
        <v>5.6850085145509197E-2</v>
      </c>
      <c r="AL50" s="1">
        <f t="shared" si="116"/>
        <v>5.1681895586826544E-2</v>
      </c>
      <c r="AM50" s="1">
        <f t="shared" si="116"/>
        <v>4.6513706028143885E-2</v>
      </c>
      <c r="AN50" s="1">
        <f t="shared" si="116"/>
        <v>4.1345516469461233E-2</v>
      </c>
      <c r="AO50" s="1">
        <f t="shared" si="116"/>
        <v>3.6177326910778573E-2</v>
      </c>
      <c r="AP50" s="1">
        <f t="shared" si="116"/>
        <v>3.1009137352095921E-2</v>
      </c>
      <c r="AQ50" s="1">
        <f t="shared" si="116"/>
        <v>2.5840947793413265E-2</v>
      </c>
      <c r="AR50" s="1">
        <f t="shared" si="116"/>
        <v>2.0672758234730613E-2</v>
      </c>
      <c r="AS50" s="1">
        <f t="shared" si="116"/>
        <v>1.5504568676047959E-2</v>
      </c>
      <c r="AT50" s="1">
        <f t="shared" si="116"/>
        <v>1.0336379117365301E-2</v>
      </c>
      <c r="AU50" s="1">
        <f t="shared" si="116"/>
        <v>5.1681895586826463E-3</v>
      </c>
      <c r="AV50" s="1">
        <f t="shared" si="116"/>
        <v>0</v>
      </c>
      <c r="AW50" s="1">
        <f t="shared" si="116"/>
        <v>-5.1681895586826558E-3</v>
      </c>
      <c r="AX50" s="1">
        <f t="shared" si="116"/>
        <v>0</v>
      </c>
      <c r="AY50" s="1">
        <f t="shared" si="116"/>
        <v>-1.5504568676047969E-2</v>
      </c>
      <c r="AZ50" s="1">
        <f t="shared" si="116"/>
        <v>-2.0672758234730623E-2</v>
      </c>
      <c r="BA50" s="1">
        <f t="shared" si="116"/>
        <v>-2.5840947793413276E-2</v>
      </c>
      <c r="BB50" s="1">
        <f t="shared" si="116"/>
        <v>-3.1009137352095935E-2</v>
      </c>
      <c r="BC50" s="1">
        <f t="shared" si="116"/>
        <v>-3.6177326910778587E-2</v>
      </c>
      <c r="BD50" s="1"/>
      <c r="BE50">
        <f t="shared" ref="BE50" si="117">LN($D50)-LN($D50*(1+BA50/100))</f>
        <v>2.5844287141651989E-4</v>
      </c>
      <c r="BF50">
        <f t="shared" si="16"/>
        <v>3.1013946179214713E-4</v>
      </c>
      <c r="BG50">
        <f t="shared" si="16"/>
        <v>3.6183872484407686E-4</v>
      </c>
    </row>
    <row r="51" spans="1:59" x14ac:dyDescent="0.35">
      <c r="A51" t="str">
        <f>regions!A51</f>
        <v>Dominica</v>
      </c>
      <c r="B51" s="22">
        <f>regions!B51</f>
        <v>71167</v>
      </c>
      <c r="C51" s="22">
        <f>regions!C51</f>
        <v>452332573.93279916</v>
      </c>
      <c r="D51" s="10">
        <f>regions!D51</f>
        <v>6355.9314560512476</v>
      </c>
      <c r="E51" s="1">
        <f>regions!X51</f>
        <v>22.3</v>
      </c>
      <c r="I51" s="7">
        <f t="shared" si="8"/>
        <v>-7.6215279790413737</v>
      </c>
      <c r="J51" s="1">
        <f t="shared" si="9"/>
        <v>-7.1023629292952641</v>
      </c>
      <c r="K51" s="1">
        <f t="shared" si="81"/>
        <v>1.6428130996405255</v>
      </c>
      <c r="L51" s="1">
        <f t="shared" si="9"/>
        <v>-3.4608371783595668</v>
      </c>
      <c r="M51" s="1">
        <f t="shared" si="10"/>
        <v>-8.6169959107917453</v>
      </c>
      <c r="N51" s="1">
        <f t="shared" ref="N51" si="118">M51+M$2</f>
        <v>-8.2325530203447244</v>
      </c>
      <c r="O51" s="1">
        <f t="shared" si="12"/>
        <v>2.5866005819324087</v>
      </c>
      <c r="P51" s="1">
        <f t="shared" si="103"/>
        <v>-9.882503708374033</v>
      </c>
      <c r="Q51" s="1">
        <f t="shared" si="103"/>
        <v>-6.8571580862542181</v>
      </c>
      <c r="R51" s="1">
        <f t="shared" si="103"/>
        <v>-6.8156834318763373</v>
      </c>
      <c r="S51" s="1">
        <f>$M51+SUMPRODUCT(regions!BG51:BS51,regions!BG$193:BS$193)</f>
        <v>-3.1720455409191857</v>
      </c>
      <c r="T51" s="1">
        <f>$M51+SUMPRODUCT(regions!BV51:CD51,regions!BV$193:CD$193)</f>
        <v>-4.4577747992954615</v>
      </c>
      <c r="U51" s="1">
        <f>$M51+SUMPRODUCT(regions!CQ51:CV51,regions!CQ$193:CV$193)</f>
        <v>-4.8965103625096624</v>
      </c>
      <c r="V51" s="1">
        <f>$M51+SUMPRODUCT(regions!CY51:DF51,regions!CY$193:DF$193)</f>
        <v>-4.4477747992954608</v>
      </c>
      <c r="W51" s="1">
        <f>$M51+SUMPRODUCT(regions!DI51:DP51,regions!DI$193:DP$193)</f>
        <v>-2.4086747992954614</v>
      </c>
      <c r="X51" s="1">
        <f>$M51+SUMPRODUCT(regions!DR51:DW51,regions!DR$193:DW$193)</f>
        <v>-2.793334317556603</v>
      </c>
      <c r="Y51" s="1">
        <f>$M51+SUMPRODUCT(regions!DZ51:EE51,regions!DZ$193:EE$193)</f>
        <v>-2.2923463845718732</v>
      </c>
      <c r="Z51" s="1">
        <f t="shared" si="26"/>
        <v>-0.9</v>
      </c>
      <c r="AA51" t="str">
        <f>Maddison!A21</f>
        <v>Dominica</v>
      </c>
      <c r="AB51">
        <f>-Maddison!B21</f>
        <v>-0.9</v>
      </c>
      <c r="AC51" s="1">
        <f>N51-AB51</f>
        <v>-7.332553020344724</v>
      </c>
      <c r="AF51" s="1">
        <f t="shared" si="83"/>
        <v>4.7130040892082548</v>
      </c>
      <c r="AG51" s="1"/>
      <c r="AH51" s="1">
        <f t="shared" si="14"/>
        <v>-0.44985297928361084</v>
      </c>
      <c r="AI51" s="1">
        <f t="shared" si="116"/>
        <v>-0.41986278066470339</v>
      </c>
      <c r="AJ51" s="1">
        <f t="shared" si="116"/>
        <v>-0.38987258204579589</v>
      </c>
      <c r="AK51" s="1">
        <f t="shared" si="116"/>
        <v>-0.32989218480798116</v>
      </c>
      <c r="AL51" s="1">
        <f t="shared" si="116"/>
        <v>-0.29990198618907377</v>
      </c>
      <c r="AM51" s="1">
        <f t="shared" si="116"/>
        <v>-0.26991178757016637</v>
      </c>
      <c r="AN51" s="1">
        <f t="shared" si="116"/>
        <v>-0.23992158895125898</v>
      </c>
      <c r="AO51" s="1">
        <f t="shared" si="116"/>
        <v>-0.20993139033235159</v>
      </c>
      <c r="AP51" s="1">
        <f t="shared" si="116"/>
        <v>-0.17994119171344422</v>
      </c>
      <c r="AQ51" s="1">
        <f t="shared" si="116"/>
        <v>-0.14995099309453686</v>
      </c>
      <c r="AR51" s="1">
        <f t="shared" si="116"/>
        <v>-0.11996079447562948</v>
      </c>
      <c r="AS51" s="1">
        <f t="shared" si="116"/>
        <v>-8.9970595856722096E-2</v>
      </c>
      <c r="AT51" s="1">
        <f t="shared" si="116"/>
        <v>-5.998039723781471E-2</v>
      </c>
      <c r="AU51" s="1">
        <f t="shared" si="116"/>
        <v>-2.9990198618907327E-2</v>
      </c>
      <c r="AV51" s="1">
        <f t="shared" si="116"/>
        <v>0</v>
      </c>
      <c r="AW51" s="1">
        <f t="shared" si="116"/>
        <v>2.9990198618907383E-2</v>
      </c>
      <c r="AX51" s="1">
        <f t="shared" si="116"/>
        <v>0</v>
      </c>
      <c r="AY51" s="1">
        <f t="shared" si="116"/>
        <v>8.9970595856722166E-2</v>
      </c>
      <c r="AZ51" s="1">
        <f t="shared" si="116"/>
        <v>0.11996079447562953</v>
      </c>
      <c r="BA51" s="1">
        <f t="shared" si="116"/>
        <v>0.14995099309453691</v>
      </c>
      <c r="BB51" s="1">
        <f t="shared" si="116"/>
        <v>0.1799411917134443</v>
      </c>
      <c r="BC51" s="1">
        <f t="shared" si="116"/>
        <v>0.2099313903323517</v>
      </c>
      <c r="BD51" s="1"/>
      <c r="BE51">
        <f t="shared" ref="BE51" si="119">LN($D51)-LN($D51*(1+BA51/100))</f>
        <v>-1.4983867885636215E-3</v>
      </c>
      <c r="BF51">
        <f t="shared" si="16"/>
        <v>-1.7977949149887706E-3</v>
      </c>
      <c r="BG51">
        <f t="shared" si="16"/>
        <v>-2.0971134230176602E-3</v>
      </c>
    </row>
    <row r="52" spans="1:59" x14ac:dyDescent="0.35">
      <c r="A52" t="str">
        <f>regions!A52</f>
        <v>Dominican Republic</v>
      </c>
      <c r="B52" s="22">
        <f>regions!B52</f>
        <v>10016797</v>
      </c>
      <c r="C52" s="22">
        <f>regions!C52</f>
        <v>47848657632.10955</v>
      </c>
      <c r="D52" s="10">
        <f>regions!D52</f>
        <v>4776.8421015330105</v>
      </c>
      <c r="E52" s="1">
        <f>regions!X52</f>
        <v>24.5</v>
      </c>
      <c r="I52" s="7">
        <f t="shared" si="8"/>
        <v>-9.6690766315431311</v>
      </c>
      <c r="J52" s="1">
        <f t="shared" si="9"/>
        <v>-9.1499115817970207</v>
      </c>
      <c r="K52" s="1">
        <f t="shared" si="81"/>
        <v>-1.7160872762030284</v>
      </c>
      <c r="L52" s="1">
        <f t="shared" si="9"/>
        <v>-6.8197375542031207</v>
      </c>
      <c r="M52" s="1">
        <f t="shared" si="10"/>
        <v>-10.083508246628574</v>
      </c>
      <c r="N52" s="1">
        <f t="shared" ref="N52" si="120">M52+M$2</f>
        <v>-9.6990653561815527</v>
      </c>
      <c r="O52" s="1">
        <f t="shared" si="12"/>
        <v>2.3057019607949458</v>
      </c>
      <c r="P52" s="1">
        <f t="shared" si="103"/>
        <v>-11.349016044210861</v>
      </c>
      <c r="Q52" s="1">
        <f t="shared" si="103"/>
        <v>-8.3236704220910465</v>
      </c>
      <c r="R52" s="1">
        <f t="shared" si="103"/>
        <v>-8.2821957677131657</v>
      </c>
      <c r="S52" s="1">
        <f>$M52+SUMPRODUCT(regions!BG52:BS52,regions!BG$193:BS$193)</f>
        <v>-4.6385578767560141</v>
      </c>
      <c r="T52" s="1">
        <f>$M52+SUMPRODUCT(regions!BV52:CD52,regions!BV$193:CD$193)</f>
        <v>-5.9242871351322899</v>
      </c>
      <c r="U52" s="1">
        <f>$M52+SUMPRODUCT(regions!CQ52:CV52,regions!CQ$193:CV$193)</f>
        <v>-6.3630226983464908</v>
      </c>
      <c r="V52" s="1">
        <f>$M52+SUMPRODUCT(regions!CY52:DF52,regions!CY$193:DF$193)</f>
        <v>-5.9142871351322892</v>
      </c>
      <c r="W52" s="1">
        <f>$M52+SUMPRODUCT(regions!DI52:DP52,regions!DI$193:DP$193)</f>
        <v>-3.8751871351322897</v>
      </c>
      <c r="X52" s="1">
        <f>$M52+SUMPRODUCT(regions!DR52:DW52,regions!DR$193:DW$193)</f>
        <v>-4.2598466533934314</v>
      </c>
      <c r="Y52" s="1">
        <f>$M52+SUMPRODUCT(regions!DZ52:EE52,regions!DZ$193:EE$193)</f>
        <v>-3.7588587204087016</v>
      </c>
      <c r="Z52" s="1">
        <f t="shared" si="26"/>
        <v>-6.6034420641839215</v>
      </c>
      <c r="AF52" s="1">
        <f t="shared" si="83"/>
        <v>3.2464917533714264</v>
      </c>
      <c r="AG52" s="1"/>
      <c r="AH52" s="1">
        <f t="shared" si="14"/>
        <v>-0.30987539154016563</v>
      </c>
      <c r="AI52" s="1">
        <f t="shared" si="116"/>
        <v>-0.28921703210415456</v>
      </c>
      <c r="AJ52" s="1">
        <f t="shared" si="116"/>
        <v>-0.26855867266814348</v>
      </c>
      <c r="AK52" s="1">
        <f t="shared" si="116"/>
        <v>-0.22724195379612136</v>
      </c>
      <c r="AL52" s="1">
        <f t="shared" si="116"/>
        <v>-0.20658359436011034</v>
      </c>
      <c r="AM52" s="1">
        <f t="shared" si="116"/>
        <v>-0.18592523492409929</v>
      </c>
      <c r="AN52" s="1">
        <f t="shared" si="116"/>
        <v>-0.16526687548808824</v>
      </c>
      <c r="AO52" s="1">
        <f t="shared" si="116"/>
        <v>-0.1446085160520772</v>
      </c>
      <c r="AP52" s="1">
        <f t="shared" si="116"/>
        <v>-0.12395015661606619</v>
      </c>
      <c r="AQ52" s="1">
        <f t="shared" si="116"/>
        <v>-0.10329179718005514</v>
      </c>
      <c r="AR52" s="1">
        <f t="shared" si="116"/>
        <v>-8.2633437744044108E-2</v>
      </c>
      <c r="AS52" s="1">
        <f t="shared" si="116"/>
        <v>-6.1975078308033081E-2</v>
      </c>
      <c r="AT52" s="1">
        <f t="shared" si="116"/>
        <v>-4.131671887202204E-2</v>
      </c>
      <c r="AU52" s="1">
        <f t="shared" si="116"/>
        <v>-2.0658359436010999E-2</v>
      </c>
      <c r="AV52" s="1">
        <f t="shared" si="116"/>
        <v>0</v>
      </c>
      <c r="AW52" s="1">
        <f t="shared" si="116"/>
        <v>2.0658359436011041E-2</v>
      </c>
      <c r="AX52" s="1">
        <f t="shared" si="116"/>
        <v>0</v>
      </c>
      <c r="AY52" s="1">
        <f t="shared" si="116"/>
        <v>6.1975078308033123E-2</v>
      </c>
      <c r="AZ52" s="1">
        <f t="shared" si="116"/>
        <v>8.2633437744044164E-2</v>
      </c>
      <c r="BA52" s="1">
        <f t="shared" si="116"/>
        <v>0.10329179718005518</v>
      </c>
      <c r="BB52" s="1">
        <f t="shared" si="116"/>
        <v>0.12395015661606623</v>
      </c>
      <c r="BC52" s="1">
        <f t="shared" si="116"/>
        <v>0.14460851605207728</v>
      </c>
      <c r="BD52" s="1"/>
      <c r="BE52">
        <f t="shared" ref="BE52" si="121">LN($D52)-LN($D52*(1+BA52/100))</f>
        <v>-1.0323848790942947E-3</v>
      </c>
      <c r="BF52">
        <f t="shared" si="16"/>
        <v>-1.2387340182797857E-3</v>
      </c>
      <c r="BG52">
        <f t="shared" si="16"/>
        <v>-1.4450405862813653E-3</v>
      </c>
    </row>
    <row r="53" spans="1:59" x14ac:dyDescent="0.35">
      <c r="A53" t="str">
        <f>regions!A53</f>
        <v>Ecuador</v>
      </c>
      <c r="B53" s="22">
        <f>regions!B53</f>
        <v>15001072</v>
      </c>
      <c r="C53" s="22">
        <f>regions!C53</f>
        <v>48764673104.869774</v>
      </c>
      <c r="D53" s="10">
        <f>regions!D53</f>
        <v>3250.7458870185928</v>
      </c>
      <c r="E53" s="1">
        <f>regions!X53</f>
        <v>21.8</v>
      </c>
      <c r="I53" s="7">
        <f t="shared" si="8"/>
        <v>-9.1911674686571505</v>
      </c>
      <c r="J53" s="1">
        <f t="shared" si="9"/>
        <v>-8.6720024189110401</v>
      </c>
      <c r="K53" s="1">
        <f t="shared" si="81"/>
        <v>-3.1137631646041815</v>
      </c>
      <c r="L53" s="1">
        <f t="shared" si="9"/>
        <v>-8.2174134426042738</v>
      </c>
      <c r="M53" s="1">
        <f t="shared" si="10"/>
        <v>-9.5193494211329579</v>
      </c>
      <c r="N53" s="1">
        <f t="shared" ref="N53" si="122">M53+M$2</f>
        <v>-9.1349065306859369</v>
      </c>
      <c r="O53" s="1">
        <f t="shared" si="12"/>
        <v>19.731726964060588</v>
      </c>
      <c r="P53" s="1">
        <f t="shared" si="103"/>
        <v>-10.784857218715246</v>
      </c>
      <c r="Q53" s="1">
        <f t="shared" si="103"/>
        <v>-7.7595115965954307</v>
      </c>
      <c r="R53" s="1">
        <f t="shared" si="103"/>
        <v>-7.7180369422175499</v>
      </c>
      <c r="S53" s="1">
        <f>$M53+SUMPRODUCT(regions!BG53:BS53,regions!BG$193:BS$193)</f>
        <v>-4.0743990512603983</v>
      </c>
      <c r="T53" s="1">
        <f>$M53+SUMPRODUCT(regions!BV53:CD53,regions!BV$193:CD$193)</f>
        <v>-5.3601283096366741</v>
      </c>
      <c r="U53" s="1">
        <f>$M53+SUMPRODUCT(regions!CQ53:CV53,regions!CQ$193:CV$193)</f>
        <v>-5.798863872850875</v>
      </c>
      <c r="V53" s="1">
        <f>$M53+SUMPRODUCT(regions!CY53:DF53,regions!CY$193:DF$193)</f>
        <v>-5.3501283096366734</v>
      </c>
      <c r="W53" s="1">
        <f>$M53+SUMPRODUCT(regions!DI53:DP53,regions!DI$193:DP$193)</f>
        <v>-3.3110283096366739</v>
      </c>
      <c r="X53" s="1">
        <f>$M53+SUMPRODUCT(regions!DR53:DW53,regions!DR$193:DW$193)</f>
        <v>-3.6956878278978156</v>
      </c>
      <c r="Y53" s="1">
        <f>$M53+SUMPRODUCT(regions!DZ53:EE53,regions!DZ$193:EE$193)</f>
        <v>-3.1946998949130858</v>
      </c>
      <c r="Z53" s="1">
        <f t="shared" si="26"/>
        <v>-70.7</v>
      </c>
      <c r="AA53" t="str">
        <f>Maddison!A22</f>
        <v>Ecuador</v>
      </c>
      <c r="AB53">
        <f>-Maddison!B22</f>
        <v>-70.7</v>
      </c>
      <c r="AC53" s="1">
        <f>N53-AB53</f>
        <v>61.565093469314064</v>
      </c>
      <c r="AF53" s="1">
        <f t="shared" si="83"/>
        <v>3.8106505788670422</v>
      </c>
      <c r="AG53" s="1"/>
      <c r="AH53" s="1">
        <f t="shared" si="14"/>
        <v>-0.36372396107980715</v>
      </c>
      <c r="AI53" s="1">
        <f t="shared" si="116"/>
        <v>-0.33947569700781993</v>
      </c>
      <c r="AJ53" s="1">
        <f t="shared" si="116"/>
        <v>-0.31522743293583272</v>
      </c>
      <c r="AK53" s="1">
        <f t="shared" si="116"/>
        <v>-0.26673090479185846</v>
      </c>
      <c r="AL53" s="1">
        <f t="shared" si="116"/>
        <v>-0.24248264071987133</v>
      </c>
      <c r="AM53" s="1">
        <f t="shared" si="116"/>
        <v>-0.21823437664788417</v>
      </c>
      <c r="AN53" s="1">
        <f t="shared" si="116"/>
        <v>-0.19398611257589704</v>
      </c>
      <c r="AO53" s="1">
        <f t="shared" si="116"/>
        <v>-0.16973784850390988</v>
      </c>
      <c r="AP53" s="1">
        <f t="shared" si="116"/>
        <v>-0.14548958443192278</v>
      </c>
      <c r="AQ53" s="1">
        <f t="shared" si="116"/>
        <v>-0.12124132035993564</v>
      </c>
      <c r="AR53" s="1">
        <f t="shared" si="116"/>
        <v>-9.6993056287948506E-2</v>
      </c>
      <c r="AS53" s="1">
        <f t="shared" si="116"/>
        <v>-7.2744792215961376E-2</v>
      </c>
      <c r="AT53" s="1">
        <f t="shared" si="116"/>
        <v>-4.8496528143974232E-2</v>
      </c>
      <c r="AU53" s="1">
        <f t="shared" si="116"/>
        <v>-2.4248264071987092E-2</v>
      </c>
      <c r="AV53" s="1">
        <f t="shared" si="116"/>
        <v>0</v>
      </c>
      <c r="AW53" s="1">
        <f t="shared" si="116"/>
        <v>2.424826407198714E-2</v>
      </c>
      <c r="AX53" s="1">
        <f t="shared" si="116"/>
        <v>0</v>
      </c>
      <c r="AY53" s="1">
        <f t="shared" si="116"/>
        <v>7.2744792215961432E-2</v>
      </c>
      <c r="AZ53" s="1">
        <f t="shared" si="116"/>
        <v>9.6993056287948562E-2</v>
      </c>
      <c r="BA53" s="1">
        <f t="shared" si="116"/>
        <v>0.12124132035993568</v>
      </c>
      <c r="BB53" s="1">
        <f t="shared" si="116"/>
        <v>0.14548958443192284</v>
      </c>
      <c r="BC53" s="1">
        <f t="shared" si="116"/>
        <v>0.16973784850390997</v>
      </c>
      <c r="BD53" s="1"/>
      <c r="BE53">
        <f t="shared" ref="BE53" si="123">LN($D53)-LN($D53*(1+BA53/100))</f>
        <v>-1.2116788242320098E-3</v>
      </c>
      <c r="BF53">
        <f t="shared" si="16"/>
        <v>-1.4538385087767836E-3</v>
      </c>
      <c r="BG53">
        <f t="shared" si="16"/>
        <v>-1.695939566207727E-3</v>
      </c>
    </row>
    <row r="54" spans="1:59" x14ac:dyDescent="0.35">
      <c r="A54" t="str">
        <f>regions!A54</f>
        <v>Egypt</v>
      </c>
      <c r="B54" s="22">
        <f>regions!B54</f>
        <v>78075705</v>
      </c>
      <c r="C54" s="22">
        <f>regions!C54</f>
        <v>121036124473.08067</v>
      </c>
      <c r="D54" s="10">
        <f>regions!D54</f>
        <v>1550.2405578416574</v>
      </c>
      <c r="E54" s="1">
        <f>regions!X54</f>
        <v>22.1</v>
      </c>
      <c r="I54" s="7">
        <f t="shared" si="8"/>
        <v>-10.48085622989089</v>
      </c>
      <c r="J54" s="1">
        <f t="shared" si="9"/>
        <v>-9.9616911801447792</v>
      </c>
      <c r="K54" s="1">
        <f t="shared" si="81"/>
        <v>-6.5962795273123671</v>
      </c>
      <c r="L54" s="1">
        <f t="shared" si="9"/>
        <v>-11.699929805312459</v>
      </c>
      <c r="M54" s="1">
        <f t="shared" si="10"/>
        <v>-10.898042239182431</v>
      </c>
      <c r="N54" s="1">
        <f t="shared" ref="N54" si="124">M54+M$2</f>
        <v>-10.51359934873541</v>
      </c>
      <c r="O54" s="1">
        <f t="shared" si="12"/>
        <v>3.0944090495603485</v>
      </c>
      <c r="P54" s="1">
        <f t="shared" si="103"/>
        <v>-12.163550036764718</v>
      </c>
      <c r="Q54" s="1">
        <f t="shared" si="103"/>
        <v>-9.1382044146449033</v>
      </c>
      <c r="R54" s="1">
        <f t="shared" si="103"/>
        <v>-9.0967297602670225</v>
      </c>
      <c r="S54" s="1">
        <f>$M54+SUMPRODUCT(regions!BG54:BS54,regions!BG$193:BS$193)</f>
        <v>-2.1121037393824409</v>
      </c>
      <c r="T54" s="1">
        <f>$M54+SUMPRODUCT(regions!BV54:CD54,regions!BV$193:CD$193)</f>
        <v>-9.2527249195667469</v>
      </c>
      <c r="U54" s="1">
        <f>$M54+SUMPRODUCT(regions!CQ54:CV54,regions!CQ$193:CV$193)</f>
        <v>-7.1775566909003476</v>
      </c>
      <c r="V54" s="1">
        <f>$M54+SUMPRODUCT(regions!CY54:DF54,regions!CY$193:DF$193)</f>
        <v>-8.7964647183567291</v>
      </c>
      <c r="W54" s="1">
        <f>$M54+SUMPRODUCT(regions!DI54:DP54,regions!DI$193:DP$193)</f>
        <v>-5.1973647183567291</v>
      </c>
      <c r="X54" s="1">
        <f>$M54+SUMPRODUCT(regions!DR54:DW54,regions!DR$193:DW$193)</f>
        <v>-5.0743806459472882</v>
      </c>
      <c r="Y54" s="1">
        <f>$M54+SUMPRODUCT(regions!DZ54:EE54,regions!DZ$193:EE$193)</f>
        <v>-4.5733927129625584</v>
      </c>
      <c r="Z54" s="1">
        <f t="shared" si="26"/>
        <v>-3.1</v>
      </c>
      <c r="AA54" t="str">
        <f>Maddison!A23</f>
        <v>Egypt</v>
      </c>
      <c r="AB54">
        <f>-Maddison!B23</f>
        <v>-3.1</v>
      </c>
      <c r="AC54" s="1">
        <f>N54-AB54</f>
        <v>-7.4135993487354099</v>
      </c>
      <c r="AF54" s="1">
        <f t="shared" si="83"/>
        <v>2.4319577608175695</v>
      </c>
      <c r="AG54" s="1"/>
      <c r="AH54" s="1">
        <f t="shared" si="14"/>
        <v>-0.23212868554490676</v>
      </c>
      <c r="AI54" s="1">
        <f t="shared" si="116"/>
        <v>-0.21665343984191296</v>
      </c>
      <c r="AJ54" s="1">
        <f t="shared" si="116"/>
        <v>-0.20117819413891913</v>
      </c>
      <c r="AK54" s="1">
        <f t="shared" si="116"/>
        <v>-0.17022770273293156</v>
      </c>
      <c r="AL54" s="1">
        <f t="shared" si="116"/>
        <v>-0.15475245702993778</v>
      </c>
      <c r="AM54" s="1">
        <f t="shared" si="116"/>
        <v>-0.13927721132694398</v>
      </c>
      <c r="AN54" s="1">
        <f t="shared" si="116"/>
        <v>-0.12380196562395021</v>
      </c>
      <c r="AO54" s="1">
        <f t="shared" si="116"/>
        <v>-0.10832671992095642</v>
      </c>
      <c r="AP54" s="1">
        <f t="shared" si="116"/>
        <v>-9.2851474217962651E-2</v>
      </c>
      <c r="AQ54" s="1">
        <f t="shared" si="116"/>
        <v>-7.7376228514968864E-2</v>
      </c>
      <c r="AR54" s="1">
        <f t="shared" si="116"/>
        <v>-6.1900982811975092E-2</v>
      </c>
      <c r="AS54" s="1">
        <f t="shared" si="116"/>
        <v>-4.6425737108981319E-2</v>
      </c>
      <c r="AT54" s="1">
        <f t="shared" si="116"/>
        <v>-3.0950491405987535E-2</v>
      </c>
      <c r="AU54" s="1">
        <f t="shared" si="116"/>
        <v>-1.5475245702993752E-2</v>
      </c>
      <c r="AV54" s="1">
        <f t="shared" si="116"/>
        <v>0</v>
      </c>
      <c r="AW54" s="1">
        <f t="shared" si="116"/>
        <v>1.5475245702993782E-2</v>
      </c>
      <c r="AX54" s="1">
        <f t="shared" si="116"/>
        <v>0</v>
      </c>
      <c r="AY54" s="1">
        <f t="shared" si="116"/>
        <v>4.6425737108981353E-2</v>
      </c>
      <c r="AZ54" s="1">
        <f t="shared" si="116"/>
        <v>6.1900982811975126E-2</v>
      </c>
      <c r="BA54" s="1">
        <f t="shared" si="116"/>
        <v>7.7376228514968906E-2</v>
      </c>
      <c r="BB54" s="1">
        <f t="shared" si="116"/>
        <v>9.2851474217962693E-2</v>
      </c>
      <c r="BC54" s="1">
        <f t="shared" si="116"/>
        <v>0.10832671992095648</v>
      </c>
      <c r="BD54" s="1"/>
      <c r="BE54">
        <f t="shared" ref="BE54" si="125">LN($D54)-LN($D54*(1+BA54/100))</f>
        <v>-7.7346308544168352E-4</v>
      </c>
      <c r="BF54">
        <f t="shared" si="16"/>
        <v>-9.2808393901666619E-4</v>
      </c>
      <c r="BG54">
        <f t="shared" si="16"/>
        <v>-1.0826808886790218E-3</v>
      </c>
    </row>
    <row r="55" spans="1:59" x14ac:dyDescent="0.35">
      <c r="A55" t="str">
        <f>regions!A55</f>
        <v>El Salvador</v>
      </c>
      <c r="B55" s="22">
        <f>regions!B55</f>
        <v>6218195</v>
      </c>
      <c r="C55" s="22">
        <f>regions!C55</f>
        <v>18341273339.874924</v>
      </c>
      <c r="D55" s="10">
        <f>regions!D55</f>
        <v>2949.613728722712</v>
      </c>
      <c r="E55" s="1">
        <f>regions!X55</f>
        <v>24.4</v>
      </c>
      <c r="I55" s="7">
        <f t="shared" si="8"/>
        <v>-10.748877087999583</v>
      </c>
      <c r="J55" s="1">
        <f t="shared" si="9"/>
        <v>-10.229712038253473</v>
      </c>
      <c r="K55" s="1">
        <f t="shared" si="81"/>
        <v>-4.8558652510140154</v>
      </c>
      <c r="L55" s="1">
        <f t="shared" si="9"/>
        <v>-9.9595155290141086</v>
      </c>
      <c r="M55" s="1">
        <f t="shared" si="10"/>
        <v>-10.84869985754592</v>
      </c>
      <c r="N55" s="1">
        <f t="shared" ref="N55" si="126">M55+M$2</f>
        <v>-10.464256967098899</v>
      </c>
      <c r="O55" s="1">
        <f t="shared" si="12"/>
        <v>2.7922391638830044</v>
      </c>
      <c r="P55" s="1">
        <f t="shared" si="103"/>
        <v>-12.114207655128208</v>
      </c>
      <c r="Q55" s="1">
        <f t="shared" si="103"/>
        <v>-9.0888620330083931</v>
      </c>
      <c r="R55" s="1">
        <f t="shared" si="103"/>
        <v>-9.0473873786305123</v>
      </c>
      <c r="S55" s="1">
        <f>$M55+SUMPRODUCT(regions!BG55:BS55,regions!BG$193:BS$193)</f>
        <v>-5.4037494876733607</v>
      </c>
      <c r="T55" s="1">
        <f>$M55+SUMPRODUCT(regions!BV55:CD55,regions!BV$193:CD$193)</f>
        <v>-6.6894787460496365</v>
      </c>
      <c r="U55" s="1">
        <f>$M55+SUMPRODUCT(regions!CQ55:CV55,regions!CQ$193:CV$193)</f>
        <v>-7.1282143092638375</v>
      </c>
      <c r="V55" s="1">
        <f>$M55+SUMPRODUCT(regions!CY55:DF55,regions!CY$193:DF$193)</f>
        <v>-6.6794787460496359</v>
      </c>
      <c r="W55" s="1">
        <f>$M55+SUMPRODUCT(regions!DI55:DP55,regions!DI$193:DP$193)</f>
        <v>-4.6403787460496364</v>
      </c>
      <c r="X55" s="1">
        <f>$M55+SUMPRODUCT(regions!DR55:DW55,regions!DR$193:DW$193)</f>
        <v>-5.025038264310778</v>
      </c>
      <c r="Y55" s="1">
        <f>$M55+SUMPRODUCT(regions!DZ55:EE55,regions!DZ$193:EE$193)</f>
        <v>-4.5240503313260483</v>
      </c>
      <c r="Z55" s="1">
        <f t="shared" si="26"/>
        <v>-1.8</v>
      </c>
      <c r="AA55" t="str">
        <f>Maddison!A24</f>
        <v>El Salvador</v>
      </c>
      <c r="AB55">
        <f>-Maddison!B24</f>
        <v>-1.8</v>
      </c>
      <c r="AC55" s="1">
        <f>N55-AB55</f>
        <v>-8.6642569670988987</v>
      </c>
      <c r="AF55" s="1">
        <f t="shared" si="83"/>
        <v>2.4813001424540797</v>
      </c>
      <c r="AG55" s="1"/>
      <c r="AH55" s="1">
        <f t="shared" si="14"/>
        <v>-0.23683838173103122</v>
      </c>
      <c r="AI55" s="1">
        <f t="shared" si="116"/>
        <v>-0.22104915628229577</v>
      </c>
      <c r="AJ55" s="1">
        <f t="shared" si="116"/>
        <v>-0.20525993083356031</v>
      </c>
      <c r="AK55" s="1">
        <f t="shared" si="116"/>
        <v>-0.17368147993608948</v>
      </c>
      <c r="AL55" s="1">
        <f t="shared" si="116"/>
        <v>-0.15789225448735408</v>
      </c>
      <c r="AM55" s="1">
        <f t="shared" si="116"/>
        <v>-0.14210302903861866</v>
      </c>
      <c r="AN55" s="1">
        <f t="shared" si="116"/>
        <v>-0.12631380358988326</v>
      </c>
      <c r="AO55" s="1">
        <f t="shared" si="116"/>
        <v>-0.11052457814114783</v>
      </c>
      <c r="AP55" s="1">
        <f t="shared" si="116"/>
        <v>-9.4735352692412428E-2</v>
      </c>
      <c r="AQ55" s="1">
        <f t="shared" si="116"/>
        <v>-7.8946127243677014E-2</v>
      </c>
      <c r="AR55" s="1">
        <f t="shared" si="116"/>
        <v>-6.3156901794941614E-2</v>
      </c>
      <c r="AS55" s="1">
        <f t="shared" si="116"/>
        <v>-4.7367676346206207E-2</v>
      </c>
      <c r="AT55" s="1">
        <f t="shared" si="116"/>
        <v>-3.1578450897470793E-2</v>
      </c>
      <c r="AU55" s="1">
        <f t="shared" si="116"/>
        <v>-1.5789225448735383E-2</v>
      </c>
      <c r="AV55" s="1">
        <f t="shared" si="116"/>
        <v>0</v>
      </c>
      <c r="AW55" s="1">
        <f t="shared" si="116"/>
        <v>1.578922544873541E-2</v>
      </c>
      <c r="AX55" s="1">
        <f t="shared" si="116"/>
        <v>0</v>
      </c>
      <c r="AY55" s="1">
        <f t="shared" si="116"/>
        <v>4.7367676346206242E-2</v>
      </c>
      <c r="AZ55" s="1">
        <f t="shared" si="116"/>
        <v>6.3156901794941642E-2</v>
      </c>
      <c r="BA55" s="1">
        <f t="shared" si="116"/>
        <v>7.8946127243677056E-2</v>
      </c>
      <c r="BB55" s="1">
        <f t="shared" si="116"/>
        <v>9.4735352692412469E-2</v>
      </c>
      <c r="BC55" s="1">
        <f t="shared" si="116"/>
        <v>0.11052457814114788</v>
      </c>
      <c r="BD55" s="1"/>
      <c r="BE55">
        <f t="shared" ref="BE55" si="127">LN($D55)-LN($D55*(1+BA55/100))</f>
        <v>-7.8914981179956101E-4</v>
      </c>
      <c r="BF55">
        <f t="shared" si="16"/>
        <v>-9.4690507078087904E-4</v>
      </c>
      <c r="BG55">
        <f t="shared" si="16"/>
        <v>-1.104635446965041E-3</v>
      </c>
    </row>
    <row r="56" spans="1:59" x14ac:dyDescent="0.35">
      <c r="A56" t="str">
        <f>regions!A56</f>
        <v>Equatorial Guinea</v>
      </c>
      <c r="B56" s="22">
        <f>regions!B56</f>
        <v>696167</v>
      </c>
      <c r="C56" s="22">
        <f>regions!C56</f>
        <v>8071655046.0093536</v>
      </c>
      <c r="D56" s="10">
        <f>regions!D56</f>
        <v>11594.42353057435</v>
      </c>
      <c r="E56" s="1">
        <f>regions!X56</f>
        <v>24.5</v>
      </c>
      <c r="I56" s="7">
        <f t="shared" ref="I56:I103" si="128">D56*G$1+D56*D56*G$2+E56*G$3</f>
        <v>-6.3755735579384503</v>
      </c>
      <c r="J56" s="1">
        <f t="shared" ref="J56:L103" si="129">I56+I$2</f>
        <v>-5.8564085081923407</v>
      </c>
      <c r="K56" s="1">
        <f t="shared" si="81"/>
        <v>6.0756148355976922</v>
      </c>
      <c r="L56" s="1">
        <f t="shared" si="129"/>
        <v>0.97196455759759992</v>
      </c>
      <c r="M56" s="1">
        <f t="shared" si="10"/>
        <v>-8.5935911485736511</v>
      </c>
      <c r="N56" s="1">
        <f t="shared" ref="N56" si="130">M56+M$2</f>
        <v>-8.2091482581266302</v>
      </c>
      <c r="O56" s="1">
        <f t="shared" si="12"/>
        <v>2.9171998047435053</v>
      </c>
      <c r="P56" s="1">
        <f t="shared" si="103"/>
        <v>-9.8590989461559388</v>
      </c>
      <c r="Q56" s="1">
        <f t="shared" si="103"/>
        <v>-6.8337533240361239</v>
      </c>
      <c r="R56" s="1">
        <f t="shared" si="103"/>
        <v>-6.7922786696582431</v>
      </c>
      <c r="S56" s="1">
        <f>$M56+SUMPRODUCT(regions!BG56:BS56,regions!BG$193:BS$193)</f>
        <v>0.66153715785429767</v>
      </c>
      <c r="T56" s="1">
        <f>$M56+SUMPRODUCT(regions!BV56:CD56,regions!BV$193:CD$193)</f>
        <v>-6.9482738289579675</v>
      </c>
      <c r="U56" s="1">
        <f>$M56+SUMPRODUCT(regions!CQ56:CV56,regions!CQ$193:CV$193)</f>
        <v>-4.8731056002915683</v>
      </c>
      <c r="V56" s="1">
        <f>$M56+SUMPRODUCT(regions!CY56:DF56,regions!CY$193:DF$193)</f>
        <v>-6.4920136277479497</v>
      </c>
      <c r="W56" s="1">
        <f>$M56+SUMPRODUCT(regions!DI56:DP56,regions!DI$193:DP$193)</f>
        <v>-2.8929136277479497</v>
      </c>
      <c r="X56" s="1">
        <f>$M56+SUMPRODUCT(regions!DR56:DW56,regions!DR$193:DW$193)</f>
        <v>-2.7699295553385088</v>
      </c>
      <c r="Y56" s="1">
        <f>$M56+SUMPRODUCT(regions!DZ56:EE56,regions!DZ$193:EE$193)</f>
        <v>-2.2689416223537791</v>
      </c>
      <c r="Z56" s="1">
        <f t="shared" si="26"/>
        <v>-5.113524966128999</v>
      </c>
      <c r="AF56" s="1">
        <f t="shared" si="83"/>
        <v>4.7364088514263489</v>
      </c>
      <c r="AG56" s="1"/>
      <c r="AH56" s="1">
        <f t="shared" si="14"/>
        <v>-0.45208694764305751</v>
      </c>
      <c r="AI56" s="1">
        <f t="shared" si="116"/>
        <v>-0.42194781780018698</v>
      </c>
      <c r="AJ56" s="1">
        <f t="shared" si="116"/>
        <v>-0.39180868795731638</v>
      </c>
      <c r="AK56" s="1">
        <f t="shared" si="116"/>
        <v>-0.33153042827157536</v>
      </c>
      <c r="AL56" s="1">
        <f t="shared" si="116"/>
        <v>-0.30139129842870488</v>
      </c>
      <c r="AM56" s="1">
        <f t="shared" si="116"/>
        <v>-0.2712521685858344</v>
      </c>
      <c r="AN56" s="1">
        <f t="shared" si="116"/>
        <v>-0.24111303874296389</v>
      </c>
      <c r="AO56" s="1">
        <f t="shared" si="116"/>
        <v>-0.21097390890009338</v>
      </c>
      <c r="AP56" s="1">
        <f t="shared" si="116"/>
        <v>-0.18083477905722292</v>
      </c>
      <c r="AQ56" s="1">
        <f t="shared" si="116"/>
        <v>-0.15069564921435241</v>
      </c>
      <c r="AR56" s="1">
        <f t="shared" si="116"/>
        <v>-0.12055651937148193</v>
      </c>
      <c r="AS56" s="1">
        <f t="shared" si="116"/>
        <v>-9.0417389528611433E-2</v>
      </c>
      <c r="AT56" s="1">
        <f t="shared" si="116"/>
        <v>-6.0278259685740937E-2</v>
      </c>
      <c r="AU56" s="1">
        <f t="shared" si="116"/>
        <v>-3.0139129842870441E-2</v>
      </c>
      <c r="AV56" s="1">
        <f t="shared" si="116"/>
        <v>0</v>
      </c>
      <c r="AW56" s="1">
        <f t="shared" si="116"/>
        <v>3.0139129842870496E-2</v>
      </c>
      <c r="AX56" s="1">
        <f t="shared" si="116"/>
        <v>0</v>
      </c>
      <c r="AY56" s="1">
        <f t="shared" si="116"/>
        <v>9.0417389528611503E-2</v>
      </c>
      <c r="AZ56" s="1">
        <f t="shared" si="116"/>
        <v>0.12055651937148198</v>
      </c>
      <c r="BA56" s="1">
        <f t="shared" si="116"/>
        <v>0.15069564921435247</v>
      </c>
      <c r="BB56" s="1">
        <f t="shared" si="116"/>
        <v>0.18083477905722298</v>
      </c>
      <c r="BC56" s="1">
        <f t="shared" si="116"/>
        <v>0.21097390890009349</v>
      </c>
      <c r="BD56" s="1"/>
      <c r="BE56">
        <f t="shared" ref="BE56" si="131">LN($D56)-LN($D56*(1+BA56/100))</f>
        <v>-1.5058221726444998E-3</v>
      </c>
      <c r="BF56">
        <f t="shared" si="16"/>
        <v>-1.8067146982083671E-3</v>
      </c>
      <c r="BG56">
        <f t="shared" si="16"/>
        <v>-2.1075167146928919E-3</v>
      </c>
    </row>
    <row r="57" spans="1:59" x14ac:dyDescent="0.35">
      <c r="A57" t="str">
        <f>regions!A57</f>
        <v>Eritrea</v>
      </c>
      <c r="B57" s="22">
        <f>regions!B57</f>
        <v>5741159</v>
      </c>
      <c r="C57" s="22">
        <f>regions!C57</f>
        <v>1056636372.397827</v>
      </c>
      <c r="D57" s="10">
        <f>regions!D57</f>
        <v>184.04582983990289</v>
      </c>
      <c r="E57" s="1">
        <f>regions!X57</f>
        <v>25.5</v>
      </c>
      <c r="I57" s="7">
        <f t="shared" si="128"/>
        <v>-13.240254008581417</v>
      </c>
      <c r="J57" s="1">
        <f t="shared" si="129"/>
        <v>-12.721088958835306</v>
      </c>
      <c r="K57" s="1">
        <f t="shared" si="81"/>
        <v>-11.166018558739371</v>
      </c>
      <c r="L57" s="1">
        <f t="shared" si="129"/>
        <v>-16.269668836739463</v>
      </c>
      <c r="M57" s="1">
        <f t="shared" si="10"/>
        <v>-16.003328344147853</v>
      </c>
      <c r="N57" s="1">
        <f t="shared" ref="N57" si="132">M57+M$2</f>
        <v>-15.618885453700832</v>
      </c>
      <c r="O57" s="1">
        <f t="shared" si="12"/>
        <v>2.9171998047434995</v>
      </c>
      <c r="P57" s="1">
        <f t="shared" si="103"/>
        <v>-17.268836141730141</v>
      </c>
      <c r="Q57" s="1">
        <f t="shared" si="103"/>
        <v>-14.243490519610326</v>
      </c>
      <c r="R57" s="1">
        <f t="shared" si="103"/>
        <v>-14.202015865232445</v>
      </c>
      <c r="S57" s="1">
        <f>$M57+SUMPRODUCT(regions!BG57:BS57,regions!BG$193:BS$193)</f>
        <v>-6.7482000377199043</v>
      </c>
      <c r="T57" s="1">
        <f>$M57+SUMPRODUCT(regions!BV57:CD57,regions!BV$193:CD$193)</f>
        <v>-14.358011024532169</v>
      </c>
      <c r="U57" s="1">
        <f>$M57+SUMPRODUCT(regions!CQ57:CV57,regions!CQ$193:CV$193)</f>
        <v>-12.28284279586577</v>
      </c>
      <c r="V57" s="1">
        <f>$M57+SUMPRODUCT(regions!CY57:DF57,regions!CY$193:DF$193)</f>
        <v>-13.901750823322152</v>
      </c>
      <c r="W57" s="1">
        <f>$M57+SUMPRODUCT(regions!DI57:DP57,regions!DI$193:DP$193)</f>
        <v>-10.302650823322152</v>
      </c>
      <c r="X57" s="1">
        <f>$M57+SUMPRODUCT(regions!DR57:DW57,regions!DR$193:DW$193)</f>
        <v>-10.179666750912711</v>
      </c>
      <c r="Y57" s="1">
        <f>$M57+SUMPRODUCT(regions!DZ57:EE57,regions!DZ$193:EE$193)</f>
        <v>-9.678678817927981</v>
      </c>
      <c r="Z57" s="1">
        <f t="shared" si="26"/>
        <v>-12.523262161703201</v>
      </c>
      <c r="AF57" s="1">
        <f t="shared" si="83"/>
        <v>-2.6733283441478513</v>
      </c>
      <c r="AG57" s="1"/>
      <c r="AH57" s="1">
        <f t="shared" si="14"/>
        <v>0.2551673407141602</v>
      </c>
      <c r="AI57" s="1">
        <f t="shared" si="116"/>
        <v>0.23815618466654948</v>
      </c>
      <c r="AJ57" s="1">
        <f t="shared" si="116"/>
        <v>0.22114502861893875</v>
      </c>
      <c r="AK57" s="1">
        <f t="shared" si="116"/>
        <v>0.1871227165237174</v>
      </c>
      <c r="AL57" s="1">
        <f t="shared" si="116"/>
        <v>0.1701115604761067</v>
      </c>
      <c r="AM57" s="1">
        <f t="shared" si="116"/>
        <v>0.15310040442849604</v>
      </c>
      <c r="AN57" s="1">
        <f t="shared" si="116"/>
        <v>0.13608924838088535</v>
      </c>
      <c r="AO57" s="1">
        <f t="shared" si="116"/>
        <v>0.11907809233327468</v>
      </c>
      <c r="AP57" s="1">
        <f t="shared" si="116"/>
        <v>0.10206693628566402</v>
      </c>
      <c r="AQ57" s="1">
        <f t="shared" si="116"/>
        <v>8.5055780238053338E-2</v>
      </c>
      <c r="AR57" s="1">
        <f t="shared" si="116"/>
        <v>6.8044624190442674E-2</v>
      </c>
      <c r="AS57" s="1">
        <f t="shared" si="116"/>
        <v>5.1033468142832002E-2</v>
      </c>
      <c r="AT57" s="1">
        <f t="shared" si="116"/>
        <v>3.4022312095221323E-2</v>
      </c>
      <c r="AU57" s="1">
        <f t="shared" si="116"/>
        <v>1.7011156047610644E-2</v>
      </c>
      <c r="AV57" s="1">
        <f t="shared" si="116"/>
        <v>0</v>
      </c>
      <c r="AW57" s="1">
        <f t="shared" si="116"/>
        <v>-1.7011156047610675E-2</v>
      </c>
      <c r="AX57" s="1">
        <f t="shared" si="116"/>
        <v>0</v>
      </c>
      <c r="AY57" s="1">
        <f t="shared" si="116"/>
        <v>-5.1033468142832036E-2</v>
      </c>
      <c r="AZ57" s="1">
        <f t="shared" si="116"/>
        <v>-6.8044624190442701E-2</v>
      </c>
      <c r="BA57" s="1">
        <f t="shared" si="116"/>
        <v>-8.505578023805338E-2</v>
      </c>
      <c r="BB57" s="1">
        <f t="shared" si="116"/>
        <v>-0.10206693628566406</v>
      </c>
      <c r="BC57" s="1">
        <f t="shared" si="116"/>
        <v>-0.11907809233327474</v>
      </c>
      <c r="BD57" s="1"/>
      <c r="BE57">
        <f t="shared" ref="BE57" si="133">LN($D57)-LN($D57*(1+BA57/100))</f>
        <v>8.5091973191087078E-4</v>
      </c>
      <c r="BF57">
        <f t="shared" si="16"/>
        <v>1.0211906005350713E-3</v>
      </c>
      <c r="BG57">
        <f t="shared" si="16"/>
        <v>1.1914904662653214E-3</v>
      </c>
    </row>
    <row r="58" spans="1:59" x14ac:dyDescent="0.35">
      <c r="A58" t="str">
        <f>regions!A58</f>
        <v>Estonia</v>
      </c>
      <c r="B58" s="22">
        <f>regions!B58</f>
        <v>1340161</v>
      </c>
      <c r="C58" s="22">
        <f>regions!C58</f>
        <v>13897254466.99498</v>
      </c>
      <c r="D58" s="10">
        <f>regions!D58</f>
        <v>10369.839494653985</v>
      </c>
      <c r="E58" s="1">
        <f>regions!X58</f>
        <v>5.0999999999999996</v>
      </c>
      <c r="I58" s="7">
        <f t="shared" si="128"/>
        <v>3.3174677134202057</v>
      </c>
      <c r="J58" s="1">
        <f t="shared" si="129"/>
        <v>3.8366327631663157</v>
      </c>
      <c r="K58" s="1">
        <f t="shared" si="81"/>
        <v>13.936913567310986</v>
      </c>
      <c r="L58" s="1">
        <f t="shared" si="129"/>
        <v>8.833263289310894</v>
      </c>
      <c r="M58" s="1">
        <f t="shared" si="10"/>
        <v>-8.0861539007476502E-2</v>
      </c>
      <c r="N58" s="1">
        <f t="shared" ref="N58" si="134">M58+M$2</f>
        <v>0.30358135143954423</v>
      </c>
      <c r="O58" s="1">
        <f t="shared" si="12"/>
        <v>2.0112086293259948</v>
      </c>
      <c r="P58" s="1">
        <f t="shared" si="103"/>
        <v>-1.3463693365897644</v>
      </c>
      <c r="Q58" s="1">
        <f t="shared" si="103"/>
        <v>1.6789762855300512</v>
      </c>
      <c r="R58" s="1">
        <f t="shared" si="103"/>
        <v>1.7204509399079315</v>
      </c>
      <c r="S58" s="1">
        <f>$M58+SUMPRODUCT(regions!BG58:BS58,regions!BG$193:BS$193)</f>
        <v>1.0723556336826341</v>
      </c>
      <c r="T58" s="1">
        <f>$M58+SUMPRODUCT(regions!BV58:CD58,regions!BV$193:CD$193)</f>
        <v>8.8384605145029937E-2</v>
      </c>
      <c r="U58" s="1">
        <f>$M58+SUMPRODUCT(regions!CQ58:CV58,regions!CQ$193:CV$193)</f>
        <v>-2.6637581527551326</v>
      </c>
      <c r="V58" s="1">
        <f>$M58+SUMPRODUCT(regions!CY58:DF58,regions!CY$193:DF$193)</f>
        <v>-0.21161539485497005</v>
      </c>
      <c r="W58" s="1">
        <f>$M58+SUMPRODUCT(regions!DI58:DP58,regions!DI$193:DP$193)</f>
        <v>0.21888460514502994</v>
      </c>
      <c r="X58" s="1">
        <f>$M58+SUMPRODUCT(regions!DR58:DW58,regions!DR$193:DW$193)</f>
        <v>-2.5067581527551326</v>
      </c>
      <c r="Y58" s="1">
        <f>$M58+SUMPRODUCT(regions!DZ58:EE58,regions!DZ$193:EE$193)</f>
        <v>-2.6067581527551331</v>
      </c>
      <c r="Z58" s="1">
        <f t="shared" si="26"/>
        <v>3.3992046434371757</v>
      </c>
      <c r="AF58" s="1">
        <f t="shared" si="83"/>
        <v>13.249138460992523</v>
      </c>
      <c r="AG58" s="1"/>
      <c r="AH58" s="1">
        <f t="shared" si="14"/>
        <v>-1.2646210987310682</v>
      </c>
      <c r="AI58" s="1">
        <f t="shared" si="116"/>
        <v>-1.1803130254823302</v>
      </c>
      <c r="AJ58" s="1">
        <f t="shared" si="116"/>
        <v>-1.0960049522335922</v>
      </c>
      <c r="AK58" s="1">
        <f t="shared" si="116"/>
        <v>-0.92738880573611637</v>
      </c>
      <c r="AL58" s="1">
        <f t="shared" si="116"/>
        <v>-0.84308073248737847</v>
      </c>
      <c r="AM58" s="1">
        <f t="shared" si="116"/>
        <v>-0.75877265923864057</v>
      </c>
      <c r="AN58" s="1">
        <f t="shared" si="116"/>
        <v>-0.67446458598990267</v>
      </c>
      <c r="AO58" s="1">
        <f t="shared" si="116"/>
        <v>-0.59015651274116476</v>
      </c>
      <c r="AP58" s="1">
        <f t="shared" si="116"/>
        <v>-0.50584843949242697</v>
      </c>
      <c r="AQ58" s="1">
        <f t="shared" si="116"/>
        <v>-0.42154036624368912</v>
      </c>
      <c r="AR58" s="1">
        <f t="shared" si="116"/>
        <v>-0.33723229299495128</v>
      </c>
      <c r="AS58" s="1">
        <f t="shared" si="116"/>
        <v>-0.25292421974621349</v>
      </c>
      <c r="AT58" s="1">
        <f t="shared" si="116"/>
        <v>-0.16861614649747558</v>
      </c>
      <c r="AU58" s="1">
        <f t="shared" si="116"/>
        <v>-8.4308073248737708E-2</v>
      </c>
      <c r="AV58" s="1">
        <f t="shared" si="116"/>
        <v>0</v>
      </c>
      <c r="AW58" s="1">
        <f t="shared" si="116"/>
        <v>8.4308073248737875E-2</v>
      </c>
      <c r="AX58" s="1">
        <f t="shared" si="116"/>
        <v>0</v>
      </c>
      <c r="AY58" s="1">
        <f t="shared" si="116"/>
        <v>0.25292421974621365</v>
      </c>
      <c r="AZ58" s="1">
        <f t="shared" si="116"/>
        <v>0.3372322929949515</v>
      </c>
      <c r="BA58" s="1">
        <f t="shared" si="116"/>
        <v>0.42154036624368935</v>
      </c>
      <c r="BB58" s="1">
        <f t="shared" si="116"/>
        <v>0.50584843949242719</v>
      </c>
      <c r="BC58" s="1">
        <f t="shared" si="116"/>
        <v>0.5901565127411651</v>
      </c>
      <c r="BD58" s="1"/>
      <c r="BE58">
        <f t="shared" ref="BE58" si="135">LN($D58)-LN($D58*(1+BA58/100))</f>
        <v>-4.2065437384621873E-3</v>
      </c>
      <c r="BF58">
        <f t="shared" si="16"/>
        <v>-5.0457332456517179E-3</v>
      </c>
      <c r="BG58">
        <f t="shared" si="16"/>
        <v>-5.8842191042671743E-3</v>
      </c>
    </row>
    <row r="59" spans="1:59" x14ac:dyDescent="0.35">
      <c r="A59" t="str">
        <f>regions!A59</f>
        <v>Ethiopia</v>
      </c>
      <c r="B59" s="22">
        <f>regions!B59</f>
        <v>87095281</v>
      </c>
      <c r="C59" s="22">
        <f>regions!C59</f>
        <v>20402844449.621059</v>
      </c>
      <c r="D59" s="10">
        <f>regions!D59</f>
        <v>234.25889686975188</v>
      </c>
      <c r="E59" s="1">
        <f>regions!X59</f>
        <v>22.2</v>
      </c>
      <c r="I59" s="7">
        <f t="shared" si="128"/>
        <v>-11.472300493559977</v>
      </c>
      <c r="J59" s="1">
        <f t="shared" si="129"/>
        <v>-10.953135443813867</v>
      </c>
      <c r="K59" s="1">
        <f t="shared" si="81"/>
        <v>-9.5486915764297997</v>
      </c>
      <c r="L59" s="1">
        <f t="shared" si="129"/>
        <v>-14.652341854429892</v>
      </c>
      <c r="M59" s="1">
        <f t="shared" si="10"/>
        <v>-14.118046557290731</v>
      </c>
      <c r="N59" s="1">
        <f t="shared" ref="N59" si="136">M59+M$2</f>
        <v>-13.73360366684371</v>
      </c>
      <c r="O59" s="1">
        <f t="shared" si="12"/>
        <v>2.917199804743515</v>
      </c>
      <c r="P59" s="1">
        <f t="shared" si="103"/>
        <v>-15.38355435487302</v>
      </c>
      <c r="Q59" s="1">
        <f t="shared" si="103"/>
        <v>-12.358208732753203</v>
      </c>
      <c r="R59" s="1">
        <f t="shared" si="103"/>
        <v>-12.316734078375323</v>
      </c>
      <c r="S59" s="1">
        <f>$M59+SUMPRODUCT(regions!BG59:BS59,regions!BG$193:BS$193)</f>
        <v>-4.8629182508627817</v>
      </c>
      <c r="T59" s="1">
        <f>$M59+SUMPRODUCT(regions!BV59:CD59,regions!BV$193:CD$193)</f>
        <v>-12.472729237675047</v>
      </c>
      <c r="U59" s="1">
        <f>$M59+SUMPRODUCT(regions!CQ59:CV59,regions!CQ$193:CV$193)</f>
        <v>-10.397561009008648</v>
      </c>
      <c r="V59" s="1">
        <f>$M59+SUMPRODUCT(regions!CY59:DF59,regions!CY$193:DF$193)</f>
        <v>-12.016469036465029</v>
      </c>
      <c r="W59" s="1">
        <f>$M59+SUMPRODUCT(regions!DI59:DP59,regions!DI$193:DP$193)</f>
        <v>-8.4173690364650291</v>
      </c>
      <c r="X59" s="1">
        <f>$M59+SUMPRODUCT(regions!DR59:DW59,regions!DR$193:DW$193)</f>
        <v>-8.2943849640555882</v>
      </c>
      <c r="Y59" s="1">
        <f>$M59+SUMPRODUCT(regions!DZ59:EE59,regions!DZ$193:EE$193)</f>
        <v>-7.7933970310708585</v>
      </c>
      <c r="Z59" s="1">
        <f t="shared" si="26"/>
        <v>-10.637980374846078</v>
      </c>
      <c r="AF59" s="1">
        <f t="shared" si="83"/>
        <v>-0.78804655729073048</v>
      </c>
      <c r="AG59" s="1"/>
      <c r="AH59" s="1">
        <f t="shared" si="14"/>
        <v>7.5218498626633212E-2</v>
      </c>
      <c r="AI59" s="1">
        <f t="shared" si="116"/>
        <v>7.0203932051524323E-2</v>
      </c>
      <c r="AJ59" s="1">
        <f t="shared" si="116"/>
        <v>6.518936547641542E-2</v>
      </c>
      <c r="AK59" s="1">
        <f t="shared" si="116"/>
        <v>5.5160232326197663E-2</v>
      </c>
      <c r="AL59" s="1">
        <f t="shared" si="116"/>
        <v>5.0145665751088787E-2</v>
      </c>
      <c r="AM59" s="1">
        <f t="shared" si="116"/>
        <v>4.5131099175979905E-2</v>
      </c>
      <c r="AN59" s="1">
        <f t="shared" si="116"/>
        <v>4.0116532600871023E-2</v>
      </c>
      <c r="AO59" s="1">
        <f t="shared" si="116"/>
        <v>3.5101966025762141E-2</v>
      </c>
      <c r="AP59" s="1">
        <f t="shared" si="116"/>
        <v>3.0087399450653265E-2</v>
      </c>
      <c r="AQ59" s="1">
        <f t="shared" si="116"/>
        <v>2.5072832875544387E-2</v>
      </c>
      <c r="AR59" s="1">
        <f t="shared" si="116"/>
        <v>2.0058266300435508E-2</v>
      </c>
      <c r="AS59" s="1">
        <f t="shared" si="116"/>
        <v>1.5043699725326631E-2</v>
      </c>
      <c r="AT59" s="1">
        <f t="shared" si="116"/>
        <v>1.0029133150217751E-2</v>
      </c>
      <c r="AU59" s="1">
        <f t="shared" si="116"/>
        <v>5.0145665751088701E-3</v>
      </c>
      <c r="AV59" s="1">
        <f t="shared" si="116"/>
        <v>0</v>
      </c>
      <c r="AW59" s="1">
        <f t="shared" si="116"/>
        <v>-5.0145665751088796E-3</v>
      </c>
      <c r="AX59" s="1">
        <f t="shared" si="116"/>
        <v>0</v>
      </c>
      <c r="AY59" s="1">
        <f t="shared" si="116"/>
        <v>-1.5043699725326641E-2</v>
      </c>
      <c r="AZ59" s="1">
        <f t="shared" si="116"/>
        <v>-2.0058266300435518E-2</v>
      </c>
      <c r="BA59" s="1">
        <f t="shared" si="116"/>
        <v>-2.5072832875544397E-2</v>
      </c>
      <c r="BB59" s="1">
        <f t="shared" si="116"/>
        <v>-3.0087399450653279E-2</v>
      </c>
      <c r="BC59" s="1">
        <f t="shared" si="116"/>
        <v>-3.5101966025762162E-2</v>
      </c>
      <c r="BD59" s="1"/>
      <c r="BE59">
        <f t="shared" ref="BE59" si="137">LN($D59)-LN($D59*(1+BA59/100))</f>
        <v>2.5075976635768882E-4</v>
      </c>
      <c r="BF59">
        <f t="shared" si="16"/>
        <v>3.0091926616737652E-4</v>
      </c>
      <c r="BG59">
        <f t="shared" si="16"/>
        <v>3.5108128207905764E-4</v>
      </c>
    </row>
    <row r="60" spans="1:59" x14ac:dyDescent="0.35">
      <c r="A60" t="str">
        <f>regions!A60</f>
        <v>Fiji</v>
      </c>
      <c r="B60" s="22">
        <f>regions!B60</f>
        <v>860559</v>
      </c>
      <c r="C60" s="22">
        <f>regions!C60</f>
        <v>3032066121.2225323</v>
      </c>
      <c r="D60" s="10">
        <f>regions!D60</f>
        <v>3523.3680912320156</v>
      </c>
      <c r="E60" s="1">
        <f>regions!X60</f>
        <v>24.4</v>
      </c>
      <c r="I60" s="7">
        <f t="shared" si="128"/>
        <v>-10.381984252385074</v>
      </c>
      <c r="J60" s="1">
        <f t="shared" si="129"/>
        <v>-9.8628192026389634</v>
      </c>
      <c r="K60" s="1">
        <f t="shared" si="81"/>
        <v>-3.8014639194653039</v>
      </c>
      <c r="L60" s="1">
        <f t="shared" si="129"/>
        <v>-8.9051141974653962</v>
      </c>
      <c r="M60" s="1">
        <f t="shared" si="10"/>
        <v>-10.5500540329919</v>
      </c>
      <c r="N60" s="1">
        <f t="shared" ref="N60" si="138">M60+M$2</f>
        <v>-10.165611142544879</v>
      </c>
      <c r="O60" s="1">
        <f t="shared" si="12"/>
        <v>2.6356584205276192</v>
      </c>
      <c r="P60" s="1">
        <f t="shared" si="103"/>
        <v>-11.815561830574188</v>
      </c>
      <c r="Q60" s="1">
        <f t="shared" si="103"/>
        <v>-8.7902162084543729</v>
      </c>
      <c r="R60" s="1">
        <f t="shared" si="103"/>
        <v>-8.7487415540764921</v>
      </c>
      <c r="S60" s="1">
        <f>$M60+SUMPRODUCT(regions!BG60:BS60,regions!BG$193:BS$193)</f>
        <v>-5.1051036631193405</v>
      </c>
      <c r="T60" s="1">
        <f>$M60+SUMPRODUCT(regions!BV60:CD60,regions!BV$193:CD$193)</f>
        <v>-10.264803273473712</v>
      </c>
      <c r="U60" s="1">
        <f>$M60+SUMPRODUCT(regions!CQ60:CV60,regions!CQ$193:CV$193)</f>
        <v>-6.8295684847098173</v>
      </c>
      <c r="V60" s="1">
        <f>$M60+SUMPRODUCT(regions!CY60:DF60,regions!CY$193:DF$193)</f>
        <v>-10.411416640672099</v>
      </c>
      <c r="W60" s="1">
        <f>$M60+SUMPRODUCT(regions!DI60:DP60,regions!DI$193:DP$193)</f>
        <v>-4.9064166406721013</v>
      </c>
      <c r="X60" s="1">
        <f>$M60+SUMPRODUCT(regions!DR60:DW60,regions!DR$193:DW$193)</f>
        <v>-4.7263924397567578</v>
      </c>
      <c r="Y60" s="1">
        <f>$M60+SUMPRODUCT(regions!DZ60:EE60,regions!DZ$193:EE$193)</f>
        <v>-4.2254045067720281</v>
      </c>
      <c r="Z60" s="1">
        <f t="shared" si="26"/>
        <v>-7.069987850547248</v>
      </c>
      <c r="AF60" s="1">
        <f t="shared" si="83"/>
        <v>2.7799459670080999</v>
      </c>
      <c r="AG60" s="1"/>
      <c r="AH60" s="1">
        <f t="shared" si="14"/>
        <v>-0.2653439190450898</v>
      </c>
      <c r="AI60" s="1">
        <f t="shared" si="116"/>
        <v>-0.24765432444208377</v>
      </c>
      <c r="AJ60" s="1">
        <f t="shared" si="116"/>
        <v>-0.22996472983907773</v>
      </c>
      <c r="AK60" s="1">
        <f t="shared" si="116"/>
        <v>-0.19458554063306577</v>
      </c>
      <c r="AL60" s="1">
        <f t="shared" si="116"/>
        <v>-0.17689594603005979</v>
      </c>
      <c r="AM60" s="1">
        <f t="shared" si="116"/>
        <v>-0.15920635142705378</v>
      </c>
      <c r="AN60" s="1">
        <f t="shared" si="116"/>
        <v>-0.1415167568240478</v>
      </c>
      <c r="AO60" s="1">
        <f t="shared" si="116"/>
        <v>-0.12382716222104181</v>
      </c>
      <c r="AP60" s="1">
        <f t="shared" si="116"/>
        <v>-0.10613756761803585</v>
      </c>
      <c r="AQ60" s="1">
        <f t="shared" si="116"/>
        <v>-8.8447973015029865E-2</v>
      </c>
      <c r="AR60" s="1">
        <f t="shared" si="116"/>
        <v>-7.0758378412023898E-2</v>
      </c>
      <c r="AS60" s="1">
        <f t="shared" si="116"/>
        <v>-5.3068783809017916E-2</v>
      </c>
      <c r="AT60" s="1">
        <f t="shared" si="116"/>
        <v>-3.5379189206011935E-2</v>
      </c>
      <c r="AU60" s="1">
        <f t="shared" si="116"/>
        <v>-1.768959460300595E-2</v>
      </c>
      <c r="AV60" s="1">
        <f t="shared" si="116"/>
        <v>0</v>
      </c>
      <c r="AW60" s="1">
        <f t="shared" si="116"/>
        <v>1.7689594603005981E-2</v>
      </c>
      <c r="AX60" s="1">
        <f t="shared" si="116"/>
        <v>0</v>
      </c>
      <c r="AY60" s="1">
        <f t="shared" si="116"/>
        <v>5.3068783809017958E-2</v>
      </c>
      <c r="AZ60" s="1">
        <f t="shared" si="116"/>
        <v>7.0758378412023926E-2</v>
      </c>
      <c r="BA60" s="1">
        <f t="shared" si="116"/>
        <v>8.8447973015029907E-2</v>
      </c>
      <c r="BB60" s="1">
        <f t="shared" si="116"/>
        <v>0.10613756761803589</v>
      </c>
      <c r="BC60" s="1">
        <f t="shared" si="116"/>
        <v>0.12382716222104188</v>
      </c>
      <c r="BD60" s="1"/>
      <c r="BE60">
        <f t="shared" ref="BE60" si="139">LN($D60)-LN($D60*(1+BA60/100))</f>
        <v>-8.8408880844603743E-4</v>
      </c>
      <c r="BF60">
        <f t="shared" si="16"/>
        <v>-1.060812815254053E-3</v>
      </c>
      <c r="BG60">
        <f t="shared" si="16"/>
        <v>-1.2375055962063897E-3</v>
      </c>
    </row>
    <row r="61" spans="1:59" x14ac:dyDescent="0.35">
      <c r="A61" t="str">
        <f>regions!A61</f>
        <v>Finland</v>
      </c>
      <c r="B61" s="22">
        <f>regions!B61</f>
        <v>5363352</v>
      </c>
      <c r="C61" s="22">
        <f>regions!C61</f>
        <v>204154134528.24445</v>
      </c>
      <c r="D61" s="10">
        <f>regions!D61</f>
        <v>38064.653322818347</v>
      </c>
      <c r="E61" s="1">
        <f>regions!X61</f>
        <v>1.7</v>
      </c>
      <c r="I61" s="7">
        <f t="shared" si="128"/>
        <v>4.4519206894448615</v>
      </c>
      <c r="J61" s="1">
        <f t="shared" si="129"/>
        <v>4.9710857391909711</v>
      </c>
      <c r="K61" s="1">
        <f t="shared" si="81"/>
        <v>8.3184964276362763</v>
      </c>
      <c r="L61" s="1">
        <f t="shared" si="129"/>
        <v>3.214846149636184</v>
      </c>
      <c r="M61" s="1">
        <f t="shared" si="10"/>
        <v>3.6288488242986818</v>
      </c>
      <c r="N61" s="1">
        <f t="shared" ref="N61" si="140">M61+M$2</f>
        <v>4.0132917147457023</v>
      </c>
      <c r="O61" s="1">
        <f t="shared" si="12"/>
        <v>1.381399056815046</v>
      </c>
      <c r="P61" s="1">
        <f t="shared" si="103"/>
        <v>2.3633410267163937</v>
      </c>
      <c r="Q61" s="1">
        <f t="shared" si="103"/>
        <v>5.3886866488362095</v>
      </c>
      <c r="R61" s="1">
        <f t="shared" si="103"/>
        <v>5.4301613032140894</v>
      </c>
      <c r="S61" s="1">
        <f>$M61+SUMPRODUCT(regions!BG61:BS61,regions!BG$193:BS$193)</f>
        <v>0.79779358422206892</v>
      </c>
      <c r="T61" s="1">
        <f>$M61+SUMPRODUCT(regions!BV61:CD61,regions!BV$193:CD$193)</f>
        <v>2.3976598762311596</v>
      </c>
      <c r="U61" s="1">
        <f>$M61+SUMPRODUCT(regions!CQ61:CV61,regions!CQ$193:CV$193)</f>
        <v>2.6479360584813172</v>
      </c>
      <c r="V61" s="1">
        <f>$M61+SUMPRODUCT(regions!CY61:DF61,regions!CY$193:DF$193)</f>
        <v>2.5246538469893007</v>
      </c>
      <c r="W61" s="1">
        <f>$M61+SUMPRODUCT(regions!DI61:DP61,regions!DI$193:DP$193)</f>
        <v>2.5946538469893001</v>
      </c>
      <c r="X61" s="1">
        <f>$M61+SUMPRODUCT(regions!DR61:DW61,regions!DR$193:DW$193)</f>
        <v>2.4246538469893002</v>
      </c>
      <c r="Y61" s="1">
        <f>$M61+SUMPRODUCT(regions!DZ61:EE61,regions!DZ$193:EE$193)</f>
        <v>2.2246538469893</v>
      </c>
      <c r="Z61" s="1">
        <f t="shared" si="26"/>
        <v>2.1</v>
      </c>
      <c r="AA61" t="str">
        <f>Maddison!A26</f>
        <v>Finland</v>
      </c>
      <c r="AB61">
        <f>-Maddison!B26</f>
        <v>2.1</v>
      </c>
      <c r="AC61" s="1">
        <f>N61-AB61</f>
        <v>1.9132917147457023</v>
      </c>
      <c r="AF61" s="1">
        <f t="shared" si="83"/>
        <v>16.958848824298681</v>
      </c>
      <c r="AG61" s="1"/>
      <c r="AH61" s="1">
        <f t="shared" si="14"/>
        <v>-1.6187103860783469</v>
      </c>
      <c r="AI61" s="1">
        <f t="shared" si="116"/>
        <v>-1.5107963603397903</v>
      </c>
      <c r="AJ61" s="1">
        <f t="shared" si="116"/>
        <v>-1.4028823346012336</v>
      </c>
      <c r="AK61" s="1">
        <f t="shared" si="116"/>
        <v>-1.1870542831241206</v>
      </c>
      <c r="AL61" s="1">
        <f t="shared" si="116"/>
        <v>-1.0791402573855642</v>
      </c>
      <c r="AM61" s="1">
        <f t="shared" si="116"/>
        <v>-0.97122623164700772</v>
      </c>
      <c r="AN61" s="1">
        <f t="shared" si="116"/>
        <v>-0.86331220590845126</v>
      </c>
      <c r="AO61" s="1">
        <f t="shared" si="116"/>
        <v>-0.7553981801698948</v>
      </c>
      <c r="AP61" s="1">
        <f t="shared" si="116"/>
        <v>-0.64748415443133844</v>
      </c>
      <c r="AQ61" s="1">
        <f t="shared" si="116"/>
        <v>-0.53957012869278198</v>
      </c>
      <c r="AR61" s="1">
        <f t="shared" si="116"/>
        <v>-0.43165610295422557</v>
      </c>
      <c r="AS61" s="1">
        <f t="shared" si="116"/>
        <v>-0.32374207721566917</v>
      </c>
      <c r="AT61" s="1">
        <f t="shared" si="116"/>
        <v>-0.2158280514771127</v>
      </c>
      <c r="AU61" s="1">
        <f t="shared" si="116"/>
        <v>-0.10791402573855624</v>
      </c>
      <c r="AV61" s="1">
        <f t="shared" ref="AI61:BC73" si="141">$AF61*AV$2</f>
        <v>0</v>
      </c>
      <c r="AW61" s="1">
        <f t="shared" si="141"/>
        <v>0.10791402573855645</v>
      </c>
      <c r="AX61" s="1">
        <f t="shared" si="141"/>
        <v>0</v>
      </c>
      <c r="AY61" s="1">
        <f t="shared" si="141"/>
        <v>0.32374207721566939</v>
      </c>
      <c r="AZ61" s="1">
        <f t="shared" si="141"/>
        <v>0.4316561029542258</v>
      </c>
      <c r="BA61" s="1">
        <f t="shared" si="141"/>
        <v>0.5395701286927822</v>
      </c>
      <c r="BB61" s="1">
        <f t="shared" si="141"/>
        <v>0.64748415443133867</v>
      </c>
      <c r="BC61" s="1">
        <f t="shared" si="141"/>
        <v>0.75539818016989513</v>
      </c>
      <c r="BD61" s="1"/>
      <c r="BE61">
        <f t="shared" ref="BE61" si="142">LN($D61)-LN($D61*(1+BA61/100))</f>
        <v>-5.3811966424976987E-3</v>
      </c>
      <c r="BF61">
        <f t="shared" si="16"/>
        <v>-6.4539698034984383E-3</v>
      </c>
      <c r="BG61">
        <f t="shared" si="16"/>
        <v>-7.5255933554050358E-3</v>
      </c>
    </row>
    <row r="62" spans="1:59" x14ac:dyDescent="0.35">
      <c r="A62" t="str">
        <f>regions!A62</f>
        <v>France</v>
      </c>
      <c r="B62" s="22">
        <f>regions!B62</f>
        <v>65031235</v>
      </c>
      <c r="C62" s="22">
        <f>regions!C62</f>
        <v>2204446339914.4404</v>
      </c>
      <c r="D62" s="10">
        <f>regions!D62</f>
        <v>33898.26965325878</v>
      </c>
      <c r="E62" s="1">
        <f>regions!X62</f>
        <v>10.7</v>
      </c>
      <c r="I62" s="7">
        <f t="shared" si="128"/>
        <v>1.3771646531887018</v>
      </c>
      <c r="J62" s="1">
        <f t="shared" si="129"/>
        <v>1.8963297029348116</v>
      </c>
      <c r="K62" s="1">
        <f t="shared" si="81"/>
        <v>7.5568732110302816</v>
      </c>
      <c r="L62" s="1">
        <f t="shared" si="129"/>
        <v>2.4532229330301893</v>
      </c>
      <c r="M62" s="1">
        <f t="shared" si="10"/>
        <v>-0.60213672598396162</v>
      </c>
      <c r="N62" s="1">
        <f t="shared" ref="N62" si="143">M62+M$2</f>
        <v>-0.21769383553694088</v>
      </c>
      <c r="O62" s="1">
        <f t="shared" si="12"/>
        <v>1.695351882191616</v>
      </c>
      <c r="P62" s="1">
        <f t="shared" si="103"/>
        <v>-1.8676445235662495</v>
      </c>
      <c r="Q62" s="1">
        <f t="shared" si="103"/>
        <v>1.1577010985535661</v>
      </c>
      <c r="R62" s="1">
        <f t="shared" si="103"/>
        <v>1.1991757529314464</v>
      </c>
      <c r="S62" s="1">
        <f>$M62+SUMPRODUCT(regions!BG62:BS62,regions!BG$193:BS$193)</f>
        <v>-3.4331919660605745</v>
      </c>
      <c r="T62" s="1">
        <f>$M62+SUMPRODUCT(regions!BV62:CD62,regions!BV$193:CD$193)</f>
        <v>-1.8333256740514841</v>
      </c>
      <c r="U62" s="1">
        <f>$M62+SUMPRODUCT(regions!CQ62:CV62,regions!CQ$193:CV$193)</f>
        <v>-1.583049491801326</v>
      </c>
      <c r="V62" s="1">
        <f>$M62+SUMPRODUCT(regions!CY62:DF62,regions!CY$193:DF$193)</f>
        <v>-1.7063317032933429</v>
      </c>
      <c r="W62" s="1">
        <f>$M62+SUMPRODUCT(regions!DI62:DP62,regions!DI$193:DP$193)</f>
        <v>-1.6363317032933431</v>
      </c>
      <c r="X62" s="1">
        <f>$M62+SUMPRODUCT(regions!DR62:DW62,regions!DR$193:DW$193)</f>
        <v>-1.806331703293343</v>
      </c>
      <c r="Y62" s="1">
        <f>$M62+SUMPRODUCT(regions!DZ62:EE62,regions!DZ$193:EE$193)</f>
        <v>-2.006331703293343</v>
      </c>
      <c r="Z62" s="1">
        <f t="shared" si="26"/>
        <v>2</v>
      </c>
      <c r="AA62" t="str">
        <f>Maddison!A27</f>
        <v>France</v>
      </c>
      <c r="AB62">
        <f>-Maddison!B27</f>
        <v>2</v>
      </c>
      <c r="AC62" s="1">
        <f>N62-AB62</f>
        <v>-2.2176938355369407</v>
      </c>
      <c r="AF62" s="1">
        <f t="shared" si="83"/>
        <v>12.727863274016038</v>
      </c>
      <c r="AG62" s="1"/>
      <c r="AH62" s="1">
        <f t="shared" si="14"/>
        <v>-1.2148657428159439</v>
      </c>
      <c r="AI62" s="1">
        <f t="shared" si="141"/>
        <v>-1.1338746932948809</v>
      </c>
      <c r="AJ62" s="1">
        <f t="shared" si="141"/>
        <v>-1.0528836437738176</v>
      </c>
      <c r="AK62" s="1">
        <f t="shared" si="141"/>
        <v>-0.89090154473169181</v>
      </c>
      <c r="AL62" s="1">
        <f t="shared" si="141"/>
        <v>-0.80991049521062897</v>
      </c>
      <c r="AM62" s="1">
        <f t="shared" si="141"/>
        <v>-0.72891944568956601</v>
      </c>
      <c r="AN62" s="1">
        <f t="shared" si="141"/>
        <v>-0.64792839616850306</v>
      </c>
      <c r="AO62" s="1">
        <f t="shared" si="141"/>
        <v>-0.56693734664744011</v>
      </c>
      <c r="AP62" s="1">
        <f t="shared" si="141"/>
        <v>-0.48594629712637732</v>
      </c>
      <c r="AQ62" s="1">
        <f t="shared" si="141"/>
        <v>-0.40495524760531437</v>
      </c>
      <c r="AR62" s="1">
        <f t="shared" si="141"/>
        <v>-0.32396419808425148</v>
      </c>
      <c r="AS62" s="1">
        <f t="shared" si="141"/>
        <v>-0.24297314856318861</v>
      </c>
      <c r="AT62" s="1">
        <f t="shared" si="141"/>
        <v>-0.16198209904212568</v>
      </c>
      <c r="AU62" s="1">
        <f t="shared" si="141"/>
        <v>-8.0991049521062758E-2</v>
      </c>
      <c r="AV62" s="1">
        <f t="shared" si="141"/>
        <v>0</v>
      </c>
      <c r="AW62" s="1">
        <f t="shared" si="141"/>
        <v>8.0991049521062911E-2</v>
      </c>
      <c r="AX62" s="1">
        <f t="shared" si="141"/>
        <v>0</v>
      </c>
      <c r="AY62" s="1">
        <f t="shared" si="141"/>
        <v>0.24297314856318877</v>
      </c>
      <c r="AZ62" s="1">
        <f t="shared" si="141"/>
        <v>0.32396419808425164</v>
      </c>
      <c r="BA62" s="1">
        <f t="shared" si="141"/>
        <v>0.40495524760531454</v>
      </c>
      <c r="BB62" s="1">
        <f t="shared" si="141"/>
        <v>0.48594629712637749</v>
      </c>
      <c r="BC62" s="1">
        <f t="shared" si="141"/>
        <v>0.56693734664744044</v>
      </c>
      <c r="BD62" s="1"/>
      <c r="BE62">
        <f t="shared" ref="BE62" si="144">LN($D62)-LN($D62*(1+BA62/100))</f>
        <v>-4.0413751074463988E-3</v>
      </c>
      <c r="BF62">
        <f t="shared" si="16"/>
        <v>-4.8476938932786595E-3</v>
      </c>
      <c r="BG62">
        <f t="shared" si="16"/>
        <v>-5.6533630528967649E-3</v>
      </c>
    </row>
    <row r="63" spans="1:59" x14ac:dyDescent="0.35">
      <c r="A63" t="str">
        <f>regions!A63</f>
        <v>Gabon</v>
      </c>
      <c r="B63" s="22">
        <f>regions!B63</f>
        <v>1556222</v>
      </c>
      <c r="C63" s="22">
        <f>regions!C63</f>
        <v>9684595588.4366875</v>
      </c>
      <c r="D63" s="10">
        <f>regions!D63</f>
        <v>6223.1452764687092</v>
      </c>
      <c r="E63" s="1">
        <f>regions!X63</f>
        <v>25</v>
      </c>
      <c r="I63" s="7">
        <f t="shared" si="128"/>
        <v>-9.1099371451789271</v>
      </c>
      <c r="J63" s="1">
        <f t="shared" si="129"/>
        <v>-8.5907720954328166</v>
      </c>
      <c r="K63" s="1">
        <f t="shared" si="81"/>
        <v>0.23020970430311749</v>
      </c>
      <c r="L63" s="1">
        <f t="shared" si="129"/>
        <v>-4.8734405736969748</v>
      </c>
      <c r="M63" s="1">
        <f t="shared" si="10"/>
        <v>-9.8633338081842457</v>
      </c>
      <c r="N63" s="1">
        <f t="shared" ref="N63" si="145">M63+M$2</f>
        <v>-9.4788909177372247</v>
      </c>
      <c r="O63" s="1">
        <f t="shared" si="12"/>
        <v>2.2593141561607952</v>
      </c>
      <c r="P63" s="1">
        <f t="shared" si="103"/>
        <v>-11.128841605766533</v>
      </c>
      <c r="Q63" s="1">
        <f t="shared" si="103"/>
        <v>-8.1034959836467184</v>
      </c>
      <c r="R63" s="1">
        <f t="shared" si="103"/>
        <v>-8.0620213292688376</v>
      </c>
      <c r="S63" s="1">
        <f>$M63+SUMPRODUCT(regions!BG63:BS63,regions!BG$193:BS$193)</f>
        <v>-6.1962348924454052</v>
      </c>
      <c r="T63" s="1">
        <f>$M63+SUMPRODUCT(regions!BV63:CD63,regions!BV$193:CD$193)</f>
        <v>-8.218016488568562</v>
      </c>
      <c r="U63" s="1">
        <f>$M63+SUMPRODUCT(regions!CQ63:CV63,regions!CQ$193:CV$193)</f>
        <v>-6.1428482599021628</v>
      </c>
      <c r="V63" s="1">
        <f>$M63+SUMPRODUCT(regions!CY63:DF63,regions!CY$193:DF$193)</f>
        <v>-7.7617562873585442</v>
      </c>
      <c r="W63" s="1">
        <f>$M63+SUMPRODUCT(regions!DI63:DP63,regions!DI$193:DP$193)</f>
        <v>-4.1626562873585442</v>
      </c>
      <c r="X63" s="1">
        <f>$M63+SUMPRODUCT(regions!DR63:DW63,regions!DR$193:DW$193)</f>
        <v>-4.0396722149491033</v>
      </c>
      <c r="Y63" s="1">
        <f>$M63+SUMPRODUCT(regions!DZ63:EE63,regions!DZ$193:EE$193)</f>
        <v>-3.5386842819643736</v>
      </c>
      <c r="Z63" s="1">
        <f t="shared" si="26"/>
        <v>-6.3832676257395935</v>
      </c>
      <c r="AF63" s="1">
        <f t="shared" si="83"/>
        <v>3.4666661918157544</v>
      </c>
      <c r="AG63" s="1"/>
      <c r="AH63" s="1">
        <f t="shared" si="14"/>
        <v>-0.3308908893461342</v>
      </c>
      <c r="AI63" s="1">
        <f t="shared" si="141"/>
        <v>-0.30883149672305854</v>
      </c>
      <c r="AJ63" s="1">
        <f t="shared" si="141"/>
        <v>-0.28677210409998288</v>
      </c>
      <c r="AK63" s="1">
        <f t="shared" si="141"/>
        <v>-0.24265331885383165</v>
      </c>
      <c r="AL63" s="1">
        <f t="shared" si="141"/>
        <v>-0.22059392623075602</v>
      </c>
      <c r="AM63" s="1">
        <f t="shared" si="141"/>
        <v>-0.19853453360768042</v>
      </c>
      <c r="AN63" s="1">
        <f t="shared" si="141"/>
        <v>-0.17647514098460482</v>
      </c>
      <c r="AO63" s="1">
        <f t="shared" si="141"/>
        <v>-0.15441574836152919</v>
      </c>
      <c r="AP63" s="1">
        <f t="shared" si="141"/>
        <v>-0.13235635573845361</v>
      </c>
      <c r="AQ63" s="1">
        <f t="shared" si="141"/>
        <v>-0.110296963115378</v>
      </c>
      <c r="AR63" s="1">
        <f t="shared" si="141"/>
        <v>-8.8237570492302395E-2</v>
      </c>
      <c r="AS63" s="1">
        <f t="shared" si="141"/>
        <v>-6.6178177869226792E-2</v>
      </c>
      <c r="AT63" s="1">
        <f t="shared" si="141"/>
        <v>-4.4118785246151176E-2</v>
      </c>
      <c r="AU63" s="1">
        <f t="shared" si="141"/>
        <v>-2.2059392623075567E-2</v>
      </c>
      <c r="AV63" s="1">
        <f t="shared" si="141"/>
        <v>0</v>
      </c>
      <c r="AW63" s="1">
        <f t="shared" si="141"/>
        <v>2.2059392623075609E-2</v>
      </c>
      <c r="AX63" s="1">
        <f t="shared" si="141"/>
        <v>0</v>
      </c>
      <c r="AY63" s="1">
        <f t="shared" si="141"/>
        <v>6.6178177869226834E-2</v>
      </c>
      <c r="AZ63" s="1">
        <f t="shared" si="141"/>
        <v>8.8237570492302436E-2</v>
      </c>
      <c r="BA63" s="1">
        <f t="shared" si="141"/>
        <v>0.11029696311537804</v>
      </c>
      <c r="BB63" s="1">
        <f t="shared" si="141"/>
        <v>0.13235635573845364</v>
      </c>
      <c r="BC63" s="1">
        <f t="shared" si="141"/>
        <v>0.15441574836152927</v>
      </c>
      <c r="BD63" s="1"/>
      <c r="BE63">
        <f t="shared" ref="BE63" si="146">LN($D63)-LN($D63*(1+BA63/100))</f>
        <v>-1.10236180704959E-3</v>
      </c>
      <c r="BF63">
        <f t="shared" si="16"/>
        <v>-1.3226884192540922E-3</v>
      </c>
      <c r="BG63">
        <f t="shared" si="16"/>
        <v>-1.5429664983361846E-3</v>
      </c>
    </row>
    <row r="64" spans="1:59" x14ac:dyDescent="0.35">
      <c r="A64" t="str">
        <f>regions!A64</f>
        <v>Gambia</v>
      </c>
      <c r="B64" s="22">
        <f>regions!B64</f>
        <v>1680640</v>
      </c>
      <c r="C64" s="22">
        <f>regions!C64</f>
        <v>784275580.67721629</v>
      </c>
      <c r="D64" s="10">
        <f>regions!D64</f>
        <v>466.6529302392043</v>
      </c>
      <c r="E64" s="1">
        <f>regions!X64</f>
        <v>27.5</v>
      </c>
      <c r="I64" s="7">
        <f t="shared" si="128"/>
        <v>-14.082660307354788</v>
      </c>
      <c r="J64" s="1">
        <f t="shared" si="129"/>
        <v>-13.563495257608677</v>
      </c>
      <c r="K64" s="1">
        <f t="shared" si="81"/>
        <v>-11.425012266863327</v>
      </c>
      <c r="L64" s="1">
        <f t="shared" si="129"/>
        <v>-16.528662544863419</v>
      </c>
      <c r="M64" s="1">
        <f t="shared" si="10"/>
        <v>-15.336995297599303</v>
      </c>
      <c r="N64" s="1">
        <f t="shared" ref="N64" si="147">M64+M$2</f>
        <v>-14.952552407152282</v>
      </c>
      <c r="O64" s="1">
        <f t="shared" si="12"/>
        <v>2.9171998047435115</v>
      </c>
      <c r="P64" s="1">
        <f t="shared" ref="P64:R83" si="148">$M64+P$1-$M$1</f>
        <v>-16.602503095181589</v>
      </c>
      <c r="Q64" s="1">
        <f t="shared" si="148"/>
        <v>-13.577157473061776</v>
      </c>
      <c r="R64" s="1">
        <f t="shared" si="148"/>
        <v>-13.535682818683895</v>
      </c>
      <c r="S64" s="1">
        <f>$M64+SUMPRODUCT(regions!BG64:BS64,regions!BG$193:BS$193)</f>
        <v>-6.0818669911713545</v>
      </c>
      <c r="T64" s="1">
        <f>$M64+SUMPRODUCT(regions!BV64:CD64,regions!BV$193:CD$193)</f>
        <v>-13.69167797798362</v>
      </c>
      <c r="U64" s="1">
        <f>$M64+SUMPRODUCT(regions!CQ64:CV64,regions!CQ$193:CV$193)</f>
        <v>-11.61650974931722</v>
      </c>
      <c r="V64" s="1">
        <f>$M64+SUMPRODUCT(regions!CY64:DF64,regions!CY$193:DF$193)</f>
        <v>-13.235417776773602</v>
      </c>
      <c r="W64" s="1">
        <f>$M64+SUMPRODUCT(regions!DI64:DP64,regions!DI$193:DP$193)</f>
        <v>-9.6363177767736019</v>
      </c>
      <c r="X64" s="1">
        <f>$M64+SUMPRODUCT(regions!DR64:DW64,regions!DR$193:DW$193)</f>
        <v>-9.513333704364161</v>
      </c>
      <c r="Y64" s="1">
        <f>$M64+SUMPRODUCT(regions!DZ64:EE64,regions!DZ$193:EE$193)</f>
        <v>-9.0123457713794313</v>
      </c>
      <c r="Z64" s="1">
        <f t="shared" si="26"/>
        <v>-11.856929115154651</v>
      </c>
      <c r="AF64" s="1">
        <f t="shared" si="83"/>
        <v>-2.0069952975993033</v>
      </c>
      <c r="AG64" s="1"/>
      <c r="AH64" s="1">
        <f t="shared" si="14"/>
        <v>0.19156631247160991</v>
      </c>
      <c r="AI64" s="1">
        <f t="shared" si="141"/>
        <v>0.17879522497350253</v>
      </c>
      <c r="AJ64" s="1">
        <f t="shared" si="141"/>
        <v>0.16602413747539518</v>
      </c>
      <c r="AK64" s="1">
        <f t="shared" si="141"/>
        <v>0.14048196247918054</v>
      </c>
      <c r="AL64" s="1">
        <f t="shared" si="141"/>
        <v>0.1277108749810732</v>
      </c>
      <c r="AM64" s="1">
        <f t="shared" si="141"/>
        <v>0.11493978748296588</v>
      </c>
      <c r="AN64" s="1">
        <f t="shared" si="141"/>
        <v>0.10216869998485856</v>
      </c>
      <c r="AO64" s="1">
        <f t="shared" si="141"/>
        <v>8.9397612486751224E-2</v>
      </c>
      <c r="AP64" s="1">
        <f t="shared" si="141"/>
        <v>7.6626524988643918E-2</v>
      </c>
      <c r="AQ64" s="1">
        <f t="shared" si="141"/>
        <v>6.3855437490536585E-2</v>
      </c>
      <c r="AR64" s="1">
        <f t="shared" si="141"/>
        <v>5.1084349992429272E-2</v>
      </c>
      <c r="AS64" s="1">
        <f t="shared" si="141"/>
        <v>3.8313262494321952E-2</v>
      </c>
      <c r="AT64" s="1">
        <f t="shared" si="141"/>
        <v>2.5542174996214626E-2</v>
      </c>
      <c r="AU64" s="1">
        <f t="shared" si="141"/>
        <v>1.2771087498107301E-2</v>
      </c>
      <c r="AV64" s="1">
        <f t="shared" si="141"/>
        <v>0</v>
      </c>
      <c r="AW64" s="1">
        <f t="shared" si="141"/>
        <v>-1.2771087498107325E-2</v>
      </c>
      <c r="AX64" s="1">
        <f t="shared" si="141"/>
        <v>0</v>
      </c>
      <c r="AY64" s="1">
        <f t="shared" si="141"/>
        <v>-3.831326249432198E-2</v>
      </c>
      <c r="AZ64" s="1">
        <f t="shared" si="141"/>
        <v>-5.10843499924293E-2</v>
      </c>
      <c r="BA64" s="1">
        <f t="shared" si="141"/>
        <v>-6.3855437490536612E-2</v>
      </c>
      <c r="BB64" s="1">
        <f t="shared" si="141"/>
        <v>-7.6626524988643946E-2</v>
      </c>
      <c r="BC64" s="1">
        <f t="shared" si="141"/>
        <v>-8.9397612486751266E-2</v>
      </c>
      <c r="BD64" s="1"/>
      <c r="BE64">
        <f t="shared" ref="BE64" si="149">LN($D64)-LN($D64*(1+BA64/100))</f>
        <v>6.3875833758242351E-4</v>
      </c>
      <c r="BF64">
        <f t="shared" si="16"/>
        <v>7.66558981163179E-4</v>
      </c>
      <c r="BG64">
        <f t="shared" si="16"/>
        <v>8.9437595983632434E-4</v>
      </c>
    </row>
    <row r="65" spans="1:59" x14ac:dyDescent="0.35">
      <c r="A65" t="str">
        <f>regions!A65</f>
        <v>Georgia</v>
      </c>
      <c r="B65" s="22">
        <f>regions!B65</f>
        <v>4452800</v>
      </c>
      <c r="C65" s="22">
        <f>regions!C65</f>
        <v>8241335082.6298161</v>
      </c>
      <c r="D65" s="10">
        <f>regions!D65</f>
        <v>1850.8208503929698</v>
      </c>
      <c r="E65" s="1">
        <f>regions!X65</f>
        <v>5.8</v>
      </c>
      <c r="I65" s="7">
        <f t="shared" si="128"/>
        <v>-1.7237648793111802</v>
      </c>
      <c r="J65" s="1">
        <f t="shared" si="129"/>
        <v>-1.2045998295650704</v>
      </c>
      <c r="K65" s="1">
        <f t="shared" si="81"/>
        <v>1.4412052849650898</v>
      </c>
      <c r="L65" s="1">
        <f t="shared" si="129"/>
        <v>-3.6624449930350025</v>
      </c>
      <c r="M65" s="1">
        <f t="shared" si="10"/>
        <v>-3.2902484913150878</v>
      </c>
      <c r="N65" s="1">
        <f t="shared" ref="N65" si="150">M65+M$2</f>
        <v>-2.9058056008680673</v>
      </c>
      <c r="O65" s="1">
        <f t="shared" si="12"/>
        <v>3.3374758260599888</v>
      </c>
      <c r="P65" s="1">
        <f t="shared" si="148"/>
        <v>-4.5557562888973759</v>
      </c>
      <c r="Q65" s="1">
        <f t="shared" si="148"/>
        <v>-1.5304106667775599</v>
      </c>
      <c r="R65" s="1">
        <f t="shared" si="148"/>
        <v>-1.48893601239968</v>
      </c>
      <c r="S65" s="1">
        <f>$M65+SUMPRODUCT(regions!BG65:BS65,regions!BG$193:BS$193)</f>
        <v>5.4956900084849014</v>
      </c>
      <c r="T65" s="1">
        <f>$M65+SUMPRODUCT(regions!BV65:CD65,regions!BV$193:CD$193)</f>
        <v>-3.1210023471625812</v>
      </c>
      <c r="U65" s="1">
        <f>$M65+SUMPRODUCT(regions!CQ65:CV65,regions!CQ$193:CV$193)</f>
        <v>-5.8731451050627435</v>
      </c>
      <c r="V65" s="1">
        <f>$M65+SUMPRODUCT(regions!CY65:DF65,regions!CY$193:DF$193)</f>
        <v>-3.4210023471625814</v>
      </c>
      <c r="W65" s="1">
        <f>$M65+SUMPRODUCT(regions!DI65:DP65,regions!DI$193:DP$193)</f>
        <v>-2.9905023471625816</v>
      </c>
      <c r="X65" s="1">
        <f>$M65+SUMPRODUCT(regions!DR65:DW65,regions!DR$193:DW$193)</f>
        <v>-5.7161451050627434</v>
      </c>
      <c r="Y65" s="1">
        <f>$M65+SUMPRODUCT(regions!DZ65:EE65,regions!DZ$193:EE$193)</f>
        <v>-5.8161451050627448</v>
      </c>
      <c r="Z65" s="1">
        <f t="shared" si="26"/>
        <v>0.18981769112956437</v>
      </c>
      <c r="AF65" s="1">
        <f t="shared" si="83"/>
        <v>10.039751508684912</v>
      </c>
      <c r="AG65" s="1"/>
      <c r="AH65" s="1">
        <f t="shared" si="14"/>
        <v>-0.95828733477881489</v>
      </c>
      <c r="AI65" s="1">
        <f t="shared" si="141"/>
        <v>-0.89440151246022703</v>
      </c>
      <c r="AJ65" s="1">
        <f t="shared" si="141"/>
        <v>-0.83051569014163928</v>
      </c>
      <c r="AK65" s="1">
        <f t="shared" si="141"/>
        <v>-0.7027440455044639</v>
      </c>
      <c r="AL65" s="1">
        <f t="shared" si="141"/>
        <v>-0.63885822318587626</v>
      </c>
      <c r="AM65" s="1">
        <f t="shared" si="141"/>
        <v>-0.57497240086728862</v>
      </c>
      <c r="AN65" s="1">
        <f t="shared" si="141"/>
        <v>-0.51108657854870099</v>
      </c>
      <c r="AO65" s="1">
        <f t="shared" si="141"/>
        <v>-0.44720075623011329</v>
      </c>
      <c r="AP65" s="1">
        <f t="shared" si="141"/>
        <v>-0.38331493391152571</v>
      </c>
      <c r="AQ65" s="1">
        <f t="shared" si="141"/>
        <v>-0.31942911159293808</v>
      </c>
      <c r="AR65" s="1">
        <f t="shared" si="141"/>
        <v>-0.25554328927435044</v>
      </c>
      <c r="AS65" s="1">
        <f t="shared" si="141"/>
        <v>-0.19165746695576283</v>
      </c>
      <c r="AT65" s="1">
        <f t="shared" si="141"/>
        <v>-0.12777164463717516</v>
      </c>
      <c r="AU65" s="1">
        <f t="shared" si="141"/>
        <v>-6.3885822318587526E-2</v>
      </c>
      <c r="AV65" s="1">
        <f t="shared" si="141"/>
        <v>0</v>
      </c>
      <c r="AW65" s="1">
        <f t="shared" si="141"/>
        <v>6.3885822318587651E-2</v>
      </c>
      <c r="AX65" s="1">
        <f t="shared" si="141"/>
        <v>0</v>
      </c>
      <c r="AY65" s="1">
        <f t="shared" si="141"/>
        <v>0.19165746695576297</v>
      </c>
      <c r="AZ65" s="1">
        <f t="shared" si="141"/>
        <v>0.2555432892743506</v>
      </c>
      <c r="BA65" s="1">
        <f t="shared" si="141"/>
        <v>0.31942911159293819</v>
      </c>
      <c r="BB65" s="1">
        <f t="shared" si="141"/>
        <v>0.38331493391152588</v>
      </c>
      <c r="BC65" s="1">
        <f t="shared" si="141"/>
        <v>0.44720075623011352</v>
      </c>
      <c r="BD65" s="1"/>
      <c r="BE65">
        <f t="shared" ref="BE65" si="151">LN($D65)-LN($D65*(1+BA65/100))</f>
        <v>-3.189200206413112E-3</v>
      </c>
      <c r="BF65">
        <f t="shared" si="16"/>
        <v>-3.8258215419118002E-3</v>
      </c>
      <c r="BG65">
        <f t="shared" si="16"/>
        <v>-4.4620378485218382E-3</v>
      </c>
    </row>
    <row r="66" spans="1:59" x14ac:dyDescent="0.35">
      <c r="A66" t="str">
        <f>regions!A66</f>
        <v>Germany</v>
      </c>
      <c r="B66" s="22">
        <f>regions!B66</f>
        <v>81776930</v>
      </c>
      <c r="C66" s="22">
        <f>regions!C66</f>
        <v>2954359050887.9268</v>
      </c>
      <c r="D66" s="10">
        <f>regions!D66</f>
        <v>36127.047700224583</v>
      </c>
      <c r="E66" s="1">
        <f>regions!X66</f>
        <v>8.4</v>
      </c>
      <c r="I66" s="7">
        <f t="shared" si="128"/>
        <v>1.7712117488969294</v>
      </c>
      <c r="J66" s="1">
        <f t="shared" si="129"/>
        <v>2.290376798643039</v>
      </c>
      <c r="K66" s="1">
        <f t="shared" si="81"/>
        <v>6.8380339814858244</v>
      </c>
      <c r="L66" s="1">
        <f t="shared" si="129"/>
        <v>1.7343837034857321</v>
      </c>
      <c r="M66" s="1">
        <f t="shared" si="10"/>
        <v>0.53633184807912526</v>
      </c>
      <c r="N66" s="1">
        <f t="shared" ref="N66" si="152">M66+M$2</f>
        <v>0.920774738526146</v>
      </c>
      <c r="O66" s="1">
        <f t="shared" si="12"/>
        <v>1.5160116108055857</v>
      </c>
      <c r="P66" s="1">
        <f t="shared" si="148"/>
        <v>-0.72917594950316267</v>
      </c>
      <c r="Q66" s="1">
        <f t="shared" si="148"/>
        <v>2.2961696726166529</v>
      </c>
      <c r="R66" s="1">
        <f t="shared" si="148"/>
        <v>2.3376443269945333</v>
      </c>
      <c r="S66" s="1">
        <f>$M66+SUMPRODUCT(regions!BG66:BS66,regions!BG$193:BS$193)</f>
        <v>-2.2947233919974876</v>
      </c>
      <c r="T66" s="1">
        <f>$M66+SUMPRODUCT(regions!BV66:CD66,regions!BV$193:CD$193)</f>
        <v>-0.69485709998839718</v>
      </c>
      <c r="U66" s="1">
        <f>$M66+SUMPRODUCT(regions!CQ66:CV66,regions!CQ$193:CV$193)</f>
        <v>-0.44458091773823916</v>
      </c>
      <c r="V66" s="1">
        <f>$M66+SUMPRODUCT(regions!CY66:DF66,regions!CY$193:DF$193)</f>
        <v>-0.56786312923025606</v>
      </c>
      <c r="W66" s="1">
        <f>$M66+SUMPRODUCT(regions!DI66:DP66,regions!DI$193:DP$193)</f>
        <v>-0.49786312923025622</v>
      </c>
      <c r="X66" s="1">
        <f>$M66+SUMPRODUCT(regions!DR66:DW66,regions!DR$193:DW$193)</f>
        <v>-0.66786312923025615</v>
      </c>
      <c r="Y66" s="1">
        <f>$M66+SUMPRODUCT(regions!DZ66:EE66,regions!DZ$193:EE$193)</f>
        <v>-0.86786312923025632</v>
      </c>
      <c r="Z66" s="1">
        <f t="shared" si="26"/>
        <v>2</v>
      </c>
      <c r="AA66" t="str">
        <f>Maddison!A28</f>
        <v>Germany</v>
      </c>
      <c r="AB66">
        <f>-Maddison!B28</f>
        <v>2</v>
      </c>
      <c r="AC66" s="1">
        <f>N66-AB66</f>
        <v>-1.079225261473854</v>
      </c>
      <c r="AF66" s="1">
        <f t="shared" si="83"/>
        <v>13.866331848079126</v>
      </c>
      <c r="AG66" s="1"/>
      <c r="AH66" s="1">
        <f t="shared" si="14"/>
        <v>-1.3235317804787885</v>
      </c>
      <c r="AI66" s="1">
        <f t="shared" si="141"/>
        <v>-1.235296328446869</v>
      </c>
      <c r="AJ66" s="1">
        <f t="shared" si="141"/>
        <v>-1.1470608764149495</v>
      </c>
      <c r="AK66" s="1">
        <f t="shared" si="141"/>
        <v>-0.97058997235111111</v>
      </c>
      <c r="AL66" s="1">
        <f t="shared" si="141"/>
        <v>-0.88235452031919193</v>
      </c>
      <c r="AM66" s="1">
        <f t="shared" si="141"/>
        <v>-0.79411906828727263</v>
      </c>
      <c r="AN66" s="1">
        <f t="shared" si="141"/>
        <v>-0.70588361625535345</v>
      </c>
      <c r="AO66" s="1">
        <f t="shared" si="141"/>
        <v>-0.61764816422343416</v>
      </c>
      <c r="AP66" s="1">
        <f t="shared" si="141"/>
        <v>-0.52941271219151509</v>
      </c>
      <c r="AQ66" s="1">
        <f t="shared" si="141"/>
        <v>-0.44117726015959585</v>
      </c>
      <c r="AR66" s="1">
        <f t="shared" si="141"/>
        <v>-0.35294180812767667</v>
      </c>
      <c r="AS66" s="1">
        <f t="shared" si="141"/>
        <v>-0.26470635609575749</v>
      </c>
      <c r="AT66" s="1">
        <f t="shared" si="141"/>
        <v>-0.17647090406383825</v>
      </c>
      <c r="AU66" s="1">
        <f t="shared" si="141"/>
        <v>-8.8235452031919043E-2</v>
      </c>
      <c r="AV66" s="1">
        <f t="shared" si="141"/>
        <v>0</v>
      </c>
      <c r="AW66" s="1">
        <f t="shared" si="141"/>
        <v>8.8235452031919209E-2</v>
      </c>
      <c r="AX66" s="1">
        <f t="shared" si="141"/>
        <v>0</v>
      </c>
      <c r="AY66" s="1">
        <f t="shared" si="141"/>
        <v>0.26470635609575766</v>
      </c>
      <c r="AZ66" s="1">
        <f t="shared" si="141"/>
        <v>0.35294180812767684</v>
      </c>
      <c r="BA66" s="1">
        <f t="shared" si="141"/>
        <v>0.44117726015959602</v>
      </c>
      <c r="BB66" s="1">
        <f t="shared" si="141"/>
        <v>0.52941271219151531</v>
      </c>
      <c r="BC66" s="1">
        <f t="shared" si="141"/>
        <v>0.61764816422343449</v>
      </c>
      <c r="BD66" s="1"/>
      <c r="BE66">
        <f t="shared" ref="BE66" si="153">LN($D66)-LN($D66*(1+BA66/100))</f>
        <v>-4.4020692616708601E-3</v>
      </c>
      <c r="BF66">
        <f t="shared" si="16"/>
        <v>-5.2801624962430793E-3</v>
      </c>
      <c r="BG66">
        <f t="shared" si="16"/>
        <v>-6.1574853594965617E-3</v>
      </c>
    </row>
    <row r="67" spans="1:59" x14ac:dyDescent="0.35">
      <c r="A67" t="str">
        <f>regions!A67</f>
        <v>Ghana</v>
      </c>
      <c r="B67" s="22">
        <f>regions!B67</f>
        <v>24262901</v>
      </c>
      <c r="C67" s="22">
        <f>regions!C67</f>
        <v>14804825656.667994</v>
      </c>
      <c r="D67" s="10">
        <f>regions!D67</f>
        <v>610.18365679635724</v>
      </c>
      <c r="E67" s="1">
        <f>regions!X67</f>
        <v>27.2</v>
      </c>
      <c r="I67" s="7">
        <f t="shared" si="128"/>
        <v>-13.821275262804237</v>
      </c>
      <c r="J67" s="1">
        <f t="shared" si="129"/>
        <v>-13.302110213058127</v>
      </c>
      <c r="K67" s="1">
        <f t="shared" ref="K67:K98" si="154">G$7*D67+G$8*D67*D67+G$9*D67*D67*D67+G$10*E67</f>
        <v>-10.963232628671481</v>
      </c>
      <c r="L67" s="1">
        <f t="shared" si="129"/>
        <v>-16.066882906671573</v>
      </c>
      <c r="M67" s="1">
        <f t="shared" si="10"/>
        <v>-14.751865929607828</v>
      </c>
      <c r="N67" s="1">
        <f t="shared" ref="N67" si="155">M67+M$2</f>
        <v>-14.367423039160807</v>
      </c>
      <c r="O67" s="1">
        <f t="shared" si="12"/>
        <v>2.9171998047435035</v>
      </c>
      <c r="P67" s="1">
        <f t="shared" si="148"/>
        <v>-16.017373727190115</v>
      </c>
      <c r="Q67" s="1">
        <f t="shared" si="148"/>
        <v>-12.9920281050703</v>
      </c>
      <c r="R67" s="1">
        <f t="shared" si="148"/>
        <v>-12.95055345069242</v>
      </c>
      <c r="S67" s="1">
        <f>$M67+SUMPRODUCT(regions!BG67:BS67,regions!BG$193:BS$193)</f>
        <v>-5.4967376231798788</v>
      </c>
      <c r="T67" s="1">
        <f>$M67+SUMPRODUCT(regions!BV67:CD67,regions!BV$193:CD$193)</f>
        <v>-13.106548609992144</v>
      </c>
      <c r="U67" s="1">
        <f>$M67+SUMPRODUCT(regions!CQ67:CV67,regions!CQ$193:CV$193)</f>
        <v>-11.031380381325745</v>
      </c>
      <c r="V67" s="1">
        <f>$M67+SUMPRODUCT(regions!CY67:DF67,regions!CY$193:DF$193)</f>
        <v>-12.650288408782126</v>
      </c>
      <c r="W67" s="1">
        <f>$M67+SUMPRODUCT(regions!DI67:DP67,regions!DI$193:DP$193)</f>
        <v>-9.0511884087821262</v>
      </c>
      <c r="X67" s="1">
        <f>$M67+SUMPRODUCT(regions!DR67:DW67,regions!DR$193:DW$193)</f>
        <v>-8.9282043363726853</v>
      </c>
      <c r="Y67" s="1">
        <f>$M67+SUMPRODUCT(regions!DZ67:EE67,regions!DZ$193:EE$193)</f>
        <v>-8.4272164033879555</v>
      </c>
      <c r="Z67" s="1">
        <f t="shared" si="26"/>
        <v>-11.271799747163175</v>
      </c>
      <c r="AF67" s="1">
        <f t="shared" ref="AF67:AF98" si="156">$G$13*LN($D67)+$G$14*$E67</f>
        <v>-1.4218659296078275</v>
      </c>
      <c r="AG67" s="1"/>
      <c r="AH67" s="1">
        <f t="shared" si="14"/>
        <v>0.13571611916071871</v>
      </c>
      <c r="AI67" s="1">
        <f t="shared" si="141"/>
        <v>0.12666837788333746</v>
      </c>
      <c r="AJ67" s="1">
        <f t="shared" si="141"/>
        <v>0.11762063660595619</v>
      </c>
      <c r="AK67" s="1">
        <f t="shared" si="141"/>
        <v>9.9525154051193693E-2</v>
      </c>
      <c r="AL67" s="1">
        <f t="shared" si="141"/>
        <v>9.0477412773812438E-2</v>
      </c>
      <c r="AM67" s="1">
        <f t="shared" si="141"/>
        <v>8.1429671496431197E-2</v>
      </c>
      <c r="AN67" s="1">
        <f t="shared" si="141"/>
        <v>7.2381930219049942E-2</v>
      </c>
      <c r="AO67" s="1">
        <f t="shared" si="141"/>
        <v>6.3334188941668701E-2</v>
      </c>
      <c r="AP67" s="1">
        <f t="shared" si="141"/>
        <v>5.428644766428746E-2</v>
      </c>
      <c r="AQ67" s="1">
        <f t="shared" si="141"/>
        <v>4.5238706386906212E-2</v>
      </c>
      <c r="AR67" s="1">
        <f t="shared" si="141"/>
        <v>3.6190965109524964E-2</v>
      </c>
      <c r="AS67" s="1">
        <f t="shared" si="141"/>
        <v>2.7143223832143723E-2</v>
      </c>
      <c r="AT67" s="1">
        <f t="shared" si="141"/>
        <v>1.8095482554762475E-2</v>
      </c>
      <c r="AU67" s="1">
        <f t="shared" si="141"/>
        <v>9.0477412773812289E-3</v>
      </c>
      <c r="AV67" s="1">
        <f t="shared" si="141"/>
        <v>0</v>
      </c>
      <c r="AW67" s="1">
        <f t="shared" si="141"/>
        <v>-9.0477412773812462E-3</v>
      </c>
      <c r="AX67" s="1">
        <f t="shared" si="141"/>
        <v>0</v>
      </c>
      <c r="AY67" s="1">
        <f t="shared" si="141"/>
        <v>-2.7143223832143744E-2</v>
      </c>
      <c r="AZ67" s="1">
        <f t="shared" si="141"/>
        <v>-3.6190965109524985E-2</v>
      </c>
      <c r="BA67" s="1">
        <f t="shared" si="141"/>
        <v>-4.5238706386906226E-2</v>
      </c>
      <c r="BB67" s="1">
        <f t="shared" si="141"/>
        <v>-5.4286447664287474E-2</v>
      </c>
      <c r="BC67" s="1">
        <f t="shared" si="141"/>
        <v>-6.3334188941668729E-2</v>
      </c>
      <c r="BD67" s="1"/>
      <c r="BE67">
        <f t="shared" ref="BE67" si="157">LN($D67)-LN($D67*(1+BA67/100))</f>
        <v>4.5248942176812079E-4</v>
      </c>
      <c r="BF67">
        <f t="shared" si="16"/>
        <v>5.4301188091265828E-4</v>
      </c>
      <c r="BG67">
        <f t="shared" si="16"/>
        <v>6.3354253511427316E-4</v>
      </c>
    </row>
    <row r="68" spans="1:59" x14ac:dyDescent="0.35">
      <c r="A68" t="str">
        <f>regions!A68</f>
        <v>Greece</v>
      </c>
      <c r="B68" s="22">
        <f>regions!B68</f>
        <v>11307502</v>
      </c>
      <c r="C68" s="22">
        <f>regions!C68</f>
        <v>240951131470.42734</v>
      </c>
      <c r="D68" s="10">
        <f>regions!D68</f>
        <v>21308.962091753539</v>
      </c>
      <c r="E68" s="1">
        <f>regions!X68</f>
        <v>15.4</v>
      </c>
      <c r="I68" s="7">
        <f t="shared" si="128"/>
        <v>0.55375643630266502</v>
      </c>
      <c r="J68" s="1">
        <f t="shared" si="129"/>
        <v>1.0729214860487748</v>
      </c>
      <c r="K68" s="1">
        <f t="shared" si="154"/>
        <v>12.337610891164211</v>
      </c>
      <c r="L68" s="1">
        <f t="shared" si="129"/>
        <v>7.2339606131641183</v>
      </c>
      <c r="M68" s="1">
        <f t="shared" ref="M68:M131" si="158">G$12+G$13*LN(D68)+G$14*E68</f>
        <v>-3.4899506831733627</v>
      </c>
      <c r="N68" s="1">
        <f t="shared" ref="N68" si="159">M68+M$2</f>
        <v>-3.1055077927263417</v>
      </c>
      <c r="O68" s="1">
        <f t="shared" ref="O68:O131" si="160">STDEV(P68:Z68)</f>
        <v>1.8468122432841849</v>
      </c>
      <c r="P68" s="1">
        <f t="shared" si="148"/>
        <v>-4.7554584807556504</v>
      </c>
      <c r="Q68" s="1">
        <f t="shared" si="148"/>
        <v>-1.7301128586358347</v>
      </c>
      <c r="R68" s="1">
        <f t="shared" si="148"/>
        <v>-1.6886382042579549</v>
      </c>
      <c r="S68" s="1">
        <f>$M68+SUMPRODUCT(regions!BG68:BS68,regions!BG$193:BS$193)</f>
        <v>-6.3210059232499756</v>
      </c>
      <c r="T68" s="1">
        <f>$M68+SUMPRODUCT(regions!BV68:CD68,regions!BV$193:CD$193)</f>
        <v>-4.7211396312408853</v>
      </c>
      <c r="U68" s="1">
        <f>$M68+SUMPRODUCT(regions!CQ68:CV68,regions!CQ$193:CV$193)</f>
        <v>-4.4708634489907269</v>
      </c>
      <c r="V68" s="1">
        <f>$M68+SUMPRODUCT(regions!CY68:DF68,regions!CY$193:DF$193)</f>
        <v>-4.5941456604827442</v>
      </c>
      <c r="W68" s="1">
        <f>$M68+SUMPRODUCT(regions!DI68:DP68,regions!DI$193:DP$193)</f>
        <v>-4.5241456604827439</v>
      </c>
      <c r="X68" s="1">
        <f>$M68+SUMPRODUCT(regions!DR68:DW68,regions!DR$193:DW$193)</f>
        <v>-4.6941456604827438</v>
      </c>
      <c r="Y68" s="1">
        <f>$M68+SUMPRODUCT(regions!DZ68:EE68,regions!DZ$193:EE$193)</f>
        <v>-4.894145660482744</v>
      </c>
      <c r="Z68" s="1">
        <f t="shared" si="26"/>
        <v>-0.1</v>
      </c>
      <c r="AA68" t="str">
        <f>Maddison!A29</f>
        <v>Greece</v>
      </c>
      <c r="AB68">
        <f>-Maddison!B29</f>
        <v>-0.1</v>
      </c>
      <c r="AC68" s="1">
        <f>N68-AB68</f>
        <v>-3.0055077927263416</v>
      </c>
      <c r="AF68" s="1">
        <f t="shared" si="156"/>
        <v>9.8400493168266365</v>
      </c>
      <c r="AG68" s="1"/>
      <c r="AH68" s="1">
        <f t="shared" ref="AH68:AV131" si="161">$AF68*AH$2</f>
        <v>-0.93922589874428675</v>
      </c>
      <c r="AI68" s="1">
        <f t="shared" si="161"/>
        <v>-0.87661083882800084</v>
      </c>
      <c r="AJ68" s="1">
        <f t="shared" si="161"/>
        <v>-0.81399577891171493</v>
      </c>
      <c r="AK68" s="1">
        <f t="shared" si="161"/>
        <v>-0.68876565907914333</v>
      </c>
      <c r="AL68" s="1">
        <f t="shared" si="161"/>
        <v>-0.62615059916285754</v>
      </c>
      <c r="AM68" s="1">
        <f t="shared" si="161"/>
        <v>-0.56353553924657174</v>
      </c>
      <c r="AN68" s="1">
        <f t="shared" si="161"/>
        <v>-0.50092047933028605</v>
      </c>
      <c r="AO68" s="1">
        <f t="shared" si="161"/>
        <v>-0.4383054194140002</v>
      </c>
      <c r="AP68" s="1">
        <f t="shared" si="161"/>
        <v>-0.37569035949771451</v>
      </c>
      <c r="AQ68" s="1">
        <f t="shared" si="161"/>
        <v>-0.31307529958142871</v>
      </c>
      <c r="AR68" s="1">
        <f t="shared" si="161"/>
        <v>-0.25046023966514297</v>
      </c>
      <c r="AS68" s="1">
        <f t="shared" si="161"/>
        <v>-0.18784517974885723</v>
      </c>
      <c r="AT68" s="1">
        <f t="shared" si="161"/>
        <v>-0.12523011983257143</v>
      </c>
      <c r="AU68" s="1">
        <f t="shared" si="161"/>
        <v>-6.2615059916285659E-2</v>
      </c>
      <c r="AV68" s="1">
        <f t="shared" si="161"/>
        <v>0</v>
      </c>
      <c r="AW68" s="1">
        <f t="shared" si="141"/>
        <v>6.261505991628577E-2</v>
      </c>
      <c r="AX68" s="1">
        <f t="shared" si="141"/>
        <v>0</v>
      </c>
      <c r="AY68" s="1">
        <f t="shared" si="141"/>
        <v>0.18784517974885737</v>
      </c>
      <c r="AZ68" s="1">
        <f t="shared" si="141"/>
        <v>0.25046023966514308</v>
      </c>
      <c r="BA68" s="1">
        <f t="shared" si="141"/>
        <v>0.31307529958142888</v>
      </c>
      <c r="BB68" s="1">
        <f t="shared" si="141"/>
        <v>0.37569035949771462</v>
      </c>
      <c r="BC68" s="1">
        <f t="shared" si="141"/>
        <v>0.43830541941400042</v>
      </c>
      <c r="BD68" s="1"/>
      <c r="BE68">
        <f t="shared" ref="BE68" si="162">LN($D68)-LN($D68*(1+BA68/100))</f>
        <v>-3.125862393506651E-3</v>
      </c>
      <c r="BF68">
        <f t="shared" ref="BF68:BG131" si="163">LN($D68)-LN($D68*(1+BB68/100))</f>
        <v>-3.7498640583972787E-3</v>
      </c>
      <c r="BG68">
        <f t="shared" si="163"/>
        <v>-4.3734765880181214E-3</v>
      </c>
    </row>
    <row r="69" spans="1:59" x14ac:dyDescent="0.35">
      <c r="A69" t="str">
        <f>regions!A69</f>
        <v>Grenada</v>
      </c>
      <c r="B69" s="22">
        <f>regions!B69</f>
        <v>104677</v>
      </c>
      <c r="C69" s="22">
        <f>regions!C69</f>
        <v>664521216.22512019</v>
      </c>
      <c r="D69" s="10">
        <f>regions!D69</f>
        <v>6348.3020742390418</v>
      </c>
      <c r="E69" s="1">
        <f>regions!X69</f>
        <v>26.6</v>
      </c>
      <c r="I69" s="7">
        <f t="shared" si="128"/>
        <v>-9.8812550297067929</v>
      </c>
      <c r="J69" s="1">
        <f t="shared" si="129"/>
        <v>-9.3620899799606825</v>
      </c>
      <c r="K69" s="1">
        <f t="shared" si="154"/>
        <v>-0.32327802339804457</v>
      </c>
      <c r="L69" s="1">
        <f t="shared" si="129"/>
        <v>-5.4269283013981369</v>
      </c>
      <c r="M69" s="1">
        <f t="shared" si="158"/>
        <v>-10.547426372743326</v>
      </c>
      <c r="N69" s="1">
        <f t="shared" ref="N69" si="164">M69+M$2</f>
        <v>-10.162983482296305</v>
      </c>
      <c r="O69" s="1">
        <f t="shared" si="160"/>
        <v>2.6784210083906315</v>
      </c>
      <c r="P69" s="1">
        <f t="shared" si="148"/>
        <v>-11.812934170325613</v>
      </c>
      <c r="Q69" s="1">
        <f t="shared" si="148"/>
        <v>-8.7875885482057985</v>
      </c>
      <c r="R69" s="1">
        <f t="shared" si="148"/>
        <v>-8.7461138938279177</v>
      </c>
      <c r="S69" s="1">
        <f>$M69+SUMPRODUCT(regions!BG69:BS69,regions!BG$193:BS$193)</f>
        <v>-5.1024760028707661</v>
      </c>
      <c r="T69" s="1">
        <f>$M69+SUMPRODUCT(regions!BV69:CD69,regions!BV$193:CD$193)</f>
        <v>-6.3882052612470419</v>
      </c>
      <c r="U69" s="1">
        <f>$M69+SUMPRODUCT(regions!CQ69:CV69,regions!CQ$193:CV$193)</f>
        <v>-6.8269408244612428</v>
      </c>
      <c r="V69" s="1">
        <f>$M69+SUMPRODUCT(regions!CY69:DF69,regions!CY$193:DF$193)</f>
        <v>-6.3782052612470412</v>
      </c>
      <c r="W69" s="1">
        <f>$M69+SUMPRODUCT(regions!DI69:DP69,regions!DI$193:DP$193)</f>
        <v>-4.3391052612470418</v>
      </c>
      <c r="X69" s="1">
        <f>$M69+SUMPRODUCT(regions!DR69:DW69,regions!DR$193:DW$193)</f>
        <v>-4.7237647795081834</v>
      </c>
      <c r="Y69" s="1">
        <f>$M69+SUMPRODUCT(regions!DZ69:EE69,regions!DZ$193:EE$193)</f>
        <v>-4.2227768465234536</v>
      </c>
      <c r="Z69" s="1">
        <f t="shared" si="26"/>
        <v>-2.2000000000000002</v>
      </c>
      <c r="AA69" t="str">
        <f>Maddison!A30</f>
        <v>Grenada</v>
      </c>
      <c r="AB69">
        <f>-Maddison!B30</f>
        <v>-2.2000000000000002</v>
      </c>
      <c r="AC69" s="1">
        <f>N69-AB69</f>
        <v>-7.9629834822963046</v>
      </c>
      <c r="AF69" s="1">
        <f t="shared" si="156"/>
        <v>2.7825736272566743</v>
      </c>
      <c r="AG69" s="1"/>
      <c r="AH69" s="1">
        <f t="shared" si="161"/>
        <v>-0.2655947273976802</v>
      </c>
      <c r="AI69" s="1">
        <f t="shared" si="141"/>
        <v>-0.24788841223783484</v>
      </c>
      <c r="AJ69" s="1">
        <f t="shared" si="141"/>
        <v>-0.23018209707798945</v>
      </c>
      <c r="AK69" s="1">
        <f t="shared" si="141"/>
        <v>-0.19476946675829876</v>
      </c>
      <c r="AL69" s="1">
        <f t="shared" si="141"/>
        <v>-0.1770631515984534</v>
      </c>
      <c r="AM69" s="1">
        <f t="shared" si="141"/>
        <v>-0.15935683643860804</v>
      </c>
      <c r="AN69" s="1">
        <f t="shared" si="141"/>
        <v>-0.14165052127876271</v>
      </c>
      <c r="AO69" s="1">
        <f t="shared" si="141"/>
        <v>-0.12394420611891736</v>
      </c>
      <c r="AP69" s="1">
        <f t="shared" si="141"/>
        <v>-0.10623789095907203</v>
      </c>
      <c r="AQ69" s="1">
        <f t="shared" si="141"/>
        <v>-8.8531575799226686E-2</v>
      </c>
      <c r="AR69" s="1">
        <f t="shared" si="141"/>
        <v>-7.0825260639381341E-2</v>
      </c>
      <c r="AS69" s="1">
        <f t="shared" si="141"/>
        <v>-5.3118945479536002E-2</v>
      </c>
      <c r="AT69" s="1">
        <f t="shared" si="141"/>
        <v>-3.5412630319690656E-2</v>
      </c>
      <c r="AU69" s="1">
        <f t="shared" si="141"/>
        <v>-1.7706315159845311E-2</v>
      </c>
      <c r="AV69" s="1">
        <f t="shared" si="141"/>
        <v>0</v>
      </c>
      <c r="AW69" s="1">
        <f t="shared" si="141"/>
        <v>1.7706315159845346E-2</v>
      </c>
      <c r="AX69" s="1">
        <f t="shared" si="141"/>
        <v>0</v>
      </c>
      <c r="AY69" s="1">
        <f t="shared" si="141"/>
        <v>5.3118945479536044E-2</v>
      </c>
      <c r="AZ69" s="1">
        <f t="shared" si="141"/>
        <v>7.0825260639381382E-2</v>
      </c>
      <c r="BA69" s="1">
        <f t="shared" si="141"/>
        <v>8.8531575799226714E-2</v>
      </c>
      <c r="BB69" s="1">
        <f t="shared" si="141"/>
        <v>0.10623789095907207</v>
      </c>
      <c r="BC69" s="1">
        <f t="shared" si="141"/>
        <v>0.12394420611891742</v>
      </c>
      <c r="BD69" s="1"/>
      <c r="BE69">
        <f t="shared" ref="BE69" si="165">LN($D69)-LN($D69*(1+BA69/100))</f>
        <v>-8.8492409714291398E-4</v>
      </c>
      <c r="BF69">
        <f t="shared" si="163"/>
        <v>-1.0618149844834335E-3</v>
      </c>
      <c r="BG69">
        <f t="shared" si="163"/>
        <v>-1.2386745869719107E-3</v>
      </c>
    </row>
    <row r="70" spans="1:59" x14ac:dyDescent="0.35">
      <c r="A70" t="str">
        <f>regions!A70</f>
        <v>Guatemala</v>
      </c>
      <c r="B70" s="22">
        <f>regions!B70</f>
        <v>14341576</v>
      </c>
      <c r="C70" s="22">
        <f>regions!C70</f>
        <v>32556756308.965832</v>
      </c>
      <c r="D70" s="10">
        <f>regions!D70</f>
        <v>2270.0961392922113</v>
      </c>
      <c r="E70" s="1">
        <f>regions!X70</f>
        <v>23.4</v>
      </c>
      <c r="I70" s="7">
        <f t="shared" si="128"/>
        <v>-10.672296895492295</v>
      </c>
      <c r="J70" s="1">
        <f t="shared" si="129"/>
        <v>-10.153131845746184</v>
      </c>
      <c r="K70" s="1">
        <f t="shared" si="154"/>
        <v>-5.7156336931086296</v>
      </c>
      <c r="L70" s="1">
        <f t="shared" si="129"/>
        <v>-10.819283971108721</v>
      </c>
      <c r="M70" s="1">
        <f t="shared" si="158"/>
        <v>-10.8401982730943</v>
      </c>
      <c r="N70" s="1">
        <f t="shared" ref="N70" si="166">M70+M$2</f>
        <v>-10.455755382647279</v>
      </c>
      <c r="O70" s="1">
        <f t="shared" si="160"/>
        <v>2.9527425244242909</v>
      </c>
      <c r="P70" s="1">
        <f t="shared" si="148"/>
        <v>-12.105706070676588</v>
      </c>
      <c r="Q70" s="1">
        <f t="shared" si="148"/>
        <v>-9.0803604485567728</v>
      </c>
      <c r="R70" s="1">
        <f t="shared" si="148"/>
        <v>-9.038885794178892</v>
      </c>
      <c r="S70" s="1">
        <f>$M70+SUMPRODUCT(regions!BG70:BS70,regions!BG$193:BS$193)</f>
        <v>-2.0542597732943104</v>
      </c>
      <c r="T70" s="1">
        <f>$M70+SUMPRODUCT(regions!BV70:CD70,regions!BV$193:CD$193)</f>
        <v>-6.6809771615980162</v>
      </c>
      <c r="U70" s="1">
        <f>$M70+SUMPRODUCT(regions!CQ70:CV70,regions!CQ$193:CV$193)</f>
        <v>-7.1197127248122172</v>
      </c>
      <c r="V70" s="1">
        <f>$M70+SUMPRODUCT(regions!CY70:DF70,regions!CY$193:DF$193)</f>
        <v>-6.6709771615980156</v>
      </c>
      <c r="W70" s="1">
        <f>$M70+SUMPRODUCT(regions!DI70:DP70,regions!DI$193:DP$193)</f>
        <v>-4.6318771615980161</v>
      </c>
      <c r="X70" s="1">
        <f>$M70+SUMPRODUCT(regions!DR70:DW70,regions!DR$193:DW$193)</f>
        <v>-5.0165366798591577</v>
      </c>
      <c r="Y70" s="1">
        <f>$M70+SUMPRODUCT(regions!DZ70:EE70,regions!DZ$193:EE$193)</f>
        <v>-4.515548746874428</v>
      </c>
      <c r="Z70" s="1">
        <f t="shared" si="26"/>
        <v>-10.5</v>
      </c>
      <c r="AA70" t="str">
        <f>Maddison!A31</f>
        <v>Guatemala</v>
      </c>
      <c r="AB70">
        <f>-Maddison!B31</f>
        <v>-10.5</v>
      </c>
      <c r="AC70" s="1">
        <f>N70-AB70</f>
        <v>4.4244617352720894E-2</v>
      </c>
      <c r="AF70" s="1">
        <f t="shared" si="156"/>
        <v>2.4898017269057</v>
      </c>
      <c r="AG70" s="1"/>
      <c r="AH70" s="1">
        <f t="shared" si="161"/>
        <v>-0.23764985208450487</v>
      </c>
      <c r="AI70" s="1">
        <f t="shared" si="141"/>
        <v>-0.22180652861220451</v>
      </c>
      <c r="AJ70" s="1">
        <f t="shared" si="141"/>
        <v>-0.20596320513990415</v>
      </c>
      <c r="AK70" s="1">
        <f t="shared" si="141"/>
        <v>-0.17427655819530349</v>
      </c>
      <c r="AL70" s="1">
        <f t="shared" si="141"/>
        <v>-0.15843323472300316</v>
      </c>
      <c r="AM70" s="1">
        <f t="shared" si="141"/>
        <v>-0.14258991125070286</v>
      </c>
      <c r="AN70" s="1">
        <f t="shared" si="141"/>
        <v>-0.12674658777840253</v>
      </c>
      <c r="AO70" s="1">
        <f t="shared" si="141"/>
        <v>-0.1109032643061022</v>
      </c>
      <c r="AP70" s="1">
        <f t="shared" si="141"/>
        <v>-9.5059940833801898E-2</v>
      </c>
      <c r="AQ70" s="1">
        <f t="shared" si="141"/>
        <v>-7.9216617361501568E-2</v>
      </c>
      <c r="AR70" s="1">
        <f t="shared" si="141"/>
        <v>-6.3373293889201252E-2</v>
      </c>
      <c r="AS70" s="1">
        <f t="shared" si="141"/>
        <v>-4.7529970416900942E-2</v>
      </c>
      <c r="AT70" s="1">
        <f t="shared" si="141"/>
        <v>-3.1686646944600612E-2</v>
      </c>
      <c r="AU70" s="1">
        <f t="shared" si="141"/>
        <v>-1.5843323472300292E-2</v>
      </c>
      <c r="AV70" s="1">
        <f t="shared" si="141"/>
        <v>0</v>
      </c>
      <c r="AW70" s="1">
        <f t="shared" si="141"/>
        <v>1.5843323472300323E-2</v>
      </c>
      <c r="AX70" s="1">
        <f t="shared" si="141"/>
        <v>0</v>
      </c>
      <c r="AY70" s="1">
        <f t="shared" si="141"/>
        <v>4.752997041690097E-2</v>
      </c>
      <c r="AZ70" s="1">
        <f t="shared" si="141"/>
        <v>6.3373293889201293E-2</v>
      </c>
      <c r="BA70" s="1">
        <f t="shared" si="141"/>
        <v>7.9216617361501609E-2</v>
      </c>
      <c r="BB70" s="1">
        <f t="shared" si="141"/>
        <v>9.5059940833801926E-2</v>
      </c>
      <c r="BC70" s="1">
        <f t="shared" si="141"/>
        <v>0.11090326430610226</v>
      </c>
      <c r="BD70" s="1"/>
      <c r="BE70">
        <f t="shared" ref="BE70" si="167">LN($D70)-LN($D70*(1+BA70/100))</f>
        <v>-7.9185257559544198E-4</v>
      </c>
      <c r="BF70">
        <f t="shared" si="163"/>
        <v>-9.5014787484970498E-4</v>
      </c>
      <c r="BG70">
        <f t="shared" si="163"/>
        <v>-1.1084181206673094E-3</v>
      </c>
    </row>
    <row r="71" spans="1:59" x14ac:dyDescent="0.35">
      <c r="A71" t="str">
        <f>regions!A71</f>
        <v>Guinea</v>
      </c>
      <c r="B71" s="22">
        <f>regions!B71</f>
        <v>10876033</v>
      </c>
      <c r="C71" s="22">
        <f>regions!C71</f>
        <v>3267609254.7415366</v>
      </c>
      <c r="D71" s="10">
        <f>regions!D71</f>
        <v>300.44127805988973</v>
      </c>
      <c r="E71" s="1">
        <f>regions!X71</f>
        <v>25.7</v>
      </c>
      <c r="I71" s="7">
        <f t="shared" si="128"/>
        <v>-13.259723874903244</v>
      </c>
      <c r="J71" s="1">
        <f t="shared" si="129"/>
        <v>-12.740558825157134</v>
      </c>
      <c r="K71" s="1">
        <f t="shared" si="154"/>
        <v>-10.987426028683126</v>
      </c>
      <c r="L71" s="1">
        <f t="shared" si="129"/>
        <v>-16.09107630668322</v>
      </c>
      <c r="M71" s="1">
        <f t="shared" si="158"/>
        <v>-15.269605598120293</v>
      </c>
      <c r="N71" s="1">
        <f t="shared" ref="N71" si="168">M71+M$2</f>
        <v>-14.885162707673272</v>
      </c>
      <c r="O71" s="1">
        <f t="shared" si="160"/>
        <v>2.9171998047434995</v>
      </c>
      <c r="P71" s="1">
        <f t="shared" si="148"/>
        <v>-16.535113395702581</v>
      </c>
      <c r="Q71" s="1">
        <f t="shared" si="148"/>
        <v>-13.509767773582766</v>
      </c>
      <c r="R71" s="1">
        <f t="shared" si="148"/>
        <v>-13.468293119204885</v>
      </c>
      <c r="S71" s="1">
        <f>$M71+SUMPRODUCT(regions!BG71:BS71,regions!BG$193:BS$193)</f>
        <v>-6.0144772916923444</v>
      </c>
      <c r="T71" s="1">
        <f>$M71+SUMPRODUCT(regions!BV71:CD71,regions!BV$193:CD$193)</f>
        <v>-13.62428827850461</v>
      </c>
      <c r="U71" s="1">
        <f>$M71+SUMPRODUCT(regions!CQ71:CV71,regions!CQ$193:CV$193)</f>
        <v>-11.54912004983821</v>
      </c>
      <c r="V71" s="1">
        <f>$M71+SUMPRODUCT(regions!CY71:DF71,regions!CY$193:DF$193)</f>
        <v>-13.168028077294592</v>
      </c>
      <c r="W71" s="1">
        <f>$M71+SUMPRODUCT(regions!DI71:DP71,regions!DI$193:DP$193)</f>
        <v>-9.5689280772945917</v>
      </c>
      <c r="X71" s="1">
        <f>$M71+SUMPRODUCT(regions!DR71:DW71,regions!DR$193:DW$193)</f>
        <v>-9.4459440048851508</v>
      </c>
      <c r="Y71" s="1">
        <f>$M71+SUMPRODUCT(regions!DZ71:EE71,regions!DZ$193:EE$193)</f>
        <v>-8.9449560719004211</v>
      </c>
      <c r="Z71" s="1">
        <f t="shared" si="26"/>
        <v>-11.789539415675641</v>
      </c>
      <c r="AF71" s="1">
        <f t="shared" si="156"/>
        <v>-1.9396055981202931</v>
      </c>
      <c r="AG71" s="1"/>
      <c r="AH71" s="1">
        <f t="shared" si="161"/>
        <v>0.18513401228475546</v>
      </c>
      <c r="AI71" s="1">
        <f t="shared" si="141"/>
        <v>0.17279174479910508</v>
      </c>
      <c r="AJ71" s="1">
        <f t="shared" si="141"/>
        <v>0.16044947731345469</v>
      </c>
      <c r="AK71" s="1">
        <f t="shared" si="141"/>
        <v>0.13576494234215394</v>
      </c>
      <c r="AL71" s="1">
        <f t="shared" si="141"/>
        <v>0.12342267485650359</v>
      </c>
      <c r="AM71" s="1">
        <f t="shared" si="141"/>
        <v>0.11108040737085323</v>
      </c>
      <c r="AN71" s="1">
        <f t="shared" si="141"/>
        <v>9.8738139885202858E-2</v>
      </c>
      <c r="AO71" s="1">
        <f t="shared" si="141"/>
        <v>8.6395872399552501E-2</v>
      </c>
      <c r="AP71" s="1">
        <f t="shared" si="141"/>
        <v>7.4053604913902144E-2</v>
      </c>
      <c r="AQ71" s="1">
        <f t="shared" si="141"/>
        <v>6.1711337428251779E-2</v>
      </c>
      <c r="AR71" s="1">
        <f t="shared" si="141"/>
        <v>4.9369069942601422E-2</v>
      </c>
      <c r="AS71" s="1">
        <f t="shared" si="141"/>
        <v>3.7026802456951065E-2</v>
      </c>
      <c r="AT71" s="1">
        <f t="shared" si="141"/>
        <v>2.4684534971300701E-2</v>
      </c>
      <c r="AU71" s="1">
        <f t="shared" si="141"/>
        <v>1.234226748565034E-2</v>
      </c>
      <c r="AV71" s="1">
        <f t="shared" si="141"/>
        <v>0</v>
      </c>
      <c r="AW71" s="1">
        <f t="shared" si="141"/>
        <v>-1.2342267485650362E-2</v>
      </c>
      <c r="AX71" s="1">
        <f t="shared" si="141"/>
        <v>0</v>
      </c>
      <c r="AY71" s="1">
        <f t="shared" si="141"/>
        <v>-3.7026802456951093E-2</v>
      </c>
      <c r="AZ71" s="1">
        <f t="shared" si="141"/>
        <v>-4.936906994260145E-2</v>
      </c>
      <c r="BA71" s="1">
        <f t="shared" si="141"/>
        <v>-6.1711337428251807E-2</v>
      </c>
      <c r="BB71" s="1">
        <f t="shared" si="141"/>
        <v>-7.4053604913902171E-2</v>
      </c>
      <c r="BC71" s="1">
        <f t="shared" si="141"/>
        <v>-8.6395872399552542E-2</v>
      </c>
      <c r="BD71" s="1"/>
      <c r="BE71">
        <f t="shared" ref="BE71" si="169">LN($D71)-LN($D71*(1+BA71/100))</f>
        <v>6.1730386711555951E-4</v>
      </c>
      <c r="BF71">
        <f t="shared" si="163"/>
        <v>7.4081038140327848E-4</v>
      </c>
      <c r="BG71">
        <f t="shared" si="163"/>
        <v>8.6433215143344455E-4</v>
      </c>
    </row>
    <row r="72" spans="1:59" x14ac:dyDescent="0.35">
      <c r="A72" t="str">
        <f>regions!A72</f>
        <v>Guinea-Bissau</v>
      </c>
      <c r="B72" s="22">
        <f>regions!B72</f>
        <v>1586624</v>
      </c>
      <c r="C72" s="22">
        <f>regions!C72</f>
        <v>654977405.69626474</v>
      </c>
      <c r="D72" s="10">
        <f>regions!D72</f>
        <v>412.81198676955898</v>
      </c>
      <c r="E72" s="1">
        <f>regions!X72</f>
        <v>26.7</v>
      </c>
      <c r="I72" s="7">
        <f t="shared" si="128"/>
        <v>-13.702200663881108</v>
      </c>
      <c r="J72" s="1">
        <f t="shared" si="129"/>
        <v>-13.183035614134997</v>
      </c>
      <c r="K72" s="1">
        <f t="shared" si="154"/>
        <v>-11.184110724729305</v>
      </c>
      <c r="L72" s="1">
        <f t="shared" si="129"/>
        <v>-16.287761002729397</v>
      </c>
      <c r="M72" s="1">
        <f t="shared" si="158"/>
        <v>-15.184203789169819</v>
      </c>
      <c r="N72" s="1">
        <f t="shared" ref="N72" si="170">M72+M$2</f>
        <v>-14.799760898722798</v>
      </c>
      <c r="O72" s="1">
        <f t="shared" si="160"/>
        <v>2.917199804743515</v>
      </c>
      <c r="P72" s="1">
        <f t="shared" si="148"/>
        <v>-16.449711586752109</v>
      </c>
      <c r="Q72" s="1">
        <f t="shared" si="148"/>
        <v>-13.424365964632292</v>
      </c>
      <c r="R72" s="1">
        <f t="shared" si="148"/>
        <v>-13.382891310254411</v>
      </c>
      <c r="S72" s="1">
        <f>$M72+SUMPRODUCT(regions!BG72:BS72,regions!BG$193:BS$193)</f>
        <v>-5.9290754827418706</v>
      </c>
      <c r="T72" s="1">
        <f>$M72+SUMPRODUCT(regions!BV72:CD72,regions!BV$193:CD$193)</f>
        <v>-13.538886469554136</v>
      </c>
      <c r="U72" s="1">
        <f>$M72+SUMPRODUCT(regions!CQ72:CV72,regions!CQ$193:CV$193)</f>
        <v>-11.463718240887736</v>
      </c>
      <c r="V72" s="1">
        <f>$M72+SUMPRODUCT(regions!CY72:DF72,regions!CY$193:DF$193)</f>
        <v>-13.082626268344118</v>
      </c>
      <c r="W72" s="1">
        <f>$M72+SUMPRODUCT(regions!DI72:DP72,regions!DI$193:DP$193)</f>
        <v>-9.4835262683441179</v>
      </c>
      <c r="X72" s="1">
        <f>$M72+SUMPRODUCT(regions!DR72:DW72,regions!DR$193:DW$193)</f>
        <v>-9.3605421959346771</v>
      </c>
      <c r="Y72" s="1">
        <f>$M72+SUMPRODUCT(regions!DZ72:EE72,regions!DZ$193:EE$193)</f>
        <v>-8.8595542629499473</v>
      </c>
      <c r="Z72" s="1">
        <f t="shared" si="26"/>
        <v>-11.704137606725167</v>
      </c>
      <c r="AF72" s="1">
        <f t="shared" si="156"/>
        <v>-1.8542037891698193</v>
      </c>
      <c r="AG72" s="1"/>
      <c r="AH72" s="1">
        <f t="shared" si="161"/>
        <v>0.17698246871182505</v>
      </c>
      <c r="AI72" s="1">
        <f t="shared" si="141"/>
        <v>0.16518363746437001</v>
      </c>
      <c r="AJ72" s="1">
        <f t="shared" si="141"/>
        <v>0.15338480621691497</v>
      </c>
      <c r="AK72" s="1">
        <f t="shared" si="141"/>
        <v>0.12978714372200498</v>
      </c>
      <c r="AL72" s="1">
        <f t="shared" si="141"/>
        <v>0.11798831247454998</v>
      </c>
      <c r="AM72" s="1">
        <f t="shared" si="141"/>
        <v>0.10618948122709497</v>
      </c>
      <c r="AN72" s="1">
        <f t="shared" si="141"/>
        <v>9.4390649979639973E-2</v>
      </c>
      <c r="AO72" s="1">
        <f t="shared" si="141"/>
        <v>8.2591818732184963E-2</v>
      </c>
      <c r="AP72" s="1">
        <f t="shared" si="141"/>
        <v>7.079298748472998E-2</v>
      </c>
      <c r="AQ72" s="1">
        <f t="shared" si="141"/>
        <v>5.8994156237274976E-2</v>
      </c>
      <c r="AR72" s="1">
        <f t="shared" si="141"/>
        <v>4.719532498981998E-2</v>
      </c>
      <c r="AS72" s="1">
        <f t="shared" si="141"/>
        <v>3.5396493742364983E-2</v>
      </c>
      <c r="AT72" s="1">
        <f t="shared" si="141"/>
        <v>2.3597662494909979E-2</v>
      </c>
      <c r="AU72" s="1">
        <f t="shared" si="141"/>
        <v>1.1798831247454979E-2</v>
      </c>
      <c r="AV72" s="1">
        <f t="shared" si="141"/>
        <v>0</v>
      </c>
      <c r="AW72" s="1">
        <f t="shared" si="141"/>
        <v>-1.1798831247455002E-2</v>
      </c>
      <c r="AX72" s="1">
        <f t="shared" si="141"/>
        <v>0</v>
      </c>
      <c r="AY72" s="1">
        <f t="shared" si="141"/>
        <v>-3.5396493742365011E-2</v>
      </c>
      <c r="AZ72" s="1">
        <f t="shared" si="141"/>
        <v>-4.7195324989820008E-2</v>
      </c>
      <c r="BA72" s="1">
        <f t="shared" si="141"/>
        <v>-5.8994156237275004E-2</v>
      </c>
      <c r="BB72" s="1">
        <f t="shared" si="141"/>
        <v>-7.0792987484730008E-2</v>
      </c>
      <c r="BC72" s="1">
        <f t="shared" si="141"/>
        <v>-8.2591818732185004E-2</v>
      </c>
      <c r="BD72" s="1"/>
      <c r="BE72">
        <f t="shared" ref="BE72" si="171">LN($D72)-LN($D72*(1+BA72/100))</f>
        <v>5.9011564636524128E-4</v>
      </c>
      <c r="BF72">
        <f t="shared" si="163"/>
        <v>7.0818057552646252E-4</v>
      </c>
      <c r="BG72">
        <f t="shared" si="163"/>
        <v>8.2625944566139253E-4</v>
      </c>
    </row>
    <row r="73" spans="1:59" x14ac:dyDescent="0.35">
      <c r="A73" t="str">
        <f>regions!A73</f>
        <v>Guyana</v>
      </c>
      <c r="B73" s="22">
        <f>regions!B73</f>
        <v>786126</v>
      </c>
      <c r="C73" s="22">
        <f>regions!C73</f>
        <v>918902044.7624557</v>
      </c>
      <c r="D73" s="10">
        <f>regions!D73</f>
        <v>1168.8991901583915</v>
      </c>
      <c r="E73" s="1">
        <f>regions!X73</f>
        <v>25.9</v>
      </c>
      <c r="I73" s="7">
        <f t="shared" si="128"/>
        <v>-12.740643427930566</v>
      </c>
      <c r="J73" s="1">
        <f t="shared" si="129"/>
        <v>-12.221478378184456</v>
      </c>
      <c r="K73" s="1">
        <f t="shared" si="154"/>
        <v>-9.1377468979039946</v>
      </c>
      <c r="L73" s="1">
        <f t="shared" si="129"/>
        <v>-14.241397175904087</v>
      </c>
      <c r="M73" s="1">
        <f t="shared" si="158"/>
        <v>-13.076624025671563</v>
      </c>
      <c r="N73" s="1">
        <f t="shared" ref="N73" si="172">M73+M$2</f>
        <v>-12.692181135224542</v>
      </c>
      <c r="O73" s="1">
        <f t="shared" si="160"/>
        <v>2.727767482090941</v>
      </c>
      <c r="P73" s="1">
        <f t="shared" si="148"/>
        <v>-14.342131823253851</v>
      </c>
      <c r="Q73" s="1">
        <f t="shared" si="148"/>
        <v>-11.316786201134036</v>
      </c>
      <c r="R73" s="1">
        <f t="shared" si="148"/>
        <v>-11.275311546756155</v>
      </c>
      <c r="S73" s="1">
        <f>$M73+SUMPRODUCT(regions!BG73:BS73,regions!BG$193:BS$193)</f>
        <v>-4.2906855258715737</v>
      </c>
      <c r="T73" s="1">
        <f>$M73+SUMPRODUCT(regions!BV73:CD73,regions!BV$193:CD$193)</f>
        <v>-8.9174029141752804</v>
      </c>
      <c r="U73" s="1">
        <f>$M73+SUMPRODUCT(regions!CQ73:CV73,regions!CQ$193:CV$193)</f>
        <v>-9.3561384773894805</v>
      </c>
      <c r="V73" s="1">
        <f>$M73+SUMPRODUCT(regions!CY73:DF73,regions!CY$193:DF$193)</f>
        <v>-8.9074029141752789</v>
      </c>
      <c r="W73" s="1">
        <f>$M73+SUMPRODUCT(regions!DI73:DP73,regions!DI$193:DP$193)</f>
        <v>-6.8683029141752794</v>
      </c>
      <c r="X73" s="1">
        <f>$M73+SUMPRODUCT(regions!DR73:DW73,regions!DR$193:DW$193)</f>
        <v>-7.252962432436421</v>
      </c>
      <c r="Y73" s="1">
        <f>$M73+SUMPRODUCT(regions!DZ73:EE73,regions!DZ$193:EE$193)</f>
        <v>-6.7519744994516913</v>
      </c>
      <c r="Z73" s="1">
        <f t="shared" ref="Z73:Z136" si="173">IF(ISNUMBER(AB73),AB73,N73-AC$2)</f>
        <v>-9.5965578432269112</v>
      </c>
      <c r="AF73" s="1">
        <f t="shared" si="156"/>
        <v>0.25337597432843673</v>
      </c>
      <c r="AG73" s="1"/>
      <c r="AH73" s="1">
        <f t="shared" si="161"/>
        <v>-2.4184561433232908E-2</v>
      </c>
      <c r="AI73" s="1">
        <f t="shared" si="141"/>
        <v>-2.2572257337684046E-2</v>
      </c>
      <c r="AJ73" s="1">
        <f t="shared" si="141"/>
        <v>-2.095995324213518E-2</v>
      </c>
      <c r="AK73" s="1">
        <f t="shared" si="141"/>
        <v>-1.7735345051037459E-2</v>
      </c>
      <c r="AL73" s="1">
        <f t="shared" si="141"/>
        <v>-1.61230409554886E-2</v>
      </c>
      <c r="AM73" s="1">
        <f t="shared" si="141"/>
        <v>-1.4510736859939739E-2</v>
      </c>
      <c r="AN73" s="1">
        <f t="shared" si="141"/>
        <v>-1.2898432764390878E-2</v>
      </c>
      <c r="AO73" s="1">
        <f t="shared" si="141"/>
        <v>-1.1286128668842018E-2</v>
      </c>
      <c r="AP73" s="1">
        <f t="shared" si="141"/>
        <v>-9.6738245732931587E-3</v>
      </c>
      <c r="AQ73" s="1">
        <f t="shared" si="141"/>
        <v>-8.0615204777442981E-3</v>
      </c>
      <c r="AR73" s="1">
        <f t="shared" si="141"/>
        <v>-6.4492163821954383E-3</v>
      </c>
      <c r="AS73" s="1">
        <f t="shared" si="141"/>
        <v>-4.8369122866465785E-3</v>
      </c>
      <c r="AT73" s="1">
        <f t="shared" si="141"/>
        <v>-3.2246081910977178E-3</v>
      </c>
      <c r="AU73" s="1">
        <f t="shared" si="141"/>
        <v>-1.6123040955488574E-3</v>
      </c>
      <c r="AV73" s="1">
        <f t="shared" si="141"/>
        <v>0</v>
      </c>
      <c r="AW73" s="1">
        <f t="shared" si="141"/>
        <v>1.6123040955488604E-3</v>
      </c>
      <c r="AX73" s="1">
        <f t="shared" si="141"/>
        <v>0</v>
      </c>
      <c r="AY73" s="1">
        <f t="shared" si="141"/>
        <v>4.836912286646582E-3</v>
      </c>
      <c r="AZ73" s="1">
        <f t="shared" si="141"/>
        <v>6.4492163821954418E-3</v>
      </c>
      <c r="BA73" s="1">
        <f t="shared" si="141"/>
        <v>8.0615204777443016E-3</v>
      </c>
      <c r="BB73" s="1">
        <f t="shared" ref="AI73:BC85" si="174">$AF73*BB$2</f>
        <v>9.6738245732931622E-3</v>
      </c>
      <c r="BC73" s="1">
        <f t="shared" si="174"/>
        <v>1.1286128668842023E-2</v>
      </c>
      <c r="BD73" s="1"/>
      <c r="BE73">
        <f t="shared" ref="BE73" si="175">LN($D73)-LN($D73*(1+BA73/100))</f>
        <v>-8.0611955546316949E-5</v>
      </c>
      <c r="BF73">
        <f t="shared" si="163"/>
        <v>-9.6733566890883083E-5</v>
      </c>
      <c r="BG73">
        <f t="shared" si="163"/>
        <v>-1.1285491833223915E-4</v>
      </c>
    </row>
    <row r="74" spans="1:59" x14ac:dyDescent="0.35">
      <c r="A74" t="str">
        <f>regions!A74</f>
        <v>Haiti</v>
      </c>
      <c r="B74" s="22">
        <f>regions!B74</f>
        <v>9896400</v>
      </c>
      <c r="C74" s="22">
        <f>regions!C74</f>
        <v>4312557777.9740305</v>
      </c>
      <c r="D74" s="10">
        <f>regions!D74</f>
        <v>435.77035871367673</v>
      </c>
      <c r="E74" s="1">
        <f>regions!X74</f>
        <v>24.8</v>
      </c>
      <c r="I74" s="7">
        <f t="shared" si="128"/>
        <v>-12.688819598042684</v>
      </c>
      <c r="J74" s="1">
        <f t="shared" si="129"/>
        <v>-12.169654548296574</v>
      </c>
      <c r="K74" s="1">
        <f t="shared" si="154"/>
        <v>-10.267559066623932</v>
      </c>
      <c r="L74" s="1">
        <f t="shared" si="129"/>
        <v>-15.371209344624024</v>
      </c>
      <c r="M74" s="1">
        <f t="shared" si="158"/>
        <v>-14.241176326380181</v>
      </c>
      <c r="N74" s="1">
        <f t="shared" ref="N74" si="176">M74+M$2</f>
        <v>-13.85673343593316</v>
      </c>
      <c r="O74" s="1">
        <f t="shared" si="160"/>
        <v>2.727767482090941</v>
      </c>
      <c r="P74" s="1">
        <f t="shared" si="148"/>
        <v>-15.506684123962469</v>
      </c>
      <c r="Q74" s="1">
        <f t="shared" si="148"/>
        <v>-12.481338501842654</v>
      </c>
      <c r="R74" s="1">
        <f t="shared" si="148"/>
        <v>-12.439863847464773</v>
      </c>
      <c r="S74" s="1">
        <f>$M74+SUMPRODUCT(regions!BG74:BS74,regions!BG$193:BS$193)</f>
        <v>-5.4552378265801913</v>
      </c>
      <c r="T74" s="1">
        <f>$M74+SUMPRODUCT(regions!BV74:CD74,regions!BV$193:CD$193)</f>
        <v>-10.081955214883898</v>
      </c>
      <c r="U74" s="1">
        <f>$M74+SUMPRODUCT(regions!CQ74:CV74,regions!CQ$193:CV$193)</f>
        <v>-10.520690778098098</v>
      </c>
      <c r="V74" s="1">
        <f>$M74+SUMPRODUCT(regions!CY74:DF74,regions!CY$193:DF$193)</f>
        <v>-10.071955214883896</v>
      </c>
      <c r="W74" s="1">
        <f>$M74+SUMPRODUCT(regions!DI74:DP74,regions!DI$193:DP$193)</f>
        <v>-8.032855214883897</v>
      </c>
      <c r="X74" s="1">
        <f>$M74+SUMPRODUCT(regions!DR74:DW74,regions!DR$193:DW$193)</f>
        <v>-8.4175147331450386</v>
      </c>
      <c r="Y74" s="1">
        <f>$M74+SUMPRODUCT(regions!DZ74:EE74,regions!DZ$193:EE$193)</f>
        <v>-7.9165268001603089</v>
      </c>
      <c r="Z74" s="1">
        <f t="shared" si="173"/>
        <v>-10.761110143935529</v>
      </c>
      <c r="AF74" s="1">
        <f t="shared" si="156"/>
        <v>-0.91117632638018087</v>
      </c>
      <c r="AG74" s="1"/>
      <c r="AH74" s="1">
        <f t="shared" si="161"/>
        <v>8.6971149890022498E-2</v>
      </c>
      <c r="AI74" s="1">
        <f t="shared" si="174"/>
        <v>8.1173073230687662E-2</v>
      </c>
      <c r="AJ74" s="1">
        <f t="shared" si="174"/>
        <v>7.5374996571352812E-2</v>
      </c>
      <c r="AK74" s="1">
        <f t="shared" si="174"/>
        <v>6.377884325268314E-2</v>
      </c>
      <c r="AL74" s="1">
        <f t="shared" si="174"/>
        <v>5.7980766593348311E-2</v>
      </c>
      <c r="AM74" s="1">
        <f t="shared" si="174"/>
        <v>5.2182689934013475E-2</v>
      </c>
      <c r="AN74" s="1">
        <f t="shared" si="174"/>
        <v>4.6384613274678646E-2</v>
      </c>
      <c r="AO74" s="1">
        <f t="shared" si="174"/>
        <v>4.058653661534381E-2</v>
      </c>
      <c r="AP74" s="1">
        <f t="shared" si="174"/>
        <v>3.4788459956008981E-2</v>
      </c>
      <c r="AQ74" s="1">
        <f t="shared" si="174"/>
        <v>2.8990383296674149E-2</v>
      </c>
      <c r="AR74" s="1">
        <f t="shared" si="174"/>
        <v>2.319230663733932E-2</v>
      </c>
      <c r="AS74" s="1">
        <f t="shared" si="174"/>
        <v>1.7394229978004487E-2</v>
      </c>
      <c r="AT74" s="1">
        <f t="shared" si="174"/>
        <v>1.1596153318669655E-2</v>
      </c>
      <c r="AU74" s="1">
        <f t="shared" si="174"/>
        <v>5.7980766593348221E-3</v>
      </c>
      <c r="AV74" s="1">
        <f t="shared" si="174"/>
        <v>0</v>
      </c>
      <c r="AW74" s="1">
        <f t="shared" si="174"/>
        <v>-5.7980766593348325E-3</v>
      </c>
      <c r="AX74" s="1">
        <f t="shared" si="174"/>
        <v>0</v>
      </c>
      <c r="AY74" s="1">
        <f t="shared" si="174"/>
        <v>-1.7394229978004501E-2</v>
      </c>
      <c r="AZ74" s="1">
        <f t="shared" si="174"/>
        <v>-2.319230663733933E-2</v>
      </c>
      <c r="BA74" s="1">
        <f t="shared" si="174"/>
        <v>-2.8990383296674162E-2</v>
      </c>
      <c r="BB74" s="1">
        <f t="shared" si="174"/>
        <v>-3.4788459956008995E-2</v>
      </c>
      <c r="BC74" s="1">
        <f t="shared" si="174"/>
        <v>-4.0586536615343831E-2</v>
      </c>
      <c r="BD74" s="1"/>
      <c r="BE74">
        <f t="shared" ref="BE74" si="177">LN($D74)-LN($D74*(1+BA74/100))</f>
        <v>2.8994586320596483E-4</v>
      </c>
      <c r="BF74">
        <f t="shared" si="163"/>
        <v>3.4794512544511491E-4</v>
      </c>
      <c r="BG74">
        <f t="shared" si="163"/>
        <v>4.0594775179325637E-4</v>
      </c>
    </row>
    <row r="75" spans="1:59" x14ac:dyDescent="0.35">
      <c r="A75" t="str">
        <f>regions!A75</f>
        <v>Honduras</v>
      </c>
      <c r="B75" s="22">
        <f>regions!B75</f>
        <v>7621204</v>
      </c>
      <c r="C75" s="22">
        <f>regions!C75</f>
        <v>11546063422.563662</v>
      </c>
      <c r="D75" s="10">
        <f>regions!D75</f>
        <v>1514.9920435883439</v>
      </c>
      <c r="E75" s="1">
        <f>regions!X75</f>
        <v>23.5</v>
      </c>
      <c r="I75" s="7">
        <f t="shared" si="128"/>
        <v>-11.239675026547436</v>
      </c>
      <c r="J75" s="1">
        <f t="shared" si="129"/>
        <v>-10.720509976801326</v>
      </c>
      <c r="K75" s="1">
        <f t="shared" si="154"/>
        <v>-7.307162614136324</v>
      </c>
      <c r="L75" s="1">
        <f t="shared" si="129"/>
        <v>-12.410812892136416</v>
      </c>
      <c r="M75" s="1">
        <f t="shared" si="158"/>
        <v>-11.564542152081783</v>
      </c>
      <c r="N75" s="1">
        <f t="shared" ref="N75" si="178">M75+M$2</f>
        <v>-11.180099261634762</v>
      </c>
      <c r="O75" s="1">
        <f t="shared" si="160"/>
        <v>3.8628217621901717</v>
      </c>
      <c r="P75" s="1">
        <f t="shared" si="148"/>
        <v>-12.830049949664071</v>
      </c>
      <c r="Q75" s="1">
        <f t="shared" si="148"/>
        <v>-9.8047043275442558</v>
      </c>
      <c r="R75" s="1">
        <f t="shared" si="148"/>
        <v>-9.763229673166375</v>
      </c>
      <c r="S75" s="1">
        <f>$M75+SUMPRODUCT(regions!BG75:BS75,regions!BG$193:BS$193)</f>
        <v>-2.7786036522817934</v>
      </c>
      <c r="T75" s="1">
        <f>$M75+SUMPRODUCT(regions!BV75:CD75,regions!BV$193:CD$193)</f>
        <v>-11.395296007929277</v>
      </c>
      <c r="U75" s="1">
        <f>$M75+SUMPRODUCT(regions!CQ75:CV75,regions!CQ$193:CV$193)</f>
        <v>-7.8440566037997002</v>
      </c>
      <c r="V75" s="1">
        <f>$M75+SUMPRODUCT(regions!CY75:DF75,regions!CY$193:DF$193)</f>
        <v>-11.695296007929276</v>
      </c>
      <c r="W75" s="1">
        <f>$M75+SUMPRODUCT(regions!DI75:DP75,regions!DI$193:DP$193)</f>
        <v>-11.264796007929277</v>
      </c>
      <c r="X75" s="1">
        <f>$M75+SUMPRODUCT(regions!DR75:DW75,regions!DR$193:DW$193)</f>
        <v>-5.7408805588466407</v>
      </c>
      <c r="Y75" s="1">
        <f>$M75+SUMPRODUCT(regions!DZ75:EE75,regions!DZ$193:EE$193)</f>
        <v>-5.239892625861911</v>
      </c>
      <c r="Z75" s="1">
        <f t="shared" si="173"/>
        <v>-16.3</v>
      </c>
      <c r="AA75" t="str">
        <f>Maddison!A32</f>
        <v>Honduras</v>
      </c>
      <c r="AB75">
        <f>-Maddison!B32</f>
        <v>-16.3</v>
      </c>
      <c r="AC75" s="1">
        <f t="shared" ref="AC75:AC81" si="179">N75-AB75</f>
        <v>5.1199007383652386</v>
      </c>
      <c r="AF75" s="1">
        <f t="shared" si="156"/>
        <v>1.765457847918217</v>
      </c>
      <c r="AG75" s="1"/>
      <c r="AH75" s="1">
        <f t="shared" si="161"/>
        <v>-0.16851173002463068</v>
      </c>
      <c r="AI75" s="1">
        <f t="shared" si="174"/>
        <v>-0.15727761468965529</v>
      </c>
      <c r="AJ75" s="1">
        <f t="shared" si="174"/>
        <v>-0.14604349935467986</v>
      </c>
      <c r="AK75" s="1">
        <f t="shared" si="174"/>
        <v>-0.12357526868472912</v>
      </c>
      <c r="AL75" s="1">
        <f t="shared" si="174"/>
        <v>-0.11234115334975374</v>
      </c>
      <c r="AM75" s="1">
        <f t="shared" si="174"/>
        <v>-0.10110703801477836</v>
      </c>
      <c r="AN75" s="1">
        <f t="shared" si="174"/>
        <v>-8.9872922679802986E-2</v>
      </c>
      <c r="AO75" s="1">
        <f t="shared" si="174"/>
        <v>-7.8638807344827602E-2</v>
      </c>
      <c r="AP75" s="1">
        <f t="shared" si="174"/>
        <v>-6.7404692009852232E-2</v>
      </c>
      <c r="AQ75" s="1">
        <f t="shared" si="174"/>
        <v>-5.6170576674876856E-2</v>
      </c>
      <c r="AR75" s="1">
        <f t="shared" si="174"/>
        <v>-4.4936461339901486E-2</v>
      </c>
      <c r="AS75" s="1">
        <f t="shared" si="174"/>
        <v>-3.3702346004926109E-2</v>
      </c>
      <c r="AT75" s="1">
        <f t="shared" si="174"/>
        <v>-2.2468230669950733E-2</v>
      </c>
      <c r="AU75" s="1">
        <f t="shared" si="174"/>
        <v>-1.1234115334975356E-2</v>
      </c>
      <c r="AV75" s="1">
        <f t="shared" si="174"/>
        <v>0</v>
      </c>
      <c r="AW75" s="1">
        <f t="shared" si="174"/>
        <v>1.1234115334975377E-2</v>
      </c>
      <c r="AX75" s="1">
        <f t="shared" si="174"/>
        <v>0</v>
      </c>
      <c r="AY75" s="1">
        <f t="shared" si="174"/>
        <v>3.3702346004926137E-2</v>
      </c>
      <c r="AZ75" s="1">
        <f t="shared" si="174"/>
        <v>4.4936461339901507E-2</v>
      </c>
      <c r="BA75" s="1">
        <f t="shared" si="174"/>
        <v>5.6170576674876883E-2</v>
      </c>
      <c r="BB75" s="1">
        <f t="shared" si="174"/>
        <v>6.740469200985226E-2</v>
      </c>
      <c r="BC75" s="1">
        <f t="shared" si="174"/>
        <v>7.8638807344827644E-2</v>
      </c>
      <c r="BD75" s="1"/>
      <c r="BE75">
        <f t="shared" ref="BE75" si="180">LN($D75)-LN($D75*(1+BA75/100))</f>
        <v>-5.6154806911479227E-4</v>
      </c>
      <c r="BF75">
        <f t="shared" si="163"/>
        <v>-6.7381985250403176E-4</v>
      </c>
      <c r="BG75">
        <f t="shared" si="163"/>
        <v>-7.8607903235461407E-4</v>
      </c>
    </row>
    <row r="76" spans="1:59" x14ac:dyDescent="0.35">
      <c r="A76" t="str">
        <f>regions!A76</f>
        <v>Hong Kong</v>
      </c>
      <c r="B76" s="22">
        <f>regions!B76</f>
        <v>7024200</v>
      </c>
      <c r="C76" s="22">
        <f>regions!C76</f>
        <v>220058248223.22446</v>
      </c>
      <c r="D76" s="10">
        <f>regions!D76</f>
        <v>31328.585208738998</v>
      </c>
      <c r="E76" s="1">
        <f>regions!X76</f>
        <v>22.7</v>
      </c>
      <c r="I76" s="7">
        <f t="shared" si="128"/>
        <v>-4.1756216002300839</v>
      </c>
      <c r="J76" s="1">
        <f t="shared" si="129"/>
        <v>-3.6564565504839743</v>
      </c>
      <c r="K76" s="1">
        <f t="shared" si="154"/>
        <v>4.0237632685177189</v>
      </c>
      <c r="L76" s="1">
        <f t="shared" si="129"/>
        <v>-1.0798870094823734</v>
      </c>
      <c r="M76" s="1">
        <f t="shared" si="158"/>
        <v>-6.1162087615399052</v>
      </c>
      <c r="N76" s="1">
        <f t="shared" ref="N76" si="181">M76+M$2</f>
        <v>-5.7317658710928843</v>
      </c>
      <c r="O76" s="1">
        <f t="shared" si="160"/>
        <v>3.0127487087490623</v>
      </c>
      <c r="P76" s="1">
        <f t="shared" si="148"/>
        <v>-7.3817165591221929</v>
      </c>
      <c r="Q76" s="1">
        <f t="shared" si="148"/>
        <v>-4.3563709370023771</v>
      </c>
      <c r="R76" s="1">
        <f t="shared" si="148"/>
        <v>-4.3148962826244972</v>
      </c>
      <c r="S76" s="1">
        <f>$M76+SUMPRODUCT(regions!BG76:BS76,regions!BG$193:BS$193)</f>
        <v>-5.8443612207552746</v>
      </c>
      <c r="T76" s="1">
        <f>$M76+SUMPRODUCT(regions!BV76:CD76,regions!BV$193:CD$193)</f>
        <v>-8.0920740451708948</v>
      </c>
      <c r="U76" s="1">
        <f>$M76+SUMPRODUCT(regions!CQ76:CV76,regions!CQ$193:CV$193)</f>
        <v>-2.3957232132578223</v>
      </c>
      <c r="V76" s="1">
        <f>$M76+SUMPRODUCT(regions!CY76:DF76,regions!CY$193:DF$193)</f>
        <v>-5.9775713692201045</v>
      </c>
      <c r="W76" s="1">
        <f>$M76+SUMPRODUCT(regions!DI76:DP76,regions!DI$193:DP$193)</f>
        <v>-0.47257136922010634</v>
      </c>
      <c r="X76" s="1">
        <f>$M76+SUMPRODUCT(regions!DR76:DW76,regions!DR$193:DW$193)</f>
        <v>-0.29254716830476291</v>
      </c>
      <c r="Y76" s="1">
        <f>$M76+SUMPRODUCT(regions!DZ76:EE76,regions!DZ$193:EE$193)</f>
        <v>0.20844076467996686</v>
      </c>
      <c r="Z76" s="1">
        <f t="shared" si="173"/>
        <v>-0.8</v>
      </c>
      <c r="AA76" t="str">
        <f>Maddison!A33</f>
        <v>Hong Kong</v>
      </c>
      <c r="AB76">
        <f>-Maddison!B33</f>
        <v>-0.8</v>
      </c>
      <c r="AC76" s="1">
        <f t="shared" si="179"/>
        <v>-4.9317658710928844</v>
      </c>
      <c r="AF76" s="1">
        <f t="shared" si="156"/>
        <v>7.2137912384600948</v>
      </c>
      <c r="AG76" s="1"/>
      <c r="AH76" s="1">
        <f t="shared" si="161"/>
        <v>-0.68855138232999913</v>
      </c>
      <c r="AI76" s="1">
        <f t="shared" si="174"/>
        <v>-0.64264795684133247</v>
      </c>
      <c r="AJ76" s="1">
        <f t="shared" si="174"/>
        <v>-0.5967445313526657</v>
      </c>
      <c r="AK76" s="1">
        <f t="shared" si="174"/>
        <v>-0.50493768037533249</v>
      </c>
      <c r="AL76" s="1">
        <f t="shared" si="174"/>
        <v>-0.45903425488666588</v>
      </c>
      <c r="AM76" s="1">
        <f t="shared" si="174"/>
        <v>-0.41313082939799928</v>
      </c>
      <c r="AN76" s="1">
        <f t="shared" si="174"/>
        <v>-0.36722740390933267</v>
      </c>
      <c r="AO76" s="1">
        <f t="shared" si="174"/>
        <v>-0.32132397842066607</v>
      </c>
      <c r="AP76" s="1">
        <f t="shared" si="174"/>
        <v>-0.27542055293199952</v>
      </c>
      <c r="AQ76" s="1">
        <f t="shared" si="174"/>
        <v>-0.22951712744333289</v>
      </c>
      <c r="AR76" s="1">
        <f t="shared" si="174"/>
        <v>-0.18361370195466631</v>
      </c>
      <c r="AS76" s="1">
        <f t="shared" si="174"/>
        <v>-0.13771027646599973</v>
      </c>
      <c r="AT76" s="1">
        <f t="shared" si="174"/>
        <v>-9.1806850977333113E-2</v>
      </c>
      <c r="AU76" s="1">
        <f t="shared" si="174"/>
        <v>-4.5903425488666515E-2</v>
      </c>
      <c r="AV76" s="1">
        <f t="shared" si="174"/>
        <v>0</v>
      </c>
      <c r="AW76" s="1">
        <f t="shared" si="174"/>
        <v>4.5903425488666605E-2</v>
      </c>
      <c r="AX76" s="1">
        <f t="shared" si="174"/>
        <v>0</v>
      </c>
      <c r="AY76" s="1">
        <f t="shared" si="174"/>
        <v>0.13771027646599981</v>
      </c>
      <c r="AZ76" s="1">
        <f t="shared" si="174"/>
        <v>0.18361370195466642</v>
      </c>
      <c r="BA76" s="1">
        <f t="shared" si="174"/>
        <v>0.229517127443333</v>
      </c>
      <c r="BB76" s="1">
        <f t="shared" si="174"/>
        <v>0.27542055293199957</v>
      </c>
      <c r="BC76" s="1">
        <f t="shared" si="174"/>
        <v>0.32132397842066623</v>
      </c>
      <c r="BD76" s="1"/>
      <c r="BE76">
        <f t="shared" ref="BE76" si="182">LN($D76)-LN($D76*(1+BA76/100))</f>
        <v>-2.2925413920962256E-3</v>
      </c>
      <c r="BF76">
        <f t="shared" si="163"/>
        <v>-2.75041965506162E-3</v>
      </c>
      <c r="BG76">
        <f t="shared" si="163"/>
        <v>-3.2080883614717948E-3</v>
      </c>
    </row>
    <row r="77" spans="1:59" x14ac:dyDescent="0.35">
      <c r="A77" t="str">
        <f>regions!A77</f>
        <v>Hungary</v>
      </c>
      <c r="B77" s="22">
        <f>regions!B77</f>
        <v>10000023</v>
      </c>
      <c r="C77" s="22">
        <f>regions!C77</f>
        <v>109264940823.83978</v>
      </c>
      <c r="D77" s="10">
        <f>regions!D77</f>
        <v>10926.468951505391</v>
      </c>
      <c r="E77" s="1">
        <f>regions!X77</f>
        <v>9.8000000000000007</v>
      </c>
      <c r="I77" s="7">
        <f t="shared" si="128"/>
        <v>1.0776388543155582</v>
      </c>
      <c r="J77" s="1">
        <f t="shared" si="129"/>
        <v>1.5968039040616679</v>
      </c>
      <c r="K77" s="1">
        <f t="shared" si="154"/>
        <v>12.258554688209541</v>
      </c>
      <c r="L77" s="1">
        <f t="shared" si="129"/>
        <v>7.1549044102094488</v>
      </c>
      <c r="M77" s="1">
        <f t="shared" si="158"/>
        <v>-2.1008085944071038</v>
      </c>
      <c r="N77" s="1">
        <f t="shared" ref="N77" si="183">M77+M$2</f>
        <v>-1.716365703960083</v>
      </c>
      <c r="O77" s="1">
        <f t="shared" si="160"/>
        <v>2.4959395774745241</v>
      </c>
      <c r="P77" s="1">
        <f t="shared" si="148"/>
        <v>-3.3663163919893915</v>
      </c>
      <c r="Q77" s="1">
        <f t="shared" si="148"/>
        <v>-0.34097076986957586</v>
      </c>
      <c r="R77" s="1">
        <f t="shared" si="148"/>
        <v>-0.29949611549169597</v>
      </c>
      <c r="S77" s="1">
        <f>$M77+SUMPRODUCT(regions!BG77:BS77,regions!BG$193:BS$193)</f>
        <v>-0.94759142171699318</v>
      </c>
      <c r="T77" s="1">
        <f>$M77+SUMPRODUCT(regions!BV77:CD77,regions!BV$193:CD$193)</f>
        <v>-1.9315624502545974</v>
      </c>
      <c r="U77" s="1">
        <f>$M77+SUMPRODUCT(regions!CQ77:CV77,regions!CQ$193:CV$193)</f>
        <v>1.6196769538749791</v>
      </c>
      <c r="V77" s="1">
        <f>$M77+SUMPRODUCT(regions!CY77:DF77,regions!CY$193:DF$193)</f>
        <v>-2.2315624502545974</v>
      </c>
      <c r="W77" s="1">
        <f>$M77+SUMPRODUCT(regions!DI77:DP77,regions!DI$193:DP$193)</f>
        <v>-1.8010624502545973</v>
      </c>
      <c r="X77" s="1">
        <f>$M77+SUMPRODUCT(regions!DR77:DW77,regions!DR$193:DW$193)</f>
        <v>3.7228529988280386</v>
      </c>
      <c r="Y77" s="1">
        <f>$M77+SUMPRODUCT(regions!DZ77:EE77,regions!DZ$193:EE$193)</f>
        <v>4.2238409318127683</v>
      </c>
      <c r="Z77" s="1">
        <f t="shared" si="173"/>
        <v>1.9</v>
      </c>
      <c r="AA77" t="str">
        <f>Maddison!A34</f>
        <v>Hungary</v>
      </c>
      <c r="AB77">
        <f>-Maddison!B34</f>
        <v>1.9</v>
      </c>
      <c r="AC77" s="1">
        <f t="shared" si="179"/>
        <v>-3.6163657039600832</v>
      </c>
      <c r="AF77" s="1">
        <f t="shared" si="156"/>
        <v>11.229191405592896</v>
      </c>
      <c r="AG77" s="1"/>
      <c r="AH77" s="1">
        <f t="shared" si="161"/>
        <v>-1.071818549939024</v>
      </c>
      <c r="AI77" s="1">
        <f t="shared" si="174"/>
        <v>-1.0003639799430888</v>
      </c>
      <c r="AJ77" s="1">
        <f t="shared" si="174"/>
        <v>-0.92890940994715376</v>
      </c>
      <c r="AK77" s="1">
        <f t="shared" si="174"/>
        <v>-0.78600026995528394</v>
      </c>
      <c r="AL77" s="1">
        <f t="shared" si="174"/>
        <v>-0.71454569995934902</v>
      </c>
      <c r="AM77" s="1">
        <f t="shared" si="174"/>
        <v>-0.64309112996341411</v>
      </c>
      <c r="AN77" s="1">
        <f t="shared" si="174"/>
        <v>-0.57163655996747909</v>
      </c>
      <c r="AO77" s="1">
        <f t="shared" si="174"/>
        <v>-0.50018198997154417</v>
      </c>
      <c r="AP77" s="1">
        <f t="shared" si="174"/>
        <v>-0.42872741997560937</v>
      </c>
      <c r="AQ77" s="1">
        <f t="shared" si="174"/>
        <v>-0.3572728499796744</v>
      </c>
      <c r="AR77" s="1">
        <f t="shared" si="174"/>
        <v>-0.28581827998373954</v>
      </c>
      <c r="AS77" s="1">
        <f t="shared" si="174"/>
        <v>-0.21436370998780463</v>
      </c>
      <c r="AT77" s="1">
        <f t="shared" si="174"/>
        <v>-0.14290913999186972</v>
      </c>
      <c r="AU77" s="1">
        <f t="shared" si="174"/>
        <v>-7.1454569995934789E-2</v>
      </c>
      <c r="AV77" s="1">
        <f t="shared" si="174"/>
        <v>0</v>
      </c>
      <c r="AW77" s="1">
        <f t="shared" si="174"/>
        <v>7.1454569995934913E-2</v>
      </c>
      <c r="AX77" s="1">
        <f t="shared" si="174"/>
        <v>0</v>
      </c>
      <c r="AY77" s="1">
        <f t="shared" si="174"/>
        <v>0.2143637099878048</v>
      </c>
      <c r="AZ77" s="1">
        <f t="shared" si="174"/>
        <v>0.28581827998373965</v>
      </c>
      <c r="BA77" s="1">
        <f t="shared" si="174"/>
        <v>0.35727284997967457</v>
      </c>
      <c r="BB77" s="1">
        <f t="shared" si="174"/>
        <v>0.42872741997560948</v>
      </c>
      <c r="BC77" s="1">
        <f t="shared" si="174"/>
        <v>0.50018198997154439</v>
      </c>
      <c r="BD77" s="1"/>
      <c r="BE77">
        <f t="shared" ref="BE77" si="184">LN($D77)-LN($D77*(1+BA77/100))</f>
        <v>-3.5663614659462439E-3</v>
      </c>
      <c r="BF77">
        <f t="shared" si="163"/>
        <v>-4.2781100232804903E-3</v>
      </c>
      <c r="BG77">
        <f t="shared" si="163"/>
        <v>-4.9893523548885099E-3</v>
      </c>
    </row>
    <row r="78" spans="1:59" x14ac:dyDescent="0.35">
      <c r="A78" t="str">
        <f>regions!A78</f>
        <v>Iceland</v>
      </c>
      <c r="B78" s="22">
        <f>regions!B78</f>
        <v>318041</v>
      </c>
      <c r="C78" s="22">
        <f>regions!C78</f>
        <v>16388138908.052595</v>
      </c>
      <c r="D78" s="10">
        <f>regions!D78</f>
        <v>51528.384416011126</v>
      </c>
      <c r="E78" s="1">
        <f>regions!X78</f>
        <v>1.7</v>
      </c>
      <c r="I78" s="7">
        <f t="shared" si="128"/>
        <v>-4.6178669948864979</v>
      </c>
      <c r="J78" s="1">
        <f t="shared" si="129"/>
        <v>-4.0987019451403883</v>
      </c>
      <c r="K78" s="1">
        <f t="shared" si="154"/>
        <v>-0.70088264200526074</v>
      </c>
      <c r="L78" s="1">
        <f t="shared" si="129"/>
        <v>-5.8045329200053528</v>
      </c>
      <c r="M78" s="1">
        <f t="shared" si="158"/>
        <v>4.1376948652312784</v>
      </c>
      <c r="N78" s="1">
        <f t="shared" ref="N78" si="185">M78+M$2</f>
        <v>4.5221377556782993</v>
      </c>
      <c r="O78" s="1">
        <f t="shared" si="160"/>
        <v>2.1545550665241286</v>
      </c>
      <c r="P78" s="1">
        <f t="shared" si="148"/>
        <v>2.8721870676489907</v>
      </c>
      <c r="Q78" s="1">
        <f t="shared" si="148"/>
        <v>5.8975326897688065</v>
      </c>
      <c r="R78" s="1">
        <f t="shared" si="148"/>
        <v>5.9390073441466864</v>
      </c>
      <c r="S78" s="1">
        <f>$M78+SUMPRODUCT(regions!BG78:BS78,regions!BG$193:BS$193)</f>
        <v>1.3066396251546655</v>
      </c>
      <c r="T78" s="1">
        <f>$M78+SUMPRODUCT(regions!BV78:CD78,regions!BV$193:CD$193)</f>
        <v>2.9065059171637557</v>
      </c>
      <c r="U78" s="1">
        <f>$M78+SUMPRODUCT(regions!CQ78:CV78,regions!CQ$193:CV$193)</f>
        <v>7.8581804135133613</v>
      </c>
      <c r="V78" s="1">
        <f>$M78+SUMPRODUCT(regions!CY78:DF78,regions!CY$193:DF$193)</f>
        <v>0.82941292598863825</v>
      </c>
      <c r="W78" s="1">
        <f>$M78+SUMPRODUCT(regions!DI78:DP78,regions!DI$193:DP$193)</f>
        <v>3.381912925988638</v>
      </c>
      <c r="X78" s="1">
        <f>$M78+SUMPRODUCT(regions!DR78:DW78,regions!DR$193:DW$193)</f>
        <v>2.2894129259886382</v>
      </c>
      <c r="Y78" s="1">
        <f>$M78+SUMPRODUCT(regions!DZ78:EE78,regions!DZ$193:EE$193)</f>
        <v>2.6329813880927624</v>
      </c>
      <c r="Z78" s="1">
        <f t="shared" si="173"/>
        <v>2.6</v>
      </c>
      <c r="AA78" t="str">
        <f>Maddison!A35</f>
        <v>Iceland</v>
      </c>
      <c r="AB78">
        <f>-Maddison!B35</f>
        <v>2.6</v>
      </c>
      <c r="AC78" s="1">
        <f t="shared" si="179"/>
        <v>1.9221377556782993</v>
      </c>
      <c r="AF78" s="1">
        <f t="shared" si="156"/>
        <v>17.467694865231277</v>
      </c>
      <c r="AG78" s="1"/>
      <c r="AH78" s="1">
        <f t="shared" si="161"/>
        <v>-1.6672793886035819</v>
      </c>
      <c r="AI78" s="1">
        <f t="shared" si="174"/>
        <v>-1.5561274293633429</v>
      </c>
      <c r="AJ78" s="1">
        <f t="shared" si="174"/>
        <v>-1.4449754701231039</v>
      </c>
      <c r="AK78" s="1">
        <f t="shared" si="174"/>
        <v>-1.2226715516426263</v>
      </c>
      <c r="AL78" s="1">
        <f t="shared" si="174"/>
        <v>-1.1115195924023875</v>
      </c>
      <c r="AM78" s="1">
        <f t="shared" si="174"/>
        <v>-1.0003676331621487</v>
      </c>
      <c r="AN78" s="1">
        <f t="shared" si="174"/>
        <v>-0.88921567392190992</v>
      </c>
      <c r="AO78" s="1">
        <f t="shared" si="174"/>
        <v>-0.77806371468167113</v>
      </c>
      <c r="AP78" s="1">
        <f t="shared" si="174"/>
        <v>-0.66691175544143244</v>
      </c>
      <c r="AQ78" s="1">
        <f t="shared" si="174"/>
        <v>-0.55575979620119365</v>
      </c>
      <c r="AR78" s="1">
        <f t="shared" si="174"/>
        <v>-0.44460783696095491</v>
      </c>
      <c r="AS78" s="1">
        <f t="shared" si="174"/>
        <v>-0.33345587772071617</v>
      </c>
      <c r="AT78" s="1">
        <f t="shared" si="174"/>
        <v>-0.22230391848047734</v>
      </c>
      <c r="AU78" s="1">
        <f t="shared" si="174"/>
        <v>-0.11115195924023857</v>
      </c>
      <c r="AV78" s="1">
        <f t="shared" si="174"/>
        <v>0</v>
      </c>
      <c r="AW78" s="1">
        <f t="shared" si="174"/>
        <v>0.11115195924023878</v>
      </c>
      <c r="AX78" s="1">
        <f t="shared" si="174"/>
        <v>0</v>
      </c>
      <c r="AY78" s="1">
        <f t="shared" si="174"/>
        <v>0.33345587772071639</v>
      </c>
      <c r="AZ78" s="1">
        <f t="shared" si="174"/>
        <v>0.44460783696095513</v>
      </c>
      <c r="BA78" s="1">
        <f t="shared" si="174"/>
        <v>0.55575979620119387</v>
      </c>
      <c r="BB78" s="1">
        <f t="shared" si="174"/>
        <v>0.66691175544143266</v>
      </c>
      <c r="BC78" s="1">
        <f t="shared" si="174"/>
        <v>0.77806371468167146</v>
      </c>
      <c r="BD78" s="1"/>
      <c r="BE78">
        <f t="shared" ref="BE78" si="186">LN($D78)-LN($D78*(1+BA78/100))</f>
        <v>-5.5422114959942093E-3</v>
      </c>
      <c r="BF78">
        <f t="shared" si="163"/>
        <v>-6.646977372406937E-3</v>
      </c>
      <c r="BG78">
        <f t="shared" si="163"/>
        <v>-7.7505240879407467E-3</v>
      </c>
    </row>
    <row r="79" spans="1:59" x14ac:dyDescent="0.35">
      <c r="A79" t="str">
        <f>regions!A79</f>
        <v>India</v>
      </c>
      <c r="B79" s="22">
        <f>regions!B79</f>
        <v>1205624648</v>
      </c>
      <c r="C79" s="22">
        <f>regions!C79</f>
        <v>1243675499465.8105</v>
      </c>
      <c r="D79" s="10">
        <f>regions!D79</f>
        <v>1031.5611094455749</v>
      </c>
      <c r="E79" s="1">
        <f>regions!X79</f>
        <v>23.7</v>
      </c>
      <c r="I79" s="7">
        <f t="shared" si="128"/>
        <v>-11.683707779047928</v>
      </c>
      <c r="J79" s="1">
        <f t="shared" si="129"/>
        <v>-11.164542729301818</v>
      </c>
      <c r="K79" s="1">
        <f t="shared" si="154"/>
        <v>-8.4359094967007024</v>
      </c>
      <c r="L79" s="1">
        <f t="shared" si="129"/>
        <v>-13.539559774700795</v>
      </c>
      <c r="M79" s="1">
        <f t="shared" si="158"/>
        <v>-12.300002441614472</v>
      </c>
      <c r="N79" s="1">
        <f t="shared" ref="N79" si="187">M79+M$2</f>
        <v>-11.915559551167451</v>
      </c>
      <c r="O79" s="1">
        <f t="shared" si="160"/>
        <v>2.9197086658682094</v>
      </c>
      <c r="P79" s="1">
        <f t="shared" si="148"/>
        <v>-13.56551023919676</v>
      </c>
      <c r="Q79" s="1">
        <f t="shared" si="148"/>
        <v>-10.540164617076945</v>
      </c>
      <c r="R79" s="1">
        <f t="shared" si="148"/>
        <v>-10.498689962699064</v>
      </c>
      <c r="S79" s="1">
        <f>$M79+SUMPRODUCT(regions!BG79:BS79,regions!BG$193:BS$193)</f>
        <v>-4.93</v>
      </c>
      <c r="T79" s="1">
        <f>$M79+SUMPRODUCT(regions!BV79:CD79,regions!BV$193:CD$193)</f>
        <v>-12.014751682096284</v>
      </c>
      <c r="U79" s="1">
        <f>$M79+SUMPRODUCT(regions!CQ79:CV79,regions!CQ$193:CV$193)</f>
        <v>-8.5795168933323893</v>
      </c>
      <c r="V79" s="1">
        <f>$M79+SUMPRODUCT(regions!CY79:DF79,regions!CY$193:DF$193)</f>
        <v>-12.161365049294671</v>
      </c>
      <c r="W79" s="1">
        <f>$M79+SUMPRODUCT(regions!DI79:DP79,regions!DI$193:DP$193)</f>
        <v>-6.6563650492946733</v>
      </c>
      <c r="X79" s="1">
        <f>$M79+SUMPRODUCT(regions!DR79:DW79,regions!DR$193:DW$193)</f>
        <v>-6.4763408483793299</v>
      </c>
      <c r="Y79" s="1">
        <f>$M79+SUMPRODUCT(regions!DZ79:EE79,regions!DZ$193:EE$193)</f>
        <v>-5.9753529153946001</v>
      </c>
      <c r="Z79" s="1">
        <f t="shared" si="173"/>
        <v>-11</v>
      </c>
      <c r="AA79" t="str">
        <f>Maddison!A36</f>
        <v>India</v>
      </c>
      <c r="AB79">
        <f>-Maddison!B36</f>
        <v>-11</v>
      </c>
      <c r="AC79" s="1">
        <f t="shared" si="179"/>
        <v>-0.91555955116745125</v>
      </c>
      <c r="AF79" s="1">
        <f t="shared" si="156"/>
        <v>1.0299975583855279</v>
      </c>
      <c r="AG79" s="1"/>
      <c r="AH79" s="1">
        <f t="shared" si="161"/>
        <v>-9.8312554269905816E-2</v>
      </c>
      <c r="AI79" s="1">
        <f t="shared" si="174"/>
        <v>-9.1758383985245412E-2</v>
      </c>
      <c r="AJ79" s="1">
        <f t="shared" si="174"/>
        <v>-8.5204213700585021E-2</v>
      </c>
      <c r="AK79" s="1">
        <f t="shared" si="174"/>
        <v>-7.209587313126424E-2</v>
      </c>
      <c r="AL79" s="1">
        <f t="shared" si="174"/>
        <v>-6.554170284660385E-2</v>
      </c>
      <c r="AM79" s="1">
        <f t="shared" si="174"/>
        <v>-5.8987532561943466E-2</v>
      </c>
      <c r="AN79" s="1">
        <f t="shared" si="174"/>
        <v>-5.2433362277283076E-2</v>
      </c>
      <c r="AO79" s="1">
        <f t="shared" si="174"/>
        <v>-4.5879191992622685E-2</v>
      </c>
      <c r="AP79" s="1">
        <f t="shared" si="174"/>
        <v>-3.9325021707962309E-2</v>
      </c>
      <c r="AQ79" s="1">
        <f t="shared" si="174"/>
        <v>-3.2770851423301918E-2</v>
      </c>
      <c r="AR79" s="1">
        <f t="shared" si="174"/>
        <v>-2.6216681138641534E-2</v>
      </c>
      <c r="AS79" s="1">
        <f t="shared" si="174"/>
        <v>-1.9662510853981151E-2</v>
      </c>
      <c r="AT79" s="1">
        <f t="shared" si="174"/>
        <v>-1.3108340569320762E-2</v>
      </c>
      <c r="AU79" s="1">
        <f t="shared" si="174"/>
        <v>-6.5541702846603749E-3</v>
      </c>
      <c r="AV79" s="1">
        <f t="shared" si="174"/>
        <v>0</v>
      </c>
      <c r="AW79" s="1">
        <f t="shared" si="174"/>
        <v>6.5541702846603871E-3</v>
      </c>
      <c r="AX79" s="1">
        <f t="shared" si="174"/>
        <v>0</v>
      </c>
      <c r="AY79" s="1">
        <f t="shared" si="174"/>
        <v>1.9662510853981165E-2</v>
      </c>
      <c r="AZ79" s="1">
        <f t="shared" si="174"/>
        <v>2.6216681138641548E-2</v>
      </c>
      <c r="BA79" s="1">
        <f t="shared" si="174"/>
        <v>3.2770851423301932E-2</v>
      </c>
      <c r="BB79" s="1">
        <f t="shared" si="174"/>
        <v>3.9325021707962322E-2</v>
      </c>
      <c r="BC79" s="1">
        <f t="shared" si="174"/>
        <v>4.5879191992622706E-2</v>
      </c>
      <c r="BD79" s="1"/>
      <c r="BE79">
        <f t="shared" ref="BE79" si="188">LN($D79)-LN($D79*(1+BA79/100))</f>
        <v>-3.2765482952612501E-4</v>
      </c>
      <c r="BF79">
        <f t="shared" si="163"/>
        <v>-3.9317291447815705E-4</v>
      </c>
      <c r="BG79">
        <f t="shared" si="163"/>
        <v>-4.5868670709214854E-4</v>
      </c>
    </row>
    <row r="80" spans="1:59" x14ac:dyDescent="0.35">
      <c r="A80" t="str">
        <f>regions!A80</f>
        <v>Indonesia</v>
      </c>
      <c r="B80" s="22">
        <f>regions!B80</f>
        <v>240676485</v>
      </c>
      <c r="C80" s="22">
        <f>regions!C80</f>
        <v>377898889669.60541</v>
      </c>
      <c r="D80" s="10">
        <f>regions!D80</f>
        <v>1570.1529365014842</v>
      </c>
      <c r="E80" s="1">
        <f>regions!X80</f>
        <v>25.8</v>
      </c>
      <c r="I80" s="7">
        <f t="shared" si="128"/>
        <v>-12.407933041724698</v>
      </c>
      <c r="J80" s="1">
        <f t="shared" si="129"/>
        <v>-11.888767991978588</v>
      </c>
      <c r="K80" s="1">
        <f t="shared" si="154"/>
        <v>-8.237133131829232</v>
      </c>
      <c r="L80" s="1">
        <f t="shared" si="129"/>
        <v>-13.340783409829324</v>
      </c>
      <c r="M80" s="1">
        <f t="shared" si="158"/>
        <v>-12.535929472013239</v>
      </c>
      <c r="N80" s="1">
        <f t="shared" ref="N80" si="189">M80+M$2</f>
        <v>-12.151486581566218</v>
      </c>
      <c r="O80" s="1">
        <f t="shared" si="160"/>
        <v>3.930734092241412</v>
      </c>
      <c r="P80" s="1">
        <f t="shared" si="148"/>
        <v>-13.801437269595526</v>
      </c>
      <c r="Q80" s="1">
        <f t="shared" si="148"/>
        <v>-10.776091647475711</v>
      </c>
      <c r="R80" s="1">
        <f t="shared" si="148"/>
        <v>-10.734616993097831</v>
      </c>
      <c r="S80" s="1">
        <f>$M80+SUMPRODUCT(regions!BG80:BS80,regions!BG$193:BS$193)</f>
        <v>-3.749990972213249</v>
      </c>
      <c r="T80" s="1">
        <f>$M80+SUMPRODUCT(regions!BV80:CD80,regions!BV$193:CD$193)</f>
        <v>-12.25067871249505</v>
      </c>
      <c r="U80" s="1">
        <f>$M80+SUMPRODUCT(regions!CQ80:CV80,regions!CQ$193:CV$193)</f>
        <v>-8.8154439237311557</v>
      </c>
      <c r="V80" s="1">
        <f>$M80+SUMPRODUCT(regions!CY80:DF80,regions!CY$193:DF$193)</f>
        <v>-12.397292079693438</v>
      </c>
      <c r="W80" s="1">
        <f>$M80+SUMPRODUCT(regions!DI80:DP80,regions!DI$193:DP$193)</f>
        <v>-6.8922920796934397</v>
      </c>
      <c r="X80" s="1">
        <f>$M80+SUMPRODUCT(regions!DR80:DW80,regions!DR$193:DW$193)</f>
        <v>-6.7122678787780963</v>
      </c>
      <c r="Y80" s="1">
        <f>$M80+SUMPRODUCT(regions!DZ80:EE80,regions!DZ$193:EE$193)</f>
        <v>-6.2112799457933665</v>
      </c>
      <c r="Z80" s="1">
        <f t="shared" si="173"/>
        <v>-1.2</v>
      </c>
      <c r="AA80" t="str">
        <f>Maddison!A37</f>
        <v>Indonesia</v>
      </c>
      <c r="AB80">
        <f>-Maddison!B37</f>
        <v>-1.2</v>
      </c>
      <c r="AC80" s="1">
        <f t="shared" si="179"/>
        <v>-10.951486581566218</v>
      </c>
      <c r="AF80" s="1">
        <f t="shared" si="156"/>
        <v>0.79407052798676148</v>
      </c>
      <c r="AG80" s="1"/>
      <c r="AH80" s="1">
        <f t="shared" si="161"/>
        <v>-7.5793482461451386E-2</v>
      </c>
      <c r="AI80" s="1">
        <f t="shared" si="174"/>
        <v>-7.0740583630687956E-2</v>
      </c>
      <c r="AJ80" s="1">
        <f t="shared" si="174"/>
        <v>-6.5687684799924512E-2</v>
      </c>
      <c r="AK80" s="1">
        <f t="shared" si="174"/>
        <v>-5.5581887138397658E-2</v>
      </c>
      <c r="AL80" s="1">
        <f t="shared" si="174"/>
        <v>-5.0528988307634234E-2</v>
      </c>
      <c r="AM80" s="1">
        <f t="shared" si="174"/>
        <v>-4.5476089476870811E-2</v>
      </c>
      <c r="AN80" s="1">
        <f t="shared" si="174"/>
        <v>-4.0423190646107381E-2</v>
      </c>
      <c r="AO80" s="1">
        <f t="shared" si="174"/>
        <v>-3.5370291815343957E-2</v>
      </c>
      <c r="AP80" s="1">
        <f t="shared" si="174"/>
        <v>-3.0317392984580537E-2</v>
      </c>
      <c r="AQ80" s="1">
        <f t="shared" si="174"/>
        <v>-2.5264494153817114E-2</v>
      </c>
      <c r="AR80" s="1">
        <f t="shared" si="174"/>
        <v>-2.021159532305369E-2</v>
      </c>
      <c r="AS80" s="1">
        <f t="shared" si="174"/>
        <v>-1.5158696492290267E-2</v>
      </c>
      <c r="AT80" s="1">
        <f t="shared" si="174"/>
        <v>-1.010579766152684E-2</v>
      </c>
      <c r="AU80" s="1">
        <f t="shared" si="174"/>
        <v>-5.0528988307634156E-3</v>
      </c>
      <c r="AV80" s="1">
        <f t="shared" si="174"/>
        <v>0</v>
      </c>
      <c r="AW80" s="1">
        <f t="shared" si="174"/>
        <v>5.0528988307634252E-3</v>
      </c>
      <c r="AX80" s="1">
        <f t="shared" si="174"/>
        <v>0</v>
      </c>
      <c r="AY80" s="1">
        <f t="shared" si="174"/>
        <v>1.5158696492290277E-2</v>
      </c>
      <c r="AZ80" s="1">
        <f t="shared" si="174"/>
        <v>2.0211595323053701E-2</v>
      </c>
      <c r="BA80" s="1">
        <f t="shared" si="174"/>
        <v>2.5264494153817124E-2</v>
      </c>
      <c r="BB80" s="1">
        <f t="shared" si="174"/>
        <v>3.0317392984580548E-2</v>
      </c>
      <c r="BC80" s="1">
        <f t="shared" si="174"/>
        <v>3.5370291815343978E-2</v>
      </c>
      <c r="BD80" s="1"/>
      <c r="BE80">
        <f t="shared" ref="BE80" si="190">LN($D80)-LN($D80*(1+BA80/100))</f>
        <v>-2.5261303217938291E-4</v>
      </c>
      <c r="BF80">
        <f t="shared" si="163"/>
        <v>-3.0312798191634016E-4</v>
      </c>
      <c r="BG80">
        <f t="shared" si="163"/>
        <v>-3.5364038002239084E-4</v>
      </c>
    </row>
    <row r="81" spans="1:59" x14ac:dyDescent="0.35">
      <c r="A81" t="str">
        <f>regions!A81</f>
        <v>Iran</v>
      </c>
      <c r="B81" s="22">
        <f>regions!B81</f>
        <v>74462314</v>
      </c>
      <c r="C81" s="22">
        <f>regions!C81</f>
        <v>242702371179.19858</v>
      </c>
      <c r="D81" s="10">
        <f>regions!D81</f>
        <v>3259.3987232145187</v>
      </c>
      <c r="E81" s="1">
        <f>regions!X81</f>
        <v>17.2</v>
      </c>
      <c r="I81" s="7">
        <f t="shared" si="128"/>
        <v>-6.7726726079335888</v>
      </c>
      <c r="J81" s="1">
        <f t="shared" si="129"/>
        <v>-6.2535075581874793</v>
      </c>
      <c r="K81" s="1">
        <f t="shared" si="154"/>
        <v>-1.0059079800677289</v>
      </c>
      <c r="L81" s="1">
        <f t="shared" si="129"/>
        <v>-6.1095582580678212</v>
      </c>
      <c r="M81" s="1">
        <f t="shared" si="158"/>
        <v>-7.4519301794987287</v>
      </c>
      <c r="N81" s="1">
        <f t="shared" ref="N81" si="191">M81+M$2</f>
        <v>-7.0674872890517078</v>
      </c>
      <c r="O81" s="1">
        <f t="shared" si="160"/>
        <v>2.6179590443348517</v>
      </c>
      <c r="P81" s="1">
        <f t="shared" si="148"/>
        <v>-8.7174379770810155</v>
      </c>
      <c r="Q81" s="1">
        <f t="shared" si="148"/>
        <v>-5.6920923549612006</v>
      </c>
      <c r="R81" s="1">
        <f t="shared" si="148"/>
        <v>-5.6506177005833207</v>
      </c>
      <c r="S81" s="1">
        <f>$M81+SUMPRODUCT(regions!BG81:BS81,regions!BG$193:BS$193)</f>
        <v>-2.0069798096261691</v>
      </c>
      <c r="T81" s="1">
        <f>$M81+SUMPRODUCT(regions!BV81:CD81,regions!BV$193:CD$193)</f>
        <v>-4.9649506892151765</v>
      </c>
      <c r="U81" s="1">
        <f>$M81+SUMPRODUCT(regions!CQ81:CV81,regions!CQ$193:CV$193)</f>
        <v>-3.7314446312166458</v>
      </c>
      <c r="V81" s="1">
        <f>$M81+SUMPRODUCT(regions!CY81:DF81,regions!CY$193:DF$193)</f>
        <v>-5.3503526586730272</v>
      </c>
      <c r="W81" s="1">
        <f>$M81+SUMPRODUCT(regions!DI81:DP81,regions!DI$193:DP$193)</f>
        <v>-1.7512526586730273</v>
      </c>
      <c r="X81" s="1">
        <f>$M81+SUMPRODUCT(regions!DR81:DW81,regions!DR$193:DW$193)</f>
        <v>-1.6282685862635864</v>
      </c>
      <c r="Y81" s="1">
        <f>$M81+SUMPRODUCT(regions!DZ81:EE81,regions!DZ$193:EE$193)</f>
        <v>-1.1272806532788566</v>
      </c>
      <c r="Z81" s="1">
        <f t="shared" si="173"/>
        <v>0</v>
      </c>
      <c r="AA81" t="str">
        <f>Maddison!A38</f>
        <v>Iran</v>
      </c>
      <c r="AB81">
        <f>-Maddison!B38</f>
        <v>0</v>
      </c>
      <c r="AC81" s="1">
        <f t="shared" si="179"/>
        <v>-7.0674872890517078</v>
      </c>
      <c r="AF81" s="1">
        <f t="shared" si="156"/>
        <v>5.8780698205012714</v>
      </c>
      <c r="AG81" s="1"/>
      <c r="AH81" s="1">
        <f t="shared" si="161"/>
        <v>-0.56105769720089316</v>
      </c>
      <c r="AI81" s="1">
        <f t="shared" si="174"/>
        <v>-0.52365385072083359</v>
      </c>
      <c r="AJ81" s="1">
        <f t="shared" si="174"/>
        <v>-0.48625000424077391</v>
      </c>
      <c r="AK81" s="1">
        <f t="shared" si="174"/>
        <v>-0.41144231128065484</v>
      </c>
      <c r="AL81" s="1">
        <f t="shared" si="174"/>
        <v>-0.37403846480059533</v>
      </c>
      <c r="AM81" s="1">
        <f t="shared" si="174"/>
        <v>-0.33663461832053576</v>
      </c>
      <c r="AN81" s="1">
        <f t="shared" si="174"/>
        <v>-0.2992307718404762</v>
      </c>
      <c r="AO81" s="1">
        <f t="shared" si="174"/>
        <v>-0.26182692536041668</v>
      </c>
      <c r="AP81" s="1">
        <f t="shared" si="174"/>
        <v>-0.22442307888035715</v>
      </c>
      <c r="AQ81" s="1">
        <f t="shared" si="174"/>
        <v>-0.18701923240029761</v>
      </c>
      <c r="AR81" s="1">
        <f t="shared" si="174"/>
        <v>-0.14961538592023807</v>
      </c>
      <c r="AS81" s="1">
        <f t="shared" si="174"/>
        <v>-0.11221153944017856</v>
      </c>
      <c r="AT81" s="1">
        <f t="shared" si="174"/>
        <v>-7.4807692960119007E-2</v>
      </c>
      <c r="AU81" s="1">
        <f t="shared" si="174"/>
        <v>-3.7403846480059469E-2</v>
      </c>
      <c r="AV81" s="1">
        <f t="shared" si="174"/>
        <v>0</v>
      </c>
      <c r="AW81" s="1">
        <f t="shared" si="174"/>
        <v>3.7403846480059538E-2</v>
      </c>
      <c r="AX81" s="1">
        <f t="shared" si="174"/>
        <v>0</v>
      </c>
      <c r="AY81" s="1">
        <f t="shared" si="174"/>
        <v>0.11221153944017864</v>
      </c>
      <c r="AZ81" s="1">
        <f t="shared" si="174"/>
        <v>0.14961538592023815</v>
      </c>
      <c r="BA81" s="1">
        <f t="shared" si="174"/>
        <v>0.18701923240029769</v>
      </c>
      <c r="BB81" s="1">
        <f t="shared" si="174"/>
        <v>0.22442307888035723</v>
      </c>
      <c r="BC81" s="1">
        <f t="shared" si="174"/>
        <v>0.2618269253604168</v>
      </c>
      <c r="BD81" s="1"/>
      <c r="BE81">
        <f t="shared" ref="BE81" si="192">LN($D81)-LN($D81*(1+BA81/100))</f>
        <v>-1.8684456916915337E-3</v>
      </c>
      <c r="BF81">
        <f t="shared" si="163"/>
        <v>-2.2417162642991428E-3</v>
      </c>
      <c r="BG81">
        <f t="shared" si="163"/>
        <v>-2.6148475579734765E-3</v>
      </c>
    </row>
    <row r="82" spans="1:59" x14ac:dyDescent="0.35">
      <c r="A82" t="str">
        <f>regions!A82</f>
        <v>Iraq</v>
      </c>
      <c r="B82" s="22">
        <f>regions!B82</f>
        <v>30962380</v>
      </c>
      <c r="C82" s="22">
        <f>regions!C82</f>
        <v>67270649065.243828</v>
      </c>
      <c r="D82" s="10">
        <f>regions!D82</f>
        <v>2172.6575626694016</v>
      </c>
      <c r="E82" s="1">
        <f>regions!X82</f>
        <v>21.4</v>
      </c>
      <c r="I82" s="7">
        <f t="shared" si="128"/>
        <v>-9.6886140868950079</v>
      </c>
      <c r="J82" s="1">
        <f t="shared" si="129"/>
        <v>-9.1694490371488975</v>
      </c>
      <c r="K82" s="1">
        <f t="shared" si="154"/>
        <v>-5.0004985426432889</v>
      </c>
      <c r="L82" s="1">
        <f t="shared" si="129"/>
        <v>-10.104148820643381</v>
      </c>
      <c r="M82" s="1">
        <f t="shared" si="158"/>
        <v>-10.016974902454587</v>
      </c>
      <c r="N82" s="1">
        <f t="shared" ref="N82" si="193">M82+M$2</f>
        <v>-9.6325320120075659</v>
      </c>
      <c r="O82" s="1">
        <f t="shared" si="160"/>
        <v>2.7815255605332143</v>
      </c>
      <c r="P82" s="1">
        <f t="shared" si="148"/>
        <v>-11.282482700036875</v>
      </c>
      <c r="Q82" s="1">
        <f t="shared" si="148"/>
        <v>-8.2571370779170596</v>
      </c>
      <c r="R82" s="1">
        <f t="shared" si="148"/>
        <v>-8.2156624235391789</v>
      </c>
      <c r="S82" s="1">
        <f>$M82+SUMPRODUCT(regions!BG82:BS82,regions!BG$193:BS$193)</f>
        <v>-1.2310364026545972</v>
      </c>
      <c r="T82" s="1">
        <f>$M82+SUMPRODUCT(regions!BV82:CD82,regions!BV$193:CD$193)</f>
        <v>-7.5299954121710346</v>
      </c>
      <c r="U82" s="1">
        <f>$M82+SUMPRODUCT(regions!CQ82:CV82,regions!CQ$193:CV$193)</f>
        <v>-6.296489354172504</v>
      </c>
      <c r="V82" s="1">
        <f>$M82+SUMPRODUCT(regions!CY82:DF82,regions!CY$193:DF$193)</f>
        <v>-7.9153973816288854</v>
      </c>
      <c r="W82" s="1">
        <f>$M82+SUMPRODUCT(regions!DI82:DP82,regions!DI$193:DP$193)</f>
        <v>-4.3162973816288854</v>
      </c>
      <c r="X82" s="1">
        <f>$M82+SUMPRODUCT(regions!DR82:DW82,regions!DR$193:DW$193)</f>
        <v>-4.1933133092194446</v>
      </c>
      <c r="Y82" s="1">
        <f>$M82+SUMPRODUCT(regions!DZ82:EE82,regions!DZ$193:EE$193)</f>
        <v>-3.6923253762347148</v>
      </c>
      <c r="Z82" s="1">
        <f t="shared" si="173"/>
        <v>-6.5369087200099347</v>
      </c>
      <c r="AF82" s="1">
        <f t="shared" si="156"/>
        <v>3.3130250975454132</v>
      </c>
      <c r="AG82" s="1"/>
      <c r="AH82" s="1">
        <f t="shared" si="161"/>
        <v>-0.31622595320568669</v>
      </c>
      <c r="AI82" s="1">
        <f t="shared" si="174"/>
        <v>-0.29514422299197418</v>
      </c>
      <c r="AJ82" s="1">
        <f t="shared" si="174"/>
        <v>-0.27406249277826167</v>
      </c>
      <c r="AK82" s="1">
        <f t="shared" si="174"/>
        <v>-0.23189903235083681</v>
      </c>
      <c r="AL82" s="1">
        <f t="shared" si="174"/>
        <v>-0.21081730213712435</v>
      </c>
      <c r="AM82" s="1">
        <f t="shared" si="174"/>
        <v>-0.18973557192341192</v>
      </c>
      <c r="AN82" s="1">
        <f t="shared" si="174"/>
        <v>-0.16865384170969946</v>
      </c>
      <c r="AO82" s="1">
        <f t="shared" si="174"/>
        <v>-0.14757211149598701</v>
      </c>
      <c r="AP82" s="1">
        <f t="shared" si="174"/>
        <v>-0.12649038128227461</v>
      </c>
      <c r="AQ82" s="1">
        <f t="shared" si="174"/>
        <v>-0.10540865106856215</v>
      </c>
      <c r="AR82" s="1">
        <f t="shared" si="174"/>
        <v>-8.4326920854849718E-2</v>
      </c>
      <c r="AS82" s="1">
        <f t="shared" si="174"/>
        <v>-6.3245190641137289E-2</v>
      </c>
      <c r="AT82" s="1">
        <f t="shared" si="174"/>
        <v>-4.2163460427424845E-2</v>
      </c>
      <c r="AU82" s="1">
        <f t="shared" si="174"/>
        <v>-2.1081730213712402E-2</v>
      </c>
      <c r="AV82" s="1">
        <f t="shared" si="174"/>
        <v>0</v>
      </c>
      <c r="AW82" s="1">
        <f t="shared" si="174"/>
        <v>2.1081730213712443E-2</v>
      </c>
      <c r="AX82" s="1">
        <f t="shared" si="174"/>
        <v>0</v>
      </c>
      <c r="AY82" s="1">
        <f t="shared" si="174"/>
        <v>6.324519064113733E-2</v>
      </c>
      <c r="AZ82" s="1">
        <f t="shared" si="174"/>
        <v>8.4326920854849774E-2</v>
      </c>
      <c r="BA82" s="1">
        <f t="shared" si="174"/>
        <v>0.1054086510685622</v>
      </c>
      <c r="BB82" s="1">
        <f t="shared" si="174"/>
        <v>0.12649038128227463</v>
      </c>
      <c r="BC82" s="1">
        <f t="shared" si="174"/>
        <v>0.14757211149598709</v>
      </c>
      <c r="BD82" s="1"/>
      <c r="BE82">
        <f t="shared" ref="BE82" si="194">LN($D82)-LN($D82*(1+BA82/100))</f>
        <v>-1.0535313515891431E-3</v>
      </c>
      <c r="BF82">
        <f t="shared" si="163"/>
        <v>-1.2641044959638137E-3</v>
      </c>
      <c r="BG82">
        <f t="shared" si="163"/>
        <v>-1.4746333086232966E-3</v>
      </c>
    </row>
    <row r="83" spans="1:59" x14ac:dyDescent="0.35">
      <c r="A83" t="str">
        <f>regions!A83</f>
        <v>Ireland</v>
      </c>
      <c r="B83" s="22">
        <f>regions!B83</f>
        <v>4474356</v>
      </c>
      <c r="C83" s="22">
        <f>regions!C83</f>
        <v>203306959563.6236</v>
      </c>
      <c r="D83" s="10">
        <f>regions!D83</f>
        <v>45438.261855700264</v>
      </c>
      <c r="E83" s="1">
        <f>regions!X83</f>
        <v>9.3000000000000007</v>
      </c>
      <c r="I83" s="7">
        <f t="shared" si="128"/>
        <v>-3.7925071503221766</v>
      </c>
      <c r="J83" s="1">
        <f t="shared" si="129"/>
        <v>-3.273342100576067</v>
      </c>
      <c r="K83" s="1">
        <f t="shared" si="154"/>
        <v>-0.78978895208581523</v>
      </c>
      <c r="L83" s="1">
        <f t="shared" si="129"/>
        <v>-5.8934392300859075</v>
      </c>
      <c r="M83" s="1">
        <f t="shared" si="158"/>
        <v>0.51800412915554173</v>
      </c>
      <c r="N83" s="1">
        <f t="shared" ref="N83" si="195">M83+M$2</f>
        <v>0.90244701960256246</v>
      </c>
      <c r="O83" s="1">
        <f t="shared" si="160"/>
        <v>2.1295279710327701</v>
      </c>
      <c r="P83" s="1">
        <f t="shared" si="148"/>
        <v>-0.7475036684267462</v>
      </c>
      <c r="Q83" s="1">
        <f t="shared" si="148"/>
        <v>2.2778419536930694</v>
      </c>
      <c r="R83" s="1">
        <f t="shared" si="148"/>
        <v>2.3193166080709497</v>
      </c>
      <c r="S83" s="1">
        <f>$M83+SUMPRODUCT(regions!BG83:BS83,regions!BG$193:BS$193)</f>
        <v>-2.3130511109210712</v>
      </c>
      <c r="T83" s="1">
        <f>$M83+SUMPRODUCT(regions!BV83:CD83,regions!BV$193:CD$193)</f>
        <v>-0.71318481891198071</v>
      </c>
      <c r="U83" s="1">
        <f>$M83+SUMPRODUCT(regions!CQ83:CV83,regions!CQ$193:CV$193)</f>
        <v>-0.46290863666182269</v>
      </c>
      <c r="V83" s="1">
        <f>$M83+SUMPRODUCT(regions!CY83:DF83,regions!CY$193:DF$193)</f>
        <v>-0.58619084815383959</v>
      </c>
      <c r="W83" s="1">
        <f>$M83+SUMPRODUCT(regions!DI83:DP83,regions!DI$193:DP$193)</f>
        <v>-0.51619084815383975</v>
      </c>
      <c r="X83" s="1">
        <f>$M83+SUMPRODUCT(regions!DR83:DW83,regions!DR$193:DW$193)</f>
        <v>-0.68619084815383968</v>
      </c>
      <c r="Y83" s="1">
        <f>$M83+SUMPRODUCT(regions!DZ83:EE83,regions!DZ$193:EE$193)</f>
        <v>-0.88619084815383986</v>
      </c>
      <c r="Z83" s="1">
        <f t="shared" si="173"/>
        <v>5.2</v>
      </c>
      <c r="AA83" t="str">
        <f>Maddison!A39</f>
        <v>Ireland</v>
      </c>
      <c r="AB83">
        <f>-Maddison!B39</f>
        <v>5.2</v>
      </c>
      <c r="AC83" s="1">
        <f t="shared" ref="AC83:AC86" si="196">N83-AB83</f>
        <v>-4.2975529803974375</v>
      </c>
      <c r="AF83" s="1">
        <f t="shared" si="156"/>
        <v>13.848004129155541</v>
      </c>
      <c r="AG83" s="1"/>
      <c r="AH83" s="1">
        <f t="shared" si="161"/>
        <v>-1.3217824123888846</v>
      </c>
      <c r="AI83" s="1">
        <f t="shared" si="174"/>
        <v>-1.233663584896292</v>
      </c>
      <c r="AJ83" s="1">
        <f t="shared" si="174"/>
        <v>-1.1455447574036997</v>
      </c>
      <c r="AK83" s="1">
        <f t="shared" si="174"/>
        <v>-0.96930710241851492</v>
      </c>
      <c r="AL83" s="1">
        <f t="shared" si="174"/>
        <v>-0.88118827492592267</v>
      </c>
      <c r="AM83" s="1">
        <f t="shared" si="174"/>
        <v>-0.79306944743333041</v>
      </c>
      <c r="AN83" s="1">
        <f t="shared" si="174"/>
        <v>-0.70495061994073804</v>
      </c>
      <c r="AO83" s="1">
        <f t="shared" si="174"/>
        <v>-0.61683179244814579</v>
      </c>
      <c r="AP83" s="1">
        <f t="shared" si="174"/>
        <v>-0.52871296495555353</v>
      </c>
      <c r="AQ83" s="1">
        <f t="shared" si="174"/>
        <v>-0.44059413746296122</v>
      </c>
      <c r="AR83" s="1">
        <f t="shared" si="174"/>
        <v>-0.35247530997036897</v>
      </c>
      <c r="AS83" s="1">
        <f t="shared" si="174"/>
        <v>-0.26435648247777671</v>
      </c>
      <c r="AT83" s="1">
        <f t="shared" si="174"/>
        <v>-0.17623765498518443</v>
      </c>
      <c r="AU83" s="1">
        <f t="shared" si="174"/>
        <v>-8.8118827492592131E-2</v>
      </c>
      <c r="AV83" s="1">
        <f t="shared" si="174"/>
        <v>0</v>
      </c>
      <c r="AW83" s="1">
        <f t="shared" si="174"/>
        <v>8.8118827492592297E-2</v>
      </c>
      <c r="AX83" s="1">
        <f t="shared" si="174"/>
        <v>0</v>
      </c>
      <c r="AY83" s="1">
        <f t="shared" si="174"/>
        <v>0.26435648247777693</v>
      </c>
      <c r="AZ83" s="1">
        <f t="shared" si="174"/>
        <v>0.35247530997036919</v>
      </c>
      <c r="BA83" s="1">
        <f t="shared" si="174"/>
        <v>0.44059413746296144</v>
      </c>
      <c r="BB83" s="1">
        <f t="shared" si="174"/>
        <v>0.52871296495555375</v>
      </c>
      <c r="BC83" s="1">
        <f t="shared" si="174"/>
        <v>0.61683179244814601</v>
      </c>
      <c r="BD83" s="1"/>
      <c r="BE83">
        <f t="shared" ref="BE83" si="197">LN($D83)-LN($D83*(1+BA83/100))</f>
        <v>-4.3962636309000658E-3</v>
      </c>
      <c r="BF83">
        <f t="shared" si="163"/>
        <v>-5.2732018500751821E-3</v>
      </c>
      <c r="BG83">
        <f t="shared" si="163"/>
        <v>-6.1493717223548572E-3</v>
      </c>
    </row>
    <row r="84" spans="1:59" x14ac:dyDescent="0.35">
      <c r="A84" t="str">
        <f>regions!A84</f>
        <v>Israel</v>
      </c>
      <c r="B84" s="22">
        <f>regions!B84</f>
        <v>7623600</v>
      </c>
      <c r="C84" s="22">
        <f>regions!C84</f>
        <v>169010664818.13025</v>
      </c>
      <c r="D84" s="10">
        <f>regions!D84</f>
        <v>22169.403538765182</v>
      </c>
      <c r="E84" s="1">
        <f>regions!X84</f>
        <v>19.2</v>
      </c>
      <c r="I84" s="7">
        <f t="shared" si="128"/>
        <v>-1.3923602979725587</v>
      </c>
      <c r="J84" s="1">
        <f t="shared" si="129"/>
        <v>-0.87319524822644889</v>
      </c>
      <c r="K84" s="1">
        <f t="shared" si="154"/>
        <v>10.405492706957878</v>
      </c>
      <c r="L84" s="1">
        <f t="shared" si="129"/>
        <v>5.3018424289577855</v>
      </c>
      <c r="M84" s="1">
        <f t="shared" si="158"/>
        <v>-5.1276173325452525</v>
      </c>
      <c r="N84" s="1">
        <f t="shared" ref="N84" si="198">M84+M$2</f>
        <v>-4.7431744420982316</v>
      </c>
      <c r="O84" s="1">
        <f t="shared" si="160"/>
        <v>2.6771154548385989</v>
      </c>
      <c r="P84" s="1">
        <f t="shared" ref="P84:R103" si="199">$M84+P$1-$M$1</f>
        <v>-6.3931251301275402</v>
      </c>
      <c r="Q84" s="1">
        <f t="shared" si="199"/>
        <v>-3.3677795080077244</v>
      </c>
      <c r="R84" s="1">
        <f t="shared" si="199"/>
        <v>-3.3263048536298445</v>
      </c>
      <c r="S84" s="1">
        <f>$M84+SUMPRODUCT(regions!BG84:BS84,regions!BG$193:BS$193)</f>
        <v>-4.855769791760622</v>
      </c>
      <c r="T84" s="1">
        <f>$M84+SUMPRODUCT(regions!BV84:CD84,regions!BV$193:CD$193)</f>
        <v>-6.3588062806127752</v>
      </c>
      <c r="U84" s="1">
        <f>$M84+SUMPRODUCT(regions!CQ84:CV84,regions!CQ$193:CV$193)</f>
        <v>-1.4071317842631696</v>
      </c>
      <c r="V84" s="1">
        <f>$M84+SUMPRODUCT(regions!CY84:DF84,regions!CY$193:DF$193)</f>
        <v>-3.0260398117195511</v>
      </c>
      <c r="W84" s="1">
        <f>$M84+SUMPRODUCT(regions!DI84:DP84,regions!DI$193:DP$193)</f>
        <v>0.57306018828044891</v>
      </c>
      <c r="X84" s="1">
        <f>$M84+SUMPRODUCT(regions!DR84:DW84,regions!DR$193:DW$193)</f>
        <v>0.69604426068988978</v>
      </c>
      <c r="Y84" s="1">
        <f>$M84+SUMPRODUCT(regions!DZ84:EE84,regions!DZ$193:EE$193)</f>
        <v>1.1970321936746195</v>
      </c>
      <c r="Z84" s="1">
        <f t="shared" si="173"/>
        <v>-2.6</v>
      </c>
      <c r="AA84" t="str">
        <f>Maddison!A40</f>
        <v>Israel</v>
      </c>
      <c r="AB84">
        <f>-Maddison!B40</f>
        <v>-2.6</v>
      </c>
      <c r="AC84" s="1">
        <f t="shared" si="196"/>
        <v>-2.1431744420982315</v>
      </c>
      <c r="AF84" s="1">
        <f t="shared" si="156"/>
        <v>8.2023826674547475</v>
      </c>
      <c r="AG84" s="1"/>
      <c r="AH84" s="1">
        <f t="shared" si="161"/>
        <v>-0.78291175019935866</v>
      </c>
      <c r="AI84" s="1">
        <f t="shared" si="174"/>
        <v>-0.73071763351940133</v>
      </c>
      <c r="AJ84" s="1">
        <f t="shared" si="174"/>
        <v>-0.6785235168394439</v>
      </c>
      <c r="AK84" s="1">
        <f t="shared" si="174"/>
        <v>-0.57413528347952947</v>
      </c>
      <c r="AL84" s="1">
        <f t="shared" si="174"/>
        <v>-0.52194116679957225</v>
      </c>
      <c r="AM84" s="1">
        <f t="shared" si="174"/>
        <v>-0.46974705011961498</v>
      </c>
      <c r="AN84" s="1">
        <f t="shared" si="174"/>
        <v>-0.41755293343965771</v>
      </c>
      <c r="AO84" s="1">
        <f t="shared" si="174"/>
        <v>-0.3653588167597005</v>
      </c>
      <c r="AP84" s="1">
        <f t="shared" si="174"/>
        <v>-0.31316470007974329</v>
      </c>
      <c r="AQ84" s="1">
        <f t="shared" si="174"/>
        <v>-0.26097058339978607</v>
      </c>
      <c r="AR84" s="1">
        <f t="shared" si="174"/>
        <v>-0.20877646671982883</v>
      </c>
      <c r="AS84" s="1">
        <f t="shared" si="174"/>
        <v>-0.15658235003987162</v>
      </c>
      <c r="AT84" s="1">
        <f t="shared" si="174"/>
        <v>-0.10438823335991437</v>
      </c>
      <c r="AU84" s="1">
        <f t="shared" si="174"/>
        <v>-5.2194116679957138E-2</v>
      </c>
      <c r="AV84" s="1">
        <f t="shared" si="174"/>
        <v>0</v>
      </c>
      <c r="AW84" s="1">
        <f t="shared" si="174"/>
        <v>5.2194116679957235E-2</v>
      </c>
      <c r="AX84" s="1">
        <f t="shared" si="174"/>
        <v>0</v>
      </c>
      <c r="AY84" s="1">
        <f t="shared" si="174"/>
        <v>0.15658235003987173</v>
      </c>
      <c r="AZ84" s="1">
        <f t="shared" si="174"/>
        <v>0.20877646671982894</v>
      </c>
      <c r="BA84" s="1">
        <f t="shared" si="174"/>
        <v>0.26097058339978618</v>
      </c>
      <c r="BB84" s="1">
        <f t="shared" si="174"/>
        <v>0.3131647000797434</v>
      </c>
      <c r="BC84" s="1">
        <f t="shared" si="174"/>
        <v>0.36535881675970067</v>
      </c>
      <c r="BD84" s="1"/>
      <c r="BE84">
        <f t="shared" ref="BE84" si="200">LN($D84)-LN($D84*(1+BA84/100))</f>
        <v>-2.6063064646795198E-3</v>
      </c>
      <c r="BF84">
        <f t="shared" si="163"/>
        <v>-3.1267536079209179E-3</v>
      </c>
      <c r="BG84">
        <f t="shared" si="163"/>
        <v>-3.6469300268233695E-3</v>
      </c>
    </row>
    <row r="85" spans="1:59" x14ac:dyDescent="0.35">
      <c r="A85" t="str">
        <f>regions!A85</f>
        <v>Italy</v>
      </c>
      <c r="B85" s="22">
        <f>regions!B85</f>
        <v>60483385</v>
      </c>
      <c r="C85" s="22">
        <f>regions!C85</f>
        <v>1763885790470.2776</v>
      </c>
      <c r="D85" s="10">
        <f>regions!D85</f>
        <v>29163.146051932734</v>
      </c>
      <c r="E85" s="1">
        <f>regions!X85</f>
        <v>13.4</v>
      </c>
      <c r="I85" s="7">
        <f t="shared" si="128"/>
        <v>1.1659817034365467</v>
      </c>
      <c r="J85" s="1">
        <f t="shared" si="129"/>
        <v>1.6851467531826565</v>
      </c>
      <c r="K85" s="1">
        <f t="shared" si="154"/>
        <v>9.7301496715952638</v>
      </c>
      <c r="L85" s="1">
        <f t="shared" si="129"/>
        <v>4.6264993935951715</v>
      </c>
      <c r="M85" s="1">
        <f t="shared" si="158"/>
        <v>-2.0658016642455888</v>
      </c>
      <c r="N85" s="1">
        <f t="shared" ref="N85" si="201">M85+M$2</f>
        <v>-1.681358773798568</v>
      </c>
      <c r="O85" s="1">
        <f t="shared" si="160"/>
        <v>1.7068633054618052</v>
      </c>
      <c r="P85" s="1">
        <f t="shared" si="199"/>
        <v>-3.3313094618278765</v>
      </c>
      <c r="Q85" s="1">
        <f t="shared" si="199"/>
        <v>-0.30596383970806085</v>
      </c>
      <c r="R85" s="1">
        <f t="shared" si="199"/>
        <v>-0.26448918533018073</v>
      </c>
      <c r="S85" s="1">
        <f>$M85+SUMPRODUCT(regions!BG85:BS85,regions!BG$193:BS$193)</f>
        <v>-4.8968569043222017</v>
      </c>
      <c r="T85" s="1">
        <f>$M85+SUMPRODUCT(regions!BV85:CD85,regions!BV$193:CD$193)</f>
        <v>-3.2969906123131114</v>
      </c>
      <c r="U85" s="1">
        <f>$M85+SUMPRODUCT(regions!CQ85:CV85,regions!CQ$193:CV$193)</f>
        <v>-3.0467144300629529</v>
      </c>
      <c r="V85" s="1">
        <f>$M85+SUMPRODUCT(regions!CY85:DF85,regions!CY$193:DF$193)</f>
        <v>-3.1699966415549703</v>
      </c>
      <c r="W85" s="1">
        <f>$M85+SUMPRODUCT(regions!DI85:DP85,regions!DI$193:DP$193)</f>
        <v>-3.09999664155497</v>
      </c>
      <c r="X85" s="1">
        <f>$M85+SUMPRODUCT(regions!DR85:DW85,regions!DR$193:DW$193)</f>
        <v>-3.2699966415549699</v>
      </c>
      <c r="Y85" s="1">
        <f>$M85+SUMPRODUCT(regions!DZ85:EE85,regions!DZ$193:EE$193)</f>
        <v>-3.4699966415549701</v>
      </c>
      <c r="Z85" s="1">
        <f t="shared" si="173"/>
        <v>0.6</v>
      </c>
      <c r="AA85" t="str">
        <f>Maddison!A41</f>
        <v>Italy</v>
      </c>
      <c r="AB85">
        <f>-Maddison!B41</f>
        <v>0.6</v>
      </c>
      <c r="AC85" s="1">
        <f t="shared" si="196"/>
        <v>-2.2813587737985679</v>
      </c>
      <c r="AF85" s="1">
        <f t="shared" si="156"/>
        <v>11.264198335754411</v>
      </c>
      <c r="AG85" s="1"/>
      <c r="AH85" s="1">
        <f t="shared" si="161"/>
        <v>-1.0751599372008747</v>
      </c>
      <c r="AI85" s="1">
        <f t="shared" si="174"/>
        <v>-1.0034826080541495</v>
      </c>
      <c r="AJ85" s="1">
        <f t="shared" si="174"/>
        <v>-0.93180527890742437</v>
      </c>
      <c r="AK85" s="1">
        <f t="shared" si="174"/>
        <v>-0.78845062061397442</v>
      </c>
      <c r="AL85" s="1">
        <f t="shared" si="174"/>
        <v>-0.71677329146724944</v>
      </c>
      <c r="AM85" s="1">
        <f t="shared" si="174"/>
        <v>-0.64509596232052446</v>
      </c>
      <c r="AN85" s="1">
        <f t="shared" si="174"/>
        <v>-0.57341863317379949</v>
      </c>
      <c r="AO85" s="1">
        <f t="shared" si="174"/>
        <v>-0.50174130402707451</v>
      </c>
      <c r="AP85" s="1">
        <f t="shared" si="174"/>
        <v>-0.43006397488034964</v>
      </c>
      <c r="AQ85" s="1">
        <f t="shared" si="174"/>
        <v>-0.35838664573362466</v>
      </c>
      <c r="AR85" s="1">
        <f t="shared" si="174"/>
        <v>-0.28670931658689974</v>
      </c>
      <c r="AS85" s="1">
        <f t="shared" ref="AI85:BC97" si="202">$AF85*AS$2</f>
        <v>-0.21503198744017477</v>
      </c>
      <c r="AT85" s="1">
        <f t="shared" si="202"/>
        <v>-0.14335465829344979</v>
      </c>
      <c r="AU85" s="1">
        <f t="shared" si="202"/>
        <v>-7.1677329146724839E-2</v>
      </c>
      <c r="AV85" s="1">
        <f t="shared" si="202"/>
        <v>0</v>
      </c>
      <c r="AW85" s="1">
        <f t="shared" si="202"/>
        <v>7.1677329146724963E-2</v>
      </c>
      <c r="AX85" s="1">
        <f t="shared" si="202"/>
        <v>0</v>
      </c>
      <c r="AY85" s="1">
        <f t="shared" si="202"/>
        <v>0.21503198744017493</v>
      </c>
      <c r="AZ85" s="1">
        <f t="shared" si="202"/>
        <v>0.28670931658689985</v>
      </c>
      <c r="BA85" s="1">
        <f t="shared" si="202"/>
        <v>0.35838664573362483</v>
      </c>
      <c r="BB85" s="1">
        <f t="shared" si="202"/>
        <v>0.43006397488034981</v>
      </c>
      <c r="BC85" s="1">
        <f t="shared" si="202"/>
        <v>0.50174130402707473</v>
      </c>
      <c r="BD85" s="1"/>
      <c r="BE85">
        <f t="shared" ref="BE85" si="203">LN($D85)-LN($D85*(1+BA85/100))</f>
        <v>-3.5774597106641437E-3</v>
      </c>
      <c r="BF85">
        <f t="shared" si="163"/>
        <v>-4.2914184266145128E-3</v>
      </c>
      <c r="BG85">
        <f t="shared" si="163"/>
        <v>-5.0048677691680865E-3</v>
      </c>
    </row>
    <row r="86" spans="1:59" x14ac:dyDescent="0.35">
      <c r="A86" t="str">
        <f>regions!A86</f>
        <v>Japan</v>
      </c>
      <c r="B86" s="22">
        <f>regions!B86</f>
        <v>127450459</v>
      </c>
      <c r="C86" s="22">
        <f>regions!C86</f>
        <v>4648468621132.7568</v>
      </c>
      <c r="D86" s="10">
        <f>regions!D86</f>
        <v>36472.749157637452</v>
      </c>
      <c r="E86" s="1">
        <f>regions!X86</f>
        <v>11.1</v>
      </c>
      <c r="I86" s="7">
        <f t="shared" si="128"/>
        <v>0.21482974936419996</v>
      </c>
      <c r="J86" s="1">
        <f t="shared" si="129"/>
        <v>0.73399479911030974</v>
      </c>
      <c r="K86" s="1">
        <f t="shared" si="154"/>
        <v>5.3317906296646962</v>
      </c>
      <c r="L86" s="1">
        <f t="shared" si="129"/>
        <v>0.22814035166460389</v>
      </c>
      <c r="M86" s="1">
        <f t="shared" si="158"/>
        <v>-0.65853017998634655</v>
      </c>
      <c r="N86" s="1">
        <f t="shared" ref="N86" si="204">M86+M$2</f>
        <v>-0.27408728953932582</v>
      </c>
      <c r="O86" s="1">
        <f t="shared" si="160"/>
        <v>1.5981174014286372</v>
      </c>
      <c r="P86" s="1">
        <f t="shared" si="199"/>
        <v>-1.9240379775686345</v>
      </c>
      <c r="Q86" s="1">
        <f t="shared" si="199"/>
        <v>1.1013076445511811</v>
      </c>
      <c r="R86" s="1">
        <f t="shared" si="199"/>
        <v>1.1427822989290615</v>
      </c>
      <c r="S86" s="1">
        <f>$M86+SUMPRODUCT(regions!BG86:BS86,regions!BG$193:BS$193)</f>
        <v>-0.5</v>
      </c>
      <c r="T86" s="1">
        <f>$M86+SUMPRODUCT(regions!BV86:CD86,regions!BV$193:CD$193)</f>
        <v>-2.1186903057530828</v>
      </c>
      <c r="U86" s="1">
        <f>$M86+SUMPRODUCT(regions!CQ86:CV86,regions!CQ$193:CV$193)</f>
        <v>-1.1739999999999999</v>
      </c>
      <c r="V86" s="1">
        <f>$M86+SUMPRODUCT(regions!CY86:DF86,regions!CY$193:DF$193)</f>
        <v>-3.9668121192289867</v>
      </c>
      <c r="W86" s="1">
        <f>$M86+SUMPRODUCT(regions!DI86:DP86,regions!DI$193:DP$193)</f>
        <v>-1.4143121192289869</v>
      </c>
      <c r="X86" s="1">
        <f>$M86+SUMPRODUCT(regions!DR86:DW86,regions!DR$193:DW$193)</f>
        <v>-2.5068121192289867</v>
      </c>
      <c r="Y86" s="1">
        <f>$M86+SUMPRODUCT(regions!DZ86:EE86,regions!DZ$193:EE$193)</f>
        <v>-2.1632436571248626</v>
      </c>
      <c r="Z86" s="1">
        <f t="shared" si="173"/>
        <v>0.4</v>
      </c>
      <c r="AA86" t="str">
        <f>Maddison!A44</f>
        <v>Japan</v>
      </c>
      <c r="AB86">
        <f>-Maddison!B44</f>
        <v>0.4</v>
      </c>
      <c r="AC86" s="1">
        <f t="shared" si="196"/>
        <v>-0.67408728953932584</v>
      </c>
      <c r="AF86" s="1">
        <f t="shared" si="156"/>
        <v>12.671469820013654</v>
      </c>
      <c r="AG86" s="1"/>
      <c r="AH86" s="1">
        <f t="shared" si="161"/>
        <v>-1.209483026651289</v>
      </c>
      <c r="AI86" s="1">
        <f t="shared" si="202"/>
        <v>-1.1288508248745364</v>
      </c>
      <c r="AJ86" s="1">
        <f t="shared" si="202"/>
        <v>-1.0482186230977835</v>
      </c>
      <c r="AK86" s="1">
        <f t="shared" si="202"/>
        <v>-0.88695421954427833</v>
      </c>
      <c r="AL86" s="1">
        <f t="shared" si="202"/>
        <v>-0.80632201776752566</v>
      </c>
      <c r="AM86" s="1">
        <f t="shared" si="202"/>
        <v>-0.72568981599077309</v>
      </c>
      <c r="AN86" s="1">
        <f t="shared" si="202"/>
        <v>-0.64505761421402052</v>
      </c>
      <c r="AO86" s="1">
        <f t="shared" si="202"/>
        <v>-0.56442541243726785</v>
      </c>
      <c r="AP86" s="1">
        <f t="shared" si="202"/>
        <v>-0.48379321066051534</v>
      </c>
      <c r="AQ86" s="1">
        <f t="shared" si="202"/>
        <v>-0.40316100888376277</v>
      </c>
      <c r="AR86" s="1">
        <f t="shared" si="202"/>
        <v>-0.32252880710701021</v>
      </c>
      <c r="AS86" s="1">
        <f t="shared" si="202"/>
        <v>-0.24189660533025764</v>
      </c>
      <c r="AT86" s="1">
        <f t="shared" si="202"/>
        <v>-0.16126440355350502</v>
      </c>
      <c r="AU86" s="1">
        <f t="shared" si="202"/>
        <v>-8.0632201776752441E-2</v>
      </c>
      <c r="AV86" s="1">
        <f t="shared" si="202"/>
        <v>0</v>
      </c>
      <c r="AW86" s="1">
        <f t="shared" si="202"/>
        <v>8.0632201776752593E-2</v>
      </c>
      <c r="AX86" s="1">
        <f t="shared" si="202"/>
        <v>0</v>
      </c>
      <c r="AY86" s="1">
        <f t="shared" si="202"/>
        <v>0.24189660533025781</v>
      </c>
      <c r="AZ86" s="1">
        <f t="shared" si="202"/>
        <v>0.32252880710701037</v>
      </c>
      <c r="BA86" s="1">
        <f t="shared" si="202"/>
        <v>0.40316100888376294</v>
      </c>
      <c r="BB86" s="1">
        <f t="shared" si="202"/>
        <v>0.4837932106605155</v>
      </c>
      <c r="BC86" s="1">
        <f t="shared" si="202"/>
        <v>0.56442541243726818</v>
      </c>
      <c r="BD86" s="1"/>
      <c r="BE86">
        <f t="shared" ref="BE86" si="205">LN($D86)-LN($D86*(1+BA86/100))</f>
        <v>-4.0235049261507783E-3</v>
      </c>
      <c r="BF86">
        <f t="shared" si="163"/>
        <v>-4.8262669215244358E-3</v>
      </c>
      <c r="BG86">
        <f t="shared" si="163"/>
        <v>-5.6283850069487329E-3</v>
      </c>
    </row>
    <row r="87" spans="1:59" x14ac:dyDescent="0.35">
      <c r="A87" t="str">
        <f>regions!A87</f>
        <v>Jordan</v>
      </c>
      <c r="B87" s="22">
        <f>regions!B87</f>
        <v>6046000</v>
      </c>
      <c r="C87" s="22">
        <f>regions!C87</f>
        <v>17034536275.580128</v>
      </c>
      <c r="D87" s="10">
        <f>regions!D87</f>
        <v>2817.4886330764352</v>
      </c>
      <c r="E87" s="1">
        <f>regions!X87</f>
        <v>18.3</v>
      </c>
      <c r="I87" s="7">
        <f t="shared" si="128"/>
        <v>-7.6350353348154929</v>
      </c>
      <c r="J87" s="1">
        <f t="shared" si="129"/>
        <v>-7.1158702850693833</v>
      </c>
      <c r="K87" s="1">
        <f t="shared" si="154"/>
        <v>-2.3316950945965091</v>
      </c>
      <c r="L87" s="1">
        <f t="shared" si="129"/>
        <v>-7.4353453725966014</v>
      </c>
      <c r="M87" s="1">
        <f t="shared" si="158"/>
        <v>-8.1900462084167849</v>
      </c>
      <c r="N87" s="1">
        <f t="shared" ref="N87" si="206">M87+M$2</f>
        <v>-7.8056033179697639</v>
      </c>
      <c r="O87" s="1">
        <f t="shared" si="160"/>
        <v>2.7815255605332165</v>
      </c>
      <c r="P87" s="1">
        <f t="shared" si="199"/>
        <v>-9.4555540059990726</v>
      </c>
      <c r="Q87" s="1">
        <f t="shared" si="199"/>
        <v>-6.4302083838792576</v>
      </c>
      <c r="R87" s="1">
        <f t="shared" si="199"/>
        <v>-6.3887337295013769</v>
      </c>
      <c r="S87" s="1">
        <f>$M87+SUMPRODUCT(regions!BG87:BS87,regions!BG$193:BS$193)</f>
        <v>0.59589229138320476</v>
      </c>
      <c r="T87" s="1">
        <f>$M87+SUMPRODUCT(regions!BV87:CD87,regions!BV$193:CD$193)</f>
        <v>-5.7030667181332326</v>
      </c>
      <c r="U87" s="1">
        <f>$M87+SUMPRODUCT(regions!CQ87:CV87,regions!CQ$193:CV$193)</f>
        <v>-4.469560660134702</v>
      </c>
      <c r="V87" s="1">
        <f>$M87+SUMPRODUCT(regions!CY87:DF87,regions!CY$193:DF$193)</f>
        <v>-6.0884686875910834</v>
      </c>
      <c r="W87" s="1">
        <f>$M87+SUMPRODUCT(regions!DI87:DP87,regions!DI$193:DP$193)</f>
        <v>-2.4893686875910834</v>
      </c>
      <c r="X87" s="1">
        <f>$M87+SUMPRODUCT(regions!DR87:DW87,regions!DR$193:DW$193)</f>
        <v>-2.3663846151816426</v>
      </c>
      <c r="Y87" s="1">
        <f>$M87+SUMPRODUCT(regions!DZ87:EE87,regions!DZ$193:EE$193)</f>
        <v>-1.8653966821969128</v>
      </c>
      <c r="Z87" s="1">
        <f t="shared" si="173"/>
        <v>-4.7099800259721327</v>
      </c>
      <c r="AF87" s="1">
        <f t="shared" si="156"/>
        <v>5.1399537915832152</v>
      </c>
      <c r="AG87" s="1"/>
      <c r="AH87" s="1">
        <f t="shared" si="161"/>
        <v>-0.49060503295939961</v>
      </c>
      <c r="AI87" s="1">
        <f t="shared" si="202"/>
        <v>-0.45789803076210622</v>
      </c>
      <c r="AJ87" s="1">
        <f t="shared" si="202"/>
        <v>-0.42519102856481283</v>
      </c>
      <c r="AK87" s="1">
        <f t="shared" si="202"/>
        <v>-0.35977702417022622</v>
      </c>
      <c r="AL87" s="1">
        <f t="shared" si="202"/>
        <v>-0.32707002197293294</v>
      </c>
      <c r="AM87" s="1">
        <f t="shared" si="202"/>
        <v>-0.29436301977563961</v>
      </c>
      <c r="AN87" s="1">
        <f t="shared" si="202"/>
        <v>-0.26165601757834633</v>
      </c>
      <c r="AO87" s="1">
        <f t="shared" si="202"/>
        <v>-0.228949015381053</v>
      </c>
      <c r="AP87" s="1">
        <f t="shared" si="202"/>
        <v>-0.19624201318375975</v>
      </c>
      <c r="AQ87" s="1">
        <f t="shared" si="202"/>
        <v>-0.16353501098646644</v>
      </c>
      <c r="AR87" s="1">
        <f t="shared" si="202"/>
        <v>-0.13082800878917314</v>
      </c>
      <c r="AS87" s="1">
        <f t="shared" si="202"/>
        <v>-9.8121006591879847E-2</v>
      </c>
      <c r="AT87" s="1">
        <f t="shared" si="202"/>
        <v>-6.5414004394586542E-2</v>
      </c>
      <c r="AU87" s="1">
        <f t="shared" si="202"/>
        <v>-3.2707002197293243E-2</v>
      </c>
      <c r="AV87" s="1">
        <f t="shared" si="202"/>
        <v>0</v>
      </c>
      <c r="AW87" s="1">
        <f t="shared" si="202"/>
        <v>3.2707002197293306E-2</v>
      </c>
      <c r="AX87" s="1">
        <f t="shared" si="202"/>
        <v>0</v>
      </c>
      <c r="AY87" s="1">
        <f t="shared" si="202"/>
        <v>9.8121006591879931E-2</v>
      </c>
      <c r="AZ87" s="1">
        <f t="shared" si="202"/>
        <v>0.13082800878917322</v>
      </c>
      <c r="BA87" s="1">
        <f t="shared" si="202"/>
        <v>0.1635350109864665</v>
      </c>
      <c r="BB87" s="1">
        <f t="shared" si="202"/>
        <v>0.19624201318375981</v>
      </c>
      <c r="BC87" s="1">
        <f t="shared" si="202"/>
        <v>0.22894901538105311</v>
      </c>
      <c r="BD87" s="1"/>
      <c r="BE87">
        <f t="shared" ref="BE87" si="207">LN($D87)-LN($D87*(1+BA87/100))</f>
        <v>-1.6340143809321361E-3</v>
      </c>
      <c r="BF87">
        <f t="shared" si="163"/>
        <v>-1.9604971009030692E-3</v>
      </c>
      <c r="BG87">
        <f t="shared" si="163"/>
        <v>-2.2868732646958989E-3</v>
      </c>
    </row>
    <row r="88" spans="1:59" x14ac:dyDescent="0.35">
      <c r="A88" t="str">
        <f>regions!A88</f>
        <v>Kazakhstan</v>
      </c>
      <c r="B88" s="22">
        <f>regions!B88</f>
        <v>16323287</v>
      </c>
      <c r="C88" s="22">
        <f>regions!C88</f>
        <v>77245319067.247726</v>
      </c>
      <c r="D88" s="10">
        <f>regions!D88</f>
        <v>4732.2159481266071</v>
      </c>
      <c r="E88" s="1">
        <f>regions!X88</f>
        <v>6.4</v>
      </c>
      <c r="I88" s="7">
        <f t="shared" si="128"/>
        <v>-0.20097305641085583</v>
      </c>
      <c r="J88" s="1">
        <f t="shared" si="129"/>
        <v>0.31819199333525394</v>
      </c>
      <c r="K88" s="1">
        <f t="shared" si="154"/>
        <v>6.4435282599592689</v>
      </c>
      <c r="L88" s="1">
        <f t="shared" si="129"/>
        <v>1.3398779819591766</v>
      </c>
      <c r="M88" s="1">
        <f t="shared" si="158"/>
        <v>-1.982008064349746</v>
      </c>
      <c r="N88" s="1">
        <f t="shared" ref="N88" si="208">M88+M$2</f>
        <v>-1.5975651739027252</v>
      </c>
      <c r="O88" s="1">
        <f t="shared" si="160"/>
        <v>2.5942528453213334</v>
      </c>
      <c r="P88" s="1">
        <f t="shared" si="199"/>
        <v>-3.2475158619320332</v>
      </c>
      <c r="Q88" s="1">
        <f t="shared" si="199"/>
        <v>-0.22217023981221828</v>
      </c>
      <c r="R88" s="1">
        <f t="shared" si="199"/>
        <v>-0.18069558543433795</v>
      </c>
      <c r="S88" s="1">
        <f>$M88+SUMPRODUCT(regions!BG88:BS88,regions!BG$193:BS$193)</f>
        <v>3.4629423055228137</v>
      </c>
      <c r="T88" s="1">
        <f>$M88+SUMPRODUCT(regions!BV88:CD88,regions!BV$193:CD$193)</f>
        <v>-1.8127619201972396</v>
      </c>
      <c r="U88" s="1">
        <f>$M88+SUMPRODUCT(regions!CQ88:CV88,regions!CQ$193:CV$193)</f>
        <v>-4.5649046780974025</v>
      </c>
      <c r="V88" s="1">
        <f>$M88+SUMPRODUCT(regions!CY88:DF88,regions!CY$193:DF$193)</f>
        <v>-2.1127619201972396</v>
      </c>
      <c r="W88" s="1">
        <f>$M88+SUMPRODUCT(regions!DI88:DP88,regions!DI$193:DP$193)</f>
        <v>-1.6822619201972395</v>
      </c>
      <c r="X88" s="1">
        <f>$M88+SUMPRODUCT(regions!DR88:DW88,regions!DR$193:DW$193)</f>
        <v>-4.4079046780974025</v>
      </c>
      <c r="Y88" s="1">
        <f>$M88+SUMPRODUCT(regions!DZ88:EE88,regions!DZ$193:EE$193)</f>
        <v>-4.5079046780974021</v>
      </c>
      <c r="Z88" s="1">
        <f t="shared" si="173"/>
        <v>1.4980581180949064</v>
      </c>
      <c r="AF88" s="1">
        <f t="shared" si="156"/>
        <v>11.347991935650255</v>
      </c>
      <c r="AG88" s="1"/>
      <c r="AH88" s="1">
        <f t="shared" si="161"/>
        <v>-1.0831579783322958</v>
      </c>
      <c r="AI88" s="1">
        <f t="shared" si="202"/>
        <v>-1.010947446443476</v>
      </c>
      <c r="AJ88" s="1">
        <f t="shared" si="202"/>
        <v>-0.93873691455465613</v>
      </c>
      <c r="AK88" s="1">
        <f t="shared" si="202"/>
        <v>-0.79431585077701661</v>
      </c>
      <c r="AL88" s="1">
        <f t="shared" si="202"/>
        <v>-0.72210531888819696</v>
      </c>
      <c r="AM88" s="1">
        <f t="shared" si="202"/>
        <v>-0.64989478699937719</v>
      </c>
      <c r="AN88" s="1">
        <f t="shared" si="202"/>
        <v>-0.57768425511055743</v>
      </c>
      <c r="AO88" s="1">
        <f t="shared" si="202"/>
        <v>-0.50547372322173778</v>
      </c>
      <c r="AP88" s="1">
        <f t="shared" si="202"/>
        <v>-0.43326319133291813</v>
      </c>
      <c r="AQ88" s="1">
        <f t="shared" si="202"/>
        <v>-0.36105265944409837</v>
      </c>
      <c r="AR88" s="1">
        <f t="shared" si="202"/>
        <v>-0.28884212755527872</v>
      </c>
      <c r="AS88" s="1">
        <f t="shared" si="202"/>
        <v>-0.21663159566645901</v>
      </c>
      <c r="AT88" s="1">
        <f t="shared" si="202"/>
        <v>-0.1444210637776393</v>
      </c>
      <c r="AU88" s="1">
        <f t="shared" si="202"/>
        <v>-7.2210531888819582E-2</v>
      </c>
      <c r="AV88" s="1">
        <f t="shared" si="202"/>
        <v>0</v>
      </c>
      <c r="AW88" s="1">
        <f t="shared" si="202"/>
        <v>7.2210531888819721E-2</v>
      </c>
      <c r="AX88" s="1">
        <f t="shared" si="202"/>
        <v>0</v>
      </c>
      <c r="AY88" s="1">
        <f t="shared" si="202"/>
        <v>0.21663159566645918</v>
      </c>
      <c r="AZ88" s="1">
        <f t="shared" si="202"/>
        <v>0.28884212755527888</v>
      </c>
      <c r="BA88" s="1">
        <f t="shared" si="202"/>
        <v>0.36105265944409853</v>
      </c>
      <c r="BB88" s="1">
        <f t="shared" si="202"/>
        <v>0.4332631913329183</v>
      </c>
      <c r="BC88" s="1">
        <f t="shared" si="202"/>
        <v>0.505473723221738</v>
      </c>
      <c r="BD88" s="1"/>
      <c r="BE88">
        <f t="shared" ref="BE88" si="209">LN($D88)-LN($D88*(1+BA88/100))</f>
        <v>-3.6040242897588115E-3</v>
      </c>
      <c r="BF88">
        <f t="shared" si="163"/>
        <v>-4.3232730861788582E-3</v>
      </c>
      <c r="BG88">
        <f t="shared" si="163"/>
        <v>-5.0420049355590635E-3</v>
      </c>
    </row>
    <row r="89" spans="1:59" x14ac:dyDescent="0.35">
      <c r="A89" t="str">
        <f>regions!A89</f>
        <v>Kenya</v>
      </c>
      <c r="B89" s="22">
        <f>regions!B89</f>
        <v>40909194</v>
      </c>
      <c r="C89" s="22">
        <f>regions!C89</f>
        <v>23525253225.790203</v>
      </c>
      <c r="D89" s="10">
        <f>regions!D89</f>
        <v>575.06029636736923</v>
      </c>
      <c r="E89" s="1">
        <f>regions!X89</f>
        <v>24.7</v>
      </c>
      <c r="I89" s="7">
        <f t="shared" si="128"/>
        <v>-12.535274237144433</v>
      </c>
      <c r="J89" s="1">
        <f t="shared" si="129"/>
        <v>-12.016109187398323</v>
      </c>
      <c r="K89" s="1">
        <f t="shared" si="154"/>
        <v>-9.9055889887662278</v>
      </c>
      <c r="L89" s="1">
        <f t="shared" si="129"/>
        <v>-15.00923926676632</v>
      </c>
      <c r="M89" s="1">
        <f t="shared" si="158"/>
        <v>-13.730307330712037</v>
      </c>
      <c r="N89" s="1">
        <f t="shared" ref="N89" si="210">M89+M$2</f>
        <v>-13.345864440265016</v>
      </c>
      <c r="O89" s="1">
        <f t="shared" si="160"/>
        <v>2.9183736875593245</v>
      </c>
      <c r="P89" s="1">
        <f t="shared" si="199"/>
        <v>-14.995815128294325</v>
      </c>
      <c r="Q89" s="1">
        <f t="shared" si="199"/>
        <v>-11.97046950617451</v>
      </c>
      <c r="R89" s="1">
        <f t="shared" si="199"/>
        <v>-11.928994851796629</v>
      </c>
      <c r="S89" s="1">
        <f>$M89+SUMPRODUCT(regions!BG89:BS89,regions!BG$193:BS$193)</f>
        <v>-4.4751790242840883</v>
      </c>
      <c r="T89" s="1">
        <f>$M89+SUMPRODUCT(regions!BV89:CD89,regions!BV$193:CD$193)</f>
        <v>-12.084990011096354</v>
      </c>
      <c r="U89" s="1">
        <f>$M89+SUMPRODUCT(regions!CQ89:CV89,regions!CQ$193:CV$193)</f>
        <v>-10.009821782429954</v>
      </c>
      <c r="V89" s="1">
        <f>$M89+SUMPRODUCT(regions!CY89:DF89,regions!CY$193:DF$193)</f>
        <v>-11.628729809886336</v>
      </c>
      <c r="W89" s="1">
        <f>$M89+SUMPRODUCT(regions!DI89:DP89,regions!DI$193:DP$193)</f>
        <v>-8.0296298098863357</v>
      </c>
      <c r="X89" s="1">
        <f>$M89+SUMPRODUCT(regions!DR89:DW89,regions!DR$193:DW$193)</f>
        <v>-7.9066457374768948</v>
      </c>
      <c r="Y89" s="1">
        <f>$M89+SUMPRODUCT(regions!DZ89:EE89,regions!DZ$193:EE$193)</f>
        <v>-7.405657804492165</v>
      </c>
      <c r="Z89" s="1">
        <f t="shared" si="173"/>
        <v>-9.6999999999999993</v>
      </c>
      <c r="AA89" t="str">
        <f>Maddison!A45</f>
        <v>Kenya</v>
      </c>
      <c r="AB89">
        <f>-Maddison!B45</f>
        <v>-9.6999999999999993</v>
      </c>
      <c r="AC89" s="1">
        <f>N89-AB89</f>
        <v>-3.6458644402650169</v>
      </c>
      <c r="AF89" s="1">
        <f t="shared" si="156"/>
        <v>-0.40030733071203706</v>
      </c>
      <c r="AG89" s="1"/>
      <c r="AH89" s="1">
        <f t="shared" si="161"/>
        <v>3.8209057735006421E-2</v>
      </c>
      <c r="AI89" s="1">
        <f t="shared" si="202"/>
        <v>3.5661787219339318E-2</v>
      </c>
      <c r="AJ89" s="1">
        <f t="shared" si="202"/>
        <v>3.3114516703672221E-2</v>
      </c>
      <c r="AK89" s="1">
        <f t="shared" si="202"/>
        <v>2.8019975672338032E-2</v>
      </c>
      <c r="AL89" s="1">
        <f t="shared" si="202"/>
        <v>2.5472705156670935E-2</v>
      </c>
      <c r="AM89" s="1">
        <f t="shared" si="202"/>
        <v>2.2925434641003842E-2</v>
      </c>
      <c r="AN89" s="1">
        <f t="shared" si="202"/>
        <v>2.0378164125336745E-2</v>
      </c>
      <c r="AO89" s="1">
        <f t="shared" si="202"/>
        <v>1.7830893609669652E-2</v>
      </c>
      <c r="AP89" s="1">
        <f t="shared" si="202"/>
        <v>1.5283623094002559E-2</v>
      </c>
      <c r="AQ89" s="1">
        <f t="shared" si="202"/>
        <v>1.2736352578335466E-2</v>
      </c>
      <c r="AR89" s="1">
        <f t="shared" si="202"/>
        <v>1.0189082062668371E-2</v>
      </c>
      <c r="AS89" s="1">
        <f t="shared" si="202"/>
        <v>7.6418115470012786E-3</v>
      </c>
      <c r="AT89" s="1">
        <f t="shared" si="202"/>
        <v>5.0945410313341837E-3</v>
      </c>
      <c r="AU89" s="1">
        <f t="shared" si="202"/>
        <v>2.5472705156670892E-3</v>
      </c>
      <c r="AV89" s="1">
        <f t="shared" si="202"/>
        <v>0</v>
      </c>
      <c r="AW89" s="1">
        <f t="shared" si="202"/>
        <v>-2.5472705156670944E-3</v>
      </c>
      <c r="AX89" s="1">
        <f t="shared" si="202"/>
        <v>0</v>
      </c>
      <c r="AY89" s="1">
        <f t="shared" si="202"/>
        <v>-7.6418115470012838E-3</v>
      </c>
      <c r="AZ89" s="1">
        <f t="shared" si="202"/>
        <v>-1.0189082062668378E-2</v>
      </c>
      <c r="BA89" s="1">
        <f t="shared" si="202"/>
        <v>-1.2736352578335471E-2</v>
      </c>
      <c r="BB89" s="1">
        <f t="shared" si="202"/>
        <v>-1.5283623094002566E-2</v>
      </c>
      <c r="BC89" s="1">
        <f t="shared" si="202"/>
        <v>-1.7830893609669659E-2</v>
      </c>
      <c r="BD89" s="1"/>
      <c r="BE89">
        <f t="shared" ref="BE89" si="211">LN($D89)-LN($D89*(1+BA89/100))</f>
        <v>1.2737163720544231E-4</v>
      </c>
      <c r="BF89">
        <f t="shared" si="163"/>
        <v>1.528479115870951E-4</v>
      </c>
      <c r="BG89">
        <f t="shared" si="163"/>
        <v>1.78324835024668E-4</v>
      </c>
    </row>
    <row r="90" spans="1:59" x14ac:dyDescent="0.35">
      <c r="A90" t="str">
        <f>regions!A90</f>
        <v>Kiribati</v>
      </c>
      <c r="B90" s="22">
        <f>regions!B90</f>
        <v>97743</v>
      </c>
      <c r="C90" s="22">
        <f>regions!C90</f>
        <v>110681568.59474988</v>
      </c>
      <c r="D90" s="10">
        <f>regions!D90</f>
        <v>1132.3733525137338</v>
      </c>
      <c r="E90" s="1">
        <f>regions!X90</f>
        <v>28.2</v>
      </c>
      <c r="I90" s="7">
        <f t="shared" si="128"/>
        <v>-13.97289080917041</v>
      </c>
      <c r="J90" s="1">
        <f t="shared" si="129"/>
        <v>-13.4537257594243</v>
      </c>
      <c r="K90" s="1">
        <f t="shared" si="154"/>
        <v>-10.262871271285706</v>
      </c>
      <c r="L90" s="1">
        <f t="shared" si="129"/>
        <v>-15.366521549285798</v>
      </c>
      <c r="M90" s="1">
        <f t="shared" si="158"/>
        <v>-14.161441549647988</v>
      </c>
      <c r="N90" s="1">
        <f t="shared" ref="N90" si="212">M90+M$2</f>
        <v>-13.776998659200967</v>
      </c>
      <c r="O90" s="1">
        <f t="shared" si="160"/>
        <v>3.0960644511117268</v>
      </c>
      <c r="P90" s="1">
        <f t="shared" si="199"/>
        <v>-15.426949347230277</v>
      </c>
      <c r="Q90" s="1">
        <f t="shared" si="199"/>
        <v>-12.40160372511046</v>
      </c>
      <c r="R90" s="1">
        <f t="shared" si="199"/>
        <v>-12.360129070732579</v>
      </c>
      <c r="S90" s="1">
        <f>$M90+SUMPRODUCT(regions!BG90:BS90,regions!BG$193:BS$193)</f>
        <v>-5.3755030498479979</v>
      </c>
      <c r="T90" s="1">
        <f>$M90+SUMPRODUCT(regions!BV90:CD90,regions!BV$193:CD$193)</f>
        <v>-13.876190790129799</v>
      </c>
      <c r="U90" s="1">
        <f>$M90+SUMPRODUCT(regions!CQ90:CV90,regions!CQ$193:CV$193)</f>
        <v>-10.440956001365905</v>
      </c>
      <c r="V90" s="1">
        <f>$M90+SUMPRODUCT(regions!CY90:DF90,regions!CY$193:DF$193)</f>
        <v>-14.022804157328187</v>
      </c>
      <c r="W90" s="1">
        <f>$M90+SUMPRODUCT(regions!DI90:DP90,regions!DI$193:DP$193)</f>
        <v>-8.5178041573281895</v>
      </c>
      <c r="X90" s="1">
        <f>$M90+SUMPRODUCT(regions!DR90:DW90,regions!DR$193:DW$193)</f>
        <v>-8.3377799564128452</v>
      </c>
      <c r="Y90" s="1">
        <f>$M90+SUMPRODUCT(regions!DZ90:EE90,regions!DZ$193:EE$193)</f>
        <v>-7.8367920234281154</v>
      </c>
      <c r="Z90" s="1">
        <f t="shared" si="173"/>
        <v>-10.681375367203335</v>
      </c>
      <c r="AF90" s="1">
        <f t="shared" si="156"/>
        <v>-0.83144154964798744</v>
      </c>
      <c r="AG90" s="1"/>
      <c r="AH90" s="1">
        <f t="shared" si="161"/>
        <v>7.9360520621182554E-2</v>
      </c>
      <c r="AI90" s="1">
        <f t="shared" si="202"/>
        <v>7.4069819246437033E-2</v>
      </c>
      <c r="AJ90" s="1">
        <f t="shared" si="202"/>
        <v>6.8779117871691525E-2</v>
      </c>
      <c r="AK90" s="1">
        <f t="shared" si="202"/>
        <v>5.8197715122200511E-2</v>
      </c>
      <c r="AL90" s="1">
        <f t="shared" si="202"/>
        <v>5.290701374745501E-2</v>
      </c>
      <c r="AM90" s="1">
        <f t="shared" si="202"/>
        <v>4.7616312372709503E-2</v>
      </c>
      <c r="AN90" s="1">
        <f t="shared" si="202"/>
        <v>4.2325610997964003E-2</v>
      </c>
      <c r="AO90" s="1">
        <f t="shared" si="202"/>
        <v>3.7034909623218502E-2</v>
      </c>
      <c r="AP90" s="1">
        <f t="shared" si="202"/>
        <v>3.1744208248473002E-2</v>
      </c>
      <c r="AQ90" s="1">
        <f t="shared" si="202"/>
        <v>2.6453506873727498E-2</v>
      </c>
      <c r="AR90" s="1">
        <f t="shared" si="202"/>
        <v>2.1162805498981998E-2</v>
      </c>
      <c r="AS90" s="1">
        <f t="shared" si="202"/>
        <v>1.5872104124236498E-2</v>
      </c>
      <c r="AT90" s="1">
        <f t="shared" si="202"/>
        <v>1.0581402749490995E-2</v>
      </c>
      <c r="AU90" s="1">
        <f t="shared" si="202"/>
        <v>5.2907013747454925E-3</v>
      </c>
      <c r="AV90" s="1">
        <f t="shared" si="202"/>
        <v>0</v>
      </c>
      <c r="AW90" s="1">
        <f t="shared" si="202"/>
        <v>-5.2907013747455021E-3</v>
      </c>
      <c r="AX90" s="1">
        <f t="shared" si="202"/>
        <v>0</v>
      </c>
      <c r="AY90" s="1">
        <f t="shared" si="202"/>
        <v>-1.5872104124236508E-2</v>
      </c>
      <c r="AZ90" s="1">
        <f t="shared" si="202"/>
        <v>-2.1162805498982008E-2</v>
      </c>
      <c r="BA90" s="1">
        <f t="shared" si="202"/>
        <v>-2.6453506873727509E-2</v>
      </c>
      <c r="BB90" s="1">
        <f t="shared" si="202"/>
        <v>-3.1744208248473016E-2</v>
      </c>
      <c r="BC90" s="1">
        <f t="shared" si="202"/>
        <v>-3.7034909623218516E-2</v>
      </c>
      <c r="BD90" s="1"/>
      <c r="BE90">
        <f t="shared" ref="BE90" si="213">LN($D90)-LN($D90*(1+BA90/100))</f>
        <v>2.6457006431002128E-4</v>
      </c>
      <c r="BF90">
        <f t="shared" si="163"/>
        <v>3.1749247788770418E-4</v>
      </c>
      <c r="BG90">
        <f t="shared" si="163"/>
        <v>3.7041769239554156E-4</v>
      </c>
    </row>
    <row r="91" spans="1:59" x14ac:dyDescent="0.35">
      <c r="A91" t="str">
        <f>regions!A91</f>
        <v>Kosovo</v>
      </c>
      <c r="B91" s="22">
        <f>regions!B91</f>
        <v>1775680</v>
      </c>
      <c r="C91" s="22">
        <f>regions!C91</f>
        <v>4776327556.26161</v>
      </c>
      <c r="D91" s="10">
        <f>regions!D91</f>
        <v>2689.8582831712979</v>
      </c>
      <c r="E91" s="1">
        <f>regions!X91</f>
        <v>9.9</v>
      </c>
      <c r="I91" s="7">
        <f t="shared" si="128"/>
        <v>-3.3123095864663235</v>
      </c>
      <c r="J91" s="1">
        <f t="shared" si="129"/>
        <v>-2.7931445367202139</v>
      </c>
      <c r="K91" s="1">
        <f t="shared" si="154"/>
        <v>1.2444005463700707</v>
      </c>
      <c r="L91" s="1">
        <f t="shared" si="129"/>
        <v>-3.8592497316300216</v>
      </c>
      <c r="M91" s="1">
        <f t="shared" si="158"/>
        <v>-4.500805214339235</v>
      </c>
      <c r="N91" s="1">
        <f t="shared" ref="N91" si="214">M91+M$2</f>
        <v>-4.116362323892214</v>
      </c>
      <c r="O91" s="1">
        <f t="shared" si="160"/>
        <v>2.46204609946553</v>
      </c>
      <c r="P91" s="1">
        <f t="shared" si="199"/>
        <v>-5.7663130119215227</v>
      </c>
      <c r="Q91" s="1">
        <f t="shared" si="199"/>
        <v>-2.7409673898017068</v>
      </c>
      <c r="R91" s="1">
        <f t="shared" si="199"/>
        <v>-2.699492735423827</v>
      </c>
      <c r="S91" s="1">
        <f>$M91+SUMPRODUCT(regions!BG91:BS91,regions!BG$193:BS$193)</f>
        <v>-3.3475880416491242</v>
      </c>
      <c r="T91" s="1">
        <f>$M91+SUMPRODUCT(regions!BV91:CD91,regions!BV$193:CD$193)</f>
        <v>-4.3315590701867288</v>
      </c>
      <c r="U91" s="1">
        <f>$M91+SUMPRODUCT(regions!CQ91:CV91,regions!CQ$193:CV$193)</f>
        <v>-0.78031966605715208</v>
      </c>
      <c r="V91" s="1">
        <f>$M91+SUMPRODUCT(regions!CY91:DF91,regions!CY$193:DF$193)</f>
        <v>-4.6315590701867286</v>
      </c>
      <c r="W91" s="1">
        <f>$M91+SUMPRODUCT(regions!DI91:DP91,regions!DI$193:DP$193)</f>
        <v>-4.2010590701867283</v>
      </c>
      <c r="X91" s="1">
        <f>$M91+SUMPRODUCT(regions!DR91:DW91,regions!DR$193:DW$193)</f>
        <v>1.3228563788959073</v>
      </c>
      <c r="Y91" s="1">
        <f>$M91+SUMPRODUCT(regions!DZ91:EE91,regions!DZ$193:EE$193)</f>
        <v>1.8238443118806371</v>
      </c>
      <c r="Z91" s="1">
        <f t="shared" si="173"/>
        <v>-1.0207390318945824</v>
      </c>
      <c r="AF91" s="1">
        <f t="shared" si="156"/>
        <v>8.8291947856607642</v>
      </c>
      <c r="AG91" s="1"/>
      <c r="AH91" s="1">
        <f t="shared" si="161"/>
        <v>-0.84274053317701503</v>
      </c>
      <c r="AI91" s="1">
        <f t="shared" si="202"/>
        <v>-0.78655783096521381</v>
      </c>
      <c r="AJ91" s="1">
        <f t="shared" si="202"/>
        <v>-0.73037512875341271</v>
      </c>
      <c r="AK91" s="1">
        <f t="shared" si="202"/>
        <v>-0.61800972432981072</v>
      </c>
      <c r="AL91" s="1">
        <f t="shared" si="202"/>
        <v>-0.56182702211800972</v>
      </c>
      <c r="AM91" s="1">
        <f t="shared" si="202"/>
        <v>-0.50564431990620873</v>
      </c>
      <c r="AN91" s="1">
        <f t="shared" si="202"/>
        <v>-0.44946161769440773</v>
      </c>
      <c r="AO91" s="1">
        <f t="shared" si="202"/>
        <v>-0.39327891548260674</v>
      </c>
      <c r="AP91" s="1">
        <f t="shared" si="202"/>
        <v>-0.3370962132708058</v>
      </c>
      <c r="AQ91" s="1">
        <f t="shared" si="202"/>
        <v>-0.28091351105900481</v>
      </c>
      <c r="AR91" s="1">
        <f t="shared" si="202"/>
        <v>-0.22473080884720384</v>
      </c>
      <c r="AS91" s="1">
        <f t="shared" si="202"/>
        <v>-0.16854810663540287</v>
      </c>
      <c r="AT91" s="1">
        <f t="shared" si="202"/>
        <v>-0.11236540442360188</v>
      </c>
      <c r="AU91" s="1">
        <f t="shared" si="202"/>
        <v>-5.6182702211800883E-2</v>
      </c>
      <c r="AV91" s="1">
        <f t="shared" si="202"/>
        <v>0</v>
      </c>
      <c r="AW91" s="1">
        <f t="shared" si="202"/>
        <v>5.6182702211800988E-2</v>
      </c>
      <c r="AX91" s="1">
        <f t="shared" si="202"/>
        <v>0</v>
      </c>
      <c r="AY91" s="1">
        <f t="shared" si="202"/>
        <v>0.16854810663540298</v>
      </c>
      <c r="AZ91" s="1">
        <f t="shared" si="202"/>
        <v>0.22473080884720395</v>
      </c>
      <c r="BA91" s="1">
        <f t="shared" si="202"/>
        <v>0.28091351105900492</v>
      </c>
      <c r="BB91" s="1">
        <f t="shared" si="202"/>
        <v>0.33709621327080591</v>
      </c>
      <c r="BC91" s="1">
        <f t="shared" si="202"/>
        <v>0.39327891548260691</v>
      </c>
      <c r="BD91" s="1"/>
      <c r="BE91">
        <f t="shared" ref="BE91" si="215">LN($D91)-LN($D91*(1+BA91/100))</f>
        <v>-2.8051968642088809E-3</v>
      </c>
      <c r="BF91">
        <f t="shared" si="163"/>
        <v>-3.3652931761771754E-3</v>
      </c>
      <c r="BG91">
        <f t="shared" si="163"/>
        <v>-3.9250759558671078E-3</v>
      </c>
    </row>
    <row r="92" spans="1:59" x14ac:dyDescent="0.35">
      <c r="A92" t="str">
        <f>regions!A92</f>
        <v>Kuwait</v>
      </c>
      <c r="B92" s="22">
        <f>regions!B92</f>
        <v>2991580</v>
      </c>
      <c r="C92" s="22">
        <f>regions!C92</f>
        <v>85606896366.229919</v>
      </c>
      <c r="D92" s="10">
        <f>regions!D92</f>
        <v>28615.94754819524</v>
      </c>
      <c r="E92" s="1">
        <f>regions!X92</f>
        <v>25.3</v>
      </c>
      <c r="I92" s="7">
        <f t="shared" si="128"/>
        <v>-4.9826553842841008</v>
      </c>
      <c r="J92" s="1">
        <f t="shared" si="129"/>
        <v>-4.4634903345379913</v>
      </c>
      <c r="K92" s="1">
        <f t="shared" si="154"/>
        <v>4.6648025547424066</v>
      </c>
      <c r="L92" s="1">
        <f t="shared" si="129"/>
        <v>-0.43884772325768573</v>
      </c>
      <c r="M92" s="1">
        <f t="shared" si="158"/>
        <v>-7.4343967663037862</v>
      </c>
      <c r="N92" s="1">
        <f t="shared" ref="N92" si="216">M92+M$2</f>
        <v>-7.0499538758567653</v>
      </c>
      <c r="O92" s="1">
        <f t="shared" si="160"/>
        <v>2.3788817405873104</v>
      </c>
      <c r="P92" s="1">
        <f t="shared" si="199"/>
        <v>-8.6999045638860739</v>
      </c>
      <c r="Q92" s="1">
        <f t="shared" si="199"/>
        <v>-5.6745589417662581</v>
      </c>
      <c r="R92" s="1">
        <f t="shared" si="199"/>
        <v>-5.6330842873883782</v>
      </c>
      <c r="S92" s="1">
        <f>$M92+SUMPRODUCT(regions!BG92:BS92,regions!BG$193:BS$193)</f>
        <v>-1.3391422459339042</v>
      </c>
      <c r="T92" s="1">
        <f>$M92+SUMPRODUCT(regions!BV92:CD92,regions!BV$193:CD$193)</f>
        <v>-4.947417276020234</v>
      </c>
      <c r="U92" s="1">
        <f>$M92+SUMPRODUCT(regions!CQ92:CV92,regions!CQ$193:CV$193)</f>
        <v>-3.7139112180217033</v>
      </c>
      <c r="V92" s="1">
        <f>$M92+SUMPRODUCT(regions!CY92:DF92,regions!CY$193:DF$193)</f>
        <v>-5.3328192454780847</v>
      </c>
      <c r="W92" s="1">
        <f>$M92+SUMPRODUCT(regions!DI92:DP92,regions!DI$193:DP$193)</f>
        <v>-1.7337192454780848</v>
      </c>
      <c r="X92" s="1">
        <f>$M92+SUMPRODUCT(regions!DR92:DW92,regions!DR$193:DW$193)</f>
        <v>-1.6107351730686439</v>
      </c>
      <c r="Y92" s="1">
        <f>$M92+SUMPRODUCT(regions!DZ92:EE92,regions!DZ$193:EE$193)</f>
        <v>-1.1097472400839141</v>
      </c>
      <c r="Z92" s="1">
        <f t="shared" si="173"/>
        <v>-3.9543305838591336</v>
      </c>
      <c r="AF92" s="1">
        <f t="shared" si="156"/>
        <v>5.8956032336962139</v>
      </c>
      <c r="AG92" s="1"/>
      <c r="AH92" s="1">
        <f t="shared" si="161"/>
        <v>-0.56273124935859575</v>
      </c>
      <c r="AI92" s="1">
        <f t="shared" si="202"/>
        <v>-0.5252158327346893</v>
      </c>
      <c r="AJ92" s="1">
        <f t="shared" si="202"/>
        <v>-0.4877004161107828</v>
      </c>
      <c r="AK92" s="1">
        <f t="shared" si="202"/>
        <v>-0.41266958286297006</v>
      </c>
      <c r="AL92" s="1">
        <f t="shared" si="202"/>
        <v>-0.37515416623906367</v>
      </c>
      <c r="AM92" s="1">
        <f t="shared" si="202"/>
        <v>-0.33763874961515727</v>
      </c>
      <c r="AN92" s="1">
        <f t="shared" si="202"/>
        <v>-0.30012333299125088</v>
      </c>
      <c r="AO92" s="1">
        <f t="shared" si="202"/>
        <v>-0.26260791636734454</v>
      </c>
      <c r="AP92" s="1">
        <f t="shared" si="202"/>
        <v>-0.22509249974343817</v>
      </c>
      <c r="AQ92" s="1">
        <f t="shared" si="202"/>
        <v>-0.18757708311953181</v>
      </c>
      <c r="AR92" s="1">
        <f t="shared" si="202"/>
        <v>-0.15006166649562544</v>
      </c>
      <c r="AS92" s="1">
        <f t="shared" si="202"/>
        <v>-0.11254624987171907</v>
      </c>
      <c r="AT92" s="1">
        <f t="shared" si="202"/>
        <v>-7.5030833247812692E-2</v>
      </c>
      <c r="AU92" s="1">
        <f t="shared" si="202"/>
        <v>-3.7515416623906304E-2</v>
      </c>
      <c r="AV92" s="1">
        <f t="shared" si="202"/>
        <v>0</v>
      </c>
      <c r="AW92" s="1">
        <f t="shared" si="202"/>
        <v>3.7515416623906381E-2</v>
      </c>
      <c r="AX92" s="1">
        <f t="shared" si="202"/>
        <v>0</v>
      </c>
      <c r="AY92" s="1">
        <f t="shared" si="202"/>
        <v>0.11254624987171916</v>
      </c>
      <c r="AZ92" s="1">
        <f t="shared" si="202"/>
        <v>0.15006166649562552</v>
      </c>
      <c r="BA92" s="1">
        <f t="shared" si="202"/>
        <v>0.18757708311953189</v>
      </c>
      <c r="BB92" s="1">
        <f t="shared" si="202"/>
        <v>0.22509249974343826</v>
      </c>
      <c r="BC92" s="1">
        <f t="shared" si="202"/>
        <v>0.26260791636734465</v>
      </c>
      <c r="BD92" s="1"/>
      <c r="BE92">
        <f t="shared" ref="BE92" si="217">LN($D92)-LN($D92*(1+BA92/100))</f>
        <v>-1.8740137699762016E-3</v>
      </c>
      <c r="BF92">
        <f t="shared" si="163"/>
        <v>-2.2483954609153756E-3</v>
      </c>
      <c r="BG92">
        <f t="shared" si="163"/>
        <v>-2.6226370426574164E-3</v>
      </c>
    </row>
    <row r="93" spans="1:59" x14ac:dyDescent="0.35">
      <c r="A93" t="str">
        <f>regions!A93</f>
        <v>Kyrgyzstan</v>
      </c>
      <c r="B93" s="22">
        <f>regions!B93</f>
        <v>5447900</v>
      </c>
      <c r="C93" s="22">
        <f>regions!C93</f>
        <v>3055806771.435782</v>
      </c>
      <c r="D93" s="10">
        <f>regions!D93</f>
        <v>560.91462241153135</v>
      </c>
      <c r="E93" s="1">
        <f>regions!X93</f>
        <v>1.6</v>
      </c>
      <c r="I93" s="7">
        <f t="shared" si="128"/>
        <v>-0.42822268283160647</v>
      </c>
      <c r="J93" s="1">
        <f t="shared" si="129"/>
        <v>9.0942366914503303E-2</v>
      </c>
      <c r="K93" s="1">
        <f t="shared" si="154"/>
        <v>0.56778734509497453</v>
      </c>
      <c r="L93" s="1">
        <f t="shared" si="129"/>
        <v>-4.5358629329051174</v>
      </c>
      <c r="M93" s="1">
        <f t="shared" si="158"/>
        <v>-3.4125441649518558</v>
      </c>
      <c r="N93" s="1">
        <f t="shared" ref="N93" si="218">M93+M$2</f>
        <v>-3.0281012745048352</v>
      </c>
      <c r="O93" s="1">
        <f t="shared" si="160"/>
        <v>3.3374758260599884</v>
      </c>
      <c r="P93" s="1">
        <f t="shared" si="199"/>
        <v>-4.678051962534143</v>
      </c>
      <c r="Q93" s="1">
        <f t="shared" si="199"/>
        <v>-1.6527063404143278</v>
      </c>
      <c r="R93" s="1">
        <f t="shared" si="199"/>
        <v>-1.611231686036448</v>
      </c>
      <c r="S93" s="1">
        <f>$M93+SUMPRODUCT(regions!BG93:BS93,regions!BG$193:BS$193)</f>
        <v>5.3733943348481343</v>
      </c>
      <c r="T93" s="1">
        <f>$M93+SUMPRODUCT(regions!BV93:CD93,regions!BV$193:CD$193)</f>
        <v>-3.2432980207993491</v>
      </c>
      <c r="U93" s="1">
        <f>$M93+SUMPRODUCT(regions!CQ93:CV93,regions!CQ$193:CV$193)</f>
        <v>-5.9954407786995123</v>
      </c>
      <c r="V93" s="1">
        <f>$M93+SUMPRODUCT(regions!CY93:DF93,regions!CY$193:DF$193)</f>
        <v>-3.5432980207993494</v>
      </c>
      <c r="W93" s="1">
        <f>$M93+SUMPRODUCT(regions!DI93:DP93,regions!DI$193:DP$193)</f>
        <v>-3.1127980207993495</v>
      </c>
      <c r="X93" s="1">
        <f>$M93+SUMPRODUCT(regions!DR93:DW93,regions!DR$193:DW$193)</f>
        <v>-5.8384407786995123</v>
      </c>
      <c r="Y93" s="1">
        <f>$M93+SUMPRODUCT(regions!DZ93:EE93,regions!DZ$193:EE$193)</f>
        <v>-5.9384407786995119</v>
      </c>
      <c r="Z93" s="1">
        <f t="shared" si="173"/>
        <v>6.7522017492796405E-2</v>
      </c>
      <c r="AF93" s="1">
        <f t="shared" si="156"/>
        <v>9.9174558350481448</v>
      </c>
      <c r="AG93" s="1"/>
      <c r="AH93" s="1">
        <f t="shared" si="161"/>
        <v>-0.94661429734925517</v>
      </c>
      <c r="AI93" s="1">
        <f t="shared" si="202"/>
        <v>-0.88350667752597134</v>
      </c>
      <c r="AJ93" s="1">
        <f t="shared" si="202"/>
        <v>-0.82039905770268751</v>
      </c>
      <c r="AK93" s="1">
        <f t="shared" si="202"/>
        <v>-0.69418381805612017</v>
      </c>
      <c r="AL93" s="1">
        <f t="shared" si="202"/>
        <v>-0.63107619823283645</v>
      </c>
      <c r="AM93" s="1">
        <f t="shared" si="202"/>
        <v>-0.56796857840955284</v>
      </c>
      <c r="AN93" s="1">
        <f t="shared" si="202"/>
        <v>-0.50486095858626912</v>
      </c>
      <c r="AO93" s="1">
        <f t="shared" si="202"/>
        <v>-0.44175333876298545</v>
      </c>
      <c r="AP93" s="1">
        <f t="shared" si="202"/>
        <v>-0.37864571893970184</v>
      </c>
      <c r="AQ93" s="1">
        <f t="shared" si="202"/>
        <v>-0.31553809911641817</v>
      </c>
      <c r="AR93" s="1">
        <f t="shared" si="202"/>
        <v>-0.25243047929313456</v>
      </c>
      <c r="AS93" s="1">
        <f t="shared" si="202"/>
        <v>-0.18932285946985089</v>
      </c>
      <c r="AT93" s="1">
        <f t="shared" si="202"/>
        <v>-0.12621523964656722</v>
      </c>
      <c r="AU93" s="1">
        <f t="shared" si="202"/>
        <v>-6.3107619823283542E-2</v>
      </c>
      <c r="AV93" s="1">
        <f t="shared" si="202"/>
        <v>0</v>
      </c>
      <c r="AW93" s="1">
        <f t="shared" si="202"/>
        <v>6.3107619823283667E-2</v>
      </c>
      <c r="AX93" s="1">
        <f t="shared" si="202"/>
        <v>0</v>
      </c>
      <c r="AY93" s="1">
        <f t="shared" si="202"/>
        <v>0.18932285946985103</v>
      </c>
      <c r="AZ93" s="1">
        <f t="shared" si="202"/>
        <v>0.25243047929313467</v>
      </c>
      <c r="BA93" s="1">
        <f t="shared" si="202"/>
        <v>0.31553809911641834</v>
      </c>
      <c r="BB93" s="1">
        <f t="shared" si="202"/>
        <v>0.378645718939702</v>
      </c>
      <c r="BC93" s="1">
        <f t="shared" si="202"/>
        <v>0.44175333876298567</v>
      </c>
      <c r="BD93" s="1"/>
      <c r="BE93">
        <f t="shared" ref="BE93" si="219">LN($D93)-LN($D93*(1+BA93/100))</f>
        <v>-3.1504132239534854E-3</v>
      </c>
      <c r="BF93">
        <f t="shared" si="163"/>
        <v>-3.7793066049438551E-3</v>
      </c>
      <c r="BG93">
        <f t="shared" si="163"/>
        <v>-4.4078047276121524E-3</v>
      </c>
    </row>
    <row r="94" spans="1:59" x14ac:dyDescent="0.35">
      <c r="A94" t="str">
        <f>regions!A94</f>
        <v>Laos</v>
      </c>
      <c r="B94" s="22">
        <f>regions!B94</f>
        <v>6395713</v>
      </c>
      <c r="C94" s="22">
        <f>regions!C94</f>
        <v>4021824831.5087829</v>
      </c>
      <c r="D94" s="10">
        <f>regions!D94</f>
        <v>628.83134867195929</v>
      </c>
      <c r="E94" s="1">
        <f>regions!X94</f>
        <v>22.7</v>
      </c>
      <c r="I94" s="7">
        <f t="shared" si="128"/>
        <v>-11.447297936307489</v>
      </c>
      <c r="J94" s="1">
        <f t="shared" si="129"/>
        <v>-10.928132886561379</v>
      </c>
      <c r="K94" s="1">
        <f t="shared" si="154"/>
        <v>-8.8747115307460938</v>
      </c>
      <c r="L94" s="1">
        <f t="shared" si="129"/>
        <v>-13.978361808746186</v>
      </c>
      <c r="M94" s="1">
        <f t="shared" si="158"/>
        <v>-12.683180389770897</v>
      </c>
      <c r="N94" s="1">
        <f t="shared" ref="N94" si="220">M94+M$2</f>
        <v>-12.298737499323876</v>
      </c>
      <c r="O94" s="1">
        <f t="shared" si="160"/>
        <v>3.096064451111721</v>
      </c>
      <c r="P94" s="1">
        <f t="shared" si="199"/>
        <v>-13.948688187353184</v>
      </c>
      <c r="Q94" s="1">
        <f t="shared" si="199"/>
        <v>-10.923342565233369</v>
      </c>
      <c r="R94" s="1">
        <f t="shared" si="199"/>
        <v>-10.881867910855489</v>
      </c>
      <c r="S94" s="1">
        <f>$M94+SUMPRODUCT(regions!BG94:BS94,regions!BG$193:BS$193)</f>
        <v>-3.8972418899709069</v>
      </c>
      <c r="T94" s="1">
        <f>$M94+SUMPRODUCT(regions!BV94:CD94,regions!BV$193:CD$193)</f>
        <v>-12.397929630252708</v>
      </c>
      <c r="U94" s="1">
        <f>$M94+SUMPRODUCT(regions!CQ94:CV94,regions!CQ$193:CV$193)</f>
        <v>-8.9626948414888137</v>
      </c>
      <c r="V94" s="1">
        <f>$M94+SUMPRODUCT(regions!CY94:DF94,regions!CY$193:DF$193)</f>
        <v>-12.544542997451096</v>
      </c>
      <c r="W94" s="1">
        <f>$M94+SUMPRODUCT(regions!DI94:DP94,regions!DI$193:DP$193)</f>
        <v>-7.0395429974510977</v>
      </c>
      <c r="X94" s="1">
        <f>$M94+SUMPRODUCT(regions!DR94:DW94,regions!DR$193:DW$193)</f>
        <v>-6.8595187965357542</v>
      </c>
      <c r="Y94" s="1">
        <f>$M94+SUMPRODUCT(regions!DZ94:EE94,regions!DZ$193:EE$193)</f>
        <v>-6.3585308635510245</v>
      </c>
      <c r="Z94" s="1">
        <f t="shared" si="173"/>
        <v>-9.2031142073262444</v>
      </c>
      <c r="AF94" s="1">
        <f t="shared" si="156"/>
        <v>0.6468196102291035</v>
      </c>
      <c r="AG94" s="1"/>
      <c r="AH94" s="1">
        <f t="shared" si="161"/>
        <v>-6.1738484247635624E-2</v>
      </c>
      <c r="AI94" s="1">
        <f t="shared" si="202"/>
        <v>-5.7622585297793238E-2</v>
      </c>
      <c r="AJ94" s="1">
        <f t="shared" si="202"/>
        <v>-5.350668634795086E-2</v>
      </c>
      <c r="AK94" s="1">
        <f t="shared" si="202"/>
        <v>-4.5274888448266111E-2</v>
      </c>
      <c r="AL94" s="1">
        <f t="shared" si="202"/>
        <v>-4.1158989498423733E-2</v>
      </c>
      <c r="AM94" s="1">
        <f t="shared" si="202"/>
        <v>-3.7043090548581355E-2</v>
      </c>
      <c r="AN94" s="1">
        <f t="shared" si="202"/>
        <v>-3.2927191598738983E-2</v>
      </c>
      <c r="AO94" s="1">
        <f t="shared" si="202"/>
        <v>-2.8811292648896609E-2</v>
      </c>
      <c r="AP94" s="1">
        <f t="shared" si="202"/>
        <v>-2.4695393699054238E-2</v>
      </c>
      <c r="AQ94" s="1">
        <f t="shared" si="202"/>
        <v>-2.0579494749211863E-2</v>
      </c>
      <c r="AR94" s="1">
        <f t="shared" si="202"/>
        <v>-1.6463595799369488E-2</v>
      </c>
      <c r="AS94" s="1">
        <f t="shared" si="202"/>
        <v>-1.2347696849527115E-2</v>
      </c>
      <c r="AT94" s="1">
        <f t="shared" si="202"/>
        <v>-8.2317978996847407E-3</v>
      </c>
      <c r="AU94" s="1">
        <f t="shared" si="202"/>
        <v>-4.1158989498423669E-3</v>
      </c>
      <c r="AV94" s="1">
        <f t="shared" si="202"/>
        <v>0</v>
      </c>
      <c r="AW94" s="1">
        <f t="shared" si="202"/>
        <v>4.1158989498423747E-3</v>
      </c>
      <c r="AX94" s="1">
        <f t="shared" si="202"/>
        <v>0</v>
      </c>
      <c r="AY94" s="1">
        <f t="shared" si="202"/>
        <v>1.2347696849527126E-2</v>
      </c>
      <c r="AZ94" s="1">
        <f t="shared" si="202"/>
        <v>1.6463595799369499E-2</v>
      </c>
      <c r="BA94" s="1">
        <f t="shared" si="202"/>
        <v>2.057949474921187E-2</v>
      </c>
      <c r="BB94" s="1">
        <f t="shared" si="202"/>
        <v>2.4695393699054245E-2</v>
      </c>
      <c r="BC94" s="1">
        <f t="shared" si="202"/>
        <v>2.8811292648896619E-2</v>
      </c>
      <c r="BD94" s="1"/>
      <c r="BE94">
        <f t="shared" ref="BE94" si="221">LN($D94)-LN($D94*(1+BA94/100))</f>
        <v>-2.0577377461616919E-4</v>
      </c>
      <c r="BF94">
        <f t="shared" si="163"/>
        <v>-2.4692344888599393E-4</v>
      </c>
      <c r="BG94">
        <f t="shared" si="163"/>
        <v>-2.8807142992981483E-4</v>
      </c>
    </row>
    <row r="95" spans="1:59" x14ac:dyDescent="0.35">
      <c r="A95" t="str">
        <f>regions!A95</f>
        <v>Latvia</v>
      </c>
      <c r="B95" s="22">
        <f>regions!B95</f>
        <v>2239008</v>
      </c>
      <c r="C95" s="22">
        <f>regions!C95</f>
        <v>15502642580.339478</v>
      </c>
      <c r="D95" s="10">
        <f>regions!D95</f>
        <v>6923.8888741529627</v>
      </c>
      <c r="E95" s="1">
        <f>regions!X95</f>
        <v>5.6</v>
      </c>
      <c r="I95" s="7">
        <f t="shared" si="128"/>
        <v>1.4407027236668299</v>
      </c>
      <c r="J95" s="1">
        <f t="shared" si="129"/>
        <v>1.9598677734129397</v>
      </c>
      <c r="K95" s="1">
        <f t="shared" si="154"/>
        <v>10.000037657510862</v>
      </c>
      <c r="L95" s="1">
        <f t="shared" si="129"/>
        <v>4.8963873795107702</v>
      </c>
      <c r="M95" s="1">
        <f t="shared" si="158"/>
        <v>-0.98377260988072024</v>
      </c>
      <c r="N95" s="1">
        <f t="shared" ref="N95" si="222">M95+M$2</f>
        <v>-0.5993297194336995</v>
      </c>
      <c r="O95" s="1">
        <f t="shared" si="160"/>
        <v>2.0112086293259952</v>
      </c>
      <c r="P95" s="1">
        <f t="shared" si="199"/>
        <v>-2.2492804074630079</v>
      </c>
      <c r="Q95" s="1">
        <f t="shared" si="199"/>
        <v>0.77606521465680744</v>
      </c>
      <c r="R95" s="1">
        <f t="shared" si="199"/>
        <v>0.81753986903468767</v>
      </c>
      <c r="S95" s="1">
        <f>$M95+SUMPRODUCT(regions!BG95:BS95,regions!BG$193:BS$193)</f>
        <v>0.16944456280939035</v>
      </c>
      <c r="T95" s="1">
        <f>$M95+SUMPRODUCT(regions!BV95:CD95,regions!BV$193:CD$193)</f>
        <v>-0.81452646572821386</v>
      </c>
      <c r="U95" s="1">
        <f>$M95+SUMPRODUCT(regions!CQ95:CV95,regions!CQ$193:CV$193)</f>
        <v>-3.5666692236283764</v>
      </c>
      <c r="V95" s="1">
        <f>$M95+SUMPRODUCT(regions!CY95:DF95,regions!CY$193:DF$193)</f>
        <v>-1.1145264657282139</v>
      </c>
      <c r="W95" s="1">
        <f>$M95+SUMPRODUCT(regions!DI95:DP95,regions!DI$193:DP$193)</f>
        <v>-0.6840264657282138</v>
      </c>
      <c r="X95" s="1">
        <f>$M95+SUMPRODUCT(regions!DR95:DW95,regions!DR$193:DW$193)</f>
        <v>-3.4096692236283763</v>
      </c>
      <c r="Y95" s="1">
        <f>$M95+SUMPRODUCT(regions!DZ95:EE95,regions!DZ$193:EE$193)</f>
        <v>-3.5096692236283769</v>
      </c>
      <c r="Z95" s="1">
        <f t="shared" si="173"/>
        <v>2.4962935725639319</v>
      </c>
      <c r="AF95" s="1">
        <f t="shared" si="156"/>
        <v>12.34622739011928</v>
      </c>
      <c r="AG95" s="1"/>
      <c r="AH95" s="1">
        <f t="shared" si="161"/>
        <v>-1.1784388617602706</v>
      </c>
      <c r="AI95" s="1">
        <f t="shared" si="202"/>
        <v>-1.0998762709762524</v>
      </c>
      <c r="AJ95" s="1">
        <f t="shared" si="202"/>
        <v>-1.0213136801922342</v>
      </c>
      <c r="AK95" s="1">
        <f t="shared" si="202"/>
        <v>-0.86418849862419811</v>
      </c>
      <c r="AL95" s="1">
        <f t="shared" si="202"/>
        <v>-0.78562590784018016</v>
      </c>
      <c r="AM95" s="1">
        <f t="shared" si="202"/>
        <v>-0.7070633170561621</v>
      </c>
      <c r="AN95" s="1">
        <f t="shared" si="202"/>
        <v>-0.62850072627214404</v>
      </c>
      <c r="AO95" s="1">
        <f t="shared" si="202"/>
        <v>-0.54993813548812598</v>
      </c>
      <c r="AP95" s="1">
        <f t="shared" si="202"/>
        <v>-0.47137554470410803</v>
      </c>
      <c r="AQ95" s="1">
        <f t="shared" si="202"/>
        <v>-0.39281295392008997</v>
      </c>
      <c r="AR95" s="1">
        <f t="shared" si="202"/>
        <v>-0.31425036313607196</v>
      </c>
      <c r="AS95" s="1">
        <f t="shared" si="202"/>
        <v>-0.23568777235205396</v>
      </c>
      <c r="AT95" s="1">
        <f t="shared" si="202"/>
        <v>-0.15712518156803593</v>
      </c>
      <c r="AU95" s="1">
        <f t="shared" si="202"/>
        <v>-7.856259078401788E-2</v>
      </c>
      <c r="AV95" s="1">
        <f t="shared" si="202"/>
        <v>0</v>
      </c>
      <c r="AW95" s="1">
        <f t="shared" si="202"/>
        <v>7.8562590784018033E-2</v>
      </c>
      <c r="AX95" s="1">
        <f t="shared" si="202"/>
        <v>0</v>
      </c>
      <c r="AY95" s="1">
        <f t="shared" si="202"/>
        <v>0.23568777235205413</v>
      </c>
      <c r="AZ95" s="1">
        <f t="shared" si="202"/>
        <v>0.31425036313607213</v>
      </c>
      <c r="BA95" s="1">
        <f t="shared" si="202"/>
        <v>0.39281295392009014</v>
      </c>
      <c r="BB95" s="1">
        <f t="shared" si="202"/>
        <v>0.4713755447041082</v>
      </c>
      <c r="BC95" s="1">
        <f t="shared" si="202"/>
        <v>0.5499381354881262</v>
      </c>
      <c r="BD95" s="1"/>
      <c r="BE95">
        <f t="shared" ref="BE95" si="223">LN($D95)-LN($D95*(1+BA95/100))</f>
        <v>-3.9204345829713105E-3</v>
      </c>
      <c r="BF95">
        <f t="shared" si="163"/>
        <v>-4.7026804912864151E-3</v>
      </c>
      <c r="BG95">
        <f t="shared" si="163"/>
        <v>-5.4843149691983228E-3</v>
      </c>
    </row>
    <row r="96" spans="1:59" x14ac:dyDescent="0.35">
      <c r="A96" t="str">
        <f>regions!A96</f>
        <v>Lebanon</v>
      </c>
      <c r="B96" s="22">
        <f>regions!B96</f>
        <v>4341092</v>
      </c>
      <c r="C96" s="22">
        <f>regions!C96</f>
        <v>30751708803.782261</v>
      </c>
      <c r="D96" s="10">
        <f>regions!D96</f>
        <v>7083.864798023691</v>
      </c>
      <c r="E96" s="1">
        <f>regions!X96</f>
        <v>16.399999999999999</v>
      </c>
      <c r="I96" s="7">
        <f t="shared" si="128"/>
        <v>-4.1412677726478977</v>
      </c>
      <c r="J96" s="1">
        <f t="shared" si="129"/>
        <v>-3.6221027229017881</v>
      </c>
      <c r="K96" s="1">
        <f t="shared" si="154"/>
        <v>5.2951912106338535</v>
      </c>
      <c r="L96" s="1">
        <f t="shared" si="129"/>
        <v>0.19154093263376115</v>
      </c>
      <c r="M96" s="1">
        <f t="shared" si="158"/>
        <v>-5.7888475751274306</v>
      </c>
      <c r="N96" s="1">
        <f t="shared" ref="N96" si="224">M96+M$2</f>
        <v>-5.4044046846804097</v>
      </c>
      <c r="O96" s="1">
        <f t="shared" si="160"/>
        <v>2.7815255605332156</v>
      </c>
      <c r="P96" s="1">
        <f t="shared" si="199"/>
        <v>-7.0543553727097184</v>
      </c>
      <c r="Q96" s="1">
        <f t="shared" si="199"/>
        <v>-4.0290097505899025</v>
      </c>
      <c r="R96" s="1">
        <f t="shared" si="199"/>
        <v>-3.9875350962120226</v>
      </c>
      <c r="S96" s="1">
        <f>$M96+SUMPRODUCT(regions!BG96:BS96,regions!BG$193:BS$193)</f>
        <v>2.997090924672559</v>
      </c>
      <c r="T96" s="1">
        <f>$M96+SUMPRODUCT(regions!BV96:CD96,regions!BV$193:CD$193)</f>
        <v>-3.3018680848438784</v>
      </c>
      <c r="U96" s="1">
        <f>$M96+SUMPRODUCT(regions!CQ96:CV96,regions!CQ$193:CV$193)</f>
        <v>-2.0683620268453478</v>
      </c>
      <c r="V96" s="1">
        <f>$M96+SUMPRODUCT(regions!CY96:DF96,regions!CY$193:DF$193)</f>
        <v>-3.6872700543017292</v>
      </c>
      <c r="W96" s="1">
        <f>$M96+SUMPRODUCT(regions!DI96:DP96,regions!DI$193:DP$193)</f>
        <v>-8.8170054301729195E-2</v>
      </c>
      <c r="X96" s="1">
        <f>$M96+SUMPRODUCT(regions!DR96:DW96,regions!DR$193:DW$193)</f>
        <v>3.4814018107711675E-2</v>
      </c>
      <c r="Y96" s="1">
        <f>$M96+SUMPRODUCT(regions!DZ96:EE96,regions!DZ$193:EE$193)</f>
        <v>0.53580195109244144</v>
      </c>
      <c r="Z96" s="1">
        <f t="shared" si="173"/>
        <v>-2.308781392682778</v>
      </c>
      <c r="AF96" s="1">
        <f t="shared" si="156"/>
        <v>7.5411524248725694</v>
      </c>
      <c r="AG96" s="1"/>
      <c r="AH96" s="1">
        <f t="shared" si="161"/>
        <v>-0.71979778106465597</v>
      </c>
      <c r="AI96" s="1">
        <f t="shared" si="202"/>
        <v>-0.67181126232701205</v>
      </c>
      <c r="AJ96" s="1">
        <f t="shared" si="202"/>
        <v>-0.62382474358936824</v>
      </c>
      <c r="AK96" s="1">
        <f t="shared" si="202"/>
        <v>-0.52785170611408083</v>
      </c>
      <c r="AL96" s="1">
        <f t="shared" si="202"/>
        <v>-0.47986518737643707</v>
      </c>
      <c r="AM96" s="1">
        <f t="shared" si="202"/>
        <v>-0.43187866863879337</v>
      </c>
      <c r="AN96" s="1">
        <f t="shared" si="202"/>
        <v>-0.38389214990114962</v>
      </c>
      <c r="AO96" s="1">
        <f t="shared" si="202"/>
        <v>-0.33590563116350591</v>
      </c>
      <c r="AP96" s="1">
        <f t="shared" si="202"/>
        <v>-0.28791911242586221</v>
      </c>
      <c r="AQ96" s="1">
        <f t="shared" si="202"/>
        <v>-0.23993259368821848</v>
      </c>
      <c r="AR96" s="1">
        <f t="shared" si="202"/>
        <v>-0.19194607495057478</v>
      </c>
      <c r="AS96" s="1">
        <f t="shared" si="202"/>
        <v>-0.14395955621293108</v>
      </c>
      <c r="AT96" s="1">
        <f t="shared" si="202"/>
        <v>-9.5973037475287348E-2</v>
      </c>
      <c r="AU96" s="1">
        <f t="shared" si="202"/>
        <v>-4.7986518737643633E-2</v>
      </c>
      <c r="AV96" s="1">
        <f t="shared" si="202"/>
        <v>0</v>
      </c>
      <c r="AW96" s="1">
        <f t="shared" si="202"/>
        <v>4.7986518737643723E-2</v>
      </c>
      <c r="AX96" s="1">
        <f t="shared" si="202"/>
        <v>0</v>
      </c>
      <c r="AY96" s="1">
        <f t="shared" si="202"/>
        <v>0.14395955621293119</v>
      </c>
      <c r="AZ96" s="1">
        <f t="shared" si="202"/>
        <v>0.19194607495057489</v>
      </c>
      <c r="BA96" s="1">
        <f t="shared" si="202"/>
        <v>0.23993259368821859</v>
      </c>
      <c r="BB96" s="1">
        <f t="shared" si="202"/>
        <v>0.28791911242586232</v>
      </c>
      <c r="BC96" s="1">
        <f t="shared" si="202"/>
        <v>0.33590563116350602</v>
      </c>
      <c r="BD96" s="1"/>
      <c r="BE96">
        <f t="shared" ref="BE96" si="225">LN($D96)-LN($D96*(1+BA96/100))</f>
        <v>-2.3964521502559677E-3</v>
      </c>
      <c r="BF96">
        <f t="shared" si="163"/>
        <v>-2.8750541922697437E-3</v>
      </c>
      <c r="BG96">
        <f t="shared" si="163"/>
        <v>-3.3534272839403911E-3</v>
      </c>
    </row>
    <row r="97" spans="1:59" x14ac:dyDescent="0.35">
      <c r="A97" t="str">
        <f>regions!A97</f>
        <v>Lesotho</v>
      </c>
      <c r="B97" s="22">
        <f>regions!B97</f>
        <v>2008921</v>
      </c>
      <c r="C97" s="22">
        <f>regions!C97</f>
        <v>1749548111.1919663</v>
      </c>
      <c r="D97" s="10">
        <f>regions!D97</f>
        <v>870.88945319002903</v>
      </c>
      <c r="E97" s="1">
        <f>regions!X97</f>
        <v>11.8</v>
      </c>
      <c r="I97" s="7">
        <f t="shared" si="128"/>
        <v>-5.5558117574742933</v>
      </c>
      <c r="J97" s="1">
        <f t="shared" si="129"/>
        <v>-5.0366467077281838</v>
      </c>
      <c r="K97" s="1">
        <f t="shared" si="154"/>
        <v>-3.3773686261053366</v>
      </c>
      <c r="L97" s="1">
        <f t="shared" si="129"/>
        <v>-8.4810189041054294</v>
      </c>
      <c r="M97" s="1">
        <f t="shared" si="158"/>
        <v>-7.2477155188759879</v>
      </c>
      <c r="N97" s="1">
        <f t="shared" ref="N97" si="226">M97+M$2</f>
        <v>-6.8632726284289669</v>
      </c>
      <c r="O97" s="1">
        <f t="shared" si="160"/>
        <v>2.9171998047435053</v>
      </c>
      <c r="P97" s="1">
        <f t="shared" si="199"/>
        <v>-8.5132233164582765</v>
      </c>
      <c r="Q97" s="1">
        <f t="shared" si="199"/>
        <v>-5.4878776943384597</v>
      </c>
      <c r="R97" s="1">
        <f t="shared" si="199"/>
        <v>-5.4464030399605798</v>
      </c>
      <c r="S97" s="1">
        <f>$M97+SUMPRODUCT(regions!BG97:BS97,regions!BG$193:BS$193)</f>
        <v>2.007412787551961</v>
      </c>
      <c r="T97" s="1">
        <f>$M97+SUMPRODUCT(regions!BV97:CD97,regions!BV$193:CD$193)</f>
        <v>-5.6023981992603042</v>
      </c>
      <c r="U97" s="1">
        <f>$M97+SUMPRODUCT(regions!CQ97:CV97,regions!CQ$193:CV$193)</f>
        <v>-3.527229970593905</v>
      </c>
      <c r="V97" s="1">
        <f>$M97+SUMPRODUCT(regions!CY97:DF97,regions!CY$193:DF$193)</f>
        <v>-5.1461379980502864</v>
      </c>
      <c r="W97" s="1">
        <f>$M97+SUMPRODUCT(regions!DI97:DP97,regions!DI$193:DP$193)</f>
        <v>-1.5470379980502864</v>
      </c>
      <c r="X97" s="1">
        <f>$M97+SUMPRODUCT(regions!DR97:DW97,regions!DR$193:DW$193)</f>
        <v>-1.4240539256408455</v>
      </c>
      <c r="Y97" s="1">
        <f>$M97+SUMPRODUCT(regions!DZ97:EE97,regions!DZ$193:EE$193)</f>
        <v>-0.92306599265611577</v>
      </c>
      <c r="Z97" s="1">
        <f t="shared" si="173"/>
        <v>-3.7676493364313353</v>
      </c>
      <c r="AF97" s="1">
        <f t="shared" si="156"/>
        <v>6.0822844811240122</v>
      </c>
      <c r="AG97" s="1"/>
      <c r="AH97" s="1">
        <f t="shared" si="161"/>
        <v>-0.58054984525671305</v>
      </c>
      <c r="AI97" s="1">
        <f t="shared" si="202"/>
        <v>-0.54184652223959873</v>
      </c>
      <c r="AJ97" s="1">
        <f t="shared" si="202"/>
        <v>-0.50314319922248441</v>
      </c>
      <c r="AK97" s="1">
        <f t="shared" ref="AI97:BC108" si="227">$AF97*AK$2</f>
        <v>-0.42573655318825604</v>
      </c>
      <c r="AL97" s="1">
        <f t="shared" si="227"/>
        <v>-0.38703323017114183</v>
      </c>
      <c r="AM97" s="1">
        <f t="shared" si="227"/>
        <v>-0.34832990715402762</v>
      </c>
      <c r="AN97" s="1">
        <f t="shared" si="227"/>
        <v>-0.30962658413691341</v>
      </c>
      <c r="AO97" s="1">
        <f t="shared" si="227"/>
        <v>-0.27092326111979925</v>
      </c>
      <c r="AP97" s="1">
        <f t="shared" si="227"/>
        <v>-0.23221993810268507</v>
      </c>
      <c r="AQ97" s="1">
        <f t="shared" si="227"/>
        <v>-0.19351661508557086</v>
      </c>
      <c r="AR97" s="1">
        <f t="shared" si="227"/>
        <v>-0.1548132920684567</v>
      </c>
      <c r="AS97" s="1">
        <f t="shared" si="227"/>
        <v>-0.11610996905134252</v>
      </c>
      <c r="AT97" s="1">
        <f t="shared" si="227"/>
        <v>-7.740664603422831E-2</v>
      </c>
      <c r="AU97" s="1">
        <f t="shared" si="227"/>
        <v>-3.870332301711412E-2</v>
      </c>
      <c r="AV97" s="1">
        <f t="shared" si="227"/>
        <v>0</v>
      </c>
      <c r="AW97" s="1">
        <f t="shared" si="227"/>
        <v>3.8703323017114197E-2</v>
      </c>
      <c r="AX97" s="1">
        <f t="shared" si="227"/>
        <v>0</v>
      </c>
      <c r="AY97" s="1">
        <f t="shared" si="227"/>
        <v>0.1161099690513426</v>
      </c>
      <c r="AZ97" s="1">
        <f t="shared" si="227"/>
        <v>0.15481329206845679</v>
      </c>
      <c r="BA97" s="1">
        <f t="shared" si="227"/>
        <v>0.19351661508557097</v>
      </c>
      <c r="BB97" s="1">
        <f t="shared" si="227"/>
        <v>0.23221993810268515</v>
      </c>
      <c r="BC97" s="1">
        <f t="shared" si="227"/>
        <v>0.27092326111979936</v>
      </c>
      <c r="BD97" s="1"/>
      <c r="BE97">
        <f t="shared" ref="BE97" si="228">LN($D97)-LN($D97*(1+BA97/100))</f>
        <v>-1.9332961289864059E-3</v>
      </c>
      <c r="BF97">
        <f t="shared" si="163"/>
        <v>-2.3195072430262087E-3</v>
      </c>
      <c r="BG97">
        <f t="shared" si="163"/>
        <v>-2.7055692556237076E-3</v>
      </c>
    </row>
    <row r="98" spans="1:59" x14ac:dyDescent="0.35">
      <c r="A98" t="str">
        <f>regions!A98</f>
        <v>Liberia</v>
      </c>
      <c r="B98" s="22">
        <f>regions!B98</f>
        <v>3957990</v>
      </c>
      <c r="C98" s="22">
        <f>regions!C98</f>
        <v>960255604.18450153</v>
      </c>
      <c r="D98" s="10">
        <f>regions!D98</f>
        <v>242.61193287110416</v>
      </c>
      <c r="E98" s="1">
        <f>regions!X98</f>
        <v>25.3</v>
      </c>
      <c r="I98" s="7">
        <f t="shared" si="128"/>
        <v>-13.092297623684994</v>
      </c>
      <c r="J98" s="1">
        <f t="shared" si="129"/>
        <v>-12.573132573938883</v>
      </c>
      <c r="K98" s="1">
        <f t="shared" si="154"/>
        <v>-10.939154178242442</v>
      </c>
      <c r="L98" s="1">
        <f t="shared" si="129"/>
        <v>-16.042804456242536</v>
      </c>
      <c r="M98" s="1">
        <f t="shared" si="158"/>
        <v>-15.449429045740683</v>
      </c>
      <c r="N98" s="1">
        <f t="shared" ref="N98" si="229">M98+M$2</f>
        <v>-15.064986155293662</v>
      </c>
      <c r="O98" s="1">
        <f t="shared" si="160"/>
        <v>2.9171998047434955</v>
      </c>
      <c r="P98" s="1">
        <f t="shared" si="199"/>
        <v>-16.71493684332297</v>
      </c>
      <c r="Q98" s="1">
        <f t="shared" si="199"/>
        <v>-13.689591221203155</v>
      </c>
      <c r="R98" s="1">
        <f t="shared" si="199"/>
        <v>-13.648116566825275</v>
      </c>
      <c r="S98" s="1">
        <f>$M98+SUMPRODUCT(regions!BG98:BS98,regions!BG$193:BS$193)</f>
        <v>-6.1943007393127338</v>
      </c>
      <c r="T98" s="1">
        <f>$M98+SUMPRODUCT(regions!BV98:CD98,regions!BV$193:CD$193)</f>
        <v>-13.804111726124999</v>
      </c>
      <c r="U98" s="1">
        <f>$M98+SUMPRODUCT(regions!CQ98:CV98,regions!CQ$193:CV$193)</f>
        <v>-11.7289434974586</v>
      </c>
      <c r="V98" s="1">
        <f>$M98+SUMPRODUCT(regions!CY98:DF98,regions!CY$193:DF$193)</f>
        <v>-13.347851524914981</v>
      </c>
      <c r="W98" s="1">
        <f>$M98+SUMPRODUCT(regions!DI98:DP98,regions!DI$193:DP$193)</f>
        <v>-9.7487515249149812</v>
      </c>
      <c r="X98" s="1">
        <f>$M98+SUMPRODUCT(regions!DR98:DW98,regions!DR$193:DW$193)</f>
        <v>-9.6257674525055403</v>
      </c>
      <c r="Y98" s="1">
        <f>$M98+SUMPRODUCT(regions!DZ98:EE98,regions!DZ$193:EE$193)</f>
        <v>-9.1247795195208106</v>
      </c>
      <c r="Z98" s="1">
        <f t="shared" si="173"/>
        <v>-11.96936286329603</v>
      </c>
      <c r="AF98" s="1">
        <f t="shared" si="156"/>
        <v>-2.1194290457406826</v>
      </c>
      <c r="AG98" s="1"/>
      <c r="AH98" s="1">
        <f t="shared" si="161"/>
        <v>0.20229803593631823</v>
      </c>
      <c r="AI98" s="1">
        <f t="shared" si="227"/>
        <v>0.18881150020723034</v>
      </c>
      <c r="AJ98" s="1">
        <f t="shared" si="227"/>
        <v>0.17532496447814241</v>
      </c>
      <c r="AK98" s="1">
        <f t="shared" si="227"/>
        <v>0.14835189301996665</v>
      </c>
      <c r="AL98" s="1">
        <f t="shared" si="227"/>
        <v>0.13486535729087876</v>
      </c>
      <c r="AM98" s="1">
        <f t="shared" si="227"/>
        <v>0.12137882156179089</v>
      </c>
      <c r="AN98" s="1">
        <f t="shared" si="227"/>
        <v>0.10789228583270301</v>
      </c>
      <c r="AO98" s="1">
        <f t="shared" si="227"/>
        <v>9.4405750103615127E-2</v>
      </c>
      <c r="AP98" s="1">
        <f t="shared" si="227"/>
        <v>8.0919214374527246E-2</v>
      </c>
      <c r="AQ98" s="1">
        <f t="shared" si="227"/>
        <v>6.7432678645439365E-2</v>
      </c>
      <c r="AR98" s="1">
        <f t="shared" si="227"/>
        <v>5.3946142916351497E-2</v>
      </c>
      <c r="AS98" s="1">
        <f t="shared" si="227"/>
        <v>4.0459607187263616E-2</v>
      </c>
      <c r="AT98" s="1">
        <f t="shared" si="227"/>
        <v>2.6973071458175735E-2</v>
      </c>
      <c r="AU98" s="1">
        <f t="shared" si="227"/>
        <v>1.3486535729087855E-2</v>
      </c>
      <c r="AV98" s="1">
        <f t="shared" si="227"/>
        <v>0</v>
      </c>
      <c r="AW98" s="1">
        <f t="shared" si="227"/>
        <v>-1.3486535729087881E-2</v>
      </c>
      <c r="AX98" s="1">
        <f t="shared" si="227"/>
        <v>0</v>
      </c>
      <c r="AY98" s="1">
        <f t="shared" si="227"/>
        <v>-4.0459607187263651E-2</v>
      </c>
      <c r="AZ98" s="1">
        <f t="shared" si="227"/>
        <v>-5.3946142916351525E-2</v>
      </c>
      <c r="BA98" s="1">
        <f t="shared" si="227"/>
        <v>-6.7432678645439392E-2</v>
      </c>
      <c r="BB98" s="1">
        <f t="shared" si="227"/>
        <v>-8.0919214374527287E-2</v>
      </c>
      <c r="BC98" s="1">
        <f t="shared" si="227"/>
        <v>-9.4405750103615169E-2</v>
      </c>
      <c r="BD98" s="1"/>
      <c r="BE98">
        <f t="shared" ref="BE98" si="230">LN($D98)-LN($D98*(1+BA98/100))</f>
        <v>6.7455424702345113E-4</v>
      </c>
      <c r="BF98">
        <f t="shared" si="163"/>
        <v>8.0951971643283827E-4</v>
      </c>
      <c r="BG98">
        <f t="shared" si="163"/>
        <v>9.4450340397944643E-4</v>
      </c>
    </row>
    <row r="99" spans="1:59" x14ac:dyDescent="0.35">
      <c r="A99" t="str">
        <f>regions!A99</f>
        <v>Libya</v>
      </c>
      <c r="B99" s="22">
        <f>regions!B99</f>
        <v>6040612</v>
      </c>
      <c r="C99" s="22">
        <f>regions!C99</f>
        <v>54963979226.010597</v>
      </c>
      <c r="D99" s="10">
        <f>regions!D99</f>
        <v>9099.0746013832031</v>
      </c>
      <c r="E99" s="1">
        <f>regions!X99</f>
        <v>21.8</v>
      </c>
      <c r="I99" s="7">
        <f t="shared" si="128"/>
        <v>-5.9943584664507519</v>
      </c>
      <c r="J99" s="1">
        <f t="shared" si="129"/>
        <v>-5.4751934167046423</v>
      </c>
      <c r="K99" s="1">
        <f t="shared" ref="K99:K130" si="231">G$7*D99+G$8*D99*D99+G$9*D99*D99*D99+G$10*E99</f>
        <v>5.1517145872439567</v>
      </c>
      <c r="L99" s="1">
        <f t="shared" si="129"/>
        <v>4.80643092438644E-2</v>
      </c>
      <c r="M99" s="1">
        <f t="shared" si="158"/>
        <v>-7.7899290232215499</v>
      </c>
      <c r="N99" s="1">
        <f t="shared" ref="N99" si="232">M99+M$2</f>
        <v>-7.4054861327745289</v>
      </c>
      <c r="O99" s="1">
        <f t="shared" si="160"/>
        <v>2.4262716942031202</v>
      </c>
      <c r="P99" s="1">
        <f t="shared" si="199"/>
        <v>-9.0554368208038376</v>
      </c>
      <c r="Q99" s="1">
        <f t="shared" si="199"/>
        <v>-6.0300911986840218</v>
      </c>
      <c r="R99" s="1">
        <f t="shared" si="199"/>
        <v>-5.9886165443061419</v>
      </c>
      <c r="S99" s="1">
        <f>$M99+SUMPRODUCT(regions!BG99:BS99,regions!BG$193:BS$193)</f>
        <v>-1.6946745028516679</v>
      </c>
      <c r="T99" s="1">
        <f>$M99+SUMPRODUCT(regions!BV99:CD99,regions!BV$193:CD$193)</f>
        <v>-6.1446117036058663</v>
      </c>
      <c r="U99" s="1">
        <f>$M99+SUMPRODUCT(regions!CQ99:CV99,regions!CQ$193:CV$193)</f>
        <v>-4.069443474939467</v>
      </c>
      <c r="V99" s="1">
        <f>$M99+SUMPRODUCT(regions!CY99:DF99,regions!CY$193:DF$193)</f>
        <v>-5.6883515023958484</v>
      </c>
      <c r="W99" s="1">
        <f>$M99+SUMPRODUCT(regions!DI99:DP99,regions!DI$193:DP$193)</f>
        <v>-2.0892515023958484</v>
      </c>
      <c r="X99" s="1">
        <f>$M99+SUMPRODUCT(regions!DR99:DW99,regions!DR$193:DW$193)</f>
        <v>-1.9662674299864076</v>
      </c>
      <c r="Y99" s="1">
        <f>$M99+SUMPRODUCT(regions!DZ99:EE99,regions!DZ$193:EE$193)</f>
        <v>-1.4652794970016778</v>
      </c>
      <c r="Z99" s="1">
        <f t="shared" si="173"/>
        <v>-4.3098628407768977</v>
      </c>
      <c r="AF99" s="1">
        <f t="shared" ref="AF99:AF130" si="233">$G$13*LN($D99)+$G$14*$E99</f>
        <v>5.5400709767784502</v>
      </c>
      <c r="AG99" s="1"/>
      <c r="AH99" s="1">
        <f t="shared" si="161"/>
        <v>-0.52879594143639319</v>
      </c>
      <c r="AI99" s="1">
        <f t="shared" si="227"/>
        <v>-0.49354287867396684</v>
      </c>
      <c r="AJ99" s="1">
        <f t="shared" si="227"/>
        <v>-0.45828981591154055</v>
      </c>
      <c r="AK99" s="1">
        <f t="shared" si="227"/>
        <v>-0.38778369038668814</v>
      </c>
      <c r="AL99" s="1">
        <f t="shared" si="227"/>
        <v>-0.35253062762426196</v>
      </c>
      <c r="AM99" s="1">
        <f t="shared" si="227"/>
        <v>-0.31727756486183573</v>
      </c>
      <c r="AN99" s="1">
        <f t="shared" si="227"/>
        <v>-0.28202450209940955</v>
      </c>
      <c r="AO99" s="1">
        <f t="shared" si="227"/>
        <v>-0.24677143933698331</v>
      </c>
      <c r="AP99" s="1">
        <f t="shared" si="227"/>
        <v>-0.21151837657455713</v>
      </c>
      <c r="AQ99" s="1">
        <f t="shared" si="227"/>
        <v>-0.17626531381213092</v>
      </c>
      <c r="AR99" s="1">
        <f t="shared" si="227"/>
        <v>-0.14101225104970475</v>
      </c>
      <c r="AS99" s="1">
        <f t="shared" si="227"/>
        <v>-0.10575918828727855</v>
      </c>
      <c r="AT99" s="1">
        <f t="shared" si="227"/>
        <v>-7.0506125524852345E-2</v>
      </c>
      <c r="AU99" s="1">
        <f t="shared" si="227"/>
        <v>-3.5253062762426138E-2</v>
      </c>
      <c r="AV99" s="1">
        <f t="shared" si="227"/>
        <v>0</v>
      </c>
      <c r="AW99" s="1">
        <f t="shared" si="227"/>
        <v>3.5253062762426207E-2</v>
      </c>
      <c r="AX99" s="1">
        <f t="shared" si="227"/>
        <v>0</v>
      </c>
      <c r="AY99" s="1">
        <f t="shared" si="227"/>
        <v>0.10575918828727864</v>
      </c>
      <c r="AZ99" s="1">
        <f t="shared" si="227"/>
        <v>0.14101225104970483</v>
      </c>
      <c r="BA99" s="1">
        <f t="shared" si="227"/>
        <v>0.17626531381213101</v>
      </c>
      <c r="BB99" s="1">
        <f t="shared" si="227"/>
        <v>0.21151837657455722</v>
      </c>
      <c r="BC99" s="1">
        <f t="shared" si="227"/>
        <v>0.24677143933698342</v>
      </c>
      <c r="BD99" s="1"/>
      <c r="BE99">
        <f t="shared" ref="BE99" si="234">LN($D99)-LN($D99*(1+BA99/100))</f>
        <v>-1.7611014881584452E-3</v>
      </c>
      <c r="BF99">
        <f t="shared" si="163"/>
        <v>-2.1129499140144503E-3</v>
      </c>
      <c r="BG99">
        <f t="shared" si="163"/>
        <v>-2.4646745860970043E-3</v>
      </c>
    </row>
    <row r="100" spans="1:59" x14ac:dyDescent="0.35">
      <c r="A100" t="str">
        <f>regions!A100</f>
        <v>Lithuania</v>
      </c>
      <c r="B100" s="22">
        <f>regions!B100</f>
        <v>3286820</v>
      </c>
      <c r="C100" s="22">
        <f>regions!C100</f>
        <v>27346902406.20084</v>
      </c>
      <c r="D100" s="10">
        <f>regions!D100</f>
        <v>8320.1703793334709</v>
      </c>
      <c r="E100" s="1">
        <f>regions!X100</f>
        <v>6.2</v>
      </c>
      <c r="I100" s="7">
        <f t="shared" si="128"/>
        <v>1.8253610362293071</v>
      </c>
      <c r="J100" s="1">
        <f t="shared" si="129"/>
        <v>2.3445260859754171</v>
      </c>
      <c r="K100" s="1">
        <f t="shared" si="231"/>
        <v>11.415701820506886</v>
      </c>
      <c r="L100" s="1">
        <f t="shared" si="129"/>
        <v>6.3120515425067936</v>
      </c>
      <c r="M100" s="1">
        <f t="shared" si="158"/>
        <v>-0.94419018804087518</v>
      </c>
      <c r="N100" s="1">
        <f t="shared" ref="N100" si="235">M100+M$2</f>
        <v>-0.55974729759385444</v>
      </c>
      <c r="O100" s="1">
        <f t="shared" si="160"/>
        <v>2.0112086293259952</v>
      </c>
      <c r="P100" s="1">
        <f t="shared" si="199"/>
        <v>-2.2096979856231629</v>
      </c>
      <c r="Q100" s="1">
        <f t="shared" si="199"/>
        <v>0.81564763649665251</v>
      </c>
      <c r="R100" s="1">
        <f t="shared" si="199"/>
        <v>0.85712229087453273</v>
      </c>
      <c r="S100" s="1">
        <f>$M100+SUMPRODUCT(regions!BG100:BS100,regions!BG$193:BS$193)</f>
        <v>0.20902698464923541</v>
      </c>
      <c r="T100" s="1">
        <f>$M100+SUMPRODUCT(regions!BV100:CD100,regions!BV$193:CD$193)</f>
        <v>-0.77494404388836879</v>
      </c>
      <c r="U100" s="1">
        <f>$M100+SUMPRODUCT(regions!CQ100:CV100,regions!CQ$193:CV$193)</f>
        <v>-3.5270868017885313</v>
      </c>
      <c r="V100" s="1">
        <f>$M100+SUMPRODUCT(regions!CY100:DF100,regions!CY$193:DF$193)</f>
        <v>-1.0749440438883688</v>
      </c>
      <c r="W100" s="1">
        <f>$M100+SUMPRODUCT(regions!DI100:DP100,regions!DI$193:DP$193)</f>
        <v>-0.64444404388836873</v>
      </c>
      <c r="X100" s="1">
        <f>$M100+SUMPRODUCT(regions!DR100:DW100,regions!DR$193:DW$193)</f>
        <v>-3.3700868017885313</v>
      </c>
      <c r="Y100" s="1">
        <f>$M100+SUMPRODUCT(regions!DZ100:EE100,regions!DZ$193:EE$193)</f>
        <v>-3.4700868017885318</v>
      </c>
      <c r="Z100" s="1">
        <f t="shared" si="173"/>
        <v>2.535875994403777</v>
      </c>
      <c r="AF100" s="1">
        <f t="shared" si="233"/>
        <v>12.385809811959124</v>
      </c>
      <c r="AG100" s="1"/>
      <c r="AH100" s="1">
        <f t="shared" si="161"/>
        <v>-1.1822169765369344</v>
      </c>
      <c r="AI100" s="1">
        <f t="shared" si="227"/>
        <v>-1.1034025114344721</v>
      </c>
      <c r="AJ100" s="1">
        <f t="shared" si="227"/>
        <v>-1.0245880463320096</v>
      </c>
      <c r="AK100" s="1">
        <f t="shared" si="227"/>
        <v>-0.86695911612708498</v>
      </c>
      <c r="AL100" s="1">
        <f t="shared" si="227"/>
        <v>-0.78814465102462261</v>
      </c>
      <c r="AM100" s="1">
        <f t="shared" si="227"/>
        <v>-0.70933018592216035</v>
      </c>
      <c r="AN100" s="1">
        <f t="shared" si="227"/>
        <v>-0.63051572081969809</v>
      </c>
      <c r="AO100" s="1">
        <f t="shared" si="227"/>
        <v>-0.55170125571723572</v>
      </c>
      <c r="AP100" s="1">
        <f t="shared" si="227"/>
        <v>-0.47288679061477351</v>
      </c>
      <c r="AQ100" s="1">
        <f t="shared" si="227"/>
        <v>-0.39407232551231125</v>
      </c>
      <c r="AR100" s="1">
        <f t="shared" si="227"/>
        <v>-0.31525786040984899</v>
      </c>
      <c r="AS100" s="1">
        <f t="shared" si="227"/>
        <v>-0.23644339530738673</v>
      </c>
      <c r="AT100" s="1">
        <f t="shared" si="227"/>
        <v>-0.15762893020492441</v>
      </c>
      <c r="AU100" s="1">
        <f t="shared" si="227"/>
        <v>-7.8814465102462136E-2</v>
      </c>
      <c r="AV100" s="1">
        <f t="shared" si="227"/>
        <v>0</v>
      </c>
      <c r="AW100" s="1">
        <f t="shared" si="227"/>
        <v>7.8814465102462289E-2</v>
      </c>
      <c r="AX100" s="1">
        <f t="shared" si="227"/>
        <v>0</v>
      </c>
      <c r="AY100" s="1">
        <f t="shared" si="227"/>
        <v>0.23644339530738689</v>
      </c>
      <c r="AZ100" s="1">
        <f t="shared" si="227"/>
        <v>0.31525786040984916</v>
      </c>
      <c r="BA100" s="1">
        <f t="shared" si="227"/>
        <v>0.39407232551231142</v>
      </c>
      <c r="BB100" s="1">
        <f t="shared" si="227"/>
        <v>0.47288679061477368</v>
      </c>
      <c r="BC100" s="1">
        <f t="shared" si="227"/>
        <v>0.55170125571723605</v>
      </c>
      <c r="BD100" s="1"/>
      <c r="BE100">
        <f t="shared" ref="BE100" si="236">LN($D100)-LN($D100*(1+BA100/100))</f>
        <v>-3.9329789440269991E-3</v>
      </c>
      <c r="BF100">
        <f t="shared" si="163"/>
        <v>-4.717721935048047E-3</v>
      </c>
      <c r="BG100">
        <f t="shared" si="163"/>
        <v>-5.5018495873593309E-3</v>
      </c>
    </row>
    <row r="101" spans="1:59" x14ac:dyDescent="0.35">
      <c r="A101" t="str">
        <f>regions!A101</f>
        <v>Luxembourg</v>
      </c>
      <c r="B101" s="22">
        <f>regions!B101</f>
        <v>506953</v>
      </c>
      <c r="C101" s="22">
        <f>regions!C101</f>
        <v>40696164751.529617</v>
      </c>
      <c r="D101" s="10">
        <f>regions!D101</f>
        <v>80276.011290059658</v>
      </c>
      <c r="E101" s="1">
        <f>regions!X101</f>
        <v>8.6999999999999993</v>
      </c>
      <c r="I101" s="7">
        <f t="shared" si="128"/>
        <v>-46.825630531125874</v>
      </c>
      <c r="J101" s="1">
        <f t="shared" si="129"/>
        <v>-46.306465481379767</v>
      </c>
      <c r="K101" s="1">
        <f t="shared" si="231"/>
        <v>27.275104566010409</v>
      </c>
      <c r="L101" s="1">
        <f t="shared" si="129"/>
        <v>22.171454288010317</v>
      </c>
      <c r="M101" s="1">
        <f t="shared" si="158"/>
        <v>1.7433198535389947</v>
      </c>
      <c r="N101" s="1">
        <f t="shared" ref="N101" si="237">M101+M$2</f>
        <v>2.1277627439860156</v>
      </c>
      <c r="O101" s="1">
        <f t="shared" si="160"/>
        <v>1.5020924764172037</v>
      </c>
      <c r="P101" s="1">
        <f t="shared" si="199"/>
        <v>0.47781205595670673</v>
      </c>
      <c r="Q101" s="1">
        <f t="shared" si="199"/>
        <v>3.5031576780765223</v>
      </c>
      <c r="R101" s="1">
        <f t="shared" si="199"/>
        <v>3.5446323324544027</v>
      </c>
      <c r="S101" s="1">
        <f>$M101+SUMPRODUCT(regions!BG101:BS101,regions!BG$193:BS$193)</f>
        <v>-1.0877353865376183</v>
      </c>
      <c r="T101" s="1">
        <f>$M101+SUMPRODUCT(regions!BV101:CD101,regions!BV$193:CD$193)</f>
        <v>0.51213090547147222</v>
      </c>
      <c r="U101" s="1">
        <f>$M101+SUMPRODUCT(regions!CQ101:CV101,regions!CQ$193:CV$193)</f>
        <v>0.76240708772163024</v>
      </c>
      <c r="V101" s="1">
        <f>$M101+SUMPRODUCT(regions!CY101:DF101,regions!CY$193:DF$193)</f>
        <v>0.63912487622961334</v>
      </c>
      <c r="W101" s="1">
        <f>$M101+SUMPRODUCT(regions!DI101:DP101,regions!DI$193:DP$193)</f>
        <v>0.70912487622961318</v>
      </c>
      <c r="X101" s="1">
        <f>$M101+SUMPRODUCT(regions!DR101:DW101,regions!DR$193:DW$193)</f>
        <v>0.53912487622961325</v>
      </c>
      <c r="Y101" s="1">
        <f>$M101+SUMPRODUCT(regions!DZ101:EE101,regions!DZ$193:EE$193)</f>
        <v>0.33912487622961307</v>
      </c>
      <c r="Z101" s="1">
        <f t="shared" si="173"/>
        <v>3.1</v>
      </c>
      <c r="AA101" t="str">
        <f>Maddison!A46</f>
        <v>Luxembourg</v>
      </c>
      <c r="AB101">
        <f>-Maddison!B46</f>
        <v>3.1</v>
      </c>
      <c r="AC101" s="1">
        <f>N101-AB101</f>
        <v>-0.97223725601398447</v>
      </c>
      <c r="AF101" s="1">
        <f t="shared" si="233"/>
        <v>15.073319853538994</v>
      </c>
      <c r="AG101" s="1"/>
      <c r="AH101" s="1">
        <f t="shared" si="161"/>
        <v>-1.4387379504583522</v>
      </c>
      <c r="AI101" s="1">
        <f t="shared" si="227"/>
        <v>-1.3428220870944618</v>
      </c>
      <c r="AJ101" s="1">
        <f t="shared" si="227"/>
        <v>-1.2469062237305715</v>
      </c>
      <c r="AK101" s="1">
        <f t="shared" si="227"/>
        <v>-1.055074497002791</v>
      </c>
      <c r="AL101" s="1">
        <f t="shared" si="227"/>
        <v>-0.95915863363890097</v>
      </c>
      <c r="AM101" s="1">
        <f t="shared" si="227"/>
        <v>-0.86324277027501084</v>
      </c>
      <c r="AN101" s="1">
        <f t="shared" si="227"/>
        <v>-0.76732690691112071</v>
      </c>
      <c r="AO101" s="1">
        <f t="shared" si="227"/>
        <v>-0.67141104354723058</v>
      </c>
      <c r="AP101" s="1">
        <f t="shared" si="227"/>
        <v>-0.57549518018334056</v>
      </c>
      <c r="AQ101" s="1">
        <f t="shared" si="227"/>
        <v>-0.47957931681945037</v>
      </c>
      <c r="AR101" s="1">
        <f t="shared" si="227"/>
        <v>-0.3836634534555603</v>
      </c>
      <c r="AS101" s="1">
        <f t="shared" si="227"/>
        <v>-0.28774759009167022</v>
      </c>
      <c r="AT101" s="1">
        <f t="shared" si="227"/>
        <v>-0.19183172672778007</v>
      </c>
      <c r="AU101" s="1">
        <f t="shared" si="227"/>
        <v>-9.5915863363889936E-2</v>
      </c>
      <c r="AV101" s="1">
        <f t="shared" si="227"/>
        <v>0</v>
      </c>
      <c r="AW101" s="1">
        <f t="shared" si="227"/>
        <v>9.591586336389013E-2</v>
      </c>
      <c r="AX101" s="1">
        <f t="shared" si="227"/>
        <v>0</v>
      </c>
      <c r="AY101" s="1">
        <f t="shared" si="227"/>
        <v>0.28774759009167039</v>
      </c>
      <c r="AZ101" s="1">
        <f t="shared" si="227"/>
        <v>0.38366345345556052</v>
      </c>
      <c r="BA101" s="1">
        <f t="shared" si="227"/>
        <v>0.4795793168194506</v>
      </c>
      <c r="BB101" s="1">
        <f t="shared" si="227"/>
        <v>0.57549518018334067</v>
      </c>
      <c r="BC101" s="1">
        <f t="shared" si="227"/>
        <v>0.67141104354723091</v>
      </c>
      <c r="BD101" s="1"/>
      <c r="BE101">
        <f t="shared" ref="BE101" si="238">LN($D101)-LN($D101*(1+BA101/100))</f>
        <v>-4.7843299875580669E-3</v>
      </c>
      <c r="BF101">
        <f t="shared" si="163"/>
        <v>-5.7384553273962524E-3</v>
      </c>
      <c r="BG101">
        <f t="shared" si="163"/>
        <v>-6.6916711797677664E-3</v>
      </c>
    </row>
    <row r="102" spans="1:59" x14ac:dyDescent="0.35">
      <c r="A102" t="str">
        <f>regions!A102</f>
        <v>Macau</v>
      </c>
      <c r="B102" s="22">
        <f>regions!B102</f>
        <v>534626</v>
      </c>
      <c r="C102" s="22">
        <f>regions!C102</f>
        <v>20684154508.54776</v>
      </c>
      <c r="D102" s="10">
        <f>regions!D102</f>
        <v>38689.01719809317</v>
      </c>
      <c r="E102" s="1">
        <f>regions!X102</f>
        <v>22.8</v>
      </c>
      <c r="I102" s="7">
        <f t="shared" si="128"/>
        <v>-6.9102120274644072</v>
      </c>
      <c r="J102" s="1">
        <f t="shared" si="129"/>
        <v>-6.3910469777182977</v>
      </c>
      <c r="K102" s="1">
        <f t="shared" si="231"/>
        <v>-1.7828631746889876</v>
      </c>
      <c r="L102" s="1">
        <f t="shared" si="129"/>
        <v>-6.8865134526890799</v>
      </c>
      <c r="M102" s="1">
        <f t="shared" si="158"/>
        <v>-5.8064895483916654</v>
      </c>
      <c r="N102" s="1">
        <f t="shared" ref="N102" si="239">M102+M$2</f>
        <v>-5.4220466579446445</v>
      </c>
      <c r="O102" s="1">
        <f t="shared" si="160"/>
        <v>2.8276460270885155</v>
      </c>
      <c r="P102" s="1">
        <f t="shared" si="199"/>
        <v>-7.0719973459739531</v>
      </c>
      <c r="Q102" s="1">
        <f t="shared" si="199"/>
        <v>-4.0466517238541373</v>
      </c>
      <c r="R102" s="1">
        <f t="shared" si="199"/>
        <v>-4.0051770694762574</v>
      </c>
      <c r="S102" s="1">
        <f>$M102+SUMPRODUCT(regions!BG102:BS102,regions!BG$193:BS$193)</f>
        <v>-2.1393906326528254</v>
      </c>
      <c r="T102" s="1">
        <f>$M102+SUMPRODUCT(regions!BV102:CD102,regions!BV$193:CD$193)</f>
        <v>-7.782354832022655</v>
      </c>
      <c r="U102" s="1">
        <f>$M102+SUMPRODUCT(regions!CQ102:CV102,regions!CQ$193:CV$193)</f>
        <v>-2.0860040001095825</v>
      </c>
      <c r="V102" s="1">
        <f>$M102+SUMPRODUCT(regions!CY102:DF102,regions!CY$193:DF$193)</f>
        <v>-5.6678521560718647</v>
      </c>
      <c r="W102" s="1">
        <f>$M102+SUMPRODUCT(regions!DI102:DP102,regions!DI$193:DP$193)</f>
        <v>-0.16285215607186654</v>
      </c>
      <c r="X102" s="1">
        <f>$M102+SUMPRODUCT(regions!DR102:DW102,regions!DR$193:DW$193)</f>
        <v>1.7172044843476897E-2</v>
      </c>
      <c r="Y102" s="1">
        <f>$M102+SUMPRODUCT(regions!DZ102:EE102,regions!DZ$193:EE$193)</f>
        <v>0.51815997782820666</v>
      </c>
      <c r="Z102" s="1">
        <f t="shared" si="173"/>
        <v>-2.3264233659470128</v>
      </c>
      <c r="AF102" s="1">
        <f t="shared" si="233"/>
        <v>7.5235104516083346</v>
      </c>
      <c r="AG102" s="1"/>
      <c r="AH102" s="1">
        <f t="shared" si="161"/>
        <v>-0.71811386692345458</v>
      </c>
      <c r="AI102" s="1">
        <f t="shared" si="227"/>
        <v>-0.67023960912855751</v>
      </c>
      <c r="AJ102" s="1">
        <f t="shared" si="227"/>
        <v>-0.62236535133366033</v>
      </c>
      <c r="AK102" s="1">
        <f t="shared" si="227"/>
        <v>-0.52661683574386642</v>
      </c>
      <c r="AL102" s="1">
        <f t="shared" si="227"/>
        <v>-0.47874257794896946</v>
      </c>
      <c r="AM102" s="1">
        <f t="shared" si="227"/>
        <v>-0.4308683201540725</v>
      </c>
      <c r="AN102" s="1">
        <f t="shared" si="227"/>
        <v>-0.38299406235917555</v>
      </c>
      <c r="AO102" s="1">
        <f t="shared" si="227"/>
        <v>-0.33511980456427859</v>
      </c>
      <c r="AP102" s="1">
        <f t="shared" si="227"/>
        <v>-0.28724554676938163</v>
      </c>
      <c r="AQ102" s="1">
        <f t="shared" si="227"/>
        <v>-0.23937128897448468</v>
      </c>
      <c r="AR102" s="1">
        <f t="shared" si="227"/>
        <v>-0.19149703117958775</v>
      </c>
      <c r="AS102" s="1">
        <f t="shared" si="227"/>
        <v>-0.14362277338469079</v>
      </c>
      <c r="AT102" s="1">
        <f t="shared" si="227"/>
        <v>-9.5748515589793831E-2</v>
      </c>
      <c r="AU102" s="1">
        <f t="shared" si="227"/>
        <v>-4.7874257794896874E-2</v>
      </c>
      <c r="AV102" s="1">
        <f t="shared" si="227"/>
        <v>0</v>
      </c>
      <c r="AW102" s="1">
        <f t="shared" si="227"/>
        <v>4.7874257794896964E-2</v>
      </c>
      <c r="AX102" s="1">
        <f t="shared" si="227"/>
        <v>0</v>
      </c>
      <c r="AY102" s="1">
        <f t="shared" si="227"/>
        <v>0.1436227733846909</v>
      </c>
      <c r="AZ102" s="1">
        <f t="shared" si="227"/>
        <v>0.19149703117958786</v>
      </c>
      <c r="BA102" s="1">
        <f t="shared" si="227"/>
        <v>0.23937128897448479</v>
      </c>
      <c r="BB102" s="1">
        <f t="shared" si="227"/>
        <v>0.28724554676938174</v>
      </c>
      <c r="BC102" s="1">
        <f t="shared" si="227"/>
        <v>0.33511980456427876</v>
      </c>
      <c r="BD102" s="1"/>
      <c r="BE102">
        <f t="shared" ref="BE102" si="240">LN($D102)-LN($D102*(1+BA102/100))</f>
        <v>-2.390852522733411E-3</v>
      </c>
      <c r="BF102">
        <f t="shared" si="163"/>
        <v>-2.8683378507157187E-3</v>
      </c>
      <c r="BG102">
        <f t="shared" si="163"/>
        <v>-3.34559529526679E-3</v>
      </c>
    </row>
    <row r="103" spans="1:59" x14ac:dyDescent="0.35">
      <c r="A103" t="str">
        <f>regions!A103</f>
        <v>Macedonia [FYROM]</v>
      </c>
      <c r="B103" s="22">
        <f>regions!B103</f>
        <v>2102216</v>
      </c>
      <c r="C103" s="22">
        <f>regions!C103</f>
        <v>7140636379.2323322</v>
      </c>
      <c r="D103" s="10">
        <f>regions!D103</f>
        <v>3396.7186907683758</v>
      </c>
      <c r="E103" s="1">
        <f>regions!X103</f>
        <v>9.8000000000000007</v>
      </c>
      <c r="I103" s="7">
        <f t="shared" si="128"/>
        <v>-2.8035300956701747</v>
      </c>
      <c r="J103" s="1">
        <f t="shared" si="129"/>
        <v>-2.2843650459240648</v>
      </c>
      <c r="K103" s="1">
        <f t="shared" si="231"/>
        <v>2.6098753122927594</v>
      </c>
      <c r="L103" s="1">
        <f t="shared" si="129"/>
        <v>-2.4937749657073329</v>
      </c>
      <c r="M103" s="1">
        <f t="shared" si="158"/>
        <v>-4.0639295231795884</v>
      </c>
      <c r="N103" s="1">
        <f t="shared" ref="N103" si="241">M103+M$2</f>
        <v>-3.6794866327325675</v>
      </c>
      <c r="O103" s="1">
        <f t="shared" si="160"/>
        <v>2.4620460994655309</v>
      </c>
      <c r="P103" s="1">
        <f t="shared" si="199"/>
        <v>-5.3294373207618762</v>
      </c>
      <c r="Q103" s="1">
        <f t="shared" si="199"/>
        <v>-2.3040916986420603</v>
      </c>
      <c r="R103" s="1">
        <f t="shared" si="199"/>
        <v>-2.2626170442641804</v>
      </c>
      <c r="S103" s="1">
        <f>$M103+SUMPRODUCT(regions!BG103:BS103,regions!BG$193:BS$193)</f>
        <v>-2.9107123504894776</v>
      </c>
      <c r="T103" s="1">
        <f>$M103+SUMPRODUCT(regions!BV103:CD103,regions!BV$193:CD$193)</f>
        <v>-3.8946833790270818</v>
      </c>
      <c r="U103" s="1">
        <f>$M103+SUMPRODUCT(regions!CQ103:CV103,regions!CQ$193:CV$193)</f>
        <v>-0.34344397489750556</v>
      </c>
      <c r="V103" s="1">
        <f>$M103+SUMPRODUCT(regions!CY103:DF103,regions!CY$193:DF$193)</f>
        <v>-4.1946833790270821</v>
      </c>
      <c r="W103" s="1">
        <f>$M103+SUMPRODUCT(regions!DI103:DP103,regions!DI$193:DP$193)</f>
        <v>-3.7641833790270818</v>
      </c>
      <c r="X103" s="1">
        <f>$M103+SUMPRODUCT(regions!DR103:DW103,regions!DR$193:DW$193)</f>
        <v>1.7597320700555539</v>
      </c>
      <c r="Y103" s="1">
        <f>$M103+SUMPRODUCT(regions!DZ103:EE103,regions!DZ$193:EE$193)</f>
        <v>2.2607200030402836</v>
      </c>
      <c r="Z103" s="1">
        <f t="shared" si="173"/>
        <v>-0.58386334073493584</v>
      </c>
      <c r="AF103" s="1">
        <f t="shared" si="233"/>
        <v>9.2660704768204116</v>
      </c>
      <c r="AG103" s="1"/>
      <c r="AH103" s="1">
        <f t="shared" si="161"/>
        <v>-0.88444001561429197</v>
      </c>
      <c r="AI103" s="1">
        <f t="shared" si="227"/>
        <v>-0.82547734790667238</v>
      </c>
      <c r="AJ103" s="1">
        <f t="shared" si="227"/>
        <v>-0.76651468019905278</v>
      </c>
      <c r="AK103" s="1">
        <f t="shared" si="227"/>
        <v>-0.6485893447838138</v>
      </c>
      <c r="AL103" s="1">
        <f t="shared" si="227"/>
        <v>-0.58962667707619432</v>
      </c>
      <c r="AM103" s="1">
        <f t="shared" si="227"/>
        <v>-0.53066400936857494</v>
      </c>
      <c r="AN103" s="1">
        <f t="shared" si="227"/>
        <v>-0.47170134166095545</v>
      </c>
      <c r="AO103" s="1">
        <f t="shared" si="227"/>
        <v>-0.41273867395333597</v>
      </c>
      <c r="AP103" s="1">
        <f t="shared" si="227"/>
        <v>-0.35377600624571659</v>
      </c>
      <c r="AQ103" s="1">
        <f t="shared" si="227"/>
        <v>-0.2948133385380971</v>
      </c>
      <c r="AR103" s="1">
        <f t="shared" si="227"/>
        <v>-0.23585067083047767</v>
      </c>
      <c r="AS103" s="1">
        <f t="shared" si="227"/>
        <v>-0.17688800312285827</v>
      </c>
      <c r="AT103" s="1">
        <f t="shared" si="227"/>
        <v>-0.11792533541523879</v>
      </c>
      <c r="AU103" s="1">
        <f t="shared" si="227"/>
        <v>-5.8962667707619341E-2</v>
      </c>
      <c r="AV103" s="1">
        <f t="shared" si="227"/>
        <v>0</v>
      </c>
      <c r="AW103" s="1">
        <f t="shared" si="227"/>
        <v>5.8962667707619452E-2</v>
      </c>
      <c r="AX103" s="1">
        <f t="shared" si="227"/>
        <v>0</v>
      </c>
      <c r="AY103" s="1">
        <f t="shared" si="227"/>
        <v>0.17688800312285838</v>
      </c>
      <c r="AZ103" s="1">
        <f t="shared" si="227"/>
        <v>0.23585067083047781</v>
      </c>
      <c r="BA103" s="1">
        <f t="shared" si="227"/>
        <v>0.29481333853809727</v>
      </c>
      <c r="BB103" s="1">
        <f t="shared" si="227"/>
        <v>0.3537760062457167</v>
      </c>
      <c r="BC103" s="1">
        <f t="shared" si="227"/>
        <v>0.41273867395333619</v>
      </c>
      <c r="BD103" s="1"/>
      <c r="BE103">
        <f t="shared" ref="BE103" si="242">LN($D103)-LN($D103*(1+BA103/100))</f>
        <v>-2.9437961625351505E-3</v>
      </c>
      <c r="BF103">
        <f t="shared" si="163"/>
        <v>-3.5315169095131438E-3</v>
      </c>
      <c r="BG103">
        <f t="shared" si="163"/>
        <v>-4.1188924436923458E-3</v>
      </c>
    </row>
    <row r="104" spans="1:59" x14ac:dyDescent="0.35">
      <c r="A104" t="str">
        <f>regions!A104</f>
        <v>Madagascar</v>
      </c>
      <c r="B104" s="22">
        <f>regions!B104</f>
        <v>21079532</v>
      </c>
      <c r="C104" s="22">
        <f>regions!C104</f>
        <v>5759450979.3430977</v>
      </c>
      <c r="D104" s="10">
        <f>regions!D104</f>
        <v>273.22480306218836</v>
      </c>
      <c r="E104" s="1">
        <f>regions!X104</f>
        <v>22.6</v>
      </c>
      <c r="I104" s="7">
        <f t="shared" ref="I104:I150" si="243">D104*G$1+D104*D104*G$2+E104*G$3</f>
        <v>-11.653534372152729</v>
      </c>
      <c r="J104" s="1">
        <f t="shared" ref="J104:L150" si="244">I104+I$2</f>
        <v>-11.134369322406618</v>
      </c>
      <c r="K104" s="1">
        <f t="shared" si="231"/>
        <v>-9.6404402681666923</v>
      </c>
      <c r="L104" s="1">
        <f t="shared" si="244"/>
        <v>-14.744090546166785</v>
      </c>
      <c r="M104" s="1">
        <f t="shared" si="158"/>
        <v>-14.038903187970753</v>
      </c>
      <c r="N104" s="1">
        <f t="shared" ref="N104" si="245">M104+M$2</f>
        <v>-13.654460297523732</v>
      </c>
      <c r="O104" s="1">
        <f t="shared" si="160"/>
        <v>3.8730702025457613</v>
      </c>
      <c r="P104" s="1">
        <f t="shared" ref="P104:R123" si="246">$M104+P$1-$M$1</f>
        <v>-15.304410985553041</v>
      </c>
      <c r="Q104" s="1">
        <f t="shared" si="246"/>
        <v>-12.279065363433226</v>
      </c>
      <c r="R104" s="1">
        <f t="shared" si="246"/>
        <v>-12.237590709055345</v>
      </c>
      <c r="S104" s="1">
        <f>$M104+SUMPRODUCT(regions!BG104:BS104,regions!BG$193:BS$193)</f>
        <v>-4.7837748815428043</v>
      </c>
      <c r="T104" s="1">
        <f>$M104+SUMPRODUCT(regions!BV104:CD104,regions!BV$193:CD$193)</f>
        <v>-12.393585868355069</v>
      </c>
      <c r="U104" s="1">
        <f>$M104+SUMPRODUCT(regions!CQ104:CV104,regions!CQ$193:CV$193)</f>
        <v>-10.31841763968867</v>
      </c>
      <c r="V104" s="1">
        <f>$M104+SUMPRODUCT(regions!CY104:DF104,regions!CY$193:DF$193)</f>
        <v>-11.937325667145052</v>
      </c>
      <c r="W104" s="1">
        <f>$M104+SUMPRODUCT(regions!DI104:DP104,regions!DI$193:DP$193)</f>
        <v>-8.3382256671450516</v>
      </c>
      <c r="X104" s="1">
        <f>$M104+SUMPRODUCT(regions!DR104:DW104,regions!DR$193:DW$193)</f>
        <v>-8.2152415947356108</v>
      </c>
      <c r="Y104" s="1">
        <f>$M104+SUMPRODUCT(regions!DZ104:EE104,regions!DZ$193:EE$193)</f>
        <v>-7.714253661750881</v>
      </c>
      <c r="Z104" s="1">
        <f t="shared" si="173"/>
        <v>-1.9</v>
      </c>
      <c r="AA104" t="str">
        <f>Maddison!A47</f>
        <v>Madagascar</v>
      </c>
      <c r="AB104">
        <f>-Maddison!B47</f>
        <v>-1.9</v>
      </c>
      <c r="AC104" s="1">
        <f>N104-AB104</f>
        <v>-11.754460297523732</v>
      </c>
      <c r="AF104" s="1">
        <f t="shared" si="233"/>
        <v>-0.70890318797075302</v>
      </c>
      <c r="AG104" s="1"/>
      <c r="AH104" s="1">
        <f t="shared" si="161"/>
        <v>6.7664318786081451E-2</v>
      </c>
      <c r="AI104" s="1">
        <f t="shared" si="227"/>
        <v>6.3153364200342677E-2</v>
      </c>
      <c r="AJ104" s="1">
        <f t="shared" si="227"/>
        <v>5.8642409614603909E-2</v>
      </c>
      <c r="AK104" s="1">
        <f t="shared" si="227"/>
        <v>4.9620500443126381E-2</v>
      </c>
      <c r="AL104" s="1">
        <f t="shared" si="227"/>
        <v>4.510954585738762E-2</v>
      </c>
      <c r="AM104" s="1">
        <f t="shared" si="227"/>
        <v>4.0598591271648853E-2</v>
      </c>
      <c r="AN104" s="1">
        <f t="shared" si="227"/>
        <v>3.6087636685910092E-2</v>
      </c>
      <c r="AO104" s="1">
        <f t="shared" si="227"/>
        <v>3.1576682100171324E-2</v>
      </c>
      <c r="AP104" s="1">
        <f t="shared" si="227"/>
        <v>2.7065727514432567E-2</v>
      </c>
      <c r="AQ104" s="1">
        <f t="shared" si="227"/>
        <v>2.2554772928693803E-2</v>
      </c>
      <c r="AR104" s="1">
        <f t="shared" si="227"/>
        <v>1.8043818342955042E-2</v>
      </c>
      <c r="AS104" s="1">
        <f t="shared" si="227"/>
        <v>1.3532863757216282E-2</v>
      </c>
      <c r="AT104" s="1">
        <f t="shared" si="227"/>
        <v>9.0219091714775178E-3</v>
      </c>
      <c r="AU104" s="1">
        <f t="shared" si="227"/>
        <v>4.5109545857387546E-3</v>
      </c>
      <c r="AV104" s="1">
        <f t="shared" si="227"/>
        <v>0</v>
      </c>
      <c r="AW104" s="1">
        <f t="shared" si="227"/>
        <v>-4.5109545857387632E-3</v>
      </c>
      <c r="AX104" s="1">
        <f t="shared" si="227"/>
        <v>0</v>
      </c>
      <c r="AY104" s="1">
        <f t="shared" si="227"/>
        <v>-1.3532863757216291E-2</v>
      </c>
      <c r="AZ104" s="1">
        <f t="shared" si="227"/>
        <v>-1.8043818342955053E-2</v>
      </c>
      <c r="BA104" s="1">
        <f t="shared" si="227"/>
        <v>-2.2554772928693814E-2</v>
      </c>
      <c r="BB104" s="1">
        <f t="shared" si="227"/>
        <v>-2.7065727514432578E-2</v>
      </c>
      <c r="BC104" s="1">
        <f t="shared" si="227"/>
        <v>-3.1576682100171338E-2</v>
      </c>
      <c r="BD104" s="1"/>
      <c r="BE104">
        <f t="shared" ref="BE104" si="247">LN($D104)-LN($D104*(1+BA104/100))</f>
        <v>2.2557316900151392E-4</v>
      </c>
      <c r="BF104">
        <f t="shared" si="163"/>
        <v>2.7069390943523786E-4</v>
      </c>
      <c r="BG104">
        <f t="shared" si="163"/>
        <v>3.1581668584212963E-4</v>
      </c>
    </row>
    <row r="105" spans="1:59" x14ac:dyDescent="0.35">
      <c r="A105" t="str">
        <f>regions!A105</f>
        <v>Malawi</v>
      </c>
      <c r="B105" s="22">
        <f>regions!B105</f>
        <v>15013694</v>
      </c>
      <c r="C105" s="22">
        <f>regions!C105</f>
        <v>3290262502.0248256</v>
      </c>
      <c r="D105" s="10">
        <f>regions!D105</f>
        <v>219.15076343135976</v>
      </c>
      <c r="E105" s="1">
        <f>regions!X105</f>
        <v>21.9</v>
      </c>
      <c r="I105" s="7">
        <f t="shared" si="243"/>
        <v>-11.326030851089364</v>
      </c>
      <c r="J105" s="1">
        <f t="shared" si="244"/>
        <v>-10.806865801343253</v>
      </c>
      <c r="K105" s="1">
        <f t="shared" si="231"/>
        <v>-9.4472845467412476</v>
      </c>
      <c r="L105" s="1">
        <f t="shared" si="244"/>
        <v>-14.55093482474134</v>
      </c>
      <c r="M105" s="1">
        <f t="shared" si="158"/>
        <v>-14.095520700844883</v>
      </c>
      <c r="N105" s="1">
        <f t="shared" ref="N105" si="248">M105+M$2</f>
        <v>-13.711077810397862</v>
      </c>
      <c r="O105" s="1">
        <f t="shared" si="160"/>
        <v>2.9776859393313777</v>
      </c>
      <c r="P105" s="1">
        <f t="shared" si="246"/>
        <v>-15.361028498427171</v>
      </c>
      <c r="Q105" s="1">
        <f t="shared" si="246"/>
        <v>-12.335682876307356</v>
      </c>
      <c r="R105" s="1">
        <f t="shared" si="246"/>
        <v>-12.294208221929475</v>
      </c>
      <c r="S105" s="1">
        <f>$M105+SUMPRODUCT(regions!BG105:BS105,regions!BG$193:BS$193)</f>
        <v>-4.8403923944169343</v>
      </c>
      <c r="T105" s="1">
        <f>$M105+SUMPRODUCT(regions!BV105:CD105,regions!BV$193:CD$193)</f>
        <v>-12.450203381229199</v>
      </c>
      <c r="U105" s="1">
        <f>$M105+SUMPRODUCT(regions!CQ105:CV105,regions!CQ$193:CV$193)</f>
        <v>-10.3750351525628</v>
      </c>
      <c r="V105" s="1">
        <f>$M105+SUMPRODUCT(regions!CY105:DF105,regions!CY$193:DF$193)</f>
        <v>-11.993943180019182</v>
      </c>
      <c r="W105" s="1">
        <f>$M105+SUMPRODUCT(regions!DI105:DP105,regions!DI$193:DP$193)</f>
        <v>-8.3948431800191816</v>
      </c>
      <c r="X105" s="1">
        <f>$M105+SUMPRODUCT(regions!DR105:DW105,regions!DR$193:DW$193)</f>
        <v>-8.2718591076097407</v>
      </c>
      <c r="Y105" s="1">
        <f>$M105+SUMPRODUCT(regions!DZ105:EE105,regions!DZ$193:EE$193)</f>
        <v>-7.770871174625011</v>
      </c>
      <c r="Z105" s="1">
        <f t="shared" si="173"/>
        <v>-12.4</v>
      </c>
      <c r="AA105" t="str">
        <f>Maddison!A48</f>
        <v>Malawi</v>
      </c>
      <c r="AB105">
        <f>-Maddison!B48</f>
        <v>-12.4</v>
      </c>
      <c r="AC105" s="1">
        <f>N105-AB105</f>
        <v>-1.3110778103978618</v>
      </c>
      <c r="AF105" s="1">
        <f t="shared" si="233"/>
        <v>-0.765520700844883</v>
      </c>
      <c r="AG105" s="1"/>
      <c r="AH105" s="1">
        <f t="shared" si="161"/>
        <v>7.3068421215013196E-2</v>
      </c>
      <c r="AI105" s="1">
        <f t="shared" si="227"/>
        <v>6.8197193134012304E-2</v>
      </c>
      <c r="AJ105" s="1">
        <f t="shared" si="227"/>
        <v>6.3325965053011413E-2</v>
      </c>
      <c r="AK105" s="1">
        <f t="shared" si="227"/>
        <v>5.3583508891009657E-2</v>
      </c>
      <c r="AL105" s="1">
        <f t="shared" si="227"/>
        <v>4.8712280810008779E-2</v>
      </c>
      <c r="AM105" s="1">
        <f t="shared" si="227"/>
        <v>4.3841052729007894E-2</v>
      </c>
      <c r="AN105" s="1">
        <f t="shared" si="227"/>
        <v>3.8969824648007016E-2</v>
      </c>
      <c r="AO105" s="1">
        <f t="shared" si="227"/>
        <v>3.4098596567006138E-2</v>
      </c>
      <c r="AP105" s="1">
        <f t="shared" si="227"/>
        <v>2.9227368486005264E-2</v>
      </c>
      <c r="AQ105" s="1">
        <f t="shared" si="227"/>
        <v>2.4356140405004383E-2</v>
      </c>
      <c r="AR105" s="1">
        <f t="shared" si="227"/>
        <v>1.9484912324003505E-2</v>
      </c>
      <c r="AS105" s="1">
        <f t="shared" si="227"/>
        <v>1.4613684243002628E-2</v>
      </c>
      <c r="AT105" s="1">
        <f t="shared" si="227"/>
        <v>9.7424561620017489E-3</v>
      </c>
      <c r="AU105" s="1">
        <f t="shared" si="227"/>
        <v>4.8712280810008701E-3</v>
      </c>
      <c r="AV105" s="1">
        <f t="shared" si="227"/>
        <v>0</v>
      </c>
      <c r="AW105" s="1">
        <f t="shared" si="227"/>
        <v>-4.8712280810008788E-3</v>
      </c>
      <c r="AX105" s="1">
        <f t="shared" si="227"/>
        <v>0</v>
      </c>
      <c r="AY105" s="1">
        <f t="shared" si="227"/>
        <v>-1.4613684243002639E-2</v>
      </c>
      <c r="AZ105" s="1">
        <f t="shared" si="227"/>
        <v>-1.9484912324003515E-2</v>
      </c>
      <c r="BA105" s="1">
        <f t="shared" si="227"/>
        <v>-2.4356140405004393E-2</v>
      </c>
      <c r="BB105" s="1">
        <f t="shared" si="227"/>
        <v>-2.9227368486005274E-2</v>
      </c>
      <c r="BC105" s="1">
        <f t="shared" si="227"/>
        <v>-3.4098596567006152E-2</v>
      </c>
      <c r="BD105" s="1"/>
      <c r="BE105">
        <f t="shared" ref="BE105" si="249">LN($D105)-LN($D105*(1+BA105/100))</f>
        <v>2.4359106994609192E-4</v>
      </c>
      <c r="BF105">
        <f t="shared" si="163"/>
        <v>2.9231640513760482E-4</v>
      </c>
      <c r="BG105">
        <f t="shared" si="163"/>
        <v>3.4104411460322837E-4</v>
      </c>
    </row>
    <row r="106" spans="1:59" x14ac:dyDescent="0.35">
      <c r="A106" t="str">
        <f>regions!A106</f>
        <v>Malaysia</v>
      </c>
      <c r="B106" s="22">
        <f>regions!B106</f>
        <v>28275835</v>
      </c>
      <c r="C106" s="22">
        <f>regions!C106</f>
        <v>178672208075.05682</v>
      </c>
      <c r="D106" s="10">
        <f>regions!D106</f>
        <v>6318.9012128220729</v>
      </c>
      <c r="E106" s="1">
        <f>regions!X106</f>
        <v>25.4</v>
      </c>
      <c r="I106" s="7">
        <f t="shared" si="243"/>
        <v>-9.2677090927401871</v>
      </c>
      <c r="J106" s="1">
        <f t="shared" si="244"/>
        <v>-8.7485440429940766</v>
      </c>
      <c r="K106" s="1">
        <f t="shared" si="231"/>
        <v>0.18174035270858901</v>
      </c>
      <c r="L106" s="1">
        <f t="shared" si="244"/>
        <v>-4.9219099252915033</v>
      </c>
      <c r="M106" s="1">
        <f t="shared" si="158"/>
        <v>-10.017064396535547</v>
      </c>
      <c r="N106" s="1">
        <f t="shared" ref="N106" si="250">M106+M$2</f>
        <v>-9.6326215060885261</v>
      </c>
      <c r="O106" s="1">
        <f t="shared" si="160"/>
        <v>3.3278828361347714</v>
      </c>
      <c r="P106" s="1">
        <f t="shared" si="246"/>
        <v>-11.282572194117835</v>
      </c>
      <c r="Q106" s="1">
        <f t="shared" si="246"/>
        <v>-8.2572265719980198</v>
      </c>
      <c r="R106" s="1">
        <f t="shared" si="246"/>
        <v>-8.215751917620139</v>
      </c>
      <c r="S106" s="1">
        <f>$M106+SUMPRODUCT(regions!BG106:BS106,regions!BG$193:BS$193)</f>
        <v>-6.3499654807967065</v>
      </c>
      <c r="T106" s="1">
        <f>$M106+SUMPRODUCT(regions!BV106:CD106,regions!BV$193:CD$193)</f>
        <v>-9.7318136370173587</v>
      </c>
      <c r="U106" s="1">
        <f>$M106+SUMPRODUCT(regions!CQ106:CV106,regions!CQ$193:CV$193)</f>
        <v>-6.2965788482534641</v>
      </c>
      <c r="V106" s="1">
        <f>$M106+SUMPRODUCT(regions!CY106:DF106,regions!CY$193:DF$193)</f>
        <v>-9.8784270042157463</v>
      </c>
      <c r="W106" s="1">
        <f>$M106+SUMPRODUCT(regions!DI106:DP106,regions!DI$193:DP$193)</f>
        <v>-4.3734270042157481</v>
      </c>
      <c r="X106" s="1">
        <f>$M106+SUMPRODUCT(regions!DR106:DW106,regions!DR$193:DW$193)</f>
        <v>-4.1934028033004047</v>
      </c>
      <c r="Y106" s="1">
        <f>$M106+SUMPRODUCT(regions!DZ106:EE106,regions!DZ$193:EE$193)</f>
        <v>-3.6924148703156749</v>
      </c>
      <c r="Z106" s="1">
        <f t="shared" si="173"/>
        <v>0</v>
      </c>
      <c r="AA106" t="str">
        <f>Maddison!A49</f>
        <v>Malaysia</v>
      </c>
      <c r="AB106">
        <f>-Maddison!B49</f>
        <v>0</v>
      </c>
      <c r="AC106" s="1">
        <f>N106-AB106</f>
        <v>-9.6326215060885261</v>
      </c>
      <c r="AF106" s="1">
        <f t="shared" si="233"/>
        <v>3.312935603464453</v>
      </c>
      <c r="AG106" s="1"/>
      <c r="AH106" s="1">
        <f t="shared" si="161"/>
        <v>-0.31621741105758194</v>
      </c>
      <c r="AI106" s="1">
        <f t="shared" si="227"/>
        <v>-0.2951362503204098</v>
      </c>
      <c r="AJ106" s="1">
        <f t="shared" si="227"/>
        <v>-0.2740550895832376</v>
      </c>
      <c r="AK106" s="1">
        <f t="shared" si="227"/>
        <v>-0.23189276810889334</v>
      </c>
      <c r="AL106" s="1">
        <f t="shared" si="227"/>
        <v>-0.21081160737172119</v>
      </c>
      <c r="AM106" s="1">
        <f t="shared" si="227"/>
        <v>-0.18973044663454908</v>
      </c>
      <c r="AN106" s="1">
        <f t="shared" si="227"/>
        <v>-0.16864928589737696</v>
      </c>
      <c r="AO106" s="1">
        <f t="shared" si="227"/>
        <v>-0.14756812516020482</v>
      </c>
      <c r="AP106" s="1">
        <f t="shared" si="227"/>
        <v>-0.1264869644230327</v>
      </c>
      <c r="AQ106" s="1">
        <f t="shared" si="227"/>
        <v>-0.10540580368586058</v>
      </c>
      <c r="AR106" s="1">
        <f t="shared" si="227"/>
        <v>-8.4324642948688466E-2</v>
      </c>
      <c r="AS106" s="1">
        <f t="shared" si="227"/>
        <v>-6.324348221151635E-2</v>
      </c>
      <c r="AT106" s="1">
        <f t="shared" si="227"/>
        <v>-4.2162321474344212E-2</v>
      </c>
      <c r="AU106" s="1">
        <f t="shared" si="227"/>
        <v>-2.1081160737172085E-2</v>
      </c>
      <c r="AV106" s="1">
        <f t="shared" si="227"/>
        <v>0</v>
      </c>
      <c r="AW106" s="1">
        <f t="shared" si="227"/>
        <v>2.1081160737172127E-2</v>
      </c>
      <c r="AX106" s="1">
        <f t="shared" si="227"/>
        <v>0</v>
      </c>
      <c r="AY106" s="1">
        <f t="shared" si="227"/>
        <v>6.3243482211516391E-2</v>
      </c>
      <c r="AZ106" s="1">
        <f t="shared" si="227"/>
        <v>8.4324642948688508E-2</v>
      </c>
      <c r="BA106" s="1">
        <f t="shared" si="227"/>
        <v>0.10540580368586062</v>
      </c>
      <c r="BB106" s="1">
        <f t="shared" si="227"/>
        <v>0.12648696442303276</v>
      </c>
      <c r="BC106" s="1">
        <f t="shared" si="227"/>
        <v>0.1475681251602049</v>
      </c>
      <c r="BD106" s="1"/>
      <c r="BE106">
        <f t="shared" ref="BE106" si="251">LN($D106)-LN($D106*(1+BA106/100))</f>
        <v>-1.0535029077445301E-3</v>
      </c>
      <c r="BF106">
        <f t="shared" si="163"/>
        <v>-1.264070370536885E-3</v>
      </c>
      <c r="BG106">
        <f t="shared" si="163"/>
        <v>-1.4745935040050284E-3</v>
      </c>
    </row>
    <row r="107" spans="1:59" x14ac:dyDescent="0.35">
      <c r="A107" t="str">
        <f>regions!A107</f>
        <v>Maldives</v>
      </c>
      <c r="B107" s="22">
        <f>regions!B107</f>
        <v>325694</v>
      </c>
      <c r="C107" s="22">
        <f>regions!C107</f>
        <v>1518834121.3135984</v>
      </c>
      <c r="D107" s="10">
        <f>regions!D107</f>
        <v>4663.3776529920669</v>
      </c>
      <c r="E107" s="1">
        <f>regions!X107</f>
        <v>27.6</v>
      </c>
      <c r="I107" s="7">
        <f t="shared" si="243"/>
        <v>-11.362443675592349</v>
      </c>
      <c r="J107" s="1">
        <f t="shared" si="244"/>
        <v>-10.843278625846239</v>
      </c>
      <c r="K107" s="1">
        <f t="shared" si="231"/>
        <v>-3.3091950595492818</v>
      </c>
      <c r="L107" s="1">
        <f t="shared" si="244"/>
        <v>-8.4128453375493741</v>
      </c>
      <c r="M107" s="1">
        <f t="shared" si="158"/>
        <v>-11.514150750879127</v>
      </c>
      <c r="N107" s="1">
        <f t="shared" ref="N107" si="252">M107+M$2</f>
        <v>-11.129707860432106</v>
      </c>
      <c r="O107" s="1">
        <f t="shared" si="160"/>
        <v>3.096064451111721</v>
      </c>
      <c r="P107" s="1">
        <f t="shared" si="246"/>
        <v>-12.779658548461414</v>
      </c>
      <c r="Q107" s="1">
        <f t="shared" si="246"/>
        <v>-9.7543129263415995</v>
      </c>
      <c r="R107" s="1">
        <f t="shared" si="246"/>
        <v>-9.7128382719637187</v>
      </c>
      <c r="S107" s="1">
        <f>$M107+SUMPRODUCT(regions!BG107:BS107,regions!BG$193:BS$193)</f>
        <v>-2.7282122510791371</v>
      </c>
      <c r="T107" s="1">
        <f>$M107+SUMPRODUCT(regions!BV107:CD107,regions!BV$193:CD$193)</f>
        <v>-11.228899991360938</v>
      </c>
      <c r="U107" s="1">
        <f>$M107+SUMPRODUCT(regions!CQ107:CV107,regions!CQ$193:CV$193)</f>
        <v>-7.7936652025970439</v>
      </c>
      <c r="V107" s="1">
        <f>$M107+SUMPRODUCT(regions!CY107:DF107,regions!CY$193:DF$193)</f>
        <v>-11.375513358559326</v>
      </c>
      <c r="W107" s="1">
        <f>$M107+SUMPRODUCT(regions!DI107:DP107,regions!DI$193:DP$193)</f>
        <v>-5.8705133585593279</v>
      </c>
      <c r="X107" s="1">
        <f>$M107+SUMPRODUCT(regions!DR107:DW107,regions!DR$193:DW$193)</f>
        <v>-5.6904891576439844</v>
      </c>
      <c r="Y107" s="1">
        <f>$M107+SUMPRODUCT(regions!DZ107:EE107,regions!DZ$193:EE$193)</f>
        <v>-5.1895012246592547</v>
      </c>
      <c r="Z107" s="1">
        <f t="shared" si="173"/>
        <v>-8.0340845684344746</v>
      </c>
      <c r="AF107" s="1">
        <f t="shared" si="233"/>
        <v>1.8158492491208733</v>
      </c>
      <c r="AG107" s="1"/>
      <c r="AH107" s="1">
        <f t="shared" si="161"/>
        <v>-0.17332155440250402</v>
      </c>
      <c r="AI107" s="1">
        <f t="shared" si="227"/>
        <v>-0.16176678410900375</v>
      </c>
      <c r="AJ107" s="1">
        <f t="shared" si="227"/>
        <v>-0.15021201381550345</v>
      </c>
      <c r="AK107" s="1">
        <f t="shared" si="227"/>
        <v>-0.1271024732285029</v>
      </c>
      <c r="AL107" s="1">
        <f t="shared" si="227"/>
        <v>-0.11554770293500263</v>
      </c>
      <c r="AM107" s="1">
        <f t="shared" si="227"/>
        <v>-0.10399293264150238</v>
      </c>
      <c r="AN107" s="1">
        <f t="shared" si="227"/>
        <v>-9.2438162348002104E-2</v>
      </c>
      <c r="AO107" s="1">
        <f t="shared" si="227"/>
        <v>-8.0883392054501832E-2</v>
      </c>
      <c r="AP107" s="1">
        <f t="shared" si="227"/>
        <v>-6.9328621761001574E-2</v>
      </c>
      <c r="AQ107" s="1">
        <f t="shared" si="227"/>
        <v>-5.777385146750131E-2</v>
      </c>
      <c r="AR107" s="1">
        <f t="shared" si="227"/>
        <v>-4.6219081174001045E-2</v>
      </c>
      <c r="AS107" s="1">
        <f t="shared" si="227"/>
        <v>-3.466431088050078E-2</v>
      </c>
      <c r="AT107" s="1">
        <f t="shared" si="227"/>
        <v>-2.3109540587000512E-2</v>
      </c>
      <c r="AU107" s="1">
        <f t="shared" si="227"/>
        <v>-1.1554770293500246E-2</v>
      </c>
      <c r="AV107" s="1">
        <f t="shared" si="227"/>
        <v>0</v>
      </c>
      <c r="AW107" s="1">
        <f t="shared" si="227"/>
        <v>1.1554770293500266E-2</v>
      </c>
      <c r="AX107" s="1">
        <f t="shared" si="227"/>
        <v>0</v>
      </c>
      <c r="AY107" s="1">
        <f t="shared" si="227"/>
        <v>3.4664310880500808E-2</v>
      </c>
      <c r="AZ107" s="1">
        <f t="shared" si="227"/>
        <v>4.6219081174001066E-2</v>
      </c>
      <c r="BA107" s="1">
        <f t="shared" si="227"/>
        <v>5.777385146750133E-2</v>
      </c>
      <c r="BB107" s="1">
        <f t="shared" si="227"/>
        <v>6.9328621761001602E-2</v>
      </c>
      <c r="BC107" s="1">
        <f t="shared" si="227"/>
        <v>8.0883392054501874E-2</v>
      </c>
      <c r="BD107" s="1"/>
      <c r="BE107">
        <f t="shared" ref="BE107" si="253">LN($D107)-LN($D107*(1+BA107/100))</f>
        <v>-5.775716880300763E-4</v>
      </c>
      <c r="BF107">
        <f t="shared" si="163"/>
        <v>-6.9304600573616426E-4</v>
      </c>
      <c r="BG107">
        <f t="shared" si="163"/>
        <v>-8.0850699066559173E-4</v>
      </c>
    </row>
    <row r="108" spans="1:59" x14ac:dyDescent="0.35">
      <c r="A108" t="str">
        <f>regions!A108</f>
        <v>Mali</v>
      </c>
      <c r="B108" s="22">
        <f>regions!B108</f>
        <v>13985961</v>
      </c>
      <c r="C108" s="22">
        <f>regions!C108</f>
        <v>6971653980.9015436</v>
      </c>
      <c r="D108" s="10">
        <f>regions!D108</f>
        <v>498.47514810755899</v>
      </c>
      <c r="E108" s="1">
        <f>regions!X108</f>
        <v>28.2</v>
      </c>
      <c r="I108" s="7">
        <f t="shared" si="243"/>
        <v>-14.426732982675606</v>
      </c>
      <c r="J108" s="1">
        <f t="shared" si="244"/>
        <v>-13.907567932929496</v>
      </c>
      <c r="K108" s="1">
        <f t="shared" si="231"/>
        <v>-11.670930936553154</v>
      </c>
      <c r="L108" s="1">
        <f t="shared" si="244"/>
        <v>-16.774581214553244</v>
      </c>
      <c r="M108" s="1">
        <f t="shared" si="158"/>
        <v>-15.540082899227738</v>
      </c>
      <c r="N108" s="1">
        <f t="shared" ref="N108" si="254">M108+M$2</f>
        <v>-15.155640008780717</v>
      </c>
      <c r="O108" s="1">
        <f t="shared" si="160"/>
        <v>3.6095569036463595</v>
      </c>
      <c r="P108" s="1">
        <f t="shared" si="246"/>
        <v>-16.805590696810025</v>
      </c>
      <c r="Q108" s="1">
        <f t="shared" si="246"/>
        <v>-13.78024507469021</v>
      </c>
      <c r="R108" s="1">
        <f t="shared" si="246"/>
        <v>-13.73877042031233</v>
      </c>
      <c r="S108" s="1">
        <f>$M108+SUMPRODUCT(regions!BG108:BS108,regions!BG$193:BS$193)</f>
        <v>-6.2849545927997887</v>
      </c>
      <c r="T108" s="1">
        <f>$M108+SUMPRODUCT(regions!BV108:CD108,regions!BV$193:CD$193)</f>
        <v>-13.894765579612054</v>
      </c>
      <c r="U108" s="1">
        <f>$M108+SUMPRODUCT(regions!CQ108:CV108,regions!CQ$193:CV$193)</f>
        <v>-11.819597350945655</v>
      </c>
      <c r="V108" s="1">
        <f>$M108+SUMPRODUCT(regions!CY108:DF108,regions!CY$193:DF$193)</f>
        <v>-13.438505378402036</v>
      </c>
      <c r="W108" s="1">
        <f>$M108+SUMPRODUCT(regions!DI108:DP108,regions!DI$193:DP$193)</f>
        <v>-9.8394053784020361</v>
      </c>
      <c r="X108" s="1">
        <f>$M108+SUMPRODUCT(regions!DR108:DW108,regions!DR$193:DW$193)</f>
        <v>-9.7164213059925952</v>
      </c>
      <c r="Y108" s="1">
        <f>$M108+SUMPRODUCT(regions!DZ108:EE108,regions!DZ$193:EE$193)</f>
        <v>-9.2154333730078655</v>
      </c>
      <c r="Z108" s="1">
        <f t="shared" si="173"/>
        <v>-4.8</v>
      </c>
      <c r="AA108" t="str">
        <f>Maddison!A50</f>
        <v>Mali</v>
      </c>
      <c r="AB108">
        <f>-Maddison!B50</f>
        <v>-4.8</v>
      </c>
      <c r="AC108" s="1">
        <f>N108-AB108</f>
        <v>-10.355640008780718</v>
      </c>
      <c r="AF108" s="1">
        <f t="shared" si="233"/>
        <v>-2.2100828992277375</v>
      </c>
      <c r="AG108" s="1"/>
      <c r="AH108" s="1">
        <f t="shared" si="161"/>
        <v>0.21095088352626007</v>
      </c>
      <c r="AI108" s="1">
        <f t="shared" si="227"/>
        <v>0.19688749129117603</v>
      </c>
      <c r="AJ108" s="1">
        <f t="shared" si="227"/>
        <v>0.18282409905609198</v>
      </c>
      <c r="AK108" s="1">
        <f t="shared" si="227"/>
        <v>0.15469731458592398</v>
      </c>
      <c r="AL108" s="1">
        <f t="shared" si="227"/>
        <v>0.14063392235083999</v>
      </c>
      <c r="AM108" s="1">
        <f t="shared" si="227"/>
        <v>0.12657053011575597</v>
      </c>
      <c r="AN108" s="1">
        <f t="shared" si="227"/>
        <v>0.11250713788067197</v>
      </c>
      <c r="AO108" s="1">
        <f t="shared" si="227"/>
        <v>9.8443745645587971E-2</v>
      </c>
      <c r="AP108" s="1">
        <f t="shared" si="227"/>
        <v>8.4380353410503983E-2</v>
      </c>
      <c r="AQ108" s="1">
        <f t="shared" si="227"/>
        <v>7.0316961175419981E-2</v>
      </c>
      <c r="AR108" s="1">
        <f t="shared" si="227"/>
        <v>5.625356894033598E-2</v>
      </c>
      <c r="AS108" s="1">
        <f t="shared" si="227"/>
        <v>4.2190176705251985E-2</v>
      </c>
      <c r="AT108" s="1">
        <f t="shared" si="227"/>
        <v>2.8126784470167979E-2</v>
      </c>
      <c r="AU108" s="1">
        <f t="shared" si="227"/>
        <v>1.4063392235083976E-2</v>
      </c>
      <c r="AV108" s="1">
        <f t="shared" si="227"/>
        <v>0</v>
      </c>
      <c r="AW108" s="1">
        <f t="shared" ref="AI108:BC120" si="255">$AF108*AW$2</f>
        <v>-1.4063392235084002E-2</v>
      </c>
      <c r="AX108" s="1">
        <f t="shared" si="255"/>
        <v>0</v>
      </c>
      <c r="AY108" s="1">
        <f t="shared" si="255"/>
        <v>-4.2190176705252012E-2</v>
      </c>
      <c r="AZ108" s="1">
        <f t="shared" si="255"/>
        <v>-5.6253568940336007E-2</v>
      </c>
      <c r="BA108" s="1">
        <f t="shared" si="255"/>
        <v>-7.0316961175420009E-2</v>
      </c>
      <c r="BB108" s="1">
        <f t="shared" si="255"/>
        <v>-8.4380353410504011E-2</v>
      </c>
      <c r="BC108" s="1">
        <f t="shared" si="255"/>
        <v>-9.8443745645588013E-2</v>
      </c>
      <c r="BD108" s="1"/>
      <c r="BE108">
        <f t="shared" ref="BE108" si="256">LN($D108)-LN($D108*(1+BA108/100))</f>
        <v>7.0341695146058925E-4</v>
      </c>
      <c r="BF108">
        <f t="shared" si="163"/>
        <v>8.4415973669749178E-4</v>
      </c>
      <c r="BG108">
        <f t="shared" si="163"/>
        <v>9.8492233325586653E-4</v>
      </c>
    </row>
    <row r="109" spans="1:59" x14ac:dyDescent="0.35">
      <c r="A109" t="str">
        <f>regions!A109</f>
        <v>Malta</v>
      </c>
      <c r="B109" s="22">
        <f>regions!B109</f>
        <v>415995</v>
      </c>
      <c r="C109" s="22">
        <f>regions!C109</f>
        <v>6652772997.1789989</v>
      </c>
      <c r="D109" s="10">
        <f>regions!D109</f>
        <v>15992.434998447094</v>
      </c>
      <c r="E109" s="1">
        <f>regions!X109</f>
        <v>19.2</v>
      </c>
      <c r="I109" s="7">
        <f t="shared" si="243"/>
        <v>-2.2500244939112823</v>
      </c>
      <c r="J109" s="1">
        <f t="shared" si="244"/>
        <v>-1.7308594441651726</v>
      </c>
      <c r="K109" s="1">
        <f t="shared" si="231"/>
        <v>10.56123457858096</v>
      </c>
      <c r="L109" s="1">
        <f t="shared" si="244"/>
        <v>5.4575843005808675</v>
      </c>
      <c r="M109" s="1">
        <f t="shared" si="158"/>
        <v>-5.6763694180267841</v>
      </c>
      <c r="N109" s="1">
        <f t="shared" ref="N109" si="257">M109+M$2</f>
        <v>-5.2919265275797631</v>
      </c>
      <c r="O109" s="1">
        <f t="shared" si="160"/>
        <v>2.2333091969136367</v>
      </c>
      <c r="P109" s="1">
        <f t="shared" si="246"/>
        <v>-6.9418772156090718</v>
      </c>
      <c r="Q109" s="1">
        <f t="shared" si="246"/>
        <v>-3.9165315934892559</v>
      </c>
      <c r="R109" s="1">
        <f t="shared" si="246"/>
        <v>-3.8750569391113761</v>
      </c>
      <c r="S109" s="1">
        <f>$M109+SUMPRODUCT(regions!BG109:BS109,regions!BG$193:BS$193)</f>
        <v>-2.009270502287944</v>
      </c>
      <c r="T109" s="1">
        <f>$M109+SUMPRODUCT(regions!BV109:CD109,regions!BV$193:CD$193)</f>
        <v>-6.9075583660943067</v>
      </c>
      <c r="U109" s="1">
        <f>$M109+SUMPRODUCT(regions!CQ109:CV109,regions!CQ$193:CV$193)</f>
        <v>-1.9558838697447012</v>
      </c>
      <c r="V109" s="1">
        <f>$M109+SUMPRODUCT(regions!CY109:DF109,regions!CY$193:DF$193)</f>
        <v>-6.7805643953361656</v>
      </c>
      <c r="W109" s="1">
        <f>$M109+SUMPRODUCT(regions!DI109:DP109,regions!DI$193:DP$193)</f>
        <v>-6.7105643953361653</v>
      </c>
      <c r="X109" s="1">
        <f>$M109+SUMPRODUCT(regions!DR109:DW109,regions!DR$193:DW$193)</f>
        <v>-6.8805643953361653</v>
      </c>
      <c r="Y109" s="1">
        <f>$M109+SUMPRODUCT(regions!DZ109:EE109,regions!DZ$193:EE$193)</f>
        <v>-7.0805643953361654</v>
      </c>
      <c r="Z109" s="1">
        <f t="shared" si="173"/>
        <v>-2.1963032355821315</v>
      </c>
      <c r="AF109" s="1">
        <f t="shared" si="233"/>
        <v>7.653630581973216</v>
      </c>
      <c r="AG109" s="1"/>
      <c r="AH109" s="1">
        <f t="shared" si="161"/>
        <v>-0.73053374333379884</v>
      </c>
      <c r="AI109" s="1">
        <f t="shared" si="255"/>
        <v>-0.68183149377821206</v>
      </c>
      <c r="AJ109" s="1">
        <f t="shared" si="255"/>
        <v>-0.6331292442226254</v>
      </c>
      <c r="AK109" s="1">
        <f t="shared" si="255"/>
        <v>-0.53572474511145229</v>
      </c>
      <c r="AL109" s="1">
        <f t="shared" si="255"/>
        <v>-0.48702249555586563</v>
      </c>
      <c r="AM109" s="1">
        <f t="shared" si="255"/>
        <v>-0.43832024600027908</v>
      </c>
      <c r="AN109" s="1">
        <f t="shared" si="255"/>
        <v>-0.38961799644469247</v>
      </c>
      <c r="AO109" s="1">
        <f t="shared" si="255"/>
        <v>-0.34091574688910592</v>
      </c>
      <c r="AP109" s="1">
        <f t="shared" si="255"/>
        <v>-0.29221349733351937</v>
      </c>
      <c r="AQ109" s="1">
        <f t="shared" si="255"/>
        <v>-0.24351124777793279</v>
      </c>
      <c r="AR109" s="1">
        <f t="shared" si="255"/>
        <v>-0.19480899822234621</v>
      </c>
      <c r="AS109" s="1">
        <f t="shared" si="255"/>
        <v>-0.14610674866675966</v>
      </c>
      <c r="AT109" s="1">
        <f t="shared" si="255"/>
        <v>-9.7404499111173062E-2</v>
      </c>
      <c r="AU109" s="1">
        <f t="shared" si="255"/>
        <v>-4.870224955558649E-2</v>
      </c>
      <c r="AV109" s="1">
        <f t="shared" si="255"/>
        <v>0</v>
      </c>
      <c r="AW109" s="1">
        <f t="shared" si="255"/>
        <v>4.870224955558658E-2</v>
      </c>
      <c r="AX109" s="1">
        <f t="shared" si="255"/>
        <v>0</v>
      </c>
      <c r="AY109" s="1">
        <f t="shared" si="255"/>
        <v>0.14610674866675977</v>
      </c>
      <c r="AZ109" s="1">
        <f t="shared" si="255"/>
        <v>0.19480899822234632</v>
      </c>
      <c r="BA109" s="1">
        <f t="shared" si="255"/>
        <v>0.24351124777793287</v>
      </c>
      <c r="BB109" s="1">
        <f t="shared" si="255"/>
        <v>0.29221349733351948</v>
      </c>
      <c r="BC109" s="1">
        <f t="shared" si="255"/>
        <v>0.34091574688910603</v>
      </c>
      <c r="BD109" s="1"/>
      <c r="BE109">
        <f t="shared" ref="BE109" si="258">LN($D109)-LN($D109*(1+BA109/100))</f>
        <v>-2.4321523958388269E-3</v>
      </c>
      <c r="BF109">
        <f t="shared" si="163"/>
        <v>-2.9178738359956213E-3</v>
      </c>
      <c r="BG109">
        <f t="shared" si="163"/>
        <v>-3.4033594653699595E-3</v>
      </c>
    </row>
    <row r="110" spans="1:59" x14ac:dyDescent="0.35">
      <c r="A110" t="str">
        <f>regions!A110</f>
        <v>Marshall Islands</v>
      </c>
      <c r="B110" s="22">
        <f>regions!B110</f>
        <v>52428</v>
      </c>
      <c r="C110" s="22">
        <f>regions!C110</f>
        <v>147320121.96961504</v>
      </c>
      <c r="D110" s="10">
        <f>regions!D110</f>
        <v>2809.9512086979294</v>
      </c>
      <c r="E110" s="1">
        <f>regions!X110</f>
        <v>27.4</v>
      </c>
      <c r="I110" s="7">
        <f t="shared" si="243"/>
        <v>-12.413433696552811</v>
      </c>
      <c r="J110" s="1">
        <f t="shared" si="244"/>
        <v>-11.894268646806701</v>
      </c>
      <c r="K110" s="1">
        <f t="shared" si="231"/>
        <v>-6.4845168562929993</v>
      </c>
      <c r="L110" s="1">
        <f t="shared" si="244"/>
        <v>-11.588167134293091</v>
      </c>
      <c r="M110" s="1">
        <f t="shared" si="158"/>
        <v>-12.275605976439358</v>
      </c>
      <c r="N110" s="1">
        <f t="shared" ref="N110" si="259">M110+M$2</f>
        <v>-11.891163085992337</v>
      </c>
      <c r="O110" s="1">
        <f t="shared" si="160"/>
        <v>2.6356584205276108</v>
      </c>
      <c r="P110" s="1">
        <f t="shared" si="246"/>
        <v>-13.541113774021646</v>
      </c>
      <c r="Q110" s="1">
        <f t="shared" si="246"/>
        <v>-10.515768151901831</v>
      </c>
      <c r="R110" s="1">
        <f t="shared" si="246"/>
        <v>-10.47429349752395</v>
      </c>
      <c r="S110" s="1">
        <f>$M110+SUMPRODUCT(regions!BG110:BS110,regions!BG$193:BS$193)</f>
        <v>-6.8306556065667987</v>
      </c>
      <c r="T110" s="1">
        <f>$M110+SUMPRODUCT(regions!BV110:CD110,regions!BV$193:CD$193)</f>
        <v>-11.99035521692117</v>
      </c>
      <c r="U110" s="1">
        <f>$M110+SUMPRODUCT(regions!CQ110:CV110,regions!CQ$193:CV$193)</f>
        <v>-8.5551204281572755</v>
      </c>
      <c r="V110" s="1">
        <f>$M110+SUMPRODUCT(regions!CY110:DF110,regions!CY$193:DF$193)</f>
        <v>-12.136968584119558</v>
      </c>
      <c r="W110" s="1">
        <f>$M110+SUMPRODUCT(regions!DI110:DP110,regions!DI$193:DP$193)</f>
        <v>-6.6319685841195595</v>
      </c>
      <c r="X110" s="1">
        <f>$M110+SUMPRODUCT(regions!DR110:DW110,regions!DR$193:DW$193)</f>
        <v>-6.451944383204216</v>
      </c>
      <c r="Y110" s="1">
        <f>$M110+SUMPRODUCT(regions!DZ110:EE110,regions!DZ$193:EE$193)</f>
        <v>-5.9509564502194863</v>
      </c>
      <c r="Z110" s="1">
        <f t="shared" si="173"/>
        <v>-8.7955397939947062</v>
      </c>
      <c r="AF110" s="1">
        <f t="shared" si="233"/>
        <v>1.0543940235606417</v>
      </c>
      <c r="AG110" s="1"/>
      <c r="AH110" s="1">
        <f t="shared" si="161"/>
        <v>-0.10064117999041894</v>
      </c>
      <c r="AI110" s="1">
        <f t="shared" si="255"/>
        <v>-9.3931767991057652E-2</v>
      </c>
      <c r="AJ110" s="1">
        <f t="shared" si="255"/>
        <v>-8.7222355991696379E-2</v>
      </c>
      <c r="AK110" s="1">
        <f t="shared" si="255"/>
        <v>-7.3803531992973861E-2</v>
      </c>
      <c r="AL110" s="1">
        <f t="shared" si="255"/>
        <v>-6.7094119993612589E-2</v>
      </c>
      <c r="AM110" s="1">
        <f t="shared" si="255"/>
        <v>-6.038470799425133E-2</v>
      </c>
      <c r="AN110" s="1">
        <f t="shared" si="255"/>
        <v>-5.3675295994890071E-2</v>
      </c>
      <c r="AO110" s="1">
        <f t="shared" si="255"/>
        <v>-4.6965883995528805E-2</v>
      </c>
      <c r="AP110" s="1">
        <f t="shared" si="255"/>
        <v>-4.0256471996167553E-2</v>
      </c>
      <c r="AQ110" s="1">
        <f t="shared" si="255"/>
        <v>-3.3547059996806287E-2</v>
      </c>
      <c r="AR110" s="1">
        <f t="shared" si="255"/>
        <v>-2.6837647997445032E-2</v>
      </c>
      <c r="AS110" s="1">
        <f t="shared" si="255"/>
        <v>-2.0128235998083773E-2</v>
      </c>
      <c r="AT110" s="1">
        <f t="shared" si="255"/>
        <v>-1.3418823998722509E-2</v>
      </c>
      <c r="AU110" s="1">
        <f t="shared" si="255"/>
        <v>-6.7094119993612485E-3</v>
      </c>
      <c r="AV110" s="1">
        <f t="shared" si="255"/>
        <v>0</v>
      </c>
      <c r="AW110" s="1">
        <f t="shared" si="255"/>
        <v>6.7094119993612615E-3</v>
      </c>
      <c r="AX110" s="1">
        <f t="shared" si="255"/>
        <v>0</v>
      </c>
      <c r="AY110" s="1">
        <f t="shared" si="255"/>
        <v>2.0128235998083787E-2</v>
      </c>
      <c r="AZ110" s="1">
        <f t="shared" si="255"/>
        <v>2.6837647997445046E-2</v>
      </c>
      <c r="BA110" s="1">
        <f t="shared" si="255"/>
        <v>3.3547059996806301E-2</v>
      </c>
      <c r="BB110" s="1">
        <f t="shared" si="255"/>
        <v>4.0256471996167567E-2</v>
      </c>
      <c r="BC110" s="1">
        <f t="shared" si="255"/>
        <v>4.6965883995528826E-2</v>
      </c>
      <c r="BD110" s="1"/>
      <c r="BE110">
        <f t="shared" ref="BE110" si="260">LN($D110)-LN($D110*(1+BA110/100))</f>
        <v>-3.3541434228823164E-4</v>
      </c>
      <c r="BF110">
        <f t="shared" si="163"/>
        <v>-4.0248371252449289E-4</v>
      </c>
      <c r="BG110">
        <f t="shared" si="163"/>
        <v>-4.6954858476233596E-4</v>
      </c>
    </row>
    <row r="111" spans="1:59" x14ac:dyDescent="0.35">
      <c r="A111" t="str">
        <f>regions!A111</f>
        <v>Mauritania</v>
      </c>
      <c r="B111" s="22">
        <f>regions!B111</f>
        <v>3609420</v>
      </c>
      <c r="C111" s="22">
        <f>regions!C111</f>
        <v>2814034804.5275235</v>
      </c>
      <c r="D111" s="10">
        <f>regions!D111</f>
        <v>779.63628630847154</v>
      </c>
      <c r="E111" s="1">
        <f>regions!X111</f>
        <v>27.6</v>
      </c>
      <c r="I111" s="7">
        <f t="shared" si="243"/>
        <v>-13.90913289225163</v>
      </c>
      <c r="J111" s="1">
        <f t="shared" si="244"/>
        <v>-13.38996784250552</v>
      </c>
      <c r="K111" s="1">
        <f t="shared" si="231"/>
        <v>-10.765405401722745</v>
      </c>
      <c r="L111" s="1">
        <f t="shared" si="244"/>
        <v>-15.869055679722837</v>
      </c>
      <c r="M111" s="1">
        <f t="shared" si="158"/>
        <v>-14.519488227192179</v>
      </c>
      <c r="N111" s="1">
        <f t="shared" ref="N111" si="261">M111+M$2</f>
        <v>-14.135045336745158</v>
      </c>
      <c r="O111" s="1">
        <f t="shared" si="160"/>
        <v>2.9171998047434995</v>
      </c>
      <c r="P111" s="1">
        <f t="shared" si="246"/>
        <v>-15.784996024774465</v>
      </c>
      <c r="Q111" s="1">
        <f t="shared" si="246"/>
        <v>-12.759650402654652</v>
      </c>
      <c r="R111" s="1">
        <f t="shared" si="246"/>
        <v>-12.718175748276771</v>
      </c>
      <c r="S111" s="1">
        <f>$M111+SUMPRODUCT(regions!BG111:BS111,regions!BG$193:BS$193)</f>
        <v>-5.26435992076423</v>
      </c>
      <c r="T111" s="1">
        <f>$M111+SUMPRODUCT(regions!BV111:CD111,regions!BV$193:CD$193)</f>
        <v>-12.874170907576495</v>
      </c>
      <c r="U111" s="1">
        <f>$M111+SUMPRODUCT(regions!CQ111:CV111,regions!CQ$193:CV$193)</f>
        <v>-10.799002678910096</v>
      </c>
      <c r="V111" s="1">
        <f>$M111+SUMPRODUCT(regions!CY111:DF111,regions!CY$193:DF$193)</f>
        <v>-12.417910706366477</v>
      </c>
      <c r="W111" s="1">
        <f>$M111+SUMPRODUCT(regions!DI111:DP111,regions!DI$193:DP$193)</f>
        <v>-8.8188107063664773</v>
      </c>
      <c r="X111" s="1">
        <f>$M111+SUMPRODUCT(regions!DR111:DW111,regions!DR$193:DW$193)</f>
        <v>-8.6958266339570365</v>
      </c>
      <c r="Y111" s="1">
        <f>$M111+SUMPRODUCT(regions!DZ111:EE111,regions!DZ$193:EE$193)</f>
        <v>-8.1948387009723067</v>
      </c>
      <c r="Z111" s="1">
        <f t="shared" si="173"/>
        <v>-11.039422044747527</v>
      </c>
      <c r="AF111" s="1">
        <f t="shared" si="233"/>
        <v>-1.1894882271921787</v>
      </c>
      <c r="AG111" s="1"/>
      <c r="AH111" s="1">
        <f t="shared" si="161"/>
        <v>0.11353582825239467</v>
      </c>
      <c r="AI111" s="1">
        <f t="shared" si="255"/>
        <v>0.10596677303556834</v>
      </c>
      <c r="AJ111" s="1">
        <f t="shared" si="255"/>
        <v>9.8397717818742014E-2</v>
      </c>
      <c r="AK111" s="1">
        <f t="shared" si="255"/>
        <v>8.325960738508939E-2</v>
      </c>
      <c r="AL111" s="1">
        <f t="shared" si="255"/>
        <v>7.5690552168263078E-2</v>
      </c>
      <c r="AM111" s="1">
        <f t="shared" si="255"/>
        <v>6.8121496951436766E-2</v>
      </c>
      <c r="AN111" s="1">
        <f t="shared" si="255"/>
        <v>6.0552441734610454E-2</v>
      </c>
      <c r="AO111" s="1">
        <f t="shared" si="255"/>
        <v>5.2983386517784142E-2</v>
      </c>
      <c r="AP111" s="1">
        <f t="shared" si="255"/>
        <v>4.5414331300957837E-2</v>
      </c>
      <c r="AQ111" s="1">
        <f t="shared" si="255"/>
        <v>3.7845276084131532E-2</v>
      </c>
      <c r="AR111" s="1">
        <f t="shared" si="255"/>
        <v>3.0276220867305224E-2</v>
      </c>
      <c r="AS111" s="1">
        <f t="shared" si="255"/>
        <v>2.2707165650478915E-2</v>
      </c>
      <c r="AT111" s="1">
        <f t="shared" si="255"/>
        <v>1.5138110433652605E-2</v>
      </c>
      <c r="AU111" s="1">
        <f t="shared" si="255"/>
        <v>7.5690552168262955E-3</v>
      </c>
      <c r="AV111" s="1">
        <f t="shared" si="255"/>
        <v>0</v>
      </c>
      <c r="AW111" s="1">
        <f t="shared" si="255"/>
        <v>-7.5690552168263094E-3</v>
      </c>
      <c r="AX111" s="1">
        <f t="shared" si="255"/>
        <v>0</v>
      </c>
      <c r="AY111" s="1">
        <f t="shared" si="255"/>
        <v>-2.2707165650478933E-2</v>
      </c>
      <c r="AZ111" s="1">
        <f t="shared" si="255"/>
        <v>-3.0276220867305238E-2</v>
      </c>
      <c r="BA111" s="1">
        <f t="shared" si="255"/>
        <v>-3.7845276084131546E-2</v>
      </c>
      <c r="BB111" s="1">
        <f t="shared" si="255"/>
        <v>-4.5414331300957858E-2</v>
      </c>
      <c r="BC111" s="1">
        <f t="shared" si="255"/>
        <v>-5.298338651778417E-2</v>
      </c>
      <c r="BD111" s="1"/>
      <c r="BE111">
        <f t="shared" ref="BE111" si="262">LN($D111)-LN($D111*(1+BA111/100))</f>
        <v>3.7852439216035094E-4</v>
      </c>
      <c r="BF111">
        <f t="shared" si="163"/>
        <v>4.5424646731628826E-4</v>
      </c>
      <c r="BG111">
        <f t="shared" si="163"/>
        <v>5.2997427673862063E-4</v>
      </c>
    </row>
    <row r="112" spans="1:59" x14ac:dyDescent="0.35">
      <c r="A112" t="str">
        <f>regions!A112</f>
        <v>Mauritius</v>
      </c>
      <c r="B112" s="22">
        <f>regions!B112</f>
        <v>1280924</v>
      </c>
      <c r="C112" s="22">
        <f>regions!C112</f>
        <v>7826157631.8455935</v>
      </c>
      <c r="D112" s="10">
        <f>regions!D112</f>
        <v>6109.775155938677</v>
      </c>
      <c r="E112" s="1">
        <f>regions!X112</f>
        <v>22.4</v>
      </c>
      <c r="I112" s="7">
        <f t="shared" si="243"/>
        <v>-7.808086902183609</v>
      </c>
      <c r="J112" s="1">
        <f t="shared" si="244"/>
        <v>-7.2889218524374995</v>
      </c>
      <c r="K112" s="1">
        <f t="shared" si="231"/>
        <v>1.252986068516261</v>
      </c>
      <c r="L112" s="1">
        <f t="shared" si="244"/>
        <v>-3.8506642094838313</v>
      </c>
      <c r="M112" s="1">
        <f t="shared" si="158"/>
        <v>-8.7282084709133496</v>
      </c>
      <c r="N112" s="1">
        <f t="shared" ref="N112" si="263">M112+M$2</f>
        <v>-8.3437655804663287</v>
      </c>
      <c r="O112" s="1">
        <f t="shared" si="160"/>
        <v>2.3699937682312884</v>
      </c>
      <c r="P112" s="1">
        <f t="shared" si="246"/>
        <v>-9.9937162684956373</v>
      </c>
      <c r="Q112" s="1">
        <f t="shared" si="246"/>
        <v>-6.9683706463758224</v>
      </c>
      <c r="R112" s="1">
        <f t="shared" si="246"/>
        <v>-6.9268959919979416</v>
      </c>
      <c r="S112" s="1">
        <f>$M112+SUMPRODUCT(regions!BG112:BS112,regions!BG$193:BS$193)</f>
        <v>-3.28325810104079</v>
      </c>
      <c r="T112" s="1">
        <f>$M112+SUMPRODUCT(regions!BV112:CD112,regions!BV$193:CD$193)</f>
        <v>-7.082891151297666</v>
      </c>
      <c r="U112" s="1">
        <f>$M112+SUMPRODUCT(regions!CQ112:CV112,regions!CQ$193:CV$193)</f>
        <v>-5.0077229226312667</v>
      </c>
      <c r="V112" s="1">
        <f>$M112+SUMPRODUCT(regions!CY112:DF112,regions!CY$193:DF$193)</f>
        <v>-6.6266309500876481</v>
      </c>
      <c r="W112" s="1">
        <f>$M112+SUMPRODUCT(regions!DI112:DP112,regions!DI$193:DP$193)</f>
        <v>-3.0275309500876482</v>
      </c>
      <c r="X112" s="1">
        <f>$M112+SUMPRODUCT(regions!DR112:DW112,regions!DR$193:DW$193)</f>
        <v>-2.9045468776782073</v>
      </c>
      <c r="Y112" s="1">
        <f>$M112+SUMPRODUCT(regions!DZ112:EE112,regions!DZ$193:EE$193)</f>
        <v>-2.4035589446934775</v>
      </c>
      <c r="Z112" s="1">
        <f t="shared" si="173"/>
        <v>-4.7</v>
      </c>
      <c r="AA112" t="str">
        <f>Maddison!A51</f>
        <v>Mauritius</v>
      </c>
      <c r="AB112">
        <f>-Maddison!B51</f>
        <v>-4.7</v>
      </c>
      <c r="AC112" s="1">
        <f>N112-AB112</f>
        <v>-3.6437655804663285</v>
      </c>
      <c r="AF112" s="1">
        <f t="shared" si="233"/>
        <v>4.6017915290866505</v>
      </c>
      <c r="AG112" s="1"/>
      <c r="AH112" s="1">
        <f t="shared" si="161"/>
        <v>-0.43923781737042311</v>
      </c>
      <c r="AI112" s="1">
        <f t="shared" si="255"/>
        <v>-0.40995529621239485</v>
      </c>
      <c r="AJ112" s="1">
        <f t="shared" si="255"/>
        <v>-0.38067277505436659</v>
      </c>
      <c r="AK112" s="1">
        <f t="shared" si="255"/>
        <v>-0.32210773273831017</v>
      </c>
      <c r="AL112" s="1">
        <f t="shared" si="255"/>
        <v>-0.29282521158028196</v>
      </c>
      <c r="AM112" s="1">
        <f t="shared" si="255"/>
        <v>-0.26354269042225376</v>
      </c>
      <c r="AN112" s="1">
        <f t="shared" si="255"/>
        <v>-0.23426016926422555</v>
      </c>
      <c r="AO112" s="1">
        <f t="shared" si="255"/>
        <v>-0.20497764810619734</v>
      </c>
      <c r="AP112" s="1">
        <f t="shared" si="255"/>
        <v>-0.17569512694816916</v>
      </c>
      <c r="AQ112" s="1">
        <f t="shared" si="255"/>
        <v>-0.14641260579014095</v>
      </c>
      <c r="AR112" s="1">
        <f t="shared" si="255"/>
        <v>-0.11713008463211275</v>
      </c>
      <c r="AS112" s="1">
        <f t="shared" si="255"/>
        <v>-8.7847563474084553E-2</v>
      </c>
      <c r="AT112" s="1">
        <f t="shared" si="255"/>
        <v>-5.8565042316056352E-2</v>
      </c>
      <c r="AU112" s="1">
        <f t="shared" si="255"/>
        <v>-2.9282521158028148E-2</v>
      </c>
      <c r="AV112" s="1">
        <f t="shared" si="255"/>
        <v>0</v>
      </c>
      <c r="AW112" s="1">
        <f t="shared" si="255"/>
        <v>2.9282521158028204E-2</v>
      </c>
      <c r="AX112" s="1">
        <f t="shared" si="255"/>
        <v>0</v>
      </c>
      <c r="AY112" s="1">
        <f t="shared" si="255"/>
        <v>8.7847563474084622E-2</v>
      </c>
      <c r="AZ112" s="1">
        <f t="shared" si="255"/>
        <v>0.11713008463211282</v>
      </c>
      <c r="BA112" s="1">
        <f t="shared" si="255"/>
        <v>0.14641260579014101</v>
      </c>
      <c r="BB112" s="1">
        <f t="shared" si="255"/>
        <v>0.17569512694816922</v>
      </c>
      <c r="BC112" s="1">
        <f t="shared" si="255"/>
        <v>0.20497764810619742</v>
      </c>
      <c r="BD112" s="1"/>
      <c r="BE112">
        <f t="shared" ref="BE112" si="264">LN($D112)-LN($D112*(1+BA112/100))</f>
        <v>-1.4630552703955857E-3</v>
      </c>
      <c r="BF112">
        <f t="shared" si="163"/>
        <v>-1.755409636052363E-3</v>
      </c>
      <c r="BG112">
        <f t="shared" si="163"/>
        <v>-2.0476785556144961E-3</v>
      </c>
    </row>
    <row r="113" spans="1:59" x14ac:dyDescent="0.35">
      <c r="A113" t="str">
        <f>regions!A113</f>
        <v>Mexico</v>
      </c>
      <c r="B113" s="22">
        <f>regions!B113</f>
        <v>117886404</v>
      </c>
      <c r="C113" s="22">
        <f>regions!C113</f>
        <v>953067840505.29358</v>
      </c>
      <c r="D113" s="10">
        <f>regions!D113</f>
        <v>8084.6290001796442</v>
      </c>
      <c r="E113" s="1">
        <f>regions!X113</f>
        <v>21</v>
      </c>
      <c r="I113" s="7">
        <f t="shared" si="243"/>
        <v>-6.0517601883394141</v>
      </c>
      <c r="J113" s="1">
        <f t="shared" si="244"/>
        <v>-5.5325951385933045</v>
      </c>
      <c r="K113" s="1">
        <f t="shared" si="231"/>
        <v>4.4183243389666753</v>
      </c>
      <c r="L113" s="1">
        <f t="shared" si="244"/>
        <v>-0.68532593903341699</v>
      </c>
      <c r="M113" s="1">
        <f t="shared" si="158"/>
        <v>-7.6297690744861981</v>
      </c>
      <c r="N113" s="1">
        <f t="shared" ref="N113" si="265">M113+M$2</f>
        <v>-7.2453261840391772</v>
      </c>
      <c r="O113" s="1">
        <f t="shared" si="160"/>
        <v>3.3320035304805122</v>
      </c>
      <c r="P113" s="1">
        <f t="shared" si="246"/>
        <v>-8.8952768720684858</v>
      </c>
      <c r="Q113" s="1">
        <f t="shared" si="246"/>
        <v>-5.86993124994867</v>
      </c>
      <c r="R113" s="1">
        <f t="shared" si="246"/>
        <v>-5.8284565955707901</v>
      </c>
      <c r="S113" s="1">
        <f>$M113+SUMPRODUCT(regions!BG113:BS113,regions!BG$193:BS$193)</f>
        <v>-2.1848187046136385</v>
      </c>
      <c r="T113" s="1">
        <f>$M113+SUMPRODUCT(regions!BV113:CD113,regions!BV$193:CD$193)</f>
        <v>-3.4705479629899143</v>
      </c>
      <c r="U113" s="1">
        <f>$M113+SUMPRODUCT(regions!CQ113:CV113,regions!CQ$193:CV$193)</f>
        <v>-3.9092835262041152</v>
      </c>
      <c r="V113" s="1">
        <f>$M113+SUMPRODUCT(regions!CY113:DF113,regions!CY$193:DF$193)</f>
        <v>-3.4605479629899136</v>
      </c>
      <c r="W113" s="1">
        <f>$M113+SUMPRODUCT(regions!DI113:DP113,regions!DI$193:DP$193)</f>
        <v>-1.4214479629899142</v>
      </c>
      <c r="X113" s="1">
        <f>$M113+SUMPRODUCT(regions!DR113:DW113,regions!DR$193:DW$193)</f>
        <v>-1.8061074812510558</v>
      </c>
      <c r="Y113" s="1">
        <f>$M113+SUMPRODUCT(regions!DZ113:EE113,regions!DZ$193:EE$193)</f>
        <v>-1.305119548266326</v>
      </c>
      <c r="Z113" s="1">
        <f t="shared" si="173"/>
        <v>-11.8</v>
      </c>
      <c r="AA113" t="str">
        <f>Maddison!A52</f>
        <v>Mexico</v>
      </c>
      <c r="AB113">
        <f>-Maddison!B52</f>
        <v>-11.8</v>
      </c>
      <c r="AC113" s="1">
        <f>N113-AB113</f>
        <v>4.5546738159608235</v>
      </c>
      <c r="AF113" s="1">
        <f t="shared" si="233"/>
        <v>5.7002309255138019</v>
      </c>
      <c r="AG113" s="1"/>
      <c r="AH113" s="1">
        <f t="shared" si="161"/>
        <v>-0.54408309772498697</v>
      </c>
      <c r="AI113" s="1">
        <f t="shared" si="255"/>
        <v>-0.50781089120998779</v>
      </c>
      <c r="AJ113" s="1">
        <f t="shared" si="255"/>
        <v>-0.47153868469498855</v>
      </c>
      <c r="AK113" s="1">
        <f t="shared" si="255"/>
        <v>-0.3989942716649903</v>
      </c>
      <c r="AL113" s="1">
        <f t="shared" si="255"/>
        <v>-0.36272206514999117</v>
      </c>
      <c r="AM113" s="1">
        <f t="shared" si="255"/>
        <v>-0.32644985863499204</v>
      </c>
      <c r="AN113" s="1">
        <f t="shared" si="255"/>
        <v>-0.29017765211999291</v>
      </c>
      <c r="AO113" s="1">
        <f t="shared" si="255"/>
        <v>-0.25390544560499378</v>
      </c>
      <c r="AP113" s="1">
        <f t="shared" si="255"/>
        <v>-0.21763323908999468</v>
      </c>
      <c r="AQ113" s="1">
        <f t="shared" si="255"/>
        <v>-0.18136103257499553</v>
      </c>
      <c r="AR113" s="1">
        <f t="shared" si="255"/>
        <v>-0.14508882605999643</v>
      </c>
      <c r="AS113" s="1">
        <f t="shared" si="255"/>
        <v>-0.10881661954499731</v>
      </c>
      <c r="AT113" s="1">
        <f t="shared" si="255"/>
        <v>-7.2544413029998187E-2</v>
      </c>
      <c r="AU113" s="1">
        <f t="shared" si="255"/>
        <v>-3.6272206514999059E-2</v>
      </c>
      <c r="AV113" s="1">
        <f t="shared" si="255"/>
        <v>0</v>
      </c>
      <c r="AW113" s="1">
        <f t="shared" si="255"/>
        <v>3.6272206514999128E-2</v>
      </c>
      <c r="AX113" s="1">
        <f t="shared" si="255"/>
        <v>0</v>
      </c>
      <c r="AY113" s="1">
        <f t="shared" si="255"/>
        <v>0.1088166195449974</v>
      </c>
      <c r="AZ113" s="1">
        <f t="shared" si="255"/>
        <v>0.14508882605999651</v>
      </c>
      <c r="BA113" s="1">
        <f t="shared" si="255"/>
        <v>0.18136103257499561</v>
      </c>
      <c r="BB113" s="1">
        <f t="shared" si="255"/>
        <v>0.21763323908999474</v>
      </c>
      <c r="BC113" s="1">
        <f t="shared" si="255"/>
        <v>0.2539054456049939</v>
      </c>
      <c r="BD113" s="1"/>
      <c r="BE113">
        <f t="shared" ref="BE113" si="266">LN($D113)-LN($D113*(1+BA113/100))</f>
        <v>-1.8119677202754758E-3</v>
      </c>
      <c r="BF113">
        <f t="shared" si="163"/>
        <v>-2.1739676099734595E-3</v>
      </c>
      <c r="BG113">
        <f t="shared" si="163"/>
        <v>-2.5358365031724617E-3</v>
      </c>
    </row>
    <row r="114" spans="1:59" x14ac:dyDescent="0.35">
      <c r="A114" t="str">
        <f>regions!A114</f>
        <v>Micronesia</v>
      </c>
      <c r="B114" s="22">
        <f>regions!B114</f>
        <v>103619</v>
      </c>
      <c r="C114" s="22">
        <f>regions!C114</f>
        <v>246418335.62772667</v>
      </c>
      <c r="D114" s="10">
        <f>regions!D114</f>
        <v>2378.1192216459017</v>
      </c>
      <c r="E114" s="1">
        <f>regions!X114</f>
        <v>27.6</v>
      </c>
      <c r="I114" s="7">
        <f t="shared" si="243"/>
        <v>-12.803250085933186</v>
      </c>
      <c r="J114" s="1">
        <f t="shared" si="244"/>
        <v>-12.284085036187076</v>
      </c>
      <c r="K114" s="1">
        <f t="shared" si="231"/>
        <v>-7.4119068283150789</v>
      </c>
      <c r="L114" s="1">
        <f t="shared" si="244"/>
        <v>-12.515557106315171</v>
      </c>
      <c r="M114" s="1">
        <f t="shared" si="158"/>
        <v>-12.645654691400603</v>
      </c>
      <c r="N114" s="1">
        <f t="shared" ref="N114" si="267">M114+M$2</f>
        <v>-12.261211800953582</v>
      </c>
      <c r="O114" s="1">
        <f t="shared" si="160"/>
        <v>2.6356584205276152</v>
      </c>
      <c r="P114" s="1">
        <f t="shared" si="246"/>
        <v>-13.911162488982891</v>
      </c>
      <c r="Q114" s="1">
        <f t="shared" si="246"/>
        <v>-10.885816866863076</v>
      </c>
      <c r="R114" s="1">
        <f t="shared" si="246"/>
        <v>-10.844342212485195</v>
      </c>
      <c r="S114" s="1">
        <f>$M114+SUMPRODUCT(regions!BG114:BS114,regions!BG$193:BS$193)</f>
        <v>-7.2007043215280433</v>
      </c>
      <c r="T114" s="1">
        <f>$M114+SUMPRODUCT(regions!BV114:CD114,regions!BV$193:CD$193)</f>
        <v>-12.360403931882415</v>
      </c>
      <c r="U114" s="1">
        <f>$M114+SUMPRODUCT(regions!CQ114:CV114,regions!CQ$193:CV$193)</f>
        <v>-8.9251691431185201</v>
      </c>
      <c r="V114" s="1">
        <f>$M114+SUMPRODUCT(regions!CY114:DF114,regions!CY$193:DF$193)</f>
        <v>-12.507017299080802</v>
      </c>
      <c r="W114" s="1">
        <f>$M114+SUMPRODUCT(regions!DI114:DP114,regions!DI$193:DP$193)</f>
        <v>-7.0020172990808041</v>
      </c>
      <c r="X114" s="1">
        <f>$M114+SUMPRODUCT(regions!DR114:DW114,regions!DR$193:DW$193)</f>
        <v>-6.8219930981654606</v>
      </c>
      <c r="Y114" s="1">
        <f>$M114+SUMPRODUCT(regions!DZ114:EE114,regions!DZ$193:EE$193)</f>
        <v>-6.3210051651807309</v>
      </c>
      <c r="Z114" s="1">
        <f t="shared" si="173"/>
        <v>-9.1655885089559508</v>
      </c>
      <c r="AF114" s="1">
        <f t="shared" si="233"/>
        <v>0.68434530859939713</v>
      </c>
      <c r="AG114" s="1"/>
      <c r="AH114" s="1">
        <f t="shared" si="161"/>
        <v>-6.5320286192223076E-2</v>
      </c>
      <c r="AI114" s="1">
        <f t="shared" si="255"/>
        <v>-6.0965600446074859E-2</v>
      </c>
      <c r="AJ114" s="1">
        <f t="shared" si="255"/>
        <v>-5.6610914699926643E-2</v>
      </c>
      <c r="AK114" s="1">
        <f t="shared" si="255"/>
        <v>-4.7901543207630237E-2</v>
      </c>
      <c r="AL114" s="1">
        <f t="shared" si="255"/>
        <v>-4.3546857461482034E-2</v>
      </c>
      <c r="AM114" s="1">
        <f t="shared" si="255"/>
        <v>-3.9192171715333825E-2</v>
      </c>
      <c r="AN114" s="1">
        <f t="shared" si="255"/>
        <v>-3.4837485969185622E-2</v>
      </c>
      <c r="AO114" s="1">
        <f t="shared" si="255"/>
        <v>-3.0482800223037416E-2</v>
      </c>
      <c r="AP114" s="1">
        <f t="shared" si="255"/>
        <v>-2.6128114476889217E-2</v>
      </c>
      <c r="AQ114" s="1">
        <f t="shared" si="255"/>
        <v>-2.177342873074101E-2</v>
      </c>
      <c r="AR114" s="1">
        <f t="shared" si="255"/>
        <v>-1.7418742984592808E-2</v>
      </c>
      <c r="AS114" s="1">
        <f t="shared" si="255"/>
        <v>-1.3064057238444605E-2</v>
      </c>
      <c r="AT114" s="1">
        <f t="shared" si="255"/>
        <v>-8.7093714922964003E-3</v>
      </c>
      <c r="AU114" s="1">
        <f t="shared" si="255"/>
        <v>-4.3546857461481958E-3</v>
      </c>
      <c r="AV114" s="1">
        <f t="shared" si="255"/>
        <v>0</v>
      </c>
      <c r="AW114" s="1">
        <f t="shared" si="255"/>
        <v>4.3546857461482045E-3</v>
      </c>
      <c r="AX114" s="1">
        <f t="shared" si="255"/>
        <v>0</v>
      </c>
      <c r="AY114" s="1">
        <f t="shared" si="255"/>
        <v>1.3064057238444615E-2</v>
      </c>
      <c r="AZ114" s="1">
        <f t="shared" si="255"/>
        <v>1.7418742984592818E-2</v>
      </c>
      <c r="BA114" s="1">
        <f t="shared" si="255"/>
        <v>2.1773428730741021E-2</v>
      </c>
      <c r="BB114" s="1">
        <f t="shared" si="255"/>
        <v>2.6128114476889227E-2</v>
      </c>
      <c r="BC114" s="1">
        <f t="shared" si="255"/>
        <v>3.048280022303743E-2</v>
      </c>
      <c r="BD114" s="1"/>
      <c r="BE114">
        <f t="shared" ref="BE114" si="268">LN($D114)-LN($D114*(1+BA114/100))</f>
        <v>-2.1771058663766496E-4</v>
      </c>
      <c r="BF114">
        <f t="shared" si="163"/>
        <v>-2.6124701679552942E-4</v>
      </c>
      <c r="BG114">
        <f t="shared" si="163"/>
        <v>-3.0478155161439702E-4</v>
      </c>
    </row>
    <row r="115" spans="1:59" x14ac:dyDescent="0.35">
      <c r="A115" t="str">
        <f>regions!A115</f>
        <v>Moldova</v>
      </c>
      <c r="B115" s="22">
        <f>regions!B115</f>
        <v>3562062</v>
      </c>
      <c r="C115" s="22">
        <f>regions!C115</f>
        <v>3501430331.6016059</v>
      </c>
      <c r="D115" s="10">
        <f>regions!D115</f>
        <v>982.97849155955339</v>
      </c>
      <c r="E115" s="1">
        <f>regions!X115</f>
        <v>9.4</v>
      </c>
      <c r="I115" s="7">
        <f t="shared" si="243"/>
        <v>-4.2170168349249124</v>
      </c>
      <c r="J115" s="1">
        <f t="shared" si="244"/>
        <v>-3.6978517851788029</v>
      </c>
      <c r="K115" s="1">
        <f t="shared" si="231"/>
        <v>-2.03897323186774</v>
      </c>
      <c r="L115" s="1">
        <f t="shared" si="244"/>
        <v>-7.1426235098678319</v>
      </c>
      <c r="M115" s="1">
        <f t="shared" si="158"/>
        <v>-5.9679656143190076</v>
      </c>
      <c r="N115" s="1">
        <f t="shared" ref="N115" si="269">M115+M$2</f>
        <v>-5.5835227238719867</v>
      </c>
      <c r="O115" s="1">
        <f t="shared" si="160"/>
        <v>2.0112086293259979</v>
      </c>
      <c r="P115" s="1">
        <f t="shared" si="246"/>
        <v>-7.2334734119012953</v>
      </c>
      <c r="Q115" s="1">
        <f t="shared" si="246"/>
        <v>-4.2081277897814795</v>
      </c>
      <c r="R115" s="1">
        <f t="shared" si="246"/>
        <v>-4.1666531354035996</v>
      </c>
      <c r="S115" s="1">
        <f>$M115+SUMPRODUCT(regions!BG115:BS115,regions!BG$193:BS$193)</f>
        <v>-4.8147484416288968</v>
      </c>
      <c r="T115" s="1">
        <f>$M115+SUMPRODUCT(regions!BV115:CD115,regions!BV$193:CD$193)</f>
        <v>-5.7987194701665015</v>
      </c>
      <c r="U115" s="1">
        <f>$M115+SUMPRODUCT(regions!CQ115:CV115,regions!CQ$193:CV$193)</f>
        <v>-8.5508622280666629</v>
      </c>
      <c r="V115" s="1">
        <f>$M115+SUMPRODUCT(regions!CY115:DF115,regions!CY$193:DF$193)</f>
        <v>-6.0987194701665013</v>
      </c>
      <c r="W115" s="1">
        <f>$M115+SUMPRODUCT(regions!DI115:DP115,regions!DI$193:DP$193)</f>
        <v>-5.668219470166501</v>
      </c>
      <c r="X115" s="1">
        <f>$M115+SUMPRODUCT(regions!DR115:DW115,regions!DR$193:DW$193)</f>
        <v>-8.3938622280666628</v>
      </c>
      <c r="Y115" s="1">
        <f>$M115+SUMPRODUCT(regions!DZ115:EE115,regions!DZ$193:EE$193)</f>
        <v>-8.4938622280666642</v>
      </c>
      <c r="Z115" s="1">
        <f t="shared" si="173"/>
        <v>-2.487899431874355</v>
      </c>
      <c r="AF115" s="1">
        <f t="shared" si="233"/>
        <v>7.3620343856809924</v>
      </c>
      <c r="AG115" s="1"/>
      <c r="AH115" s="1">
        <f t="shared" si="161"/>
        <v>-0.70270108815953569</v>
      </c>
      <c r="AI115" s="1">
        <f t="shared" si="255"/>
        <v>-0.65585434894889982</v>
      </c>
      <c r="AJ115" s="1">
        <f t="shared" si="255"/>
        <v>-0.60900760973826407</v>
      </c>
      <c r="AK115" s="1">
        <f t="shared" si="255"/>
        <v>-0.51531413131699266</v>
      </c>
      <c r="AL115" s="1">
        <f t="shared" si="255"/>
        <v>-0.46846739210635691</v>
      </c>
      <c r="AM115" s="1">
        <f t="shared" si="255"/>
        <v>-0.4216206528957212</v>
      </c>
      <c r="AN115" s="1">
        <f t="shared" si="255"/>
        <v>-0.3747739136850855</v>
      </c>
      <c r="AO115" s="1">
        <f t="shared" si="255"/>
        <v>-0.3279271744744498</v>
      </c>
      <c r="AP115" s="1">
        <f t="shared" si="255"/>
        <v>-0.2810804352638141</v>
      </c>
      <c r="AQ115" s="1">
        <f t="shared" si="255"/>
        <v>-0.2342336960531784</v>
      </c>
      <c r="AR115" s="1">
        <f t="shared" si="255"/>
        <v>-0.18738695684254272</v>
      </c>
      <c r="AS115" s="1">
        <f t="shared" si="255"/>
        <v>-0.14054021763190705</v>
      </c>
      <c r="AT115" s="1">
        <f t="shared" si="255"/>
        <v>-9.369347842127132E-2</v>
      </c>
      <c r="AU115" s="1">
        <f t="shared" si="255"/>
        <v>-4.6846739210635618E-2</v>
      </c>
      <c r="AV115" s="1">
        <f t="shared" si="255"/>
        <v>0</v>
      </c>
      <c r="AW115" s="1">
        <f t="shared" si="255"/>
        <v>4.6846739210635709E-2</v>
      </c>
      <c r="AX115" s="1">
        <f t="shared" si="255"/>
        <v>0</v>
      </c>
      <c r="AY115" s="1">
        <f t="shared" si="255"/>
        <v>0.14054021763190713</v>
      </c>
      <c r="AZ115" s="1">
        <f t="shared" si="255"/>
        <v>0.18738695684254283</v>
      </c>
      <c r="BA115" s="1">
        <f t="shared" si="255"/>
        <v>0.23423369605317851</v>
      </c>
      <c r="BB115" s="1">
        <f t="shared" si="255"/>
        <v>0.28108043526381421</v>
      </c>
      <c r="BC115" s="1">
        <f t="shared" si="255"/>
        <v>0.32792717447444991</v>
      </c>
      <c r="BD115" s="1"/>
      <c r="BE115">
        <f t="shared" ref="BE115" si="270">LN($D115)-LN($D115*(1+BA115/100))</f>
        <v>-2.3395979655784771E-3</v>
      </c>
      <c r="BF115">
        <f t="shared" si="163"/>
        <v>-2.8068614288807581E-3</v>
      </c>
      <c r="BG115">
        <f t="shared" si="163"/>
        <v>-3.2739066590066201E-3</v>
      </c>
    </row>
    <row r="116" spans="1:59" x14ac:dyDescent="0.35">
      <c r="A116" t="str">
        <f>regions!A116</f>
        <v>Mongolia</v>
      </c>
      <c r="B116" s="22">
        <f>regions!B116</f>
        <v>2712738</v>
      </c>
      <c r="C116" s="22">
        <f>regions!C116</f>
        <v>3453733409.7557302</v>
      </c>
      <c r="D116" s="10">
        <f>regions!D116</f>
        <v>1273.1540641800757</v>
      </c>
      <c r="E116" s="1">
        <f>regions!X116</f>
        <v>-0.7</v>
      </c>
      <c r="I116" s="7">
        <f t="shared" si="243"/>
        <v>1.2859050582104568</v>
      </c>
      <c r="J116" s="1">
        <f t="shared" si="244"/>
        <v>1.8050701079565665</v>
      </c>
      <c r="K116" s="1">
        <f t="shared" si="231"/>
        <v>3.1840314417302369</v>
      </c>
      <c r="L116" s="1">
        <f t="shared" si="244"/>
        <v>-1.9196188362698554</v>
      </c>
      <c r="M116" s="1">
        <f t="shared" si="158"/>
        <v>-1.0038266625277994</v>
      </c>
      <c r="N116" s="1">
        <f t="shared" ref="N116" si="271">M116+M$2</f>
        <v>-0.61938377208077866</v>
      </c>
      <c r="O116" s="1">
        <f t="shared" si="160"/>
        <v>3.5272638194911585</v>
      </c>
      <c r="P116" s="1">
        <f t="shared" si="246"/>
        <v>-2.2693344601100875</v>
      </c>
      <c r="Q116" s="1">
        <f t="shared" si="246"/>
        <v>0.75601116200972829</v>
      </c>
      <c r="R116" s="1">
        <f t="shared" si="246"/>
        <v>0.79748581638760851</v>
      </c>
      <c r="S116" s="1">
        <f>$M116+SUMPRODUCT(regions!BG116:BS116,regions!BG$193:BS$193)</f>
        <v>7.7821118372721898</v>
      </c>
      <c r="T116" s="1">
        <f>$M116+SUMPRODUCT(regions!BV116:CD116,regions!BV$193:CD$193)</f>
        <v>-2.9796919461587894</v>
      </c>
      <c r="U116" s="1">
        <f>$M116+SUMPRODUCT(regions!CQ116:CV116,regions!CQ$193:CV$193)</f>
        <v>2.7166588857542835</v>
      </c>
      <c r="V116" s="1">
        <f>$M116+SUMPRODUCT(regions!CY116:DF116,regions!CY$193:DF$193)</f>
        <v>-3.1592094135740609</v>
      </c>
      <c r="W116" s="1">
        <f>$M116+SUMPRODUCT(regions!DI116:DP116,regions!DI$193:DP$193)</f>
        <v>1.7947905864259384</v>
      </c>
      <c r="X116" s="1">
        <f>$M116+SUMPRODUCT(regions!DR116:DW116,regions!DR$193:DW$193)</f>
        <v>4.8198349307073425</v>
      </c>
      <c r="Y116" s="1">
        <f>$M116+SUMPRODUCT(regions!DZ116:EE116,regions!DZ$193:EE$193)</f>
        <v>5.3208228636920722</v>
      </c>
      <c r="Z116" s="1">
        <f t="shared" si="173"/>
        <v>2.4762395199168532</v>
      </c>
      <c r="AF116" s="1">
        <f t="shared" si="233"/>
        <v>12.3261733374722</v>
      </c>
      <c r="AG116" s="1"/>
      <c r="AH116" s="1">
        <f t="shared" si="161"/>
        <v>-1.1765247163109476</v>
      </c>
      <c r="AI116" s="1">
        <f t="shared" si="255"/>
        <v>-1.0980897352235508</v>
      </c>
      <c r="AJ116" s="1">
        <f t="shared" si="255"/>
        <v>-1.0196547541361543</v>
      </c>
      <c r="AK116" s="1">
        <f t="shared" si="255"/>
        <v>-0.86278479196136126</v>
      </c>
      <c r="AL116" s="1">
        <f t="shared" si="255"/>
        <v>-0.78434981087396471</v>
      </c>
      <c r="AM116" s="1">
        <f t="shared" si="255"/>
        <v>-0.70591482978656817</v>
      </c>
      <c r="AN116" s="1">
        <f t="shared" si="255"/>
        <v>-0.62747984869917173</v>
      </c>
      <c r="AO116" s="1">
        <f t="shared" si="255"/>
        <v>-0.54904486761177518</v>
      </c>
      <c r="AP116" s="1">
        <f t="shared" si="255"/>
        <v>-0.4706098865243788</v>
      </c>
      <c r="AQ116" s="1">
        <f t="shared" si="255"/>
        <v>-0.39217490543698225</v>
      </c>
      <c r="AR116" s="1">
        <f t="shared" si="255"/>
        <v>-0.31373992434958581</v>
      </c>
      <c r="AS116" s="1">
        <f t="shared" si="255"/>
        <v>-0.23530494326218934</v>
      </c>
      <c r="AT116" s="1">
        <f t="shared" si="255"/>
        <v>-0.15686996217479285</v>
      </c>
      <c r="AU116" s="1">
        <f t="shared" si="255"/>
        <v>-7.8434981087396341E-2</v>
      </c>
      <c r="AV116" s="1">
        <f t="shared" si="255"/>
        <v>0</v>
      </c>
      <c r="AW116" s="1">
        <f t="shared" si="255"/>
        <v>7.8434981087396494E-2</v>
      </c>
      <c r="AX116" s="1">
        <f t="shared" si="255"/>
        <v>0</v>
      </c>
      <c r="AY116" s="1">
        <f t="shared" si="255"/>
        <v>0.23530494326218951</v>
      </c>
      <c r="AZ116" s="1">
        <f t="shared" si="255"/>
        <v>0.31373992434958597</v>
      </c>
      <c r="BA116" s="1">
        <f t="shared" si="255"/>
        <v>0.39217490543698241</v>
      </c>
      <c r="BB116" s="1">
        <f t="shared" si="255"/>
        <v>0.47060988652437896</v>
      </c>
      <c r="BC116" s="1">
        <f t="shared" si="255"/>
        <v>0.5490448676117754</v>
      </c>
      <c r="BD116" s="1"/>
      <c r="BE116">
        <f t="shared" ref="BE116" si="272">LN($D116)-LN($D116*(1+BA116/100))</f>
        <v>-3.9140790432465877E-3</v>
      </c>
      <c r="BF116">
        <f t="shared" si="163"/>
        <v>-4.6950598023780543E-3</v>
      </c>
      <c r="BG116">
        <f t="shared" si="163"/>
        <v>-5.4754311065057237E-3</v>
      </c>
    </row>
    <row r="117" spans="1:59" x14ac:dyDescent="0.35">
      <c r="A117" t="str">
        <f>regions!A117</f>
        <v>Montenegro</v>
      </c>
      <c r="B117" s="22">
        <f>regions!B117</f>
        <v>620078</v>
      </c>
      <c r="C117" s="22">
        <f>regions!C117</f>
        <v>2803866144.4280138</v>
      </c>
      <c r="D117" s="10">
        <f>regions!D117</f>
        <v>4521.7958779831151</v>
      </c>
      <c r="E117" s="1">
        <f>regions!X117</f>
        <v>9.9</v>
      </c>
      <c r="I117" s="7">
        <f t="shared" si="243"/>
        <v>-2.1622366575086991</v>
      </c>
      <c r="J117" s="1">
        <f t="shared" si="244"/>
        <v>-1.6430716077625893</v>
      </c>
      <c r="K117" s="1">
        <f t="shared" si="231"/>
        <v>4.5090071673742136</v>
      </c>
      <c r="L117" s="1">
        <f t="shared" si="244"/>
        <v>-0.59464311062587871</v>
      </c>
      <c r="M117" s="1">
        <f t="shared" si="158"/>
        <v>-3.6280693202014414</v>
      </c>
      <c r="N117" s="1">
        <f t="shared" ref="N117" si="273">M117+M$2</f>
        <v>-3.2436264297544204</v>
      </c>
      <c r="O117" s="1">
        <f t="shared" si="160"/>
        <v>2.4620460994655304</v>
      </c>
      <c r="P117" s="1">
        <f t="shared" si="246"/>
        <v>-4.8935771177837291</v>
      </c>
      <c r="Q117" s="1">
        <f t="shared" si="246"/>
        <v>-1.8682314956639134</v>
      </c>
      <c r="R117" s="1">
        <f t="shared" si="246"/>
        <v>-1.8267568412860336</v>
      </c>
      <c r="S117" s="1">
        <f>$M117+SUMPRODUCT(regions!BG117:BS117,regions!BG$193:BS$193)</f>
        <v>-2.4748521475113305</v>
      </c>
      <c r="T117" s="1">
        <f>$M117+SUMPRODUCT(regions!BV117:CD117,regions!BV$193:CD$193)</f>
        <v>-3.4588231760489347</v>
      </c>
      <c r="U117" s="1">
        <f>$M117+SUMPRODUCT(regions!CQ117:CV117,regions!CQ$193:CV$193)</f>
        <v>9.2416228080641538E-2</v>
      </c>
      <c r="V117" s="1">
        <f>$M117+SUMPRODUCT(regions!CY117:DF117,regions!CY$193:DF$193)</f>
        <v>-3.758823176048935</v>
      </c>
      <c r="W117" s="1">
        <f>$M117+SUMPRODUCT(regions!DI117:DP117,regions!DI$193:DP$193)</f>
        <v>-3.3283231760489347</v>
      </c>
      <c r="X117" s="1">
        <f>$M117+SUMPRODUCT(regions!DR117:DW117,regions!DR$193:DW$193)</f>
        <v>2.195592273033701</v>
      </c>
      <c r="Y117" s="1">
        <f>$M117+SUMPRODUCT(regions!DZ117:EE117,regions!DZ$193:EE$193)</f>
        <v>2.6965802060184307</v>
      </c>
      <c r="Z117" s="1">
        <f t="shared" si="173"/>
        <v>-0.14800313775678875</v>
      </c>
      <c r="AF117" s="1">
        <f t="shared" si="233"/>
        <v>9.7019306797985578</v>
      </c>
      <c r="AG117" s="1"/>
      <c r="AH117" s="1">
        <f t="shared" si="161"/>
        <v>-0.92604257040728322</v>
      </c>
      <c r="AI117" s="1">
        <f t="shared" si="255"/>
        <v>-0.86430639904679751</v>
      </c>
      <c r="AJ117" s="1">
        <f t="shared" si="255"/>
        <v>-0.80257022768631181</v>
      </c>
      <c r="AK117" s="1">
        <f t="shared" si="255"/>
        <v>-0.67909788496534074</v>
      </c>
      <c r="AL117" s="1">
        <f t="shared" si="255"/>
        <v>-0.61736171360485526</v>
      </c>
      <c r="AM117" s="1">
        <f t="shared" si="255"/>
        <v>-0.55562554224436966</v>
      </c>
      <c r="AN117" s="1">
        <f t="shared" si="255"/>
        <v>-0.49388937088388413</v>
      </c>
      <c r="AO117" s="1">
        <f t="shared" si="255"/>
        <v>-0.43215319952339853</v>
      </c>
      <c r="AP117" s="1">
        <f t="shared" si="255"/>
        <v>-0.37041702816291305</v>
      </c>
      <c r="AQ117" s="1">
        <f t="shared" si="255"/>
        <v>-0.30868085680242752</v>
      </c>
      <c r="AR117" s="1">
        <f t="shared" si="255"/>
        <v>-0.24694468544194201</v>
      </c>
      <c r="AS117" s="1">
        <f t="shared" si="255"/>
        <v>-0.1852085140814565</v>
      </c>
      <c r="AT117" s="1">
        <f t="shared" si="255"/>
        <v>-0.12347234272097096</v>
      </c>
      <c r="AU117" s="1">
        <f t="shared" si="255"/>
        <v>-6.1736171360485419E-2</v>
      </c>
      <c r="AV117" s="1">
        <f t="shared" si="255"/>
        <v>0</v>
      </c>
      <c r="AW117" s="1">
        <f t="shared" si="255"/>
        <v>6.1736171360485537E-2</v>
      </c>
      <c r="AX117" s="1">
        <f t="shared" si="255"/>
        <v>0</v>
      </c>
      <c r="AY117" s="1">
        <f t="shared" si="255"/>
        <v>0.18520851408145664</v>
      </c>
      <c r="AZ117" s="1">
        <f t="shared" si="255"/>
        <v>0.24694468544194215</v>
      </c>
      <c r="BA117" s="1">
        <f t="shared" si="255"/>
        <v>0.30868085680242768</v>
      </c>
      <c r="BB117" s="1">
        <f t="shared" si="255"/>
        <v>0.37041702816291322</v>
      </c>
      <c r="BC117" s="1">
        <f t="shared" si="255"/>
        <v>0.43215319952339876</v>
      </c>
      <c r="BD117" s="1"/>
      <c r="BE117">
        <f t="shared" ref="BE117" si="274">LN($D117)-LN($D117*(1+BA117/100))</f>
        <v>-3.0820541559180015E-3</v>
      </c>
      <c r="BF117">
        <f t="shared" si="163"/>
        <v>-3.697326737453821E-3</v>
      </c>
      <c r="BG117">
        <f t="shared" si="163"/>
        <v>-4.3122209914034926E-3</v>
      </c>
    </row>
    <row r="118" spans="1:59" x14ac:dyDescent="0.35">
      <c r="A118" t="str">
        <f>regions!A118</f>
        <v>Morocco</v>
      </c>
      <c r="B118" s="22">
        <f>regions!B118</f>
        <v>31642360</v>
      </c>
      <c r="C118" s="22">
        <f>regions!C118</f>
        <v>75523499823.662308</v>
      </c>
      <c r="D118" s="10">
        <f>regions!D118</f>
        <v>2386.7846716762692</v>
      </c>
      <c r="E118" s="1">
        <f>regions!X118</f>
        <v>17.100000000000001</v>
      </c>
      <c r="I118" s="7">
        <f t="shared" si="243"/>
        <v>-7.2896160532785537</v>
      </c>
      <c r="J118" s="1">
        <f t="shared" si="244"/>
        <v>-6.7704510035324441</v>
      </c>
      <c r="K118" s="1">
        <f t="shared" si="231"/>
        <v>-2.6196669344416614</v>
      </c>
      <c r="L118" s="1">
        <f t="shared" si="244"/>
        <v>-7.7233172124417537</v>
      </c>
      <c r="M118" s="1">
        <f t="shared" si="158"/>
        <v>-7.9306294278063234</v>
      </c>
      <c r="N118" s="1">
        <f t="shared" ref="N118" si="275">M118+M$2</f>
        <v>-7.5461865373593024</v>
      </c>
      <c r="O118" s="1">
        <f t="shared" si="160"/>
        <v>2.3961021317285933</v>
      </c>
      <c r="P118" s="1">
        <f t="shared" si="246"/>
        <v>-9.1961372253886111</v>
      </c>
      <c r="Q118" s="1">
        <f t="shared" si="246"/>
        <v>-6.1707916032687953</v>
      </c>
      <c r="R118" s="1">
        <f t="shared" si="246"/>
        <v>-6.1293169488909154</v>
      </c>
      <c r="S118" s="1">
        <f>$M118+SUMPRODUCT(regions!BG118:BS118,regions!BG$193:BS$193)</f>
        <v>-2.4856790579337638</v>
      </c>
      <c r="T118" s="1">
        <f>$M118+SUMPRODUCT(regions!BV118:CD118,regions!BV$193:CD$193)</f>
        <v>-6.2853121081906398</v>
      </c>
      <c r="U118" s="1">
        <f>$M118+SUMPRODUCT(regions!CQ118:CV118,regions!CQ$193:CV$193)</f>
        <v>-4.2101438795242405</v>
      </c>
      <c r="V118" s="1">
        <f>$M118+SUMPRODUCT(regions!CY118:DF118,regions!CY$193:DF$193)</f>
        <v>-5.8290519069806219</v>
      </c>
      <c r="W118" s="1">
        <f>$M118+SUMPRODUCT(regions!DI118:DP118,regions!DI$193:DP$193)</f>
        <v>-2.229951906980622</v>
      </c>
      <c r="X118" s="1">
        <f>$M118+SUMPRODUCT(regions!DR118:DW118,regions!DR$193:DW$193)</f>
        <v>-2.1069678345711811</v>
      </c>
      <c r="Y118" s="1">
        <f>$M118+SUMPRODUCT(regions!DZ118:EE118,regions!DZ$193:EE$193)</f>
        <v>-1.6059799015864513</v>
      </c>
      <c r="Z118" s="1">
        <f t="shared" si="173"/>
        <v>-6</v>
      </c>
      <c r="AA118" t="str">
        <f>Maddison!A53</f>
        <v>Morocco</v>
      </c>
      <c r="AB118">
        <f>-Maddison!B53</f>
        <v>-6</v>
      </c>
      <c r="AC118" s="1">
        <f>N118-AB118</f>
        <v>-1.5461865373593024</v>
      </c>
      <c r="AF118" s="1">
        <f t="shared" si="233"/>
        <v>5.3993705721936767</v>
      </c>
      <c r="AG118" s="1"/>
      <c r="AH118" s="1">
        <f t="shared" si="161"/>
        <v>-0.51536618517248489</v>
      </c>
      <c r="AI118" s="1">
        <f t="shared" si="255"/>
        <v>-0.48100843949431915</v>
      </c>
      <c r="AJ118" s="1">
        <f t="shared" si="255"/>
        <v>-0.44665069381615341</v>
      </c>
      <c r="AK118" s="1">
        <f t="shared" si="255"/>
        <v>-0.37793520245982209</v>
      </c>
      <c r="AL118" s="1">
        <f t="shared" si="255"/>
        <v>-0.34357745678165647</v>
      </c>
      <c r="AM118" s="1">
        <f t="shared" si="255"/>
        <v>-0.30921971110349078</v>
      </c>
      <c r="AN118" s="1">
        <f t="shared" si="255"/>
        <v>-0.27486196542532515</v>
      </c>
      <c r="AO118" s="1">
        <f t="shared" si="255"/>
        <v>-0.24050421974715946</v>
      </c>
      <c r="AP118" s="1">
        <f t="shared" si="255"/>
        <v>-0.20614647406899383</v>
      </c>
      <c r="AQ118" s="1">
        <f t="shared" si="255"/>
        <v>-0.17178872839082818</v>
      </c>
      <c r="AR118" s="1">
        <f t="shared" si="255"/>
        <v>-0.13743098271266255</v>
      </c>
      <c r="AS118" s="1">
        <f t="shared" si="255"/>
        <v>-0.1030732370344969</v>
      </c>
      <c r="AT118" s="1">
        <f t="shared" si="255"/>
        <v>-6.8715491356331246E-2</v>
      </c>
      <c r="AU118" s="1">
        <f t="shared" si="255"/>
        <v>-3.4357745678165588E-2</v>
      </c>
      <c r="AV118" s="1">
        <f t="shared" si="255"/>
        <v>0</v>
      </c>
      <c r="AW118" s="1">
        <f t="shared" si="255"/>
        <v>3.4357745678165658E-2</v>
      </c>
      <c r="AX118" s="1">
        <f t="shared" si="255"/>
        <v>0</v>
      </c>
      <c r="AY118" s="1">
        <f t="shared" si="255"/>
        <v>0.10307323703449697</v>
      </c>
      <c r="AZ118" s="1">
        <f t="shared" si="255"/>
        <v>0.13743098271266263</v>
      </c>
      <c r="BA118" s="1">
        <f t="shared" si="255"/>
        <v>0.17178872839082826</v>
      </c>
      <c r="BB118" s="1">
        <f t="shared" si="255"/>
        <v>0.20614647406899392</v>
      </c>
      <c r="BC118" s="1">
        <f t="shared" si="255"/>
        <v>0.24050421974715958</v>
      </c>
      <c r="BD118" s="1"/>
      <c r="BE118">
        <f t="shared" ref="BE118" si="276">LN($D118)-LN($D118*(1+BA118/100))</f>
        <v>-1.7164134032805478E-3</v>
      </c>
      <c r="BF118">
        <f t="shared" si="163"/>
        <v>-2.0593428379029888E-3</v>
      </c>
      <c r="BG118">
        <f t="shared" si="163"/>
        <v>-2.4021547122421438E-3</v>
      </c>
    </row>
    <row r="119" spans="1:59" x14ac:dyDescent="0.35">
      <c r="A119" t="str">
        <f>regions!A119</f>
        <v>Mozambique</v>
      </c>
      <c r="B119" s="22">
        <f>regions!B119</f>
        <v>23967265</v>
      </c>
      <c r="C119" s="22">
        <f>regions!C119</f>
        <v>9127794918.9110737</v>
      </c>
      <c r="D119" s="10">
        <f>regions!D119</f>
        <v>380.84424396822391</v>
      </c>
      <c r="E119" s="1">
        <f>regions!X119</f>
        <v>23.8</v>
      </c>
      <c r="I119" s="7">
        <f t="shared" si="243"/>
        <v>-12.204292704397984</v>
      </c>
      <c r="J119" s="1">
        <f t="shared" si="244"/>
        <v>-11.685127654651874</v>
      </c>
      <c r="K119" s="1">
        <f t="shared" si="231"/>
        <v>-9.9384650782602186</v>
      </c>
      <c r="L119" s="1">
        <f t="shared" si="244"/>
        <v>-15.042115356260311</v>
      </c>
      <c r="M119" s="1">
        <f t="shared" si="158"/>
        <v>-14.019074486458798</v>
      </c>
      <c r="N119" s="1">
        <f t="shared" ref="N119" si="277">M119+M$2</f>
        <v>-13.634631596011777</v>
      </c>
      <c r="O119" s="1">
        <f t="shared" si="160"/>
        <v>2.9171998047435075</v>
      </c>
      <c r="P119" s="1">
        <f t="shared" si="246"/>
        <v>-15.284582284041086</v>
      </c>
      <c r="Q119" s="1">
        <f t="shared" si="246"/>
        <v>-12.259236661921271</v>
      </c>
      <c r="R119" s="1">
        <f t="shared" si="246"/>
        <v>-12.21776200754339</v>
      </c>
      <c r="S119" s="1">
        <f>$M119+SUMPRODUCT(regions!BG119:BS119,regions!BG$193:BS$193)</f>
        <v>-4.7639461800308496</v>
      </c>
      <c r="T119" s="1">
        <f>$M119+SUMPRODUCT(regions!BV119:CD119,regions!BV$193:CD$193)</f>
        <v>-12.373757166843115</v>
      </c>
      <c r="U119" s="1">
        <f>$M119+SUMPRODUCT(regions!CQ119:CV119,regions!CQ$193:CV$193)</f>
        <v>-10.298588938176716</v>
      </c>
      <c r="V119" s="1">
        <f>$M119+SUMPRODUCT(regions!CY119:DF119,regions!CY$193:DF$193)</f>
        <v>-11.917496965633097</v>
      </c>
      <c r="W119" s="1">
        <f>$M119+SUMPRODUCT(regions!DI119:DP119,regions!DI$193:DP$193)</f>
        <v>-8.3183969656330969</v>
      </c>
      <c r="X119" s="1">
        <f>$M119+SUMPRODUCT(regions!DR119:DW119,regions!DR$193:DW$193)</f>
        <v>-8.1954128932236561</v>
      </c>
      <c r="Y119" s="1">
        <f>$M119+SUMPRODUCT(regions!DZ119:EE119,regions!DZ$193:EE$193)</f>
        <v>-7.6944249602389263</v>
      </c>
      <c r="Z119" s="1">
        <f t="shared" si="173"/>
        <v>-10.539008304014146</v>
      </c>
      <c r="AF119" s="1">
        <f t="shared" si="233"/>
        <v>-0.68907448645879832</v>
      </c>
      <c r="AG119" s="1"/>
      <c r="AH119" s="1">
        <f t="shared" si="161"/>
        <v>6.5771682946680607E-2</v>
      </c>
      <c r="AI119" s="1">
        <f t="shared" si="255"/>
        <v>6.1386904083568561E-2</v>
      </c>
      <c r="AJ119" s="1">
        <f t="shared" si="255"/>
        <v>5.7002125220456515E-2</v>
      </c>
      <c r="AK119" s="1">
        <f t="shared" si="255"/>
        <v>4.823256749423243E-2</v>
      </c>
      <c r="AL119" s="1">
        <f t="shared" si="255"/>
        <v>4.3847788631120391E-2</v>
      </c>
      <c r="AM119" s="1">
        <f t="shared" si="255"/>
        <v>3.9463009768008352E-2</v>
      </c>
      <c r="AN119" s="1">
        <f t="shared" si="255"/>
        <v>3.5078230904896306E-2</v>
      </c>
      <c r="AO119" s="1">
        <f t="shared" si="255"/>
        <v>3.0693452041784267E-2</v>
      </c>
      <c r="AP119" s="1">
        <f t="shared" si="255"/>
        <v>2.6308673178672231E-2</v>
      </c>
      <c r="AQ119" s="1">
        <f t="shared" si="255"/>
        <v>2.1923894315560192E-2</v>
      </c>
      <c r="AR119" s="1">
        <f t="shared" si="255"/>
        <v>1.7539115452448153E-2</v>
      </c>
      <c r="AS119" s="1">
        <f t="shared" si="255"/>
        <v>1.3154336589336114E-2</v>
      </c>
      <c r="AT119" s="1">
        <f t="shared" si="255"/>
        <v>8.7695577262240729E-3</v>
      </c>
      <c r="AU119" s="1">
        <f t="shared" si="255"/>
        <v>4.3847788631120321E-3</v>
      </c>
      <c r="AV119" s="1">
        <f t="shared" si="255"/>
        <v>0</v>
      </c>
      <c r="AW119" s="1">
        <f t="shared" si="255"/>
        <v>-4.3847788631120399E-3</v>
      </c>
      <c r="AX119" s="1">
        <f t="shared" si="255"/>
        <v>0</v>
      </c>
      <c r="AY119" s="1">
        <f t="shared" si="255"/>
        <v>-1.3154336589336122E-2</v>
      </c>
      <c r="AZ119" s="1">
        <f t="shared" si="255"/>
        <v>-1.753911545244816E-2</v>
      </c>
      <c r="BA119" s="1">
        <f t="shared" si="255"/>
        <v>-2.1923894315560199E-2</v>
      </c>
      <c r="BB119" s="1">
        <f t="shared" si="255"/>
        <v>-2.6308673178672241E-2</v>
      </c>
      <c r="BC119" s="1">
        <f t="shared" si="255"/>
        <v>-3.069345204178428E-2</v>
      </c>
      <c r="BD119" s="1"/>
      <c r="BE119">
        <f t="shared" ref="BE119" si="278">LN($D119)-LN($D119*(1+BA119/100))</f>
        <v>2.1926297952568063E-4</v>
      </c>
      <c r="BF119">
        <f t="shared" si="163"/>
        <v>2.6312134517247898E-4</v>
      </c>
      <c r="BG119">
        <f t="shared" si="163"/>
        <v>3.0698163445830318E-4</v>
      </c>
    </row>
    <row r="120" spans="1:59" x14ac:dyDescent="0.35">
      <c r="A120" t="str">
        <f>regions!A120</f>
        <v>Namibia</v>
      </c>
      <c r="B120" s="22">
        <f>regions!B120</f>
        <v>2178967</v>
      </c>
      <c r="C120" s="22">
        <f>regions!C120</f>
        <v>8936748666.272974</v>
      </c>
      <c r="D120" s="10">
        <f>regions!D120</f>
        <v>4101.3694407822486</v>
      </c>
      <c r="E120" s="1">
        <f>regions!X120</f>
        <v>19.899999999999999</v>
      </c>
      <c r="I120" s="7">
        <f t="shared" si="243"/>
        <v>-7.6623814266684676</v>
      </c>
      <c r="J120" s="1">
        <f t="shared" si="244"/>
        <v>-7.143216376922358</v>
      </c>
      <c r="K120" s="1">
        <f t="shared" si="231"/>
        <v>-0.74327988674279943</v>
      </c>
      <c r="L120" s="1">
        <f t="shared" si="244"/>
        <v>-5.8469301647428917</v>
      </c>
      <c r="M120" s="1">
        <f t="shared" si="158"/>
        <v>-8.2767181664543088</v>
      </c>
      <c r="N120" s="1">
        <f t="shared" ref="N120" si="279">M120+M$2</f>
        <v>-7.8922752760072878</v>
      </c>
      <c r="O120" s="1">
        <f t="shared" si="160"/>
        <v>2.360546084253345</v>
      </c>
      <c r="P120" s="1">
        <f t="shared" si="246"/>
        <v>-9.5422259640365965</v>
      </c>
      <c r="Q120" s="1">
        <f t="shared" si="246"/>
        <v>-6.5168803419167816</v>
      </c>
      <c r="R120" s="1">
        <f t="shared" si="246"/>
        <v>-6.4754056875389008</v>
      </c>
      <c r="S120" s="1">
        <f>$M120+SUMPRODUCT(regions!BG120:BS120,regions!BG$193:BS$193)</f>
        <v>-2.8317677965817492</v>
      </c>
      <c r="T120" s="1">
        <f>$M120+SUMPRODUCT(regions!BV120:CD120,regions!BV$193:CD$193)</f>
        <v>-6.6314008468386252</v>
      </c>
      <c r="U120" s="1">
        <f>$M120+SUMPRODUCT(regions!CQ120:CV120,regions!CQ$193:CV$193)</f>
        <v>-4.5562326181722259</v>
      </c>
      <c r="V120" s="1">
        <f>$M120+SUMPRODUCT(regions!CY120:DF120,regions!CY$193:DF$193)</f>
        <v>-6.1751406456286073</v>
      </c>
      <c r="W120" s="1">
        <f>$M120+SUMPRODUCT(regions!DI120:DP120,regions!DI$193:DP$193)</f>
        <v>-2.5760406456286074</v>
      </c>
      <c r="X120" s="1">
        <f>$M120+SUMPRODUCT(regions!DR120:DW120,regions!DR$193:DW$193)</f>
        <v>-2.4530565732191665</v>
      </c>
      <c r="Y120" s="1">
        <f>$M120+SUMPRODUCT(regions!DZ120:EE120,regions!DZ$193:EE$193)</f>
        <v>-1.9520686402344367</v>
      </c>
      <c r="Z120" s="1">
        <f t="shared" si="173"/>
        <v>-4.7966519840096566</v>
      </c>
      <c r="AF120" s="1">
        <f t="shared" si="233"/>
        <v>5.0532818335456913</v>
      </c>
      <c r="AG120" s="1"/>
      <c r="AH120" s="1">
        <f t="shared" si="161"/>
        <v>-0.48233225453495437</v>
      </c>
      <c r="AI120" s="1">
        <f t="shared" si="255"/>
        <v>-0.4501767708992907</v>
      </c>
      <c r="AJ120" s="1">
        <f t="shared" si="255"/>
        <v>-0.41802128726362697</v>
      </c>
      <c r="AK120" s="1">
        <f t="shared" si="255"/>
        <v>-0.35371031999229974</v>
      </c>
      <c r="AL120" s="1">
        <f t="shared" si="255"/>
        <v>-0.32155483635663612</v>
      </c>
      <c r="AM120" s="1">
        <f t="shared" si="255"/>
        <v>-0.2893993527209725</v>
      </c>
      <c r="AN120" s="1">
        <f t="shared" ref="AI120:BC131" si="280">$AF120*AN$2</f>
        <v>-0.25724386908530888</v>
      </c>
      <c r="AO120" s="1">
        <f t="shared" si="280"/>
        <v>-0.22508838544964524</v>
      </c>
      <c r="AP120" s="1">
        <f t="shared" si="280"/>
        <v>-0.19293290181398165</v>
      </c>
      <c r="AQ120" s="1">
        <f t="shared" si="280"/>
        <v>-0.16077741817831803</v>
      </c>
      <c r="AR120" s="1">
        <f t="shared" si="280"/>
        <v>-0.12862193454265441</v>
      </c>
      <c r="AS120" s="1">
        <f t="shared" si="280"/>
        <v>-9.6466450906990811E-2</v>
      </c>
      <c r="AT120" s="1">
        <f t="shared" si="280"/>
        <v>-6.431096727132718E-2</v>
      </c>
      <c r="AU120" s="1">
        <f t="shared" si="280"/>
        <v>-3.2155483635663562E-2</v>
      </c>
      <c r="AV120" s="1">
        <f t="shared" si="280"/>
        <v>0</v>
      </c>
      <c r="AW120" s="1">
        <f t="shared" si="280"/>
        <v>3.2155483635663618E-2</v>
      </c>
      <c r="AX120" s="1">
        <f t="shared" si="280"/>
        <v>0</v>
      </c>
      <c r="AY120" s="1">
        <f t="shared" si="280"/>
        <v>9.646645090699088E-2</v>
      </c>
      <c r="AZ120" s="1">
        <f t="shared" si="280"/>
        <v>0.12862193454265447</v>
      </c>
      <c r="BA120" s="1">
        <f t="shared" si="280"/>
        <v>0.16077741817831809</v>
      </c>
      <c r="BB120" s="1">
        <f t="shared" si="280"/>
        <v>0.19293290181398171</v>
      </c>
      <c r="BC120" s="1">
        <f t="shared" si="280"/>
        <v>0.22508838544964535</v>
      </c>
      <c r="BD120" s="1"/>
      <c r="BE120">
        <f t="shared" ref="BE120" si="281">LN($D120)-LN($D120*(1+BA120/100))</f>
        <v>-1.6064830965376586E-3</v>
      </c>
      <c r="BF120">
        <f t="shared" si="163"/>
        <v>-1.9274702533049748E-3</v>
      </c>
      <c r="BG120">
        <f t="shared" si="163"/>
        <v>-2.2483544103781838E-3</v>
      </c>
    </row>
    <row r="121" spans="1:59" x14ac:dyDescent="0.35">
      <c r="A121" t="str">
        <f>regions!A121</f>
        <v>Nepal</v>
      </c>
      <c r="B121" s="22">
        <f>regions!B121</f>
        <v>26846016</v>
      </c>
      <c r="C121" s="22">
        <f>regions!C121</f>
        <v>10103288981.142262</v>
      </c>
      <c r="D121" s="10">
        <f>regions!D121</f>
        <v>376.34220962776232</v>
      </c>
      <c r="E121" s="1">
        <f>regions!X121</f>
        <v>8.1</v>
      </c>
      <c r="I121" s="7">
        <f t="shared" si="243"/>
        <v>-3.9720174918505702</v>
      </c>
      <c r="J121" s="1">
        <f t="shared" si="244"/>
        <v>-3.4528524421044606</v>
      </c>
      <c r="K121" s="1">
        <f t="shared" si="231"/>
        <v>-2.808774358811041</v>
      </c>
      <c r="L121" s="1">
        <f t="shared" si="244"/>
        <v>-7.9124246368111333</v>
      </c>
      <c r="M121" s="1">
        <f t="shared" si="158"/>
        <v>-6.9981073079869081</v>
      </c>
      <c r="N121" s="1">
        <f t="shared" ref="N121" si="282">M121+M$2</f>
        <v>-6.6136644175398871</v>
      </c>
      <c r="O121" s="1">
        <f t="shared" si="160"/>
        <v>3.1479575163122773</v>
      </c>
      <c r="P121" s="1">
        <f t="shared" si="246"/>
        <v>-8.2636151055691958</v>
      </c>
      <c r="Q121" s="1">
        <f t="shared" si="246"/>
        <v>-5.2382694834493799</v>
      </c>
      <c r="R121" s="1">
        <f t="shared" si="246"/>
        <v>-5.1967948290715</v>
      </c>
      <c r="S121" s="1">
        <f>$M121+SUMPRODUCT(regions!BG121:BS121,regions!BG$193:BS$193)</f>
        <v>1.7878311918130816</v>
      </c>
      <c r="T121" s="1">
        <f>$M121+SUMPRODUCT(regions!BV121:CD121,regions!BV$193:CD$193)</f>
        <v>-6.7128565484687197</v>
      </c>
      <c r="U121" s="1">
        <f>$M121+SUMPRODUCT(regions!CQ121:CV121,regions!CQ$193:CV$193)</f>
        <v>-3.2776217597048252</v>
      </c>
      <c r="V121" s="1">
        <f>$M121+SUMPRODUCT(regions!CY121:DF121,regions!CY$193:DF$193)</f>
        <v>-6.8594699156671073</v>
      </c>
      <c r="W121" s="1">
        <f>$M121+SUMPRODUCT(regions!DI121:DP121,regions!DI$193:DP$193)</f>
        <v>-1.3544699156671092</v>
      </c>
      <c r="X121" s="1">
        <f>$M121+SUMPRODUCT(regions!DR121:DW121,regions!DR$193:DW$193)</f>
        <v>-1.1744457147517657</v>
      </c>
      <c r="Y121" s="1">
        <f>$M121+SUMPRODUCT(regions!DZ121:EE121,regions!DZ$193:EE$193)</f>
        <v>-0.67345778176703597</v>
      </c>
      <c r="Z121" s="1">
        <f t="shared" si="173"/>
        <v>-1.8</v>
      </c>
      <c r="AA121" t="str">
        <f>Maddison!A54</f>
        <v>Nepal</v>
      </c>
      <c r="AB121">
        <f>-Maddison!B54</f>
        <v>-1.8</v>
      </c>
      <c r="AC121" s="1">
        <f>N121-AB121</f>
        <v>-4.8136644175398873</v>
      </c>
      <c r="AF121" s="1">
        <f t="shared" si="233"/>
        <v>6.331892692013092</v>
      </c>
      <c r="AG121" s="1"/>
      <c r="AH121" s="1">
        <f t="shared" si="161"/>
        <v>-0.60437477627665781</v>
      </c>
      <c r="AI121" s="1">
        <f t="shared" si="280"/>
        <v>-0.56408312452488052</v>
      </c>
      <c r="AJ121" s="1">
        <f t="shared" si="280"/>
        <v>-0.52379147277310323</v>
      </c>
      <c r="AK121" s="1">
        <f t="shared" si="280"/>
        <v>-0.44320816926954887</v>
      </c>
      <c r="AL121" s="1">
        <f t="shared" si="280"/>
        <v>-0.40291651751777169</v>
      </c>
      <c r="AM121" s="1">
        <f t="shared" si="280"/>
        <v>-0.36262486576599451</v>
      </c>
      <c r="AN121" s="1">
        <f t="shared" si="280"/>
        <v>-0.32233321401421733</v>
      </c>
      <c r="AO121" s="1">
        <f t="shared" si="280"/>
        <v>-0.28204156226244015</v>
      </c>
      <c r="AP121" s="1">
        <f t="shared" si="280"/>
        <v>-0.24174991051066297</v>
      </c>
      <c r="AQ121" s="1">
        <f t="shared" si="280"/>
        <v>-0.20145825875888579</v>
      </c>
      <c r="AR121" s="1">
        <f t="shared" si="280"/>
        <v>-0.16116660700710864</v>
      </c>
      <c r="AS121" s="1">
        <f t="shared" si="280"/>
        <v>-0.12087495525533147</v>
      </c>
      <c r="AT121" s="1">
        <f t="shared" si="280"/>
        <v>-8.0583303503554277E-2</v>
      </c>
      <c r="AU121" s="1">
        <f t="shared" si="280"/>
        <v>-4.0291651751777104E-2</v>
      </c>
      <c r="AV121" s="1">
        <f t="shared" si="280"/>
        <v>0</v>
      </c>
      <c r="AW121" s="1">
        <f t="shared" si="280"/>
        <v>4.029165175177718E-2</v>
      </c>
      <c r="AX121" s="1">
        <f t="shared" si="280"/>
        <v>0</v>
      </c>
      <c r="AY121" s="1">
        <f t="shared" si="280"/>
        <v>0.12087495525533155</v>
      </c>
      <c r="AZ121" s="1">
        <f t="shared" si="280"/>
        <v>0.16116660700710872</v>
      </c>
      <c r="BA121" s="1">
        <f t="shared" si="280"/>
        <v>0.20145825875888587</v>
      </c>
      <c r="BB121" s="1">
        <f t="shared" si="280"/>
        <v>0.24174991051066308</v>
      </c>
      <c r="BC121" s="1">
        <f t="shared" si="280"/>
        <v>0.28204156226244026</v>
      </c>
      <c r="BD121" s="1"/>
      <c r="BE121">
        <f t="shared" ref="BE121" si="283">LN($D121)-LN($D121*(1+BA121/100))</f>
        <v>-2.0125560373998042E-3</v>
      </c>
      <c r="BF121">
        <f t="shared" si="163"/>
        <v>-2.4145816551541799E-3</v>
      </c>
      <c r="BG121">
        <f t="shared" si="163"/>
        <v>-2.8164457132602294E-3</v>
      </c>
    </row>
    <row r="122" spans="1:59" x14ac:dyDescent="0.35">
      <c r="A122" t="str">
        <f>regions!A122</f>
        <v>Netherlands</v>
      </c>
      <c r="B122" s="22">
        <f>regions!B122</f>
        <v>16615394</v>
      </c>
      <c r="C122" s="22">
        <f>regions!C122</f>
        <v>683063473113.4657</v>
      </c>
      <c r="D122" s="10">
        <f>regions!D122</f>
        <v>41110.27840287541</v>
      </c>
      <c r="E122" s="1">
        <f>regions!X122</f>
        <v>9.1999999999999993</v>
      </c>
      <c r="I122" s="7">
        <f t="shared" si="243"/>
        <v>-1.0326818448166293</v>
      </c>
      <c r="J122" s="1">
        <f t="shared" si="244"/>
        <v>-0.51351679507051951</v>
      </c>
      <c r="K122" s="1">
        <f t="shared" si="231"/>
        <v>2.4652856214377721</v>
      </c>
      <c r="L122" s="1">
        <f t="shared" si="244"/>
        <v>-2.6383646565623202</v>
      </c>
      <c r="M122" s="1">
        <f t="shared" si="158"/>
        <v>0.39466804220820784</v>
      </c>
      <c r="N122" s="1">
        <f t="shared" ref="N122" si="284">M122+M$2</f>
        <v>0.77911093265522857</v>
      </c>
      <c r="O122" s="1">
        <f t="shared" si="160"/>
        <v>1.7705067439704976</v>
      </c>
      <c r="P122" s="1">
        <f t="shared" si="246"/>
        <v>-0.87083975537408009</v>
      </c>
      <c r="Q122" s="1">
        <f t="shared" si="246"/>
        <v>2.1545058667457355</v>
      </c>
      <c r="R122" s="1">
        <f t="shared" si="246"/>
        <v>2.1959805211236159</v>
      </c>
      <c r="S122" s="1">
        <f>$M122+SUMPRODUCT(regions!BG122:BS122,regions!BG$193:BS$193)</f>
        <v>-2.4363871978684051</v>
      </c>
      <c r="T122" s="1">
        <f>$M122+SUMPRODUCT(regions!BV122:CD122,regions!BV$193:CD$193)</f>
        <v>-0.8365209058593146</v>
      </c>
      <c r="U122" s="1">
        <f>$M122+SUMPRODUCT(regions!CQ122:CV122,regions!CQ$193:CV$193)</f>
        <v>-0.58624472360915658</v>
      </c>
      <c r="V122" s="1">
        <f>$M122+SUMPRODUCT(regions!CY122:DF122,regions!CY$193:DF$193)</f>
        <v>-0.70952693510117348</v>
      </c>
      <c r="W122" s="1">
        <f>$M122+SUMPRODUCT(regions!DI122:DP122,regions!DI$193:DP$193)</f>
        <v>-0.63952693510117364</v>
      </c>
      <c r="X122" s="1">
        <f>$M122+SUMPRODUCT(regions!DR122:DW122,regions!DR$193:DW$193)</f>
        <v>-0.80952693510117357</v>
      </c>
      <c r="Y122" s="1">
        <f>$M122+SUMPRODUCT(regions!DZ122:EE122,regions!DZ$193:EE$193)</f>
        <v>-1.0095269351011738</v>
      </c>
      <c r="Z122" s="1">
        <f t="shared" si="173"/>
        <v>3.4</v>
      </c>
      <c r="AA122" t="str">
        <f>Maddison!A55</f>
        <v>Netherlands</v>
      </c>
      <c r="AB122">
        <f>-Maddison!B55</f>
        <v>3.4</v>
      </c>
      <c r="AC122" s="1">
        <f>N122-AB122</f>
        <v>-2.6208890673447716</v>
      </c>
      <c r="AF122" s="1">
        <f t="shared" si="233"/>
        <v>13.724668042208208</v>
      </c>
      <c r="AG122" s="1"/>
      <c r="AH122" s="1">
        <f t="shared" si="161"/>
        <v>-1.3100100682287164</v>
      </c>
      <c r="AI122" s="1">
        <f t="shared" si="280"/>
        <v>-1.222676063680135</v>
      </c>
      <c r="AJ122" s="1">
        <f t="shared" si="280"/>
        <v>-1.1353420591315537</v>
      </c>
      <c r="AK122" s="1">
        <f t="shared" si="280"/>
        <v>-0.96067405003439155</v>
      </c>
      <c r="AL122" s="1">
        <f t="shared" si="280"/>
        <v>-0.87334004548581046</v>
      </c>
      <c r="AM122" s="1">
        <f t="shared" si="280"/>
        <v>-0.78600604093722937</v>
      </c>
      <c r="AN122" s="1">
        <f t="shared" si="280"/>
        <v>-0.69867203638864828</v>
      </c>
      <c r="AO122" s="1">
        <f t="shared" si="280"/>
        <v>-0.61133803184006719</v>
      </c>
      <c r="AP122" s="1">
        <f t="shared" si="280"/>
        <v>-0.52400402729148621</v>
      </c>
      <c r="AQ122" s="1">
        <f t="shared" si="280"/>
        <v>-0.43667002274290512</v>
      </c>
      <c r="AR122" s="1">
        <f t="shared" si="280"/>
        <v>-0.34933601819432408</v>
      </c>
      <c r="AS122" s="1">
        <f t="shared" si="280"/>
        <v>-0.26200201364574305</v>
      </c>
      <c r="AT122" s="1">
        <f t="shared" si="280"/>
        <v>-0.17466800909716199</v>
      </c>
      <c r="AU122" s="1">
        <f t="shared" si="280"/>
        <v>-8.733400454858091E-2</v>
      </c>
      <c r="AV122" s="1">
        <f t="shared" si="280"/>
        <v>0</v>
      </c>
      <c r="AW122" s="1">
        <f t="shared" si="280"/>
        <v>8.7334004548581076E-2</v>
      </c>
      <c r="AX122" s="1">
        <f t="shared" si="280"/>
        <v>0</v>
      </c>
      <c r="AY122" s="1">
        <f t="shared" si="280"/>
        <v>0.26200201364574327</v>
      </c>
      <c r="AZ122" s="1">
        <f t="shared" si="280"/>
        <v>0.3493360181943243</v>
      </c>
      <c r="BA122" s="1">
        <f t="shared" si="280"/>
        <v>0.43667002274290534</v>
      </c>
      <c r="BB122" s="1">
        <f t="shared" si="280"/>
        <v>0.52400402729148643</v>
      </c>
      <c r="BC122" s="1">
        <f t="shared" si="280"/>
        <v>0.61133803184006752</v>
      </c>
      <c r="BD122" s="1"/>
      <c r="BE122">
        <f t="shared" ref="BE122" si="285">LN($D122)-LN($D122*(1+BA122/100))</f>
        <v>-4.3571938562578794E-3</v>
      </c>
      <c r="BF122">
        <f t="shared" si="163"/>
        <v>-5.2263590345642541E-3</v>
      </c>
      <c r="BG122">
        <f t="shared" si="163"/>
        <v>-6.0947694207555969E-3</v>
      </c>
    </row>
    <row r="123" spans="1:59" x14ac:dyDescent="0.35">
      <c r="A123" t="str">
        <f>regions!A123</f>
        <v>New Zealand</v>
      </c>
      <c r="B123" s="22">
        <f>regions!B123</f>
        <v>4367800</v>
      </c>
      <c r="C123" s="22">
        <f>regions!C123</f>
        <v>120042479359.5708</v>
      </c>
      <c r="D123" s="10">
        <f>regions!D123</f>
        <v>27483.511003152802</v>
      </c>
      <c r="E123" s="1">
        <f>regions!X123</f>
        <v>10.5</v>
      </c>
      <c r="I123" s="7">
        <f t="shared" si="243"/>
        <v>2.9444677464490763</v>
      </c>
      <c r="J123" s="1">
        <f t="shared" si="244"/>
        <v>3.4636327961951858</v>
      </c>
      <c r="K123" s="1">
        <f t="shared" si="231"/>
        <v>12.073009982807433</v>
      </c>
      <c r="L123" s="1">
        <f t="shared" si="244"/>
        <v>6.9693597048073403</v>
      </c>
      <c r="M123" s="1">
        <f t="shared" si="158"/>
        <v>-0.86491379166932525</v>
      </c>
      <c r="N123" s="1">
        <f t="shared" ref="N123" si="286">M123+M$2</f>
        <v>-0.48047090122230451</v>
      </c>
      <c r="O123" s="1">
        <f t="shared" si="160"/>
        <v>2.1414475174265042</v>
      </c>
      <c r="P123" s="1">
        <f t="shared" si="246"/>
        <v>-2.130421589251613</v>
      </c>
      <c r="Q123" s="1">
        <f t="shared" si="246"/>
        <v>0.89492403286820243</v>
      </c>
      <c r="R123" s="1">
        <f t="shared" si="246"/>
        <v>0.93639868724608266</v>
      </c>
      <c r="S123" s="1">
        <f>$M123+SUMPRODUCT(regions!BG123:BS123,regions!BG$193:BS$193)</f>
        <v>-0.59306625088469433</v>
      </c>
      <c r="T123" s="1">
        <f>$M123+SUMPRODUCT(regions!BV123:CD123,regions!BV$193:CD$193)</f>
        <v>-2.3250739174360615</v>
      </c>
      <c r="U123" s="1">
        <f>$M123+SUMPRODUCT(regions!CQ123:CV123,regions!CQ$193:CV$193)</f>
        <v>2.8555717566127576</v>
      </c>
      <c r="V123" s="1">
        <f>$M123+SUMPRODUCT(regions!CY123:DF123,regions!CY$193:DF$193)</f>
        <v>-4.1731957309119654</v>
      </c>
      <c r="W123" s="1">
        <f>$M123+SUMPRODUCT(regions!DI123:DP123,regions!DI$193:DP$193)</f>
        <v>-1.6206957309119656</v>
      </c>
      <c r="X123" s="1">
        <f>$M123+SUMPRODUCT(regions!DR123:DW123,regions!DR$193:DW$193)</f>
        <v>-2.7131957309119654</v>
      </c>
      <c r="Y123" s="1">
        <f>$M123+SUMPRODUCT(regions!DZ123:EE123,regions!DZ$193:EE$193)</f>
        <v>-2.3696272688078412</v>
      </c>
      <c r="Z123" s="1">
        <f t="shared" si="173"/>
        <v>1.3</v>
      </c>
      <c r="AA123" t="str">
        <f>Maddison!A56</f>
        <v>New Zealand</v>
      </c>
      <c r="AB123">
        <f>-Maddison!B56</f>
        <v>1.3</v>
      </c>
      <c r="AC123" s="1">
        <f>N123-AB123</f>
        <v>-1.7804709012223046</v>
      </c>
      <c r="AF123" s="1">
        <f t="shared" si="233"/>
        <v>12.465086208330675</v>
      </c>
      <c r="AG123" s="1"/>
      <c r="AH123" s="1">
        <f t="shared" si="161"/>
        <v>-1.1897838537175145</v>
      </c>
      <c r="AI123" s="1">
        <f t="shared" si="280"/>
        <v>-1.1104649301363467</v>
      </c>
      <c r="AJ123" s="1">
        <f t="shared" si="280"/>
        <v>-1.031146006555179</v>
      </c>
      <c r="AK123" s="1">
        <f t="shared" si="280"/>
        <v>-0.87250815939284365</v>
      </c>
      <c r="AL123" s="1">
        <f t="shared" si="280"/>
        <v>-0.793189235811676</v>
      </c>
      <c r="AM123" s="1">
        <f t="shared" si="280"/>
        <v>-0.71387031223050834</v>
      </c>
      <c r="AN123" s="1">
        <f t="shared" si="280"/>
        <v>-0.6345513886493408</v>
      </c>
      <c r="AO123" s="1">
        <f t="shared" si="280"/>
        <v>-0.55523246506817314</v>
      </c>
      <c r="AP123" s="1">
        <f t="shared" si="280"/>
        <v>-0.47591354148700554</v>
      </c>
      <c r="AQ123" s="1">
        <f t="shared" si="280"/>
        <v>-0.39659461790583794</v>
      </c>
      <c r="AR123" s="1">
        <f t="shared" si="280"/>
        <v>-0.31727569432467034</v>
      </c>
      <c r="AS123" s="1">
        <f t="shared" si="280"/>
        <v>-0.23795677074350274</v>
      </c>
      <c r="AT123" s="1">
        <f t="shared" si="280"/>
        <v>-0.15863784716233509</v>
      </c>
      <c r="AU123" s="1">
        <f t="shared" si="280"/>
        <v>-7.9318923581167475E-2</v>
      </c>
      <c r="AV123" s="1">
        <f t="shared" si="280"/>
        <v>0</v>
      </c>
      <c r="AW123" s="1">
        <f t="shared" si="280"/>
        <v>7.9318923581167627E-2</v>
      </c>
      <c r="AX123" s="1">
        <f t="shared" si="280"/>
        <v>0</v>
      </c>
      <c r="AY123" s="1">
        <f t="shared" si="280"/>
        <v>0.23795677074350291</v>
      </c>
      <c r="AZ123" s="1">
        <f t="shared" si="280"/>
        <v>0.31727569432467051</v>
      </c>
      <c r="BA123" s="1">
        <f t="shared" si="280"/>
        <v>0.39659461790583811</v>
      </c>
      <c r="BB123" s="1">
        <f t="shared" si="280"/>
        <v>0.47591354148700571</v>
      </c>
      <c r="BC123" s="1">
        <f t="shared" si="280"/>
        <v>0.55523246506817336</v>
      </c>
      <c r="BD123" s="1"/>
      <c r="BE123">
        <f t="shared" ref="BE123" si="287">LN($D123)-LN($D123*(1+BA123/100))</f>
        <v>-3.9581025459565211E-3</v>
      </c>
      <c r="BF123">
        <f t="shared" si="163"/>
        <v>-4.7478465326324937E-3</v>
      </c>
      <c r="BG123">
        <f t="shared" si="163"/>
        <v>-5.5369673158836008E-3</v>
      </c>
    </row>
    <row r="124" spans="1:59" x14ac:dyDescent="0.35">
      <c r="A124" t="str">
        <f>regions!A124</f>
        <v>Nicaragua</v>
      </c>
      <c r="B124" s="22">
        <f>regions!B124</f>
        <v>5822209</v>
      </c>
      <c r="C124" s="22">
        <f>regions!C124</f>
        <v>7163269747.9907646</v>
      </c>
      <c r="D124" s="10">
        <f>regions!D124</f>
        <v>1230.3353843860234</v>
      </c>
      <c r="E124" s="1">
        <f>regions!X124</f>
        <v>24.8</v>
      </c>
      <c r="I124" s="7">
        <f t="shared" si="243"/>
        <v>-12.120389875293647</v>
      </c>
      <c r="J124" s="1">
        <f t="shared" si="244"/>
        <v>-11.601224825547536</v>
      </c>
      <c r="K124" s="1">
        <f t="shared" si="231"/>
        <v>-8.5048746499022911</v>
      </c>
      <c r="L124" s="1">
        <f t="shared" si="244"/>
        <v>-13.608524927902383</v>
      </c>
      <c r="M124" s="1">
        <f t="shared" si="158"/>
        <v>-12.497241544358433</v>
      </c>
      <c r="N124" s="1">
        <f t="shared" ref="N124" si="288">M124+M$2</f>
        <v>-12.112798653911412</v>
      </c>
      <c r="O124" s="1">
        <f t="shared" si="160"/>
        <v>2.727767482090941</v>
      </c>
      <c r="P124" s="1">
        <f t="shared" ref="P124:R143" si="289">$M124+P$1-$M$1</f>
        <v>-13.762749341940721</v>
      </c>
      <c r="Q124" s="1">
        <f t="shared" si="289"/>
        <v>-10.737403719820906</v>
      </c>
      <c r="R124" s="1">
        <f t="shared" si="289"/>
        <v>-10.695929065443025</v>
      </c>
      <c r="S124" s="1">
        <f>$M124+SUMPRODUCT(regions!BG124:BS124,regions!BG$193:BS$193)</f>
        <v>-3.7113030445584432</v>
      </c>
      <c r="T124" s="1">
        <f>$M124+SUMPRODUCT(regions!BV124:CD124,regions!BV$193:CD$193)</f>
        <v>-8.3380204328621481</v>
      </c>
      <c r="U124" s="1">
        <f>$M124+SUMPRODUCT(regions!CQ124:CV124,regions!CQ$193:CV$193)</f>
        <v>-8.7767559960763499</v>
      </c>
      <c r="V124" s="1">
        <f>$M124+SUMPRODUCT(regions!CY124:DF124,regions!CY$193:DF$193)</f>
        <v>-8.3280204328621483</v>
      </c>
      <c r="W124" s="1">
        <f>$M124+SUMPRODUCT(regions!DI124:DP124,regions!DI$193:DP$193)</f>
        <v>-6.2889204328621489</v>
      </c>
      <c r="X124" s="1">
        <f>$M124+SUMPRODUCT(regions!DR124:DW124,regions!DR$193:DW$193)</f>
        <v>-6.6735799511232905</v>
      </c>
      <c r="Y124" s="1">
        <f>$M124+SUMPRODUCT(regions!DZ124:EE124,regions!DZ$193:EE$193)</f>
        <v>-6.1725920181385607</v>
      </c>
      <c r="Z124" s="1">
        <f t="shared" si="173"/>
        <v>-9.0171753619137807</v>
      </c>
      <c r="AF124" s="1">
        <f t="shared" si="233"/>
        <v>0.83275845564156725</v>
      </c>
      <c r="AG124" s="1"/>
      <c r="AH124" s="1">
        <f t="shared" si="161"/>
        <v>-7.9486218387073482E-2</v>
      </c>
      <c r="AI124" s="1">
        <f t="shared" si="280"/>
        <v>-7.4187137161268568E-2</v>
      </c>
      <c r="AJ124" s="1">
        <f t="shared" si="280"/>
        <v>-6.8888055935463668E-2</v>
      </c>
      <c r="AK124" s="1">
        <f t="shared" si="280"/>
        <v>-5.8289893483853862E-2</v>
      </c>
      <c r="AL124" s="1">
        <f t="shared" si="280"/>
        <v>-5.2990812258048969E-2</v>
      </c>
      <c r="AM124" s="1">
        <f t="shared" si="280"/>
        <v>-4.769173103224407E-2</v>
      </c>
      <c r="AN124" s="1">
        <f t="shared" si="280"/>
        <v>-4.239264980643917E-2</v>
      </c>
      <c r="AO124" s="1">
        <f t="shared" si="280"/>
        <v>-3.709356858063427E-2</v>
      </c>
      <c r="AP124" s="1">
        <f t="shared" si="280"/>
        <v>-3.1794487354829377E-2</v>
      </c>
      <c r="AQ124" s="1">
        <f t="shared" si="280"/>
        <v>-2.6495406129024478E-2</v>
      </c>
      <c r="AR124" s="1">
        <f t="shared" si="280"/>
        <v>-2.1196324903219581E-2</v>
      </c>
      <c r="AS124" s="1">
        <f t="shared" si="280"/>
        <v>-1.5897243677414685E-2</v>
      </c>
      <c r="AT124" s="1">
        <f t="shared" si="280"/>
        <v>-1.0598162451609786E-2</v>
      </c>
      <c r="AU124" s="1">
        <f t="shared" si="280"/>
        <v>-5.2990812258048884E-3</v>
      </c>
      <c r="AV124" s="1">
        <f t="shared" si="280"/>
        <v>0</v>
      </c>
      <c r="AW124" s="1">
        <f t="shared" si="280"/>
        <v>5.299081225804898E-3</v>
      </c>
      <c r="AX124" s="1">
        <f t="shared" si="280"/>
        <v>0</v>
      </c>
      <c r="AY124" s="1">
        <f t="shared" si="280"/>
        <v>1.5897243677414696E-2</v>
      </c>
      <c r="AZ124" s="1">
        <f t="shared" si="280"/>
        <v>2.1196324903219592E-2</v>
      </c>
      <c r="BA124" s="1">
        <f t="shared" si="280"/>
        <v>2.6495406129024488E-2</v>
      </c>
      <c r="BB124" s="1">
        <f t="shared" si="280"/>
        <v>3.1794487354829384E-2</v>
      </c>
      <c r="BC124" s="1">
        <f t="shared" si="280"/>
        <v>3.7093568580634284E-2</v>
      </c>
      <c r="BD124" s="1"/>
      <c r="BE124">
        <f t="shared" ref="BE124" si="290">LN($D124)-LN($D124*(1+BA124/100))</f>
        <v>-2.6491896716240859E-4</v>
      </c>
      <c r="BF124">
        <f t="shared" si="163"/>
        <v>-3.1789433978790527E-4</v>
      </c>
      <c r="BG124">
        <f t="shared" si="163"/>
        <v>-3.7086690617371687E-4</v>
      </c>
    </row>
    <row r="125" spans="1:59" x14ac:dyDescent="0.35">
      <c r="A125" t="str">
        <f>regions!A125</f>
        <v>Niger</v>
      </c>
      <c r="B125" s="22">
        <f>regions!B125</f>
        <v>15893746</v>
      </c>
      <c r="C125" s="22">
        <f>regions!C125</f>
        <v>4381636014.6785507</v>
      </c>
      <c r="D125" s="10">
        <f>regions!D125</f>
        <v>275.68302744227515</v>
      </c>
      <c r="E125" s="1">
        <f>regions!X125</f>
        <v>27.1</v>
      </c>
      <c r="I125" s="7">
        <f t="shared" si="243"/>
        <v>-14.012243379328559</v>
      </c>
      <c r="J125" s="1">
        <f t="shared" si="244"/>
        <v>-13.493078329582449</v>
      </c>
      <c r="K125" s="1">
        <f t="shared" si="231"/>
        <v>-11.681261690283666</v>
      </c>
      <c r="L125" s="1">
        <f t="shared" si="244"/>
        <v>-16.784911968283758</v>
      </c>
      <c r="M125" s="1">
        <f t="shared" si="158"/>
        <v>-16.041959809663116</v>
      </c>
      <c r="N125" s="1">
        <f t="shared" ref="N125" si="291">M125+M$2</f>
        <v>-15.657516919216095</v>
      </c>
      <c r="O125" s="1">
        <f t="shared" si="160"/>
        <v>2.9171998047435075</v>
      </c>
      <c r="P125" s="1">
        <f t="shared" si="289"/>
        <v>-17.307467607245403</v>
      </c>
      <c r="Q125" s="1">
        <f t="shared" si="289"/>
        <v>-14.282121985125588</v>
      </c>
      <c r="R125" s="1">
        <f t="shared" si="289"/>
        <v>-14.240647330747707</v>
      </c>
      <c r="S125" s="1">
        <f>$M125+SUMPRODUCT(regions!BG125:BS125,regions!BG$193:BS$193)</f>
        <v>-6.7868315032351667</v>
      </c>
      <c r="T125" s="1">
        <f>$M125+SUMPRODUCT(regions!BV125:CD125,regions!BV$193:CD$193)</f>
        <v>-14.396642490047432</v>
      </c>
      <c r="U125" s="1">
        <f>$M125+SUMPRODUCT(regions!CQ125:CV125,regions!CQ$193:CV$193)</f>
        <v>-12.321474261381033</v>
      </c>
      <c r="V125" s="1">
        <f>$M125+SUMPRODUCT(regions!CY125:DF125,regions!CY$193:DF$193)</f>
        <v>-13.940382288837414</v>
      </c>
      <c r="W125" s="1">
        <f>$M125+SUMPRODUCT(regions!DI125:DP125,regions!DI$193:DP$193)</f>
        <v>-10.341282288837414</v>
      </c>
      <c r="X125" s="1">
        <f>$M125+SUMPRODUCT(regions!DR125:DW125,regions!DR$193:DW$193)</f>
        <v>-10.218298216427973</v>
      </c>
      <c r="Y125" s="1">
        <f>$M125+SUMPRODUCT(regions!DZ125:EE125,regions!DZ$193:EE$193)</f>
        <v>-9.7173102834432434</v>
      </c>
      <c r="Z125" s="1">
        <f t="shared" si="173"/>
        <v>-12.561893627218463</v>
      </c>
      <c r="AF125" s="1">
        <f t="shared" si="233"/>
        <v>-2.7119598096631155</v>
      </c>
      <c r="AG125" s="1"/>
      <c r="AH125" s="1">
        <f t="shared" si="161"/>
        <v>0.25885468736763045</v>
      </c>
      <c r="AI125" s="1">
        <f t="shared" si="280"/>
        <v>0.24159770820978838</v>
      </c>
      <c r="AJ125" s="1">
        <f t="shared" si="280"/>
        <v>0.2243407290519463</v>
      </c>
      <c r="AK125" s="1">
        <f t="shared" si="280"/>
        <v>0.18982677073626225</v>
      </c>
      <c r="AL125" s="1">
        <f t="shared" si="280"/>
        <v>0.17256979157842023</v>
      </c>
      <c r="AM125" s="1">
        <f t="shared" si="280"/>
        <v>0.15531281242057818</v>
      </c>
      <c r="AN125" s="1">
        <f t="shared" si="280"/>
        <v>0.13805583326273616</v>
      </c>
      <c r="AO125" s="1">
        <f t="shared" si="280"/>
        <v>0.12079885410489413</v>
      </c>
      <c r="AP125" s="1">
        <f t="shared" si="280"/>
        <v>0.10354187494705212</v>
      </c>
      <c r="AQ125" s="1">
        <f t="shared" si="280"/>
        <v>8.6284895789210087E-2</v>
      </c>
      <c r="AR125" s="1">
        <f t="shared" si="280"/>
        <v>6.9027916631368064E-2</v>
      </c>
      <c r="AS125" s="1">
        <f t="shared" si="280"/>
        <v>5.1770937473526048E-2</v>
      </c>
      <c r="AT125" s="1">
        <f t="shared" si="280"/>
        <v>3.4513958315684018E-2</v>
      </c>
      <c r="AU125" s="1">
        <f t="shared" si="280"/>
        <v>1.7256979157841995E-2</v>
      </c>
      <c r="AV125" s="1">
        <f t="shared" si="280"/>
        <v>0</v>
      </c>
      <c r="AW125" s="1">
        <f t="shared" si="280"/>
        <v>-1.7256979157842026E-2</v>
      </c>
      <c r="AX125" s="1">
        <f t="shared" si="280"/>
        <v>0</v>
      </c>
      <c r="AY125" s="1">
        <f t="shared" si="280"/>
        <v>-5.1770937473526089E-2</v>
      </c>
      <c r="AZ125" s="1">
        <f t="shared" si="280"/>
        <v>-6.9027916631368105E-2</v>
      </c>
      <c r="BA125" s="1">
        <f t="shared" si="280"/>
        <v>-8.6284895789210128E-2</v>
      </c>
      <c r="BB125" s="1">
        <f t="shared" si="280"/>
        <v>-0.10354187494705215</v>
      </c>
      <c r="BC125" s="1">
        <f t="shared" si="280"/>
        <v>-0.12079885410489419</v>
      </c>
      <c r="BD125" s="1"/>
      <c r="BE125">
        <f t="shared" ref="BE125" si="292">LN($D125)-LN($D125*(1+BA125/100))</f>
        <v>8.6322142632511145E-4</v>
      </c>
      <c r="BF125">
        <f t="shared" si="163"/>
        <v>1.0359551657730393E-3</v>
      </c>
      <c r="BG125">
        <f t="shared" si="163"/>
        <v>1.2087187473195371E-3</v>
      </c>
    </row>
    <row r="126" spans="1:59" x14ac:dyDescent="0.35">
      <c r="A126" t="str">
        <f>regions!A126</f>
        <v>Nigeria</v>
      </c>
      <c r="B126" s="22">
        <f>regions!B126</f>
        <v>159707780</v>
      </c>
      <c r="C126" s="22">
        <f>regions!C126</f>
        <v>159017874554.81158</v>
      </c>
      <c r="D126" s="10">
        <f>regions!D126</f>
        <v>995.6802013953959</v>
      </c>
      <c r="E126" s="1">
        <f>regions!X126</f>
        <v>26.8</v>
      </c>
      <c r="I126" s="7">
        <f t="shared" si="243"/>
        <v>-13.335301981412085</v>
      </c>
      <c r="J126" s="1">
        <f t="shared" si="244"/>
        <v>-12.816136931665975</v>
      </c>
      <c r="K126" s="1">
        <f t="shared" si="231"/>
        <v>-9.9242583350012712</v>
      </c>
      <c r="L126" s="1">
        <f t="shared" si="244"/>
        <v>-15.027908613001363</v>
      </c>
      <c r="M126" s="1">
        <f t="shared" si="158"/>
        <v>-13.749736793722807</v>
      </c>
      <c r="N126" s="1">
        <f t="shared" ref="N126" si="293">M126+M$2</f>
        <v>-13.365293903275786</v>
      </c>
      <c r="O126" s="1">
        <f t="shared" si="160"/>
        <v>3.5244750323989709</v>
      </c>
      <c r="P126" s="1">
        <f t="shared" si="289"/>
        <v>-15.015244591305095</v>
      </c>
      <c r="Q126" s="1">
        <f t="shared" si="289"/>
        <v>-11.98989896918528</v>
      </c>
      <c r="R126" s="1">
        <f t="shared" si="289"/>
        <v>-11.948424314807399</v>
      </c>
      <c r="S126" s="1">
        <f>$M126+SUMPRODUCT(regions!BG126:BS126,regions!BG$193:BS$193)</f>
        <v>-4.4946084872948582</v>
      </c>
      <c r="T126" s="1">
        <f>$M126+SUMPRODUCT(regions!BV126:CD126,regions!BV$193:CD$193)</f>
        <v>-12.104419474107123</v>
      </c>
      <c r="U126" s="1">
        <f>$M126+SUMPRODUCT(regions!CQ126:CV126,regions!CQ$193:CV$193)</f>
        <v>-10.029251245440724</v>
      </c>
      <c r="V126" s="1">
        <f>$M126+SUMPRODUCT(regions!CY126:DF126,regions!CY$193:DF$193)</f>
        <v>-11.648159272897106</v>
      </c>
      <c r="W126" s="1">
        <f>$M126+SUMPRODUCT(regions!DI126:DP126,regions!DI$193:DP$193)</f>
        <v>-8.0490592728971055</v>
      </c>
      <c r="X126" s="1">
        <f>$M126+SUMPRODUCT(regions!DR126:DW126,regions!DR$193:DW$193)</f>
        <v>-7.9260752004876647</v>
      </c>
      <c r="Y126" s="1">
        <f>$M126+SUMPRODUCT(regions!DZ126:EE126,regions!DZ$193:EE$193)</f>
        <v>-7.4250872675029349</v>
      </c>
      <c r="Z126" s="1">
        <f t="shared" si="173"/>
        <v>-3.5</v>
      </c>
      <c r="AA126" t="str">
        <f>Maddison!A57</f>
        <v>Nigeria</v>
      </c>
      <c r="AB126">
        <f>-Maddison!B57</f>
        <v>-3.5</v>
      </c>
      <c r="AC126" s="1">
        <f>N126-AB126</f>
        <v>-9.865293903275786</v>
      </c>
      <c r="AF126" s="1">
        <f t="shared" si="233"/>
        <v>-0.41973679372280692</v>
      </c>
      <c r="AG126" s="1"/>
      <c r="AH126" s="1">
        <f t="shared" si="161"/>
        <v>4.0063586535711078E-2</v>
      </c>
      <c r="AI126" s="1">
        <f t="shared" si="280"/>
        <v>3.7392680766663668E-2</v>
      </c>
      <c r="AJ126" s="1">
        <f t="shared" si="280"/>
        <v>3.4721774997616257E-2</v>
      </c>
      <c r="AK126" s="1">
        <f t="shared" si="280"/>
        <v>2.9379963459521447E-2</v>
      </c>
      <c r="AL126" s="1">
        <f t="shared" si="280"/>
        <v>2.670905769047404E-2</v>
      </c>
      <c r="AM126" s="1">
        <f t="shared" si="280"/>
        <v>2.4038151921426637E-2</v>
      </c>
      <c r="AN126" s="1">
        <f t="shared" si="280"/>
        <v>2.136724615237923E-2</v>
      </c>
      <c r="AO126" s="1">
        <f t="shared" si="280"/>
        <v>1.8696340383331827E-2</v>
      </c>
      <c r="AP126" s="1">
        <f t="shared" si="280"/>
        <v>1.6025434614284424E-2</v>
      </c>
      <c r="AQ126" s="1">
        <f t="shared" si="280"/>
        <v>1.3354528845237018E-2</v>
      </c>
      <c r="AR126" s="1">
        <f t="shared" si="280"/>
        <v>1.0683623076189613E-2</v>
      </c>
      <c r="AS126" s="1">
        <f t="shared" si="280"/>
        <v>8.01271730714221E-3</v>
      </c>
      <c r="AT126" s="1">
        <f t="shared" si="280"/>
        <v>5.341811538094805E-3</v>
      </c>
      <c r="AU126" s="1">
        <f t="shared" si="280"/>
        <v>2.6709057690473999E-3</v>
      </c>
      <c r="AV126" s="1">
        <f t="shared" si="280"/>
        <v>0</v>
      </c>
      <c r="AW126" s="1">
        <f t="shared" si="280"/>
        <v>-2.6709057690474051E-3</v>
      </c>
      <c r="AX126" s="1">
        <f t="shared" si="280"/>
        <v>0</v>
      </c>
      <c r="AY126" s="1">
        <f t="shared" si="280"/>
        <v>-8.0127173071422152E-3</v>
      </c>
      <c r="AZ126" s="1">
        <f t="shared" si="280"/>
        <v>-1.068362307618962E-2</v>
      </c>
      <c r="BA126" s="1">
        <f t="shared" si="280"/>
        <v>-1.3354528845237024E-2</v>
      </c>
      <c r="BB126" s="1">
        <f t="shared" si="280"/>
        <v>-1.6025434614284427E-2</v>
      </c>
      <c r="BC126" s="1">
        <f t="shared" si="280"/>
        <v>-1.8696340383331834E-2</v>
      </c>
      <c r="BD126" s="1"/>
      <c r="BE126">
        <f t="shared" ref="BE126" si="294">LN($D126)-LN($D126*(1+BA126/100))</f>
        <v>1.335542064184736E-4</v>
      </c>
      <c r="BF126">
        <f t="shared" si="163"/>
        <v>1.6026718824235786E-4</v>
      </c>
      <c r="BG126">
        <f t="shared" si="163"/>
        <v>1.8698088366964072E-4</v>
      </c>
    </row>
    <row r="127" spans="1:59" x14ac:dyDescent="0.35">
      <c r="A127" t="str">
        <f>regions!A127</f>
        <v>Norway</v>
      </c>
      <c r="B127" s="22">
        <f>regions!B127</f>
        <v>4889252</v>
      </c>
      <c r="C127" s="22">
        <f>regions!C127</f>
        <v>315796662786.18549</v>
      </c>
      <c r="D127" s="10">
        <f>regions!D127</f>
        <v>64589.974659965468</v>
      </c>
      <c r="E127" s="1">
        <f>regions!X127</f>
        <v>1.5</v>
      </c>
      <c r="I127" s="7">
        <f t="shared" si="243"/>
        <v>-18.785159145943318</v>
      </c>
      <c r="J127" s="1">
        <f t="shared" si="244"/>
        <v>-18.265994096197208</v>
      </c>
      <c r="K127" s="1">
        <f t="shared" si="231"/>
        <v>1.0282227696912896</v>
      </c>
      <c r="L127" s="1">
        <f t="shared" si="244"/>
        <v>-4.0754275083088025</v>
      </c>
      <c r="M127" s="1">
        <f t="shared" si="158"/>
        <v>4.6069922587067991</v>
      </c>
      <c r="N127" s="1">
        <f t="shared" ref="N127" si="295">M127+M$2</f>
        <v>4.99143514915382</v>
      </c>
      <c r="O127" s="1">
        <f t="shared" si="160"/>
        <v>2.2309571756180846</v>
      </c>
      <c r="P127" s="1">
        <f t="shared" si="289"/>
        <v>3.3414844611245114</v>
      </c>
      <c r="Q127" s="1">
        <f t="shared" si="289"/>
        <v>6.3668300832443272</v>
      </c>
      <c r="R127" s="1">
        <f t="shared" si="289"/>
        <v>6.4083047376222071</v>
      </c>
      <c r="S127" s="1">
        <f>$M127+SUMPRODUCT(regions!BG127:BS127,regions!BG$193:BS$193)</f>
        <v>1.7759370186301862</v>
      </c>
      <c r="T127" s="1">
        <f>$M127+SUMPRODUCT(regions!BV127:CD127,regions!BV$193:CD$193)</f>
        <v>3.3758033106392764</v>
      </c>
      <c r="U127" s="1">
        <f>$M127+SUMPRODUCT(regions!CQ127:CV127,regions!CQ$193:CV$193)</f>
        <v>8.3274778069888811</v>
      </c>
      <c r="V127" s="1">
        <f>$M127+SUMPRODUCT(regions!CY127:DF127,regions!CY$193:DF$193)</f>
        <v>1.2987103194641589</v>
      </c>
      <c r="W127" s="1">
        <f>$M127+SUMPRODUCT(regions!DI127:DP127,regions!DI$193:DP$193)</f>
        <v>3.8512103194641587</v>
      </c>
      <c r="X127" s="1">
        <f>$M127+SUMPRODUCT(regions!DR127:DW127,regions!DR$193:DW$193)</f>
        <v>2.7587103194641589</v>
      </c>
      <c r="Y127" s="1">
        <f>$M127+SUMPRODUCT(regions!DZ127:EE127,regions!DZ$193:EE$193)</f>
        <v>3.1022787815682831</v>
      </c>
      <c r="Z127" s="1">
        <f t="shared" si="173"/>
        <v>1.9</v>
      </c>
      <c r="AA127" t="str">
        <f>Maddison!A58</f>
        <v>Norway</v>
      </c>
      <c r="AB127">
        <f>-Maddison!B58</f>
        <v>1.9</v>
      </c>
      <c r="AC127" s="1">
        <f>N127-AB127</f>
        <v>3.0914351491538201</v>
      </c>
      <c r="AF127" s="1">
        <f t="shared" si="233"/>
        <v>17.936992258706798</v>
      </c>
      <c r="AG127" s="1"/>
      <c r="AH127" s="1">
        <f t="shared" si="161"/>
        <v>-1.7120735000936194</v>
      </c>
      <c r="AI127" s="1">
        <f t="shared" si="280"/>
        <v>-1.5979352667540445</v>
      </c>
      <c r="AJ127" s="1">
        <f t="shared" si="280"/>
        <v>-1.4837970334144694</v>
      </c>
      <c r="AK127" s="1">
        <f t="shared" si="280"/>
        <v>-1.2555205667353204</v>
      </c>
      <c r="AL127" s="1">
        <f t="shared" si="280"/>
        <v>-1.1413823333957458</v>
      </c>
      <c r="AM127" s="1">
        <f t="shared" si="280"/>
        <v>-1.0272441000561712</v>
      </c>
      <c r="AN127" s="1">
        <f t="shared" si="280"/>
        <v>-0.91310586671659644</v>
      </c>
      <c r="AO127" s="1">
        <f t="shared" si="280"/>
        <v>-0.79896763337702181</v>
      </c>
      <c r="AP127" s="1">
        <f t="shared" si="280"/>
        <v>-0.6848294000374473</v>
      </c>
      <c r="AQ127" s="1">
        <f t="shared" si="280"/>
        <v>-0.57069116669787268</v>
      </c>
      <c r="AR127" s="1">
        <f t="shared" si="280"/>
        <v>-0.45655293335829816</v>
      </c>
      <c r="AS127" s="1">
        <f t="shared" si="280"/>
        <v>-0.34241470001872359</v>
      </c>
      <c r="AT127" s="1">
        <f t="shared" si="280"/>
        <v>-0.228276466679149</v>
      </c>
      <c r="AU127" s="1">
        <f t="shared" si="280"/>
        <v>-0.11413823333957439</v>
      </c>
      <c r="AV127" s="1">
        <f t="shared" si="280"/>
        <v>0</v>
      </c>
      <c r="AW127" s="1">
        <f t="shared" si="280"/>
        <v>0.11413823333957461</v>
      </c>
      <c r="AX127" s="1">
        <f t="shared" si="280"/>
        <v>0</v>
      </c>
      <c r="AY127" s="1">
        <f t="shared" si="280"/>
        <v>0.34241470001872387</v>
      </c>
      <c r="AZ127" s="1">
        <f t="shared" si="280"/>
        <v>0.45655293335829844</v>
      </c>
      <c r="BA127" s="1">
        <f t="shared" si="280"/>
        <v>0.57069116669787301</v>
      </c>
      <c r="BB127" s="1">
        <f t="shared" si="280"/>
        <v>0.68482940003744763</v>
      </c>
      <c r="BC127" s="1">
        <f t="shared" si="280"/>
        <v>0.79896763337702226</v>
      </c>
      <c r="BD127" s="1"/>
      <c r="BE127">
        <f t="shared" ref="BE127" si="296">LN($D127)-LN($D127*(1+BA127/100))</f>
        <v>-5.6906889384453763E-3</v>
      </c>
      <c r="BF127">
        <f t="shared" si="163"/>
        <v>-6.824950947807551E-3</v>
      </c>
      <c r="BG127">
        <f t="shared" si="163"/>
        <v>-7.9579278643588935E-3</v>
      </c>
    </row>
    <row r="128" spans="1:59" x14ac:dyDescent="0.35">
      <c r="A128" t="str">
        <f>regions!A128</f>
        <v>Oman</v>
      </c>
      <c r="B128" s="22">
        <f>regions!B128</f>
        <v>2802768</v>
      </c>
      <c r="C128" s="22">
        <f>regions!C128</f>
        <v>41935096066.201286</v>
      </c>
      <c r="D128" s="10">
        <f>regions!D128</f>
        <v>14962.028989271066</v>
      </c>
      <c r="E128" s="1">
        <f>regions!X128</f>
        <v>25.6</v>
      </c>
      <c r="I128" s="7">
        <f t="shared" si="243"/>
        <v>-5.8675882201368941</v>
      </c>
      <c r="J128" s="1">
        <f t="shared" si="244"/>
        <v>-5.3484231703907845</v>
      </c>
      <c r="K128" s="1">
        <f t="shared" si="231"/>
        <v>7.345984566254609</v>
      </c>
      <c r="L128" s="1">
        <f t="shared" si="244"/>
        <v>2.2423342882545167</v>
      </c>
      <c r="M128" s="1">
        <f t="shared" si="158"/>
        <v>-8.6584669515896415</v>
      </c>
      <c r="N128" s="1">
        <f t="shared" ref="N128" si="297">M128+M$2</f>
        <v>-8.2740240611426206</v>
      </c>
      <c r="O128" s="1">
        <f t="shared" si="160"/>
        <v>2.3788817405873095</v>
      </c>
      <c r="P128" s="1">
        <f t="shared" si="289"/>
        <v>-9.9239747491719292</v>
      </c>
      <c r="Q128" s="1">
        <f t="shared" si="289"/>
        <v>-6.8986291270521143</v>
      </c>
      <c r="R128" s="1">
        <f t="shared" si="289"/>
        <v>-6.8571544726742335</v>
      </c>
      <c r="S128" s="1">
        <f>$M128+SUMPRODUCT(regions!BG128:BS128,regions!BG$193:BS$193)</f>
        <v>-2.5632124312197595</v>
      </c>
      <c r="T128" s="1">
        <f>$M128+SUMPRODUCT(regions!BV128:CD128,regions!BV$193:CD$193)</f>
        <v>-6.1714874613060893</v>
      </c>
      <c r="U128" s="1">
        <f>$M128+SUMPRODUCT(regions!CQ128:CV128,regions!CQ$193:CV$193)</f>
        <v>-4.9379814033075586</v>
      </c>
      <c r="V128" s="1">
        <f>$M128+SUMPRODUCT(regions!CY128:DF128,regions!CY$193:DF$193)</f>
        <v>-6.55688943076394</v>
      </c>
      <c r="W128" s="1">
        <f>$M128+SUMPRODUCT(regions!DI128:DP128,regions!DI$193:DP$193)</f>
        <v>-2.9577894307639401</v>
      </c>
      <c r="X128" s="1">
        <f>$M128+SUMPRODUCT(regions!DR128:DW128,regions!DR$193:DW$193)</f>
        <v>-2.8348053583544992</v>
      </c>
      <c r="Y128" s="1">
        <f>$M128+SUMPRODUCT(regions!DZ128:EE128,regions!DZ$193:EE$193)</f>
        <v>-2.3338174253697694</v>
      </c>
      <c r="Z128" s="1">
        <f t="shared" si="173"/>
        <v>-5.1784007691449894</v>
      </c>
      <c r="AF128" s="1">
        <f t="shared" si="233"/>
        <v>4.6715330484103585</v>
      </c>
      <c r="AG128" s="1"/>
      <c r="AH128" s="1">
        <f t="shared" si="161"/>
        <v>-0.44589459713417801</v>
      </c>
      <c r="AI128" s="1">
        <f t="shared" si="280"/>
        <v>-0.41616829065856609</v>
      </c>
      <c r="AJ128" s="1">
        <f t="shared" si="280"/>
        <v>-0.38644198418295417</v>
      </c>
      <c r="AK128" s="1">
        <f t="shared" si="280"/>
        <v>-0.32698937123173044</v>
      </c>
      <c r="AL128" s="1">
        <f t="shared" si="280"/>
        <v>-0.29726306475611852</v>
      </c>
      <c r="AM128" s="1">
        <f t="shared" si="280"/>
        <v>-0.26753675828050666</v>
      </c>
      <c r="AN128" s="1">
        <f t="shared" si="280"/>
        <v>-0.23781045180489482</v>
      </c>
      <c r="AO128" s="1">
        <f t="shared" si="280"/>
        <v>-0.20808414532928293</v>
      </c>
      <c r="AP128" s="1">
        <f t="shared" si="280"/>
        <v>-0.1783578388536711</v>
      </c>
      <c r="AQ128" s="1">
        <f t="shared" si="280"/>
        <v>-0.14863153237805923</v>
      </c>
      <c r="AR128" s="1">
        <f t="shared" si="280"/>
        <v>-0.11890522590244738</v>
      </c>
      <c r="AS128" s="1">
        <f t="shared" si="280"/>
        <v>-8.9178919426835535E-2</v>
      </c>
      <c r="AT128" s="1">
        <f t="shared" si="280"/>
        <v>-5.9452612951223671E-2</v>
      </c>
      <c r="AU128" s="1">
        <f t="shared" si="280"/>
        <v>-2.9726306475611808E-2</v>
      </c>
      <c r="AV128" s="1">
        <f t="shared" si="280"/>
        <v>0</v>
      </c>
      <c r="AW128" s="1">
        <f t="shared" si="280"/>
        <v>2.9726306475611863E-2</v>
      </c>
      <c r="AX128" s="1">
        <f t="shared" si="280"/>
        <v>0</v>
      </c>
      <c r="AY128" s="1">
        <f t="shared" si="280"/>
        <v>8.9178919426835604E-2</v>
      </c>
      <c r="AZ128" s="1">
        <f t="shared" si="280"/>
        <v>0.11890522590244745</v>
      </c>
      <c r="BA128" s="1">
        <f t="shared" si="280"/>
        <v>0.14863153237805932</v>
      </c>
      <c r="BB128" s="1">
        <f t="shared" si="280"/>
        <v>0.17835783885367118</v>
      </c>
      <c r="BC128" s="1">
        <f t="shared" si="280"/>
        <v>0.20808414532928304</v>
      </c>
      <c r="BD128" s="1"/>
      <c r="BE128">
        <f t="shared" ref="BE128" si="298">LN($D128)-LN($D128*(1+BA128/100))</f>
        <v>-1.4852118504293799E-3</v>
      </c>
      <c r="BF128">
        <f t="shared" si="163"/>
        <v>-1.7819897013531261E-3</v>
      </c>
      <c r="BG128">
        <f t="shared" si="163"/>
        <v>-2.0786795013147952E-3</v>
      </c>
    </row>
    <row r="129" spans="1:59" x14ac:dyDescent="0.35">
      <c r="A129" t="str">
        <f>regions!A129</f>
        <v>Pakistan</v>
      </c>
      <c r="B129" s="22">
        <f>regions!B129</f>
        <v>173149306</v>
      </c>
      <c r="C129" s="22">
        <f>regions!C129</f>
        <v>129517496849.86209</v>
      </c>
      <c r="D129" s="10">
        <f>regions!D129</f>
        <v>748.01048783794772</v>
      </c>
      <c r="E129" s="1">
        <f>regions!X129</f>
        <v>20.2</v>
      </c>
      <c r="I129" s="7">
        <f t="shared" si="243"/>
        <v>-10.05009788118719</v>
      </c>
      <c r="J129" s="1">
        <f t="shared" si="244"/>
        <v>-9.5309328314410795</v>
      </c>
      <c r="K129" s="1">
        <f t="shared" si="231"/>
        <v>-7.4705627790510665</v>
      </c>
      <c r="L129" s="1">
        <f t="shared" si="244"/>
        <v>-12.574213057051159</v>
      </c>
      <c r="M129" s="1">
        <f t="shared" si="158"/>
        <v>-11.270403384026352</v>
      </c>
      <c r="N129" s="1">
        <f t="shared" ref="N129" si="299">M129+M$2</f>
        <v>-10.885960493579331</v>
      </c>
      <c r="O129" s="1">
        <f t="shared" si="160"/>
        <v>3.3147848814264407</v>
      </c>
      <c r="P129" s="1">
        <f t="shared" si="289"/>
        <v>-12.53591118160864</v>
      </c>
      <c r="Q129" s="1">
        <f t="shared" si="289"/>
        <v>-9.5105655594888248</v>
      </c>
      <c r="R129" s="1">
        <f t="shared" si="289"/>
        <v>-9.469090905110944</v>
      </c>
      <c r="S129" s="1">
        <f>$M129+SUMPRODUCT(regions!BG129:BS129,regions!BG$193:BS$193)</f>
        <v>-2.4844648842263624</v>
      </c>
      <c r="T129" s="1">
        <f>$M129+SUMPRODUCT(regions!BV129:CD129,regions!BV$193:CD$193)</f>
        <v>-10.985152624508164</v>
      </c>
      <c r="U129" s="1">
        <f>$M129+SUMPRODUCT(regions!CQ129:CV129,regions!CQ$193:CV$193)</f>
        <v>-7.5499178357442691</v>
      </c>
      <c r="V129" s="1">
        <f>$M129+SUMPRODUCT(regions!CY129:DF129,regions!CY$193:DF$193)</f>
        <v>-11.131765991706551</v>
      </c>
      <c r="W129" s="1">
        <f>$M129+SUMPRODUCT(regions!DI129:DP129,regions!DI$193:DP$193)</f>
        <v>-5.6267659917065531</v>
      </c>
      <c r="X129" s="1">
        <f>$M129+SUMPRODUCT(regions!DR129:DW129,regions!DR$193:DW$193)</f>
        <v>-5.4467417907912097</v>
      </c>
      <c r="Y129" s="1">
        <f>$M129+SUMPRODUCT(regions!DZ129:EE129,regions!DZ$193:EE$193)</f>
        <v>-4.9457538578064799</v>
      </c>
      <c r="Z129" s="1">
        <f t="shared" si="173"/>
        <v>-11.9</v>
      </c>
      <c r="AA129" t="str">
        <f>Maddison!A59</f>
        <v>Pakistan</v>
      </c>
      <c r="AB129">
        <f>-Maddison!B59</f>
        <v>-11.9</v>
      </c>
      <c r="AC129" s="1">
        <f>N129-AB129</f>
        <v>1.0140395064206693</v>
      </c>
      <c r="AF129" s="1">
        <f t="shared" si="233"/>
        <v>2.0595966159736481</v>
      </c>
      <c r="AG129" s="1"/>
      <c r="AH129" s="1">
        <f t="shared" si="161"/>
        <v>-0.19658707191443056</v>
      </c>
      <c r="AI129" s="1">
        <f t="shared" si="280"/>
        <v>-0.18348126712013516</v>
      </c>
      <c r="AJ129" s="1">
        <f t="shared" si="280"/>
        <v>-0.17037546232583975</v>
      </c>
      <c r="AK129" s="1">
        <f t="shared" si="280"/>
        <v>-0.14416385273724902</v>
      </c>
      <c r="AL129" s="1">
        <f t="shared" si="280"/>
        <v>-0.13105804794295364</v>
      </c>
      <c r="AM129" s="1">
        <f t="shared" si="280"/>
        <v>-0.11795224314865828</v>
      </c>
      <c r="AN129" s="1">
        <f t="shared" si="280"/>
        <v>-0.1048464383543629</v>
      </c>
      <c r="AO129" s="1">
        <f t="shared" si="280"/>
        <v>-9.1740633560067536E-2</v>
      </c>
      <c r="AP129" s="1">
        <f t="shared" si="280"/>
        <v>-7.8634828765772186E-2</v>
      </c>
      <c r="AQ129" s="1">
        <f t="shared" si="280"/>
        <v>-6.5529023971476807E-2</v>
      </c>
      <c r="AR129" s="1">
        <f t="shared" si="280"/>
        <v>-5.2423219177181443E-2</v>
      </c>
      <c r="AS129" s="1">
        <f t="shared" si="280"/>
        <v>-3.9317414382886086E-2</v>
      </c>
      <c r="AT129" s="1">
        <f t="shared" si="280"/>
        <v>-2.6211609588590711E-2</v>
      </c>
      <c r="AU129" s="1">
        <f t="shared" si="280"/>
        <v>-1.3105804794295343E-2</v>
      </c>
      <c r="AV129" s="1">
        <f t="shared" si="280"/>
        <v>0</v>
      </c>
      <c r="AW129" s="1">
        <f t="shared" si="280"/>
        <v>1.3105804794295369E-2</v>
      </c>
      <c r="AX129" s="1">
        <f t="shared" si="280"/>
        <v>0</v>
      </c>
      <c r="AY129" s="1">
        <f t="shared" si="280"/>
        <v>3.9317414382886114E-2</v>
      </c>
      <c r="AZ129" s="1">
        <f t="shared" si="280"/>
        <v>5.2423219177181478E-2</v>
      </c>
      <c r="BA129" s="1">
        <f t="shared" si="280"/>
        <v>6.5529023971476835E-2</v>
      </c>
      <c r="BB129" s="1">
        <f t="shared" si="280"/>
        <v>7.8634828765772213E-2</v>
      </c>
      <c r="BC129" s="1">
        <f t="shared" si="280"/>
        <v>9.1740633560067578E-2</v>
      </c>
      <c r="BD129" s="1"/>
      <c r="BE129">
        <f t="shared" ref="BE129" si="300">LN($D129)-LN($D129*(1+BA129/100))</f>
        <v>-6.5507563081457221E-4</v>
      </c>
      <c r="BF129">
        <f t="shared" si="163"/>
        <v>-7.8603927782516791E-4</v>
      </c>
      <c r="BG129">
        <f t="shared" si="163"/>
        <v>-9.1698577560528349E-4</v>
      </c>
    </row>
    <row r="130" spans="1:59" x14ac:dyDescent="0.35">
      <c r="A130" t="str">
        <f>regions!A130</f>
        <v>Palau</v>
      </c>
      <c r="B130" s="22">
        <f>regions!B130</f>
        <v>20470</v>
      </c>
      <c r="C130" s="22">
        <f>regions!C130</f>
        <v>180183623.83524305</v>
      </c>
      <c r="D130" s="10">
        <f>regions!D130</f>
        <v>8802.3265185756245</v>
      </c>
      <c r="E130" s="1">
        <f>regions!X130</f>
        <v>27.6</v>
      </c>
      <c r="I130" s="7">
        <f t="shared" si="243"/>
        <v>-9.1729776169111954</v>
      </c>
      <c r="J130" s="1">
        <f t="shared" si="244"/>
        <v>-8.653812567165085</v>
      </c>
      <c r="K130" s="1">
        <f t="shared" si="231"/>
        <v>2.2067862875951505</v>
      </c>
      <c r="L130" s="1">
        <f t="shared" si="244"/>
        <v>-2.8968639904049418</v>
      </c>
      <c r="M130" s="1">
        <f t="shared" si="158"/>
        <v>-10.446753562390079</v>
      </c>
      <c r="N130" s="1">
        <f t="shared" ref="N130" si="301">M130+M$2</f>
        <v>-10.062310671943058</v>
      </c>
      <c r="O130" s="1">
        <f t="shared" si="160"/>
        <v>2.6447940365986797</v>
      </c>
      <c r="P130" s="1">
        <f t="shared" si="289"/>
        <v>-11.712261359972366</v>
      </c>
      <c r="Q130" s="1">
        <f t="shared" si="289"/>
        <v>-8.6869157378525514</v>
      </c>
      <c r="R130" s="1">
        <f t="shared" si="289"/>
        <v>-8.6454410834746707</v>
      </c>
      <c r="S130" s="1">
        <f>$M130+SUMPRODUCT(regions!BG130:BS130,regions!BG$193:BS$193)</f>
        <v>-10.446753562390079</v>
      </c>
      <c r="T130" s="1">
        <f>$M130+SUMPRODUCT(regions!BV130:CD130,regions!BV$193:CD$193)</f>
        <v>-10.16150280287189</v>
      </c>
      <c r="U130" s="1">
        <f>$M130+SUMPRODUCT(regions!CQ130:CV130,regions!CQ$193:CV$193)</f>
        <v>-6.7262680141079958</v>
      </c>
      <c r="V130" s="1">
        <f>$M130+SUMPRODUCT(regions!CY130:DF130,regions!CY$193:DF$193)</f>
        <v>-10.308116170070278</v>
      </c>
      <c r="W130" s="1">
        <f>$M130+SUMPRODUCT(regions!DI130:DP130,regions!DI$193:DP$193)</f>
        <v>-4.8031161700702798</v>
      </c>
      <c r="X130" s="1">
        <f>$M130+SUMPRODUCT(regions!DR130:DW130,regions!DR$193:DW$193)</f>
        <v>-4.6230919691549364</v>
      </c>
      <c r="Y130" s="1">
        <f>$M130+SUMPRODUCT(regions!DZ130:EE130,regions!DZ$193:EE$193)</f>
        <v>-4.1221040361702066</v>
      </c>
      <c r="Z130" s="1">
        <f t="shared" si="173"/>
        <v>-6.9666873799454265</v>
      </c>
      <c r="AF130" s="1">
        <f t="shared" si="233"/>
        <v>2.8832464376099214</v>
      </c>
      <c r="AG130" s="1"/>
      <c r="AH130" s="1">
        <f t="shared" si="161"/>
        <v>-0.27520387748816316</v>
      </c>
      <c r="AI130" s="1">
        <f t="shared" si="280"/>
        <v>-0.25685695232228561</v>
      </c>
      <c r="AJ130" s="1">
        <f t="shared" si="280"/>
        <v>-0.23851002715640801</v>
      </c>
      <c r="AK130" s="1">
        <f t="shared" si="280"/>
        <v>-0.20181617682465292</v>
      </c>
      <c r="AL130" s="1">
        <f t="shared" si="280"/>
        <v>-0.18346925165877537</v>
      </c>
      <c r="AM130" s="1">
        <f t="shared" si="280"/>
        <v>-0.16512232649289782</v>
      </c>
      <c r="AN130" s="1">
        <f t="shared" si="280"/>
        <v>-0.1467754013270203</v>
      </c>
      <c r="AO130" s="1">
        <f t="shared" si="280"/>
        <v>-0.12842847616114275</v>
      </c>
      <c r="AP130" s="1">
        <f t="shared" si="280"/>
        <v>-0.11008155099526522</v>
      </c>
      <c r="AQ130" s="1">
        <f t="shared" si="280"/>
        <v>-9.173462582938767E-2</v>
      </c>
      <c r="AR130" s="1">
        <f t="shared" si="280"/>
        <v>-7.3387700663510136E-2</v>
      </c>
      <c r="AS130" s="1">
        <f t="shared" si="280"/>
        <v>-5.5040775497632595E-2</v>
      </c>
      <c r="AT130" s="1">
        <f t="shared" si="280"/>
        <v>-3.6693850331755054E-2</v>
      </c>
      <c r="AU130" s="1">
        <f t="shared" si="280"/>
        <v>-1.834692516587751E-2</v>
      </c>
      <c r="AV130" s="1">
        <f t="shared" si="280"/>
        <v>0</v>
      </c>
      <c r="AW130" s="1">
        <f t="shared" si="280"/>
        <v>1.8346925165877544E-2</v>
      </c>
      <c r="AX130" s="1">
        <f t="shared" si="280"/>
        <v>0</v>
      </c>
      <c r="AY130" s="1">
        <f t="shared" si="280"/>
        <v>5.5040775497632637E-2</v>
      </c>
      <c r="AZ130" s="1">
        <f t="shared" si="280"/>
        <v>7.3387700663510178E-2</v>
      </c>
      <c r="BA130" s="1">
        <f t="shared" si="280"/>
        <v>9.1734625829387711E-2</v>
      </c>
      <c r="BB130" s="1">
        <f t="shared" si="280"/>
        <v>0.11008155099526526</v>
      </c>
      <c r="BC130" s="1">
        <f t="shared" si="280"/>
        <v>0.12842847616114281</v>
      </c>
      <c r="BD130" s="1"/>
      <c r="BE130">
        <f t="shared" ref="BE130" si="302">LN($D130)-LN($D130*(1+BA130/100))</f>
        <v>-9.1692575336033144E-4</v>
      </c>
      <c r="BF130">
        <f t="shared" si="163"/>
        <v>-1.1002100568457962E-3</v>
      </c>
      <c r="BG130">
        <f t="shared" si="163"/>
        <v>-1.2834607733509529E-3</v>
      </c>
    </row>
    <row r="131" spans="1:59" x14ac:dyDescent="0.35">
      <c r="A131" t="str">
        <f>regions!A131</f>
        <v>Palestinian Territories</v>
      </c>
      <c r="B131" s="22">
        <f>regions!B131</f>
        <v>3811102</v>
      </c>
      <c r="C131" s="22">
        <f>regions!C131</f>
        <v>4836140076.078743</v>
      </c>
      <c r="D131" s="10">
        <f>regions!D131</f>
        <v>1268.9610711229307</v>
      </c>
      <c r="E131" s="1">
        <f>regions!X131</f>
        <v>19.2</v>
      </c>
      <c r="I131" s="7">
        <f t="shared" si="243"/>
        <v>-9.1557407714061831</v>
      </c>
      <c r="J131" s="1">
        <f t="shared" si="244"/>
        <v>-8.6365757216600727</v>
      </c>
      <c r="K131" s="1">
        <f t="shared" ref="K131:K162" si="303">G$7*D131+G$8*D131*D131+G$9*D131*D131*D131+G$10*E131</f>
        <v>-5.8750532684041179</v>
      </c>
      <c r="L131" s="1">
        <f t="shared" si="244"/>
        <v>-10.97870354640421</v>
      </c>
      <c r="M131" s="1">
        <f t="shared" si="158"/>
        <v>-9.9338825817820062</v>
      </c>
      <c r="N131" s="1">
        <f t="shared" ref="N131" si="304">M131+M$2</f>
        <v>-9.5494396913349853</v>
      </c>
      <c r="O131" s="1">
        <f t="shared" si="160"/>
        <v>2.7815255605332143</v>
      </c>
      <c r="P131" s="1">
        <f t="shared" si="289"/>
        <v>-11.199390379364294</v>
      </c>
      <c r="Q131" s="1">
        <f t="shared" si="289"/>
        <v>-8.174044757244479</v>
      </c>
      <c r="R131" s="1">
        <f t="shared" si="289"/>
        <v>-8.1325701028665982</v>
      </c>
      <c r="S131" s="1">
        <f>$M131+SUMPRODUCT(regions!BG131:BS131,regions!BG$193:BS$193)</f>
        <v>-1.1479440819820166</v>
      </c>
      <c r="T131" s="1">
        <f>$M131+SUMPRODUCT(regions!BV131:CD131,regions!BV$193:CD$193)</f>
        <v>-7.446903091498454</v>
      </c>
      <c r="U131" s="1">
        <f>$M131+SUMPRODUCT(regions!CQ131:CV131,regions!CQ$193:CV$193)</f>
        <v>-6.2133970334999233</v>
      </c>
      <c r="V131" s="1">
        <f>$M131+SUMPRODUCT(regions!CY131:DF131,regions!CY$193:DF$193)</f>
        <v>-7.8323050609563047</v>
      </c>
      <c r="W131" s="1">
        <f>$M131+SUMPRODUCT(regions!DI131:DP131,regions!DI$193:DP$193)</f>
        <v>-4.2332050609563048</v>
      </c>
      <c r="X131" s="1">
        <f>$M131+SUMPRODUCT(regions!DR131:DW131,regions!DR$193:DW$193)</f>
        <v>-4.1102209885468639</v>
      </c>
      <c r="Y131" s="1">
        <f>$M131+SUMPRODUCT(regions!DZ131:EE131,regions!DZ$193:EE$193)</f>
        <v>-3.6092330555621341</v>
      </c>
      <c r="Z131" s="1">
        <f t="shared" si="173"/>
        <v>-6.4538163993373541</v>
      </c>
      <c r="AF131" s="1">
        <f t="shared" ref="AF131:AF162" si="305">$G$13*LN($D131)+$G$14*$E131</f>
        <v>3.3961174182179938</v>
      </c>
      <c r="AG131" s="1"/>
      <c r="AH131" s="1">
        <f t="shared" si="161"/>
        <v>-0.32415705772047798</v>
      </c>
      <c r="AI131" s="1">
        <f t="shared" si="280"/>
        <v>-0.30254658720577943</v>
      </c>
      <c r="AJ131" s="1">
        <f t="shared" si="280"/>
        <v>-0.28093611669108082</v>
      </c>
      <c r="AK131" s="1">
        <f t="shared" si="280"/>
        <v>-0.23771517566168376</v>
      </c>
      <c r="AL131" s="1">
        <f t="shared" si="280"/>
        <v>-0.21610470514698524</v>
      </c>
      <c r="AM131" s="1">
        <f t="shared" si="280"/>
        <v>-0.19449423463228671</v>
      </c>
      <c r="AN131" s="1">
        <f t="shared" si="280"/>
        <v>-0.17288376411758816</v>
      </c>
      <c r="AO131" s="1">
        <f t="shared" si="280"/>
        <v>-0.15127329360288963</v>
      </c>
      <c r="AP131" s="1">
        <f t="shared" si="280"/>
        <v>-0.12966282308819113</v>
      </c>
      <c r="AQ131" s="1">
        <f t="shared" si="280"/>
        <v>-0.10805235257349259</v>
      </c>
      <c r="AR131" s="1">
        <f t="shared" si="280"/>
        <v>-8.6441882058794078E-2</v>
      </c>
      <c r="AS131" s="1">
        <f t="shared" si="280"/>
        <v>-6.4831411544095552E-2</v>
      </c>
      <c r="AT131" s="1">
        <f t="shared" si="280"/>
        <v>-4.3220941029397018E-2</v>
      </c>
      <c r="AU131" s="1">
        <f t="shared" si="280"/>
        <v>-2.1610470514698488E-2</v>
      </c>
      <c r="AV131" s="1">
        <f t="shared" si="280"/>
        <v>0</v>
      </c>
      <c r="AW131" s="1">
        <f t="shared" si="280"/>
        <v>2.161047051469853E-2</v>
      </c>
      <c r="AX131" s="1">
        <f t="shared" si="280"/>
        <v>0</v>
      </c>
      <c r="AY131" s="1">
        <f t="shared" si="280"/>
        <v>6.4831411544095593E-2</v>
      </c>
      <c r="AZ131" s="1">
        <f t="shared" si="280"/>
        <v>8.644188205879412E-2</v>
      </c>
      <c r="BA131" s="1">
        <f t="shared" ref="BA131:BC131" si="306">$AF131*BA$2</f>
        <v>0.10805235257349265</v>
      </c>
      <c r="BB131" s="1">
        <f t="shared" si="306"/>
        <v>0.12966282308819119</v>
      </c>
      <c r="BC131" s="1">
        <f t="shared" si="306"/>
        <v>0.15127329360288971</v>
      </c>
      <c r="BD131" s="1"/>
      <c r="BE131">
        <f t="shared" ref="BE131" si="307">LN($D131)-LN($D131*(1+BA131/100))</f>
        <v>-1.0799401803645026E-3</v>
      </c>
      <c r="BF131">
        <f t="shared" si="163"/>
        <v>-1.2957883344411059E-3</v>
      </c>
      <c r="BG131">
        <f t="shared" si="163"/>
        <v>-1.5115899081470374E-3</v>
      </c>
    </row>
    <row r="132" spans="1:59" x14ac:dyDescent="0.35">
      <c r="A132" t="str">
        <f>regions!A132</f>
        <v>Panama</v>
      </c>
      <c r="B132" s="22">
        <f>regions!B132</f>
        <v>3678128</v>
      </c>
      <c r="C132" s="22">
        <f>regions!C132</f>
        <v>22603329668.360188</v>
      </c>
      <c r="D132" s="10">
        <f>regions!D132</f>
        <v>6145.3352543359524</v>
      </c>
      <c r="E132" s="1">
        <f>regions!X132</f>
        <v>25.4</v>
      </c>
      <c r="I132" s="7">
        <f t="shared" si="243"/>
        <v>-9.3622698631233625</v>
      </c>
      <c r="J132" s="1">
        <f t="shared" si="244"/>
        <v>-8.8431048133772521</v>
      </c>
      <c r="K132" s="1">
        <f t="shared" si="303"/>
        <v>-6.1078763203594733E-2</v>
      </c>
      <c r="L132" s="1">
        <f t="shared" si="244"/>
        <v>-5.164729041203687</v>
      </c>
      <c r="M132" s="1">
        <f t="shared" ref="M132:M190" si="308">G$12+G$13*LN(D132)+G$14*E132</f>
        <v>-10.063861665149117</v>
      </c>
      <c r="N132" s="1">
        <f t="shared" ref="N132" si="309">M132+M$2</f>
        <v>-9.6794187747020963</v>
      </c>
      <c r="O132" s="1">
        <f t="shared" ref="O132:O190" si="310">STDEV(P132:Z132)</f>
        <v>2.7446144530034906</v>
      </c>
      <c r="P132" s="1">
        <f t="shared" si="289"/>
        <v>-11.329369462731405</v>
      </c>
      <c r="Q132" s="1">
        <f t="shared" si="289"/>
        <v>-8.30402384061159</v>
      </c>
      <c r="R132" s="1">
        <f t="shared" si="289"/>
        <v>-8.2625491862337093</v>
      </c>
      <c r="S132" s="1">
        <f>$M132+SUMPRODUCT(regions!BG132:BS132,regions!BG$193:BS$193)</f>
        <v>-4.6189112952765576</v>
      </c>
      <c r="T132" s="1">
        <f>$M132+SUMPRODUCT(regions!BV132:CD132,regions!BV$193:CD$193)</f>
        <v>-5.9046405536528335</v>
      </c>
      <c r="U132" s="1">
        <f>$M132+SUMPRODUCT(regions!CQ132:CV132,regions!CQ$193:CV$193)</f>
        <v>-6.3433761168670344</v>
      </c>
      <c r="V132" s="1">
        <f>$M132+SUMPRODUCT(regions!CY132:DF132,regions!CY$193:DF$193)</f>
        <v>-5.8946405536528328</v>
      </c>
      <c r="W132" s="1">
        <f>$M132+SUMPRODUCT(regions!DI132:DP132,regions!DI$193:DP$193)</f>
        <v>-3.8555405536528333</v>
      </c>
      <c r="X132" s="1">
        <f>$M132+SUMPRODUCT(regions!DR132:DW132,regions!DR$193:DW$193)</f>
        <v>-4.240200071913975</v>
      </c>
      <c r="Y132" s="1">
        <f>$M132+SUMPRODUCT(regions!DZ132:EE132,regions!DZ$193:EE$193)</f>
        <v>-3.7392121389292452</v>
      </c>
      <c r="Z132" s="1">
        <f t="shared" si="173"/>
        <v>-1.3</v>
      </c>
      <c r="AA132" t="str">
        <f>Maddison!A60</f>
        <v>Panama</v>
      </c>
      <c r="AB132">
        <f>-Maddison!B60</f>
        <v>-1.3</v>
      </c>
      <c r="AC132" s="1">
        <f>N132-AB132</f>
        <v>-8.3794187747020956</v>
      </c>
      <c r="AF132" s="1">
        <f t="shared" si="305"/>
        <v>3.2661383348508828</v>
      </c>
      <c r="AG132" s="1"/>
      <c r="AH132" s="1">
        <f t="shared" ref="AH132:AV190" si="311">$AF132*AH$2</f>
        <v>-0.31175064414847736</v>
      </c>
      <c r="AI132" s="1">
        <f t="shared" si="311"/>
        <v>-0.29096726787191218</v>
      </c>
      <c r="AJ132" s="1">
        <f t="shared" si="311"/>
        <v>-0.27018389159534695</v>
      </c>
      <c r="AK132" s="1">
        <f t="shared" si="311"/>
        <v>-0.22861713904221664</v>
      </c>
      <c r="AL132" s="1">
        <f t="shared" si="311"/>
        <v>-0.20783376276565149</v>
      </c>
      <c r="AM132" s="1">
        <f t="shared" si="311"/>
        <v>-0.18705038648908634</v>
      </c>
      <c r="AN132" s="1">
        <f t="shared" si="311"/>
        <v>-0.16626701021252116</v>
      </c>
      <c r="AO132" s="1">
        <f t="shared" si="311"/>
        <v>-0.14548363393595601</v>
      </c>
      <c r="AP132" s="1">
        <f t="shared" si="311"/>
        <v>-0.12470025765939088</v>
      </c>
      <c r="AQ132" s="1">
        <f t="shared" si="311"/>
        <v>-0.10391688138282572</v>
      </c>
      <c r="AR132" s="1">
        <f t="shared" si="311"/>
        <v>-8.313350510626058E-2</v>
      </c>
      <c r="AS132" s="1">
        <f t="shared" si="311"/>
        <v>-6.2350128829695428E-2</v>
      </c>
      <c r="AT132" s="1">
        <f t="shared" si="311"/>
        <v>-4.1566752553130269E-2</v>
      </c>
      <c r="AU132" s="1">
        <f t="shared" si="311"/>
        <v>-2.0783376276565117E-2</v>
      </c>
      <c r="AV132" s="1">
        <f t="shared" si="311"/>
        <v>0</v>
      </c>
      <c r="AW132" s="1">
        <f t="shared" ref="AI132:BC144" si="312">$AF132*AW$2</f>
        <v>2.0783376276565155E-2</v>
      </c>
      <c r="AX132" s="1">
        <f t="shared" si="312"/>
        <v>0</v>
      </c>
      <c r="AY132" s="1">
        <f t="shared" si="312"/>
        <v>6.2350128829695477E-2</v>
      </c>
      <c r="AZ132" s="1">
        <f t="shared" si="312"/>
        <v>8.3133505106260622E-2</v>
      </c>
      <c r="BA132" s="1">
        <f t="shared" si="312"/>
        <v>0.10391688138282577</v>
      </c>
      <c r="BB132" s="1">
        <f t="shared" si="312"/>
        <v>0.12470025765939093</v>
      </c>
      <c r="BC132" s="1">
        <f t="shared" si="312"/>
        <v>0.14548363393595609</v>
      </c>
      <c r="BD132" s="1"/>
      <c r="BE132">
        <f t="shared" ref="BE132" si="313">LN($D132)-LN($D132*(1+BA132/100))</f>
        <v>-1.0386292516813E-3</v>
      </c>
      <c r="BF132">
        <f t="shared" ref="BF132:BG190" si="314">LN($D132)-LN($D132*(1+BB132/100))</f>
        <v>-1.2462257146452771E-3</v>
      </c>
      <c r="BG132">
        <f t="shared" si="314"/>
        <v>-1.4537790902640069E-3</v>
      </c>
    </row>
    <row r="133" spans="1:59" x14ac:dyDescent="0.35">
      <c r="A133" t="str">
        <f>regions!A133</f>
        <v>Papua New Guinea</v>
      </c>
      <c r="B133" s="22">
        <f>regions!B133</f>
        <v>6858945</v>
      </c>
      <c r="C133" s="22">
        <f>regions!C133</f>
        <v>6553203635.5810919</v>
      </c>
      <c r="D133" s="10">
        <f>regions!D133</f>
        <v>955.42443270518891</v>
      </c>
      <c r="E133" s="1">
        <f>regions!X133</f>
        <v>25.2</v>
      </c>
      <c r="I133" s="7">
        <f t="shared" si="243"/>
        <v>-12.524626807476762</v>
      </c>
      <c r="J133" s="1">
        <f t="shared" si="244"/>
        <v>-12.005461757730652</v>
      </c>
      <c r="K133" s="1">
        <f t="shared" si="303"/>
        <v>-9.284976140258884</v>
      </c>
      <c r="L133" s="1">
        <f t="shared" si="244"/>
        <v>-14.388626418258976</v>
      </c>
      <c r="M133" s="1">
        <f t="shared" si="308"/>
        <v>-13.101531015153048</v>
      </c>
      <c r="N133" s="1">
        <f t="shared" ref="N133" si="315">M133+M$2</f>
        <v>-12.717088124706027</v>
      </c>
      <c r="O133" s="1">
        <f t="shared" si="310"/>
        <v>2.635658420527617</v>
      </c>
      <c r="P133" s="1">
        <f t="shared" si="289"/>
        <v>-14.367038812735338</v>
      </c>
      <c r="Q133" s="1">
        <f t="shared" si="289"/>
        <v>-11.341693190615521</v>
      </c>
      <c r="R133" s="1">
        <f t="shared" si="289"/>
        <v>-11.30021853623764</v>
      </c>
      <c r="S133" s="1">
        <f>$M133+SUMPRODUCT(regions!BG133:BS133,regions!BG$193:BS$193)</f>
        <v>-7.6565806452804885</v>
      </c>
      <c r="T133" s="1">
        <f>$M133+SUMPRODUCT(regions!BV133:CD133,regions!BV$193:CD$193)</f>
        <v>-12.81628025563486</v>
      </c>
      <c r="U133" s="1">
        <f>$M133+SUMPRODUCT(regions!CQ133:CV133,regions!CQ$193:CV$193)</f>
        <v>-9.3810454668709653</v>
      </c>
      <c r="V133" s="1">
        <f>$M133+SUMPRODUCT(regions!CY133:DF133,regions!CY$193:DF$193)</f>
        <v>-12.962893622833247</v>
      </c>
      <c r="W133" s="1">
        <f>$M133+SUMPRODUCT(regions!DI133:DP133,regions!DI$193:DP$193)</f>
        <v>-7.4578936228332493</v>
      </c>
      <c r="X133" s="1">
        <f>$M133+SUMPRODUCT(regions!DR133:DW133,regions!DR$193:DW$193)</f>
        <v>-7.2778694219179059</v>
      </c>
      <c r="Y133" s="1">
        <f>$M133+SUMPRODUCT(regions!DZ133:EE133,regions!DZ$193:EE$193)</f>
        <v>-6.7768814889331761</v>
      </c>
      <c r="Z133" s="1">
        <f t="shared" si="173"/>
        <v>-9.621464832708396</v>
      </c>
      <c r="AF133" s="1">
        <f t="shared" si="305"/>
        <v>0.22846898484695188</v>
      </c>
      <c r="AG133" s="1"/>
      <c r="AH133" s="1">
        <f t="shared" si="311"/>
        <v>-2.1807206520919695E-2</v>
      </c>
      <c r="AI133" s="1">
        <f t="shared" si="312"/>
        <v>-2.0353392752858378E-2</v>
      </c>
      <c r="AJ133" s="1">
        <f t="shared" si="312"/>
        <v>-1.8899578984797064E-2</v>
      </c>
      <c r="AK133" s="1">
        <f t="shared" si="312"/>
        <v>-1.5991951448674435E-2</v>
      </c>
      <c r="AL133" s="1">
        <f t="shared" si="312"/>
        <v>-1.4538137680613124E-2</v>
      </c>
      <c r="AM133" s="1">
        <f t="shared" si="312"/>
        <v>-1.308432391255181E-2</v>
      </c>
      <c r="AN133" s="1">
        <f t="shared" si="312"/>
        <v>-1.1630510144490498E-2</v>
      </c>
      <c r="AO133" s="1">
        <f t="shared" si="312"/>
        <v>-1.0176696376429185E-2</v>
      </c>
      <c r="AP133" s="1">
        <f t="shared" si="312"/>
        <v>-8.722882608367873E-3</v>
      </c>
      <c r="AQ133" s="1">
        <f t="shared" si="312"/>
        <v>-7.2690688403065605E-3</v>
      </c>
      <c r="AR133" s="1">
        <f t="shared" si="312"/>
        <v>-5.8152550722452481E-3</v>
      </c>
      <c r="AS133" s="1">
        <f t="shared" si="312"/>
        <v>-4.3614413041839356E-3</v>
      </c>
      <c r="AT133" s="1">
        <f t="shared" si="312"/>
        <v>-2.9076275361226227E-3</v>
      </c>
      <c r="AU133" s="1">
        <f t="shared" si="312"/>
        <v>-1.4538137680613101E-3</v>
      </c>
      <c r="AV133" s="1">
        <f t="shared" si="312"/>
        <v>0</v>
      </c>
      <c r="AW133" s="1">
        <f t="shared" si="312"/>
        <v>1.4538137680613129E-3</v>
      </c>
      <c r="AX133" s="1">
        <f t="shared" si="312"/>
        <v>0</v>
      </c>
      <c r="AY133" s="1">
        <f t="shared" si="312"/>
        <v>4.3614413041839391E-3</v>
      </c>
      <c r="AZ133" s="1">
        <f t="shared" si="312"/>
        <v>5.8152550722452515E-3</v>
      </c>
      <c r="BA133" s="1">
        <f t="shared" si="312"/>
        <v>7.2690688403065631E-3</v>
      </c>
      <c r="BB133" s="1">
        <f t="shared" si="312"/>
        <v>8.7228826083678764E-3</v>
      </c>
      <c r="BC133" s="1">
        <f t="shared" si="312"/>
        <v>1.0176696376429189E-2</v>
      </c>
      <c r="BD133" s="1"/>
      <c r="BE133">
        <f t="shared" ref="BE133" si="316">LN($D133)-LN($D133*(1+BA133/100))</f>
        <v>-7.268804656312966E-5</v>
      </c>
      <c r="BF133">
        <f t="shared" si="314"/>
        <v>-8.7225021871084607E-5</v>
      </c>
      <c r="BG133">
        <f t="shared" si="314"/>
        <v>-1.0176178585830087E-4</v>
      </c>
    </row>
    <row r="134" spans="1:59" x14ac:dyDescent="0.35">
      <c r="A134" t="str">
        <f>regions!A134</f>
        <v>Paraguay</v>
      </c>
      <c r="B134" s="22">
        <f>regions!B134</f>
        <v>6459721</v>
      </c>
      <c r="C134" s="22">
        <f>regions!C134</f>
        <v>11148152913.231319</v>
      </c>
      <c r="D134" s="10">
        <f>regions!D134</f>
        <v>1725.7948003065951</v>
      </c>
      <c r="E134" s="1">
        <f>regions!X134</f>
        <v>23.5</v>
      </c>
      <c r="I134" s="7">
        <f t="shared" si="243"/>
        <v>-11.09411129160619</v>
      </c>
      <c r="J134" s="1">
        <f t="shared" si="244"/>
        <v>-10.574946241860079</v>
      </c>
      <c r="K134" s="1">
        <f t="shared" si="303"/>
        <v>-6.8664145230837939</v>
      </c>
      <c r="L134" s="1">
        <f t="shared" si="244"/>
        <v>-11.970064801083886</v>
      </c>
      <c r="M134" s="1">
        <f t="shared" si="308"/>
        <v>-11.345648575359528</v>
      </c>
      <c r="N134" s="1">
        <f t="shared" ref="N134" si="317">M134+M$2</f>
        <v>-10.961205684912507</v>
      </c>
      <c r="O134" s="1">
        <f t="shared" si="310"/>
        <v>2.9347497378814333</v>
      </c>
      <c r="P134" s="1">
        <f t="shared" si="289"/>
        <v>-12.611156372941815</v>
      </c>
      <c r="Q134" s="1">
        <f t="shared" si="289"/>
        <v>-9.5858107508220005</v>
      </c>
      <c r="R134" s="1">
        <f t="shared" si="289"/>
        <v>-9.5443360964441197</v>
      </c>
      <c r="S134" s="1">
        <f>$M134+SUMPRODUCT(regions!BG134:BS134,regions!BG$193:BS$193)</f>
        <v>-5.9006982054869681</v>
      </c>
      <c r="T134" s="1">
        <f>$M134+SUMPRODUCT(regions!BV134:CD134,regions!BV$193:CD$193)</f>
        <v>-7.1864274638632439</v>
      </c>
      <c r="U134" s="1">
        <f>$M134+SUMPRODUCT(regions!CQ134:CV134,regions!CQ$193:CV$193)</f>
        <v>-7.6251630270774449</v>
      </c>
      <c r="V134" s="1">
        <f>$M134+SUMPRODUCT(regions!CY134:DF134,regions!CY$193:DF$193)</f>
        <v>-7.1764274638632433</v>
      </c>
      <c r="W134" s="1">
        <f>$M134+SUMPRODUCT(regions!DI134:DP134,regions!DI$193:DP$193)</f>
        <v>-5.1373274638632438</v>
      </c>
      <c r="X134" s="1">
        <f>$M134+SUMPRODUCT(regions!DR134:DW134,regions!DR$193:DW$193)</f>
        <v>-5.5219869821243854</v>
      </c>
      <c r="Y134" s="1">
        <f>$M134+SUMPRODUCT(regions!DZ134:EE134,regions!DZ$193:EE$193)</f>
        <v>-5.0209990491396557</v>
      </c>
      <c r="Z134" s="1">
        <f t="shared" si="173"/>
        <v>-1.5</v>
      </c>
      <c r="AA134" t="str">
        <f>Maddison!A61</f>
        <v>Paraguay</v>
      </c>
      <c r="AB134">
        <f>-Maddison!B61</f>
        <v>-1.5</v>
      </c>
      <c r="AC134" s="1">
        <f>N134-AB134</f>
        <v>-9.4612056849125068</v>
      </c>
      <c r="AF134" s="1">
        <f t="shared" si="305"/>
        <v>1.9843514246404723</v>
      </c>
      <c r="AG134" s="1"/>
      <c r="AH134" s="1">
        <f t="shared" si="311"/>
        <v>-0.18940497046548382</v>
      </c>
      <c r="AI134" s="1">
        <f t="shared" si="312"/>
        <v>-0.17677797243445154</v>
      </c>
      <c r="AJ134" s="1">
        <f t="shared" si="312"/>
        <v>-0.16415097440341928</v>
      </c>
      <c r="AK134" s="1">
        <f t="shared" si="312"/>
        <v>-0.13889697834135475</v>
      </c>
      <c r="AL134" s="1">
        <f t="shared" si="312"/>
        <v>-0.12626998031032249</v>
      </c>
      <c r="AM134" s="1">
        <f t="shared" si="312"/>
        <v>-0.11364298227929025</v>
      </c>
      <c r="AN134" s="1">
        <f t="shared" si="312"/>
        <v>-0.10101598424825799</v>
      </c>
      <c r="AO134" s="1">
        <f t="shared" si="312"/>
        <v>-8.8388986217225726E-2</v>
      </c>
      <c r="AP134" s="1">
        <f t="shared" si="312"/>
        <v>-7.5761988186193494E-2</v>
      </c>
      <c r="AQ134" s="1">
        <f t="shared" si="312"/>
        <v>-6.3134990155161233E-2</v>
      </c>
      <c r="AR134" s="1">
        <f t="shared" si="312"/>
        <v>-5.0507992124128986E-2</v>
      </c>
      <c r="AS134" s="1">
        <f t="shared" si="312"/>
        <v>-3.788099409309674E-2</v>
      </c>
      <c r="AT134" s="1">
        <f t="shared" si="312"/>
        <v>-2.5253996062064483E-2</v>
      </c>
      <c r="AU134" s="1">
        <f t="shared" si="312"/>
        <v>-1.2626998031032229E-2</v>
      </c>
      <c r="AV134" s="1">
        <f t="shared" si="312"/>
        <v>0</v>
      </c>
      <c r="AW134" s="1">
        <f t="shared" si="312"/>
        <v>1.2626998031032254E-2</v>
      </c>
      <c r="AX134" s="1">
        <f t="shared" si="312"/>
        <v>0</v>
      </c>
      <c r="AY134" s="1">
        <f t="shared" si="312"/>
        <v>3.7880994093096768E-2</v>
      </c>
      <c r="AZ134" s="1">
        <f t="shared" si="312"/>
        <v>5.0507992124129014E-2</v>
      </c>
      <c r="BA134" s="1">
        <f t="shared" si="312"/>
        <v>6.3134990155161261E-2</v>
      </c>
      <c r="BB134" s="1">
        <f t="shared" si="312"/>
        <v>7.5761988186193521E-2</v>
      </c>
      <c r="BC134" s="1">
        <f t="shared" si="312"/>
        <v>8.8388986217225768E-2</v>
      </c>
      <c r="BD134" s="1"/>
      <c r="BE134">
        <f t="shared" ref="BE134" si="318">LN($D134)-LN($D134*(1+BA134/100))</f>
        <v>-6.3115068404862029E-4</v>
      </c>
      <c r="BF134">
        <f t="shared" si="314"/>
        <v>-7.5733303279168496E-4</v>
      </c>
      <c r="BG134">
        <f t="shared" si="314"/>
        <v>-8.8349946155918957E-4</v>
      </c>
    </row>
    <row r="135" spans="1:59" x14ac:dyDescent="0.35">
      <c r="A135" t="str">
        <f>regions!A135</f>
        <v>Peru</v>
      </c>
      <c r="B135" s="22">
        <f>regions!B135</f>
        <v>29262830</v>
      </c>
      <c r="C135" s="22">
        <f>regions!C135</f>
        <v>103487662932.25778</v>
      </c>
      <c r="D135" s="10">
        <f>regions!D135</f>
        <v>3536.4885396339923</v>
      </c>
      <c r="E135" s="1">
        <f>regions!X135</f>
        <v>19.600000000000001</v>
      </c>
      <c r="I135" s="7">
        <f t="shared" si="243"/>
        <v>-7.8558374966492241</v>
      </c>
      <c r="J135" s="1">
        <f t="shared" si="244"/>
        <v>-7.3366724469031146</v>
      </c>
      <c r="K135" s="1">
        <f t="shared" si="303"/>
        <v>-1.5950053615318893</v>
      </c>
      <c r="L135" s="1">
        <f t="shared" si="244"/>
        <v>-6.6986556395319816</v>
      </c>
      <c r="M135" s="1">
        <f t="shared" si="308"/>
        <v>-8.3911624257185835</v>
      </c>
      <c r="N135" s="1">
        <f t="shared" ref="N135" si="319">M135+M$2</f>
        <v>-8.0067195352715625</v>
      </c>
      <c r="O135" s="1">
        <f t="shared" si="310"/>
        <v>2.8878342086775182</v>
      </c>
      <c r="P135" s="1">
        <f t="shared" si="289"/>
        <v>-9.6566702233008712</v>
      </c>
      <c r="Q135" s="1">
        <f t="shared" si="289"/>
        <v>-6.6313246011810563</v>
      </c>
      <c r="R135" s="1">
        <f t="shared" si="289"/>
        <v>-6.5898499468031755</v>
      </c>
      <c r="S135" s="1">
        <f>$M135+SUMPRODUCT(regions!BG135:BS135,regions!BG$193:BS$193)</f>
        <v>-2.9462120558460239</v>
      </c>
      <c r="T135" s="1">
        <f>$M135+SUMPRODUCT(regions!BV135:CD135,regions!BV$193:CD$193)</f>
        <v>-4.2319413142222997</v>
      </c>
      <c r="U135" s="1">
        <f>$M135+SUMPRODUCT(regions!CQ135:CV135,regions!CQ$193:CV$193)</f>
        <v>-4.6706768774365006</v>
      </c>
      <c r="V135" s="1">
        <f>$M135+SUMPRODUCT(regions!CY135:DF135,regions!CY$193:DF$193)</f>
        <v>-4.221941314222299</v>
      </c>
      <c r="W135" s="1">
        <f>$M135+SUMPRODUCT(regions!DI135:DP135,regions!DI$193:DP$193)</f>
        <v>-2.1828413142222995</v>
      </c>
      <c r="X135" s="1">
        <f>$M135+SUMPRODUCT(regions!DR135:DW135,regions!DR$193:DW$193)</f>
        <v>-2.5675008324834412</v>
      </c>
      <c r="Y135" s="1">
        <f>$M135+SUMPRODUCT(regions!DZ135:EE135,regions!DZ$193:EE$193)</f>
        <v>-2.0665128994987114</v>
      </c>
      <c r="Z135" s="1">
        <f t="shared" si="173"/>
        <v>1.2</v>
      </c>
      <c r="AA135" t="str">
        <f>Maddison!A62</f>
        <v>Peru</v>
      </c>
      <c r="AB135">
        <f>-Maddison!B62</f>
        <v>1.2</v>
      </c>
      <c r="AC135" s="1">
        <f>N135-AB135</f>
        <v>-9.2067195352715618</v>
      </c>
      <c r="AF135" s="1">
        <f t="shared" si="305"/>
        <v>4.9388375742814166</v>
      </c>
      <c r="AG135" s="1"/>
      <c r="AH135" s="1">
        <f t="shared" si="311"/>
        <v>-0.47140862917468257</v>
      </c>
      <c r="AI135" s="1">
        <f t="shared" si="312"/>
        <v>-0.4399813872297037</v>
      </c>
      <c r="AJ135" s="1">
        <f t="shared" si="312"/>
        <v>-0.40855414528472478</v>
      </c>
      <c r="AK135" s="1">
        <f t="shared" si="312"/>
        <v>-0.3456996613947671</v>
      </c>
      <c r="AL135" s="1">
        <f t="shared" si="312"/>
        <v>-0.31427241944978823</v>
      </c>
      <c r="AM135" s="1">
        <f t="shared" si="312"/>
        <v>-0.28284517750480942</v>
      </c>
      <c r="AN135" s="1">
        <f t="shared" si="312"/>
        <v>-0.25141793555983055</v>
      </c>
      <c r="AO135" s="1">
        <f t="shared" si="312"/>
        <v>-0.21999069361485174</v>
      </c>
      <c r="AP135" s="1">
        <f t="shared" si="312"/>
        <v>-0.18856345166987293</v>
      </c>
      <c r="AQ135" s="1">
        <f t="shared" si="312"/>
        <v>-0.15713620972489409</v>
      </c>
      <c r="AR135" s="1">
        <f t="shared" si="312"/>
        <v>-0.12570896777991528</v>
      </c>
      <c r="AS135" s="1">
        <f t="shared" si="312"/>
        <v>-9.428172583493645E-2</v>
      </c>
      <c r="AT135" s="1">
        <f t="shared" si="312"/>
        <v>-6.285448388995761E-2</v>
      </c>
      <c r="AU135" s="1">
        <f t="shared" si="312"/>
        <v>-3.1427241944978777E-2</v>
      </c>
      <c r="AV135" s="1">
        <f t="shared" si="312"/>
        <v>0</v>
      </c>
      <c r="AW135" s="1">
        <f t="shared" si="312"/>
        <v>3.1427241944978833E-2</v>
      </c>
      <c r="AX135" s="1">
        <f t="shared" si="312"/>
        <v>0</v>
      </c>
      <c r="AY135" s="1">
        <f t="shared" si="312"/>
        <v>9.4281725834936519E-2</v>
      </c>
      <c r="AZ135" s="1">
        <f t="shared" si="312"/>
        <v>0.12570896777991533</v>
      </c>
      <c r="BA135" s="1">
        <f t="shared" si="312"/>
        <v>0.15713620972489417</v>
      </c>
      <c r="BB135" s="1">
        <f t="shared" si="312"/>
        <v>0.18856345166987301</v>
      </c>
      <c r="BC135" s="1">
        <f t="shared" si="312"/>
        <v>0.21999069361485185</v>
      </c>
      <c r="BD135" s="1"/>
      <c r="BE135">
        <f t="shared" ref="BE135" si="320">LN($D135)-LN($D135*(1+BA135/100))</f>
        <v>-1.5701287996314761E-3</v>
      </c>
      <c r="BF135">
        <f t="shared" si="314"/>
        <v>-1.8838589396423799E-3</v>
      </c>
      <c r="BG135">
        <f t="shared" si="314"/>
        <v>-2.1974906839226094E-3</v>
      </c>
    </row>
    <row r="136" spans="1:59" x14ac:dyDescent="0.35">
      <c r="A136" t="str">
        <f>regions!A136</f>
        <v>Philippines</v>
      </c>
      <c r="B136" s="22">
        <f>regions!B136</f>
        <v>93444322</v>
      </c>
      <c r="C136" s="22">
        <f>regions!C136</f>
        <v>131131009140.35426</v>
      </c>
      <c r="D136" s="10">
        <f>regions!D136</f>
        <v>1403.3063361554944</v>
      </c>
      <c r="E136" s="1">
        <f>regions!X136</f>
        <v>25.8</v>
      </c>
      <c r="I136" s="7">
        <f t="shared" si="243"/>
        <v>-12.523848746676359</v>
      </c>
      <c r="J136" s="1">
        <f t="shared" si="244"/>
        <v>-12.004683696930249</v>
      </c>
      <c r="K136" s="1">
        <f t="shared" si="303"/>
        <v>-8.589556315055443</v>
      </c>
      <c r="L136" s="1">
        <f t="shared" si="244"/>
        <v>-13.693206593055535</v>
      </c>
      <c r="M136" s="1">
        <f t="shared" si="308"/>
        <v>-12.724687464974759</v>
      </c>
      <c r="N136" s="1">
        <f t="shared" ref="N136" si="321">M136+M$2</f>
        <v>-12.340244574527738</v>
      </c>
      <c r="O136" s="1">
        <f t="shared" si="310"/>
        <v>3.9849786187848948</v>
      </c>
      <c r="P136" s="1">
        <f t="shared" si="289"/>
        <v>-13.990195262557046</v>
      </c>
      <c r="Q136" s="1">
        <f t="shared" si="289"/>
        <v>-10.964849640437231</v>
      </c>
      <c r="R136" s="1">
        <f t="shared" si="289"/>
        <v>-10.923374986059351</v>
      </c>
      <c r="S136" s="1">
        <f>$M136+SUMPRODUCT(regions!BG136:BS136,regions!BG$193:BS$193)</f>
        <v>-3.9387489651747689</v>
      </c>
      <c r="T136" s="1">
        <f>$M136+SUMPRODUCT(regions!BV136:CD136,regions!BV$193:CD$193)</f>
        <v>-12.43943670545657</v>
      </c>
      <c r="U136" s="1">
        <f>$M136+SUMPRODUCT(regions!CQ136:CV136,regions!CQ$193:CV$193)</f>
        <v>-9.0042019166926757</v>
      </c>
      <c r="V136" s="1">
        <f>$M136+SUMPRODUCT(regions!CY136:DF136,regions!CY$193:DF$193)</f>
        <v>-12.586050072654958</v>
      </c>
      <c r="W136" s="1">
        <f>$M136+SUMPRODUCT(regions!DI136:DP136,regions!DI$193:DP$193)</f>
        <v>-7.0810500726549597</v>
      </c>
      <c r="X136" s="1">
        <f>$M136+SUMPRODUCT(regions!DR136:DW136,regions!DR$193:DW$193)</f>
        <v>-6.9010258717396162</v>
      </c>
      <c r="Y136" s="1">
        <f>$M136+SUMPRODUCT(regions!DZ136:EE136,regions!DZ$193:EE$193)</f>
        <v>-6.4000379387548865</v>
      </c>
      <c r="Z136" s="1">
        <f t="shared" si="173"/>
        <v>-1.1000000000000001</v>
      </c>
      <c r="AA136" t="str">
        <f>Maddison!A63</f>
        <v>Philippines</v>
      </c>
      <c r="AB136">
        <f>-Maddison!B63</f>
        <v>-1.1000000000000001</v>
      </c>
      <c r="AC136" s="1">
        <f>N136-AB136</f>
        <v>-11.240244574527738</v>
      </c>
      <c r="AF136" s="1">
        <f t="shared" si="305"/>
        <v>0.60531253502524152</v>
      </c>
      <c r="AG136" s="1"/>
      <c r="AH136" s="1">
        <f t="shared" si="311"/>
        <v>-5.7776662639086381E-2</v>
      </c>
      <c r="AI136" s="1">
        <f t="shared" si="312"/>
        <v>-5.392488512981395E-2</v>
      </c>
      <c r="AJ136" s="1">
        <f t="shared" si="312"/>
        <v>-5.0073107620541513E-2</v>
      </c>
      <c r="AK136" s="1">
        <f t="shared" si="312"/>
        <v>-4.2369552601996666E-2</v>
      </c>
      <c r="AL136" s="1">
        <f t="shared" si="312"/>
        <v>-3.8517775092724242E-2</v>
      </c>
      <c r="AM136" s="1">
        <f t="shared" si="312"/>
        <v>-3.4665997583451812E-2</v>
      </c>
      <c r="AN136" s="1">
        <f t="shared" si="312"/>
        <v>-3.0814220074179388E-2</v>
      </c>
      <c r="AO136" s="1">
        <f t="shared" si="312"/>
        <v>-2.6962442564906961E-2</v>
      </c>
      <c r="AP136" s="1">
        <f t="shared" si="312"/>
        <v>-2.3110665055634541E-2</v>
      </c>
      <c r="AQ136" s="1">
        <f t="shared" si="312"/>
        <v>-1.9258887546362114E-2</v>
      </c>
      <c r="AR136" s="1">
        <f t="shared" si="312"/>
        <v>-1.5407110037089692E-2</v>
      </c>
      <c r="AS136" s="1">
        <f t="shared" si="312"/>
        <v>-1.1555332527817269E-2</v>
      </c>
      <c r="AT136" s="1">
        <f t="shared" si="312"/>
        <v>-7.7035550185448427E-3</v>
      </c>
      <c r="AU136" s="1">
        <f t="shared" si="312"/>
        <v>-3.8517775092724179E-3</v>
      </c>
      <c r="AV136" s="1">
        <f t="shared" si="312"/>
        <v>0</v>
      </c>
      <c r="AW136" s="1">
        <f t="shared" si="312"/>
        <v>3.8517775092724253E-3</v>
      </c>
      <c r="AX136" s="1">
        <f t="shared" si="312"/>
        <v>0</v>
      </c>
      <c r="AY136" s="1">
        <f t="shared" si="312"/>
        <v>1.1555332527817277E-2</v>
      </c>
      <c r="AZ136" s="1">
        <f t="shared" si="312"/>
        <v>1.5407110037089701E-2</v>
      </c>
      <c r="BA136" s="1">
        <f t="shared" si="312"/>
        <v>1.9258887546362125E-2</v>
      </c>
      <c r="BB136" s="1">
        <f t="shared" si="312"/>
        <v>2.3110665055634548E-2</v>
      </c>
      <c r="BC136" s="1">
        <f t="shared" si="312"/>
        <v>2.6962442564906975E-2</v>
      </c>
      <c r="BD136" s="1"/>
      <c r="BE136">
        <f t="shared" ref="BE136" si="322">LN($D136)-LN($D136*(1+BA136/100))</f>
        <v>-1.9257033260711154E-4</v>
      </c>
      <c r="BF136">
        <f t="shared" si="314"/>
        <v>-2.3107994952820121E-4</v>
      </c>
      <c r="BG136">
        <f t="shared" si="314"/>
        <v>-2.6958808351640329E-4</v>
      </c>
    </row>
    <row r="137" spans="1:59" x14ac:dyDescent="0.35">
      <c r="A137" t="str">
        <f>regions!A137</f>
        <v>Poland</v>
      </c>
      <c r="B137" s="22">
        <f>regions!B137</f>
        <v>38183683</v>
      </c>
      <c r="C137" s="22">
        <f>regions!C137</f>
        <v>383205737633.98334</v>
      </c>
      <c r="D137" s="10">
        <f>regions!D137</f>
        <v>10035.850591834826</v>
      </c>
      <c r="E137" s="1">
        <f>regions!X137</f>
        <v>7.8</v>
      </c>
      <c r="I137" s="7">
        <f t="shared" si="243"/>
        <v>1.7611011871521018</v>
      </c>
      <c r="J137" s="1">
        <f t="shared" si="244"/>
        <v>2.2802662368982114</v>
      </c>
      <c r="K137" s="1">
        <f t="shared" si="303"/>
        <v>12.415522469943939</v>
      </c>
      <c r="L137" s="1">
        <f t="shared" si="244"/>
        <v>7.3118721919438467</v>
      </c>
      <c r="M137" s="1">
        <f t="shared" si="308"/>
        <v>-1.3467315231487613</v>
      </c>
      <c r="N137" s="1">
        <f t="shared" ref="N137" si="323">M137+M$2</f>
        <v>-0.96228863270174059</v>
      </c>
      <c r="O137" s="1">
        <f t="shared" si="310"/>
        <v>2.5071193518350516</v>
      </c>
      <c r="P137" s="1">
        <f t="shared" si="289"/>
        <v>-2.6122393207310495</v>
      </c>
      <c r="Q137" s="1">
        <f t="shared" si="289"/>
        <v>0.41310630138876636</v>
      </c>
      <c r="R137" s="1">
        <f t="shared" si="289"/>
        <v>0.4545809557666467</v>
      </c>
      <c r="S137" s="1">
        <f>$M137+SUMPRODUCT(regions!BG137:BS137,regions!BG$193:BS$193)</f>
        <v>-0.19351435045865073</v>
      </c>
      <c r="T137" s="1">
        <f>$M137+SUMPRODUCT(regions!BV137:CD137,regions!BV$193:CD$193)</f>
        <v>-1.1774853789962549</v>
      </c>
      <c r="U137" s="1">
        <f>$M137+SUMPRODUCT(regions!CQ137:CV137,regions!CQ$193:CV$193)</f>
        <v>2.3737540251333216</v>
      </c>
      <c r="V137" s="1">
        <f>$M137+SUMPRODUCT(regions!CY137:DF137,regions!CY$193:DF$193)</f>
        <v>-1.477485378996255</v>
      </c>
      <c r="W137" s="1">
        <f>$M137+SUMPRODUCT(regions!DI137:DP137,regions!DI$193:DP$193)</f>
        <v>-1.0469853789962549</v>
      </c>
      <c r="X137" s="1">
        <f>$M137+SUMPRODUCT(regions!DR137:DW137,regions!DR$193:DW$193)</f>
        <v>4.4769300700863806</v>
      </c>
      <c r="Y137" s="1">
        <f>$M137+SUMPRODUCT(regions!DZ137:EE137,regions!DZ$193:EE$193)</f>
        <v>4.9779180030711103</v>
      </c>
      <c r="Z137" s="1">
        <f t="shared" ref="Z137:Z190" si="324">IF(ISNUMBER(AB137),AB137,N137-AC$2)</f>
        <v>2.8</v>
      </c>
      <c r="AA137" t="str">
        <f>Maddison!A64</f>
        <v>Poland</v>
      </c>
      <c r="AB137">
        <f>-Maddison!B64</f>
        <v>2.8</v>
      </c>
      <c r="AC137" s="1">
        <f>N137-AB137</f>
        <v>-3.7622886327017406</v>
      </c>
      <c r="AF137" s="1">
        <f t="shared" si="305"/>
        <v>11.983268476851238</v>
      </c>
      <c r="AG137" s="1"/>
      <c r="AH137" s="1">
        <f t="shared" si="311"/>
        <v>-1.1437946846281011</v>
      </c>
      <c r="AI137" s="1">
        <f t="shared" si="312"/>
        <v>-1.0675417056528942</v>
      </c>
      <c r="AJ137" s="1">
        <f t="shared" si="312"/>
        <v>-0.9912887266776873</v>
      </c>
      <c r="AK137" s="1">
        <f t="shared" si="312"/>
        <v>-0.83878276872727386</v>
      </c>
      <c r="AL137" s="1">
        <f t="shared" si="312"/>
        <v>-0.76252978975206709</v>
      </c>
      <c r="AM137" s="1">
        <f t="shared" si="312"/>
        <v>-0.68627681077686031</v>
      </c>
      <c r="AN137" s="1">
        <f t="shared" si="312"/>
        <v>-0.61002383180165365</v>
      </c>
      <c r="AO137" s="1">
        <f t="shared" si="312"/>
        <v>-0.53377085282644687</v>
      </c>
      <c r="AP137" s="1">
        <f t="shared" si="312"/>
        <v>-0.45751787385124021</v>
      </c>
      <c r="AQ137" s="1">
        <f t="shared" si="312"/>
        <v>-0.38126489487603343</v>
      </c>
      <c r="AR137" s="1">
        <f t="shared" si="312"/>
        <v>-0.30501191590082677</v>
      </c>
      <c r="AS137" s="1">
        <f t="shared" si="312"/>
        <v>-0.22875893692562005</v>
      </c>
      <c r="AT137" s="1">
        <f t="shared" si="312"/>
        <v>-0.15250595795041333</v>
      </c>
      <c r="AU137" s="1">
        <f t="shared" si="312"/>
        <v>-7.6252978975206581E-2</v>
      </c>
      <c r="AV137" s="1">
        <f t="shared" si="312"/>
        <v>0</v>
      </c>
      <c r="AW137" s="1">
        <f t="shared" si="312"/>
        <v>7.6252978975206734E-2</v>
      </c>
      <c r="AX137" s="1">
        <f t="shared" si="312"/>
        <v>0</v>
      </c>
      <c r="AY137" s="1">
        <f t="shared" si="312"/>
        <v>0.22875893692562022</v>
      </c>
      <c r="AZ137" s="1">
        <f t="shared" si="312"/>
        <v>0.30501191590082694</v>
      </c>
      <c r="BA137" s="1">
        <f t="shared" si="312"/>
        <v>0.3812648948760336</v>
      </c>
      <c r="BB137" s="1">
        <f t="shared" si="312"/>
        <v>0.45751787385124038</v>
      </c>
      <c r="BC137" s="1">
        <f t="shared" si="312"/>
        <v>0.5337708528264471</v>
      </c>
      <c r="BD137" s="1"/>
      <c r="BE137">
        <f t="shared" ref="BE137" si="325">LN($D137)-LN($D137*(1+BA137/100))</f>
        <v>-3.8053992240190126E-3</v>
      </c>
      <c r="BF137">
        <f t="shared" si="314"/>
        <v>-4.5647444220726641E-3</v>
      </c>
      <c r="BG137">
        <f t="shared" si="314"/>
        <v>-5.3235134524776129E-3</v>
      </c>
    </row>
    <row r="138" spans="1:59" x14ac:dyDescent="0.35">
      <c r="A138" t="str">
        <f>regions!A138</f>
        <v>Portugal</v>
      </c>
      <c r="B138" s="22">
        <f>regions!B138</f>
        <v>10637346</v>
      </c>
      <c r="C138" s="22">
        <f>regions!C138</f>
        <v>197164604092.98117</v>
      </c>
      <c r="D138" s="10">
        <f>regions!D138</f>
        <v>18535.131234142536</v>
      </c>
      <c r="E138" s="1">
        <f>regions!X138</f>
        <v>15.1</v>
      </c>
      <c r="I138" s="7">
        <f t="shared" si="243"/>
        <v>0.39969761633562584</v>
      </c>
      <c r="J138" s="1">
        <f t="shared" si="244"/>
        <v>0.91886266608173561</v>
      </c>
      <c r="K138" s="1">
        <f t="shared" si="303"/>
        <v>12.748801558768351</v>
      </c>
      <c r="L138" s="1">
        <f t="shared" si="244"/>
        <v>7.6451512807682587</v>
      </c>
      <c r="M138" s="1">
        <f t="shared" si="308"/>
        <v>-3.5897320720135681</v>
      </c>
      <c r="N138" s="1">
        <f t="shared" ref="N138" si="326">M138+M$2</f>
        <v>-3.2052891815665472</v>
      </c>
      <c r="O138" s="1">
        <f t="shared" si="310"/>
        <v>2.4708764076672383</v>
      </c>
      <c r="P138" s="1">
        <f t="shared" si="289"/>
        <v>-4.8552398695958559</v>
      </c>
      <c r="Q138" s="1">
        <f t="shared" si="289"/>
        <v>-1.8298942474760402</v>
      </c>
      <c r="R138" s="1">
        <f t="shared" si="289"/>
        <v>-1.7884195930981603</v>
      </c>
      <c r="S138" s="1">
        <f>$M138+SUMPRODUCT(regions!BG138:BS138,regions!BG$193:BS$193)</f>
        <v>-6.4207873120901811</v>
      </c>
      <c r="T138" s="1">
        <f>$M138+SUMPRODUCT(regions!BV138:CD138,regions!BV$193:CD$193)</f>
        <v>-4.8209210200810908</v>
      </c>
      <c r="U138" s="1">
        <f>$M138+SUMPRODUCT(regions!CQ138:CV138,regions!CQ$193:CV$193)</f>
        <v>-4.5706448378309323</v>
      </c>
      <c r="V138" s="1">
        <f>$M138+SUMPRODUCT(regions!CY138:DF138,regions!CY$193:DF$193)</f>
        <v>-4.6939270493229497</v>
      </c>
      <c r="W138" s="1">
        <f>$M138+SUMPRODUCT(regions!DI138:DP138,regions!DI$193:DP$193)</f>
        <v>-4.6239270493229494</v>
      </c>
      <c r="X138" s="1">
        <f>$M138+SUMPRODUCT(regions!DR138:DW138,regions!DR$193:DW$193)</f>
        <v>-4.7939270493229493</v>
      </c>
      <c r="Y138" s="1">
        <f>$M138+SUMPRODUCT(regions!DZ138:EE138,regions!DZ$193:EE$193)</f>
        <v>-4.9939270493229495</v>
      </c>
      <c r="Z138" s="1">
        <f t="shared" si="324"/>
        <v>2.5</v>
      </c>
      <c r="AA138" t="str">
        <f>Maddison!A65</f>
        <v>Portugal</v>
      </c>
      <c r="AB138">
        <f>-Maddison!B65</f>
        <v>2.5</v>
      </c>
      <c r="AC138" s="1">
        <f>N138-AB138</f>
        <v>-5.7052891815665472</v>
      </c>
      <c r="AF138" s="1">
        <f t="shared" si="305"/>
        <v>9.7402679279864319</v>
      </c>
      <c r="AG138" s="1"/>
      <c r="AH138" s="1">
        <f t="shared" si="311"/>
        <v>-0.92970183422042951</v>
      </c>
      <c r="AI138" s="1">
        <f t="shared" si="312"/>
        <v>-0.86772171193906744</v>
      </c>
      <c r="AJ138" s="1">
        <f t="shared" si="312"/>
        <v>-0.80574158965770537</v>
      </c>
      <c r="AK138" s="1">
        <f t="shared" si="312"/>
        <v>-0.68178134509498134</v>
      </c>
      <c r="AL138" s="1">
        <f t="shared" si="312"/>
        <v>-0.61980122281361938</v>
      </c>
      <c r="AM138" s="1">
        <f t="shared" si="312"/>
        <v>-0.55782110053225742</v>
      </c>
      <c r="AN138" s="1">
        <f t="shared" si="312"/>
        <v>-0.49584097825089546</v>
      </c>
      <c r="AO138" s="1">
        <f t="shared" si="312"/>
        <v>-0.4338608559695335</v>
      </c>
      <c r="AP138" s="1">
        <f t="shared" si="312"/>
        <v>-0.37188073368817159</v>
      </c>
      <c r="AQ138" s="1">
        <f t="shared" si="312"/>
        <v>-0.30990061140680963</v>
      </c>
      <c r="AR138" s="1">
        <f t="shared" si="312"/>
        <v>-0.2479204891254477</v>
      </c>
      <c r="AS138" s="1">
        <f t="shared" si="312"/>
        <v>-0.18594036684408577</v>
      </c>
      <c r="AT138" s="1">
        <f t="shared" si="312"/>
        <v>-0.1239602445627238</v>
      </c>
      <c r="AU138" s="1">
        <f t="shared" si="312"/>
        <v>-6.1980122281361842E-2</v>
      </c>
      <c r="AV138" s="1">
        <f t="shared" si="312"/>
        <v>0</v>
      </c>
      <c r="AW138" s="1">
        <f t="shared" si="312"/>
        <v>6.198012228136196E-2</v>
      </c>
      <c r="AX138" s="1">
        <f t="shared" si="312"/>
        <v>0</v>
      </c>
      <c r="AY138" s="1">
        <f t="shared" si="312"/>
        <v>0.18594036684408591</v>
      </c>
      <c r="AZ138" s="1">
        <f t="shared" si="312"/>
        <v>0.24792048912544784</v>
      </c>
      <c r="BA138" s="1">
        <f t="shared" si="312"/>
        <v>0.3099006114068098</v>
      </c>
      <c r="BB138" s="1">
        <f t="shared" si="312"/>
        <v>0.37188073368817176</v>
      </c>
      <c r="BC138" s="1">
        <f t="shared" si="312"/>
        <v>0.43386085596953372</v>
      </c>
      <c r="BD138" s="1"/>
      <c r="BE138">
        <f t="shared" ref="BE138" si="327">LN($D138)-LN($D138*(1+BA138/100))</f>
        <v>-3.0942140924050676E-3</v>
      </c>
      <c r="BF138">
        <f t="shared" si="314"/>
        <v>-3.7119096683220221E-3</v>
      </c>
      <c r="BG138">
        <f t="shared" si="314"/>
        <v>-4.3292239319381309E-3</v>
      </c>
    </row>
    <row r="139" spans="1:59" x14ac:dyDescent="0.35">
      <c r="A139" t="str">
        <f>regions!A139</f>
        <v>Puerto Rico</v>
      </c>
      <c r="B139" s="22">
        <f>regions!B139</f>
        <v>3721208</v>
      </c>
      <c r="C139" s="22">
        <f>regions!C139</f>
        <v>77337254437.921829</v>
      </c>
      <c r="D139" s="10">
        <f>regions!D139</f>
        <v>20782.83569150712</v>
      </c>
      <c r="E139" s="1">
        <f>regions!X139</f>
        <v>25.2</v>
      </c>
      <c r="I139" s="7">
        <f t="shared" si="243"/>
        <v>-4.6272997443770247</v>
      </c>
      <c r="J139" s="1">
        <f t="shared" si="244"/>
        <v>-4.1081346946309152</v>
      </c>
      <c r="K139" s="1">
        <f t="shared" si="303"/>
        <v>7.9790112724772033</v>
      </c>
      <c r="L139" s="1">
        <f t="shared" si="244"/>
        <v>2.875360994477111</v>
      </c>
      <c r="M139" s="1">
        <f t="shared" si="308"/>
        <v>-7.9269428385917031</v>
      </c>
      <c r="N139" s="1">
        <f t="shared" ref="N139" si="328">M139+M$2</f>
        <v>-7.5424999481446822</v>
      </c>
      <c r="O139" s="1">
        <f t="shared" si="310"/>
        <v>2.2389930977676746</v>
      </c>
      <c r="P139" s="1">
        <f t="shared" si="289"/>
        <v>-9.1924506361739908</v>
      </c>
      <c r="Q139" s="1">
        <f t="shared" si="289"/>
        <v>-6.167105014054175</v>
      </c>
      <c r="R139" s="1">
        <f t="shared" si="289"/>
        <v>-6.1256303596762951</v>
      </c>
      <c r="S139" s="1">
        <f>$M139+SUMPRODUCT(regions!BG139:BS139,regions!BG$193:BS$193)</f>
        <v>-4.2598439228528626</v>
      </c>
      <c r="T139" s="1">
        <f>$M139+SUMPRODUCT(regions!BV139:CD139,regions!BV$193:CD$193)</f>
        <v>-3.7677217270954193</v>
      </c>
      <c r="U139" s="1">
        <f>$M139+SUMPRODUCT(regions!CQ139:CV139,regions!CQ$193:CV$193)</f>
        <v>-4.2064572903096202</v>
      </c>
      <c r="V139" s="1">
        <f>$M139+SUMPRODUCT(regions!CY139:DF139,regions!CY$193:DF$193)</f>
        <v>-3.7577217270954186</v>
      </c>
      <c r="W139" s="1">
        <f>$M139+SUMPRODUCT(regions!DI139:DP139,regions!DI$193:DP$193)</f>
        <v>-1.7186217270954192</v>
      </c>
      <c r="X139" s="1">
        <f>$M139+SUMPRODUCT(regions!DR139:DW139,regions!DR$193:DW$193)</f>
        <v>-2.1032812453565608</v>
      </c>
      <c r="Y139" s="1">
        <f>$M139+SUMPRODUCT(regions!DZ139:EE139,regions!DZ$193:EE$193)</f>
        <v>-1.602293312371831</v>
      </c>
      <c r="Z139" s="1">
        <f t="shared" si="324"/>
        <v>-4.446876656147051</v>
      </c>
      <c r="AF139" s="1">
        <f t="shared" si="305"/>
        <v>5.4030571614082969</v>
      </c>
      <c r="AG139" s="1"/>
      <c r="AH139" s="1">
        <f t="shared" si="311"/>
        <v>-0.51571806756218819</v>
      </c>
      <c r="AI139" s="1">
        <f t="shared" si="312"/>
        <v>-0.48133686305804219</v>
      </c>
      <c r="AJ139" s="1">
        <f t="shared" si="312"/>
        <v>-0.44695565855389624</v>
      </c>
      <c r="AK139" s="1">
        <f t="shared" si="312"/>
        <v>-0.37819324954560446</v>
      </c>
      <c r="AL139" s="1">
        <f t="shared" si="312"/>
        <v>-0.34381204504145862</v>
      </c>
      <c r="AM139" s="1">
        <f t="shared" si="312"/>
        <v>-0.30943084053731273</v>
      </c>
      <c r="AN139" s="1">
        <f t="shared" si="312"/>
        <v>-0.27504963603316684</v>
      </c>
      <c r="AO139" s="1">
        <f t="shared" si="312"/>
        <v>-0.24066843152902098</v>
      </c>
      <c r="AP139" s="1">
        <f t="shared" si="312"/>
        <v>-0.20628722702487515</v>
      </c>
      <c r="AQ139" s="1">
        <f t="shared" si="312"/>
        <v>-0.17190602252072926</v>
      </c>
      <c r="AR139" s="1">
        <f t="shared" si="312"/>
        <v>-0.13752481801658342</v>
      </c>
      <c r="AS139" s="1">
        <f t="shared" si="312"/>
        <v>-0.10314361351243756</v>
      </c>
      <c r="AT139" s="1">
        <f t="shared" si="312"/>
        <v>-6.8762409008291683E-2</v>
      </c>
      <c r="AU139" s="1">
        <f t="shared" si="312"/>
        <v>-3.4381204504145807E-2</v>
      </c>
      <c r="AV139" s="1">
        <f t="shared" si="312"/>
        <v>0</v>
      </c>
      <c r="AW139" s="1">
        <f t="shared" si="312"/>
        <v>3.4381204504145869E-2</v>
      </c>
      <c r="AX139" s="1">
        <f t="shared" si="312"/>
        <v>0</v>
      </c>
      <c r="AY139" s="1">
        <f t="shared" si="312"/>
        <v>0.10314361351243763</v>
      </c>
      <c r="AZ139" s="1">
        <f t="shared" si="312"/>
        <v>0.13752481801658348</v>
      </c>
      <c r="BA139" s="1">
        <f t="shared" si="312"/>
        <v>0.17190602252072934</v>
      </c>
      <c r="BB139" s="1">
        <f t="shared" si="312"/>
        <v>0.20628722702487523</v>
      </c>
      <c r="BC139" s="1">
        <f t="shared" si="312"/>
        <v>0.24066843152902109</v>
      </c>
      <c r="BD139" s="1"/>
      <c r="BE139">
        <f t="shared" ref="BE139" si="329">LN($D139)-LN($D139*(1+BA139/100))</f>
        <v>-1.7175843323684603E-3</v>
      </c>
      <c r="BF139">
        <f t="shared" si="314"/>
        <v>-2.0607474708711493E-3</v>
      </c>
      <c r="BG139">
        <f t="shared" si="314"/>
        <v>-2.403792888831191E-3</v>
      </c>
    </row>
    <row r="140" spans="1:59" x14ac:dyDescent="0.35">
      <c r="A140" t="str">
        <f>regions!A140</f>
        <v>Qatar</v>
      </c>
      <c r="B140" s="22">
        <f>regions!B140</f>
        <v>1749713</v>
      </c>
      <c r="C140" s="22">
        <f>regions!C140</f>
        <v>101932972130.43025</v>
      </c>
      <c r="D140" s="10">
        <f>regions!D140</f>
        <v>58256.966788513462</v>
      </c>
      <c r="E140" s="1">
        <f>regions!X140</f>
        <v>27.2</v>
      </c>
      <c r="I140" s="7">
        <f t="shared" si="243"/>
        <v>-24.673142831432532</v>
      </c>
      <c r="J140" s="1">
        <f t="shared" si="244"/>
        <v>-24.153977781686422</v>
      </c>
      <c r="K140" s="1">
        <f t="shared" si="303"/>
        <v>-13.365860604532845</v>
      </c>
      <c r="L140" s="1">
        <f t="shared" si="244"/>
        <v>-18.469510882532937</v>
      </c>
      <c r="M140" s="1">
        <f t="shared" si="308"/>
        <v>-7.0920254874802389</v>
      </c>
      <c r="N140" s="1">
        <f t="shared" ref="N140" si="330">M140+M$2</f>
        <v>-6.7075825970332179</v>
      </c>
      <c r="O140" s="1">
        <f t="shared" si="310"/>
        <v>2.3788817405873099</v>
      </c>
      <c r="P140" s="1">
        <f t="shared" si="289"/>
        <v>-8.3575332850625266</v>
      </c>
      <c r="Q140" s="1">
        <f t="shared" si="289"/>
        <v>-5.3321876629427107</v>
      </c>
      <c r="R140" s="1">
        <f t="shared" si="289"/>
        <v>-5.2907130085648308</v>
      </c>
      <c r="S140" s="1">
        <f>$M140+SUMPRODUCT(regions!BG140:BS140,regions!BG$193:BS$193)</f>
        <v>-0.99677096711035684</v>
      </c>
      <c r="T140" s="1">
        <f>$M140+SUMPRODUCT(regions!BV140:CD140,regions!BV$193:CD$193)</f>
        <v>-4.6050459971966866</v>
      </c>
      <c r="U140" s="1">
        <f>$M140+SUMPRODUCT(regions!CQ140:CV140,regions!CQ$193:CV$193)</f>
        <v>-3.371539939198156</v>
      </c>
      <c r="V140" s="1">
        <f>$M140+SUMPRODUCT(regions!CY140:DF140,regions!CY$193:DF$193)</f>
        <v>-4.9904479666545374</v>
      </c>
      <c r="W140" s="1">
        <f>$M140+SUMPRODUCT(regions!DI140:DP140,regions!DI$193:DP$193)</f>
        <v>-1.3913479666545374</v>
      </c>
      <c r="X140" s="1">
        <f>$M140+SUMPRODUCT(regions!DR140:DW140,regions!DR$193:DW$193)</f>
        <v>-1.2683638942450965</v>
      </c>
      <c r="Y140" s="1">
        <f>$M140+SUMPRODUCT(regions!DZ140:EE140,regions!DZ$193:EE$193)</f>
        <v>-0.76737596126036678</v>
      </c>
      <c r="Z140" s="1">
        <f t="shared" si="324"/>
        <v>-3.6119593050355863</v>
      </c>
      <c r="AF140" s="1">
        <f t="shared" si="305"/>
        <v>6.2379745125197612</v>
      </c>
      <c r="AG140" s="1"/>
      <c r="AH140" s="1">
        <f t="shared" si="311"/>
        <v>-0.59541035102807593</v>
      </c>
      <c r="AI140" s="1">
        <f t="shared" si="312"/>
        <v>-0.55571632762620415</v>
      </c>
      <c r="AJ140" s="1">
        <f t="shared" si="312"/>
        <v>-0.51602230422433237</v>
      </c>
      <c r="AK140" s="1">
        <f t="shared" si="312"/>
        <v>-0.43663425742058887</v>
      </c>
      <c r="AL140" s="1">
        <f t="shared" si="312"/>
        <v>-0.39694023401871714</v>
      </c>
      <c r="AM140" s="1">
        <f t="shared" si="312"/>
        <v>-0.35724621061684542</v>
      </c>
      <c r="AN140" s="1">
        <f t="shared" si="312"/>
        <v>-0.31755218721497369</v>
      </c>
      <c r="AO140" s="1">
        <f t="shared" si="312"/>
        <v>-0.27785816381310197</v>
      </c>
      <c r="AP140" s="1">
        <f t="shared" si="312"/>
        <v>-0.23816414041123027</v>
      </c>
      <c r="AQ140" s="1">
        <f t="shared" si="312"/>
        <v>-0.19847011700935852</v>
      </c>
      <c r="AR140" s="1">
        <f t="shared" si="312"/>
        <v>-0.15877609360748682</v>
      </c>
      <c r="AS140" s="1">
        <f t="shared" si="312"/>
        <v>-0.11908207020561511</v>
      </c>
      <c r="AT140" s="1">
        <f t="shared" si="312"/>
        <v>-7.9388046803743381E-2</v>
      </c>
      <c r="AU140" s="1">
        <f t="shared" si="312"/>
        <v>-3.9694023401871649E-2</v>
      </c>
      <c r="AV140" s="1">
        <f t="shared" si="312"/>
        <v>0</v>
      </c>
      <c r="AW140" s="1">
        <f t="shared" si="312"/>
        <v>3.9694023401871725E-2</v>
      </c>
      <c r="AX140" s="1">
        <f t="shared" si="312"/>
        <v>0</v>
      </c>
      <c r="AY140" s="1">
        <f t="shared" si="312"/>
        <v>0.11908207020561519</v>
      </c>
      <c r="AZ140" s="1">
        <f t="shared" si="312"/>
        <v>0.1587760936074869</v>
      </c>
      <c r="BA140" s="1">
        <f t="shared" si="312"/>
        <v>0.19847011700935863</v>
      </c>
      <c r="BB140" s="1">
        <f t="shared" si="312"/>
        <v>0.23816414041123035</v>
      </c>
      <c r="BC140" s="1">
        <f t="shared" si="312"/>
        <v>0.27785816381310208</v>
      </c>
      <c r="BD140" s="1"/>
      <c r="BE140">
        <f t="shared" ref="BE140" si="331">LN($D140)-LN($D140*(1+BA140/100))</f>
        <v>-1.982734252791829E-3</v>
      </c>
      <c r="BF140">
        <f t="shared" si="314"/>
        <v>-2.3788097912564865E-3</v>
      </c>
      <c r="BG140">
        <f t="shared" si="314"/>
        <v>-2.7747285159982482E-3</v>
      </c>
    </row>
    <row r="141" spans="1:59" x14ac:dyDescent="0.35">
      <c r="A141" t="str">
        <f>regions!A141</f>
        <v>Romania</v>
      </c>
      <c r="B141" s="22">
        <f>regions!B141</f>
        <v>21438001</v>
      </c>
      <c r="C141" s="22">
        <f>regions!C141</f>
        <v>114088972368.88327</v>
      </c>
      <c r="D141" s="10">
        <f>regions!D141</f>
        <v>5321.8101990424975</v>
      </c>
      <c r="E141" s="1">
        <f>regions!X141</f>
        <v>8.8000000000000007</v>
      </c>
      <c r="I141" s="7">
        <f t="shared" si="243"/>
        <v>-1.1162451309150665</v>
      </c>
      <c r="J141" s="1">
        <f t="shared" si="244"/>
        <v>-0.59708008116895672</v>
      </c>
      <c r="K141" s="1">
        <f t="shared" si="303"/>
        <v>6.2781708830290937</v>
      </c>
      <c r="L141" s="1">
        <f t="shared" si="244"/>
        <v>1.1745206050290014</v>
      </c>
      <c r="M141" s="1">
        <f t="shared" si="308"/>
        <v>-2.8610411276599996</v>
      </c>
      <c r="N141" s="1">
        <f t="shared" ref="N141" si="332">M141+M$2</f>
        <v>-2.4765982372129791</v>
      </c>
      <c r="O141" s="1">
        <f t="shared" si="310"/>
        <v>2.5163797867471045</v>
      </c>
      <c r="P141" s="1">
        <f t="shared" si="289"/>
        <v>-4.1265489252422878</v>
      </c>
      <c r="Q141" s="1">
        <f t="shared" si="289"/>
        <v>-1.1012033031224717</v>
      </c>
      <c r="R141" s="1">
        <f t="shared" si="289"/>
        <v>-1.0597286487445918</v>
      </c>
      <c r="S141" s="1">
        <f>$M141+SUMPRODUCT(regions!BG141:BS141,regions!BG$193:BS$193)</f>
        <v>-1.707823954969889</v>
      </c>
      <c r="T141" s="1">
        <f>$M141+SUMPRODUCT(regions!BV141:CD141,regions!BV$193:CD$193)</f>
        <v>-2.691794983507493</v>
      </c>
      <c r="U141" s="1">
        <f>$M141+SUMPRODUCT(regions!CQ141:CV141,regions!CQ$193:CV$193)</f>
        <v>0.85944442062208326</v>
      </c>
      <c r="V141" s="1">
        <f>$M141+SUMPRODUCT(regions!CY141:DF141,regions!CY$193:DF$193)</f>
        <v>-2.9917949835074933</v>
      </c>
      <c r="W141" s="1">
        <f>$M141+SUMPRODUCT(regions!DI141:DP141,regions!DI$193:DP$193)</f>
        <v>-2.5612949835074934</v>
      </c>
      <c r="X141" s="1">
        <f>$M141+SUMPRODUCT(regions!DR141:DW141,regions!DR$193:DW$193)</f>
        <v>2.9626204655751427</v>
      </c>
      <c r="Y141" s="1">
        <f>$M141+SUMPRODUCT(regions!DZ141:EE141,regions!DZ$193:EE$193)</f>
        <v>3.4636083985598725</v>
      </c>
      <c r="Z141" s="1">
        <f t="shared" si="324"/>
        <v>1.4</v>
      </c>
      <c r="AA141" t="str">
        <f>Maddison!A66</f>
        <v>Romania</v>
      </c>
      <c r="AB141">
        <f>-Maddison!B66</f>
        <v>1.4</v>
      </c>
      <c r="AC141" s="1">
        <f>N141-AB141</f>
        <v>-3.876598237212979</v>
      </c>
      <c r="AF141" s="1">
        <f t="shared" si="305"/>
        <v>10.46895887234</v>
      </c>
      <c r="AG141" s="1"/>
      <c r="AH141" s="1">
        <f t="shared" si="311"/>
        <v>-0.99925488066166623</v>
      </c>
      <c r="AI141" s="1">
        <f t="shared" si="312"/>
        <v>-0.93263788861755503</v>
      </c>
      <c r="AJ141" s="1">
        <f t="shared" si="312"/>
        <v>-0.86602089657344383</v>
      </c>
      <c r="AK141" s="1">
        <f t="shared" si="312"/>
        <v>-0.73278691248522165</v>
      </c>
      <c r="AL141" s="1">
        <f t="shared" si="312"/>
        <v>-0.66616992044111056</v>
      </c>
      <c r="AM141" s="1">
        <f t="shared" si="312"/>
        <v>-0.59955292839699947</v>
      </c>
      <c r="AN141" s="1">
        <f t="shared" si="312"/>
        <v>-0.53293593635288838</v>
      </c>
      <c r="AO141" s="1">
        <f t="shared" si="312"/>
        <v>-0.46631894430877729</v>
      </c>
      <c r="AP141" s="1">
        <f t="shared" si="312"/>
        <v>-0.39970195226466632</v>
      </c>
      <c r="AQ141" s="1">
        <f t="shared" si="312"/>
        <v>-0.33308496022055523</v>
      </c>
      <c r="AR141" s="1">
        <f t="shared" si="312"/>
        <v>-0.26646796817644414</v>
      </c>
      <c r="AS141" s="1">
        <f t="shared" si="312"/>
        <v>-0.1998509761323331</v>
      </c>
      <c r="AT141" s="1">
        <f t="shared" si="312"/>
        <v>-0.13323398408822201</v>
      </c>
      <c r="AU141" s="1">
        <f t="shared" si="312"/>
        <v>-6.6616992044110951E-2</v>
      </c>
      <c r="AV141" s="1">
        <f t="shared" si="312"/>
        <v>0</v>
      </c>
      <c r="AW141" s="1">
        <f t="shared" si="312"/>
        <v>6.6616992044111076E-2</v>
      </c>
      <c r="AX141" s="1">
        <f t="shared" si="312"/>
        <v>0</v>
      </c>
      <c r="AY141" s="1">
        <f t="shared" si="312"/>
        <v>0.19985097613233324</v>
      </c>
      <c r="AZ141" s="1">
        <f t="shared" si="312"/>
        <v>0.2664679681764443</v>
      </c>
      <c r="BA141" s="1">
        <f t="shared" si="312"/>
        <v>0.33308496022055534</v>
      </c>
      <c r="BB141" s="1">
        <f t="shared" si="312"/>
        <v>0.39970195226466643</v>
      </c>
      <c r="BC141" s="1">
        <f t="shared" si="312"/>
        <v>0.46631894430877752</v>
      </c>
      <c r="BD141" s="1"/>
      <c r="BE141">
        <f t="shared" ref="BE141" si="333">LN($D141)-LN($D141*(1+BA141/100))</f>
        <v>-3.3253146100804543E-3</v>
      </c>
      <c r="BF141">
        <f t="shared" si="314"/>
        <v>-3.9890526621881861E-3</v>
      </c>
      <c r="BG141">
        <f t="shared" si="314"/>
        <v>-4.6523504582935971E-3</v>
      </c>
    </row>
    <row r="142" spans="1:59" x14ac:dyDescent="0.35">
      <c r="A142" t="str">
        <f>regions!A142</f>
        <v>Russia</v>
      </c>
      <c r="B142" s="22">
        <f>regions!B142</f>
        <v>142389000</v>
      </c>
      <c r="C142" s="22">
        <f>regions!C142</f>
        <v>909241662711.50525</v>
      </c>
      <c r="D142" s="10">
        <f>regions!D142</f>
        <v>6385.6173068952321</v>
      </c>
      <c r="E142" s="1">
        <f>regions!X142</f>
        <v>-5.0999999999999996</v>
      </c>
      <c r="I142" s="7">
        <f t="shared" si="243"/>
        <v>6.7674043701211204</v>
      </c>
      <c r="J142" s="1">
        <f t="shared" si="244"/>
        <v>7.2865694198672299</v>
      </c>
      <c r="K142" s="1">
        <f t="shared" si="303"/>
        <v>14.144686491377595</v>
      </c>
      <c r="L142" s="1">
        <f t="shared" si="244"/>
        <v>9.0410362133775024</v>
      </c>
      <c r="M142" s="1">
        <f t="shared" si="308"/>
        <v>3.6788565656368357</v>
      </c>
      <c r="N142" s="1">
        <f t="shared" ref="N142" si="334">M142+M$2</f>
        <v>4.0632994560838567</v>
      </c>
      <c r="O142" s="1">
        <f t="shared" si="310"/>
        <v>2.156392057058679</v>
      </c>
      <c r="P142" s="1">
        <f t="shared" si="289"/>
        <v>2.413348768054548</v>
      </c>
      <c r="Q142" s="1">
        <f t="shared" si="289"/>
        <v>5.4386943901743638</v>
      </c>
      <c r="R142" s="1">
        <f t="shared" si="289"/>
        <v>5.4801690445522437</v>
      </c>
      <c r="S142" s="1">
        <f>$M142+SUMPRODUCT(regions!BG142:BS142,regions!BG$193:BS$193)</f>
        <v>0.64999999999999991</v>
      </c>
      <c r="T142" s="1">
        <f>$M142+SUMPRODUCT(regions!BV142:CD142,regions!BV$193:CD$193)</f>
        <v>3.8481027097893423</v>
      </c>
      <c r="U142" s="1">
        <f>$M142+SUMPRODUCT(regions!CQ142:CV142,regions!CQ$193:CV$193)</f>
        <v>1.0959599518891796</v>
      </c>
      <c r="V142" s="1">
        <f>$M142+SUMPRODUCT(regions!CY142:DF142,regions!CY$193:DF$193)</f>
        <v>3.5481027097893421</v>
      </c>
      <c r="W142" s="1">
        <f>$M142+SUMPRODUCT(regions!DI142:DP142,regions!DI$193:DP$193)</f>
        <v>3.9786027097893424</v>
      </c>
      <c r="X142" s="1">
        <f>$M142+SUMPRODUCT(regions!DR142:DW142,regions!DR$193:DW$193)</f>
        <v>1.2529599518891796</v>
      </c>
      <c r="Y142" s="1">
        <f>$M142+SUMPRODUCT(regions!DZ142:EE142,regions!DZ$193:EE$193)</f>
        <v>1.1529599518891791</v>
      </c>
      <c r="Z142" s="1">
        <f t="shared" si="324"/>
        <v>7.1589227480814888</v>
      </c>
      <c r="AF142" s="1">
        <f t="shared" si="305"/>
        <v>17.008856565636837</v>
      </c>
      <c r="AG142" s="1"/>
      <c r="AH142" s="1">
        <f t="shared" si="311"/>
        <v>-1.6234835903876166</v>
      </c>
      <c r="AI142" s="1">
        <f t="shared" si="312"/>
        <v>-1.5152513510284418</v>
      </c>
      <c r="AJ142" s="1">
        <f t="shared" si="312"/>
        <v>-1.4070191116692672</v>
      </c>
      <c r="AK142" s="1">
        <f t="shared" si="312"/>
        <v>-1.1905546329509182</v>
      </c>
      <c r="AL142" s="1">
        <f t="shared" si="312"/>
        <v>-1.0823223935917439</v>
      </c>
      <c r="AM142" s="1">
        <f t="shared" si="312"/>
        <v>-0.97409015423256939</v>
      </c>
      <c r="AN142" s="1">
        <f t="shared" si="312"/>
        <v>-0.86585791487339503</v>
      </c>
      <c r="AO142" s="1">
        <f t="shared" si="312"/>
        <v>-0.75762567551422055</v>
      </c>
      <c r="AP142" s="1">
        <f t="shared" si="312"/>
        <v>-0.6493934361550463</v>
      </c>
      <c r="AQ142" s="1">
        <f t="shared" si="312"/>
        <v>-0.54116119679587182</v>
      </c>
      <c r="AR142" s="1">
        <f t="shared" si="312"/>
        <v>-0.43292895743669746</v>
      </c>
      <c r="AS142" s="1">
        <f t="shared" si="312"/>
        <v>-0.32469671807752304</v>
      </c>
      <c r="AT142" s="1">
        <f t="shared" si="312"/>
        <v>-0.21646447871834862</v>
      </c>
      <c r="AU142" s="1">
        <f t="shared" si="312"/>
        <v>-0.10823223935917421</v>
      </c>
      <c r="AV142" s="1">
        <f t="shared" si="312"/>
        <v>0</v>
      </c>
      <c r="AW142" s="1">
        <f t="shared" si="312"/>
        <v>0.10823223935917442</v>
      </c>
      <c r="AX142" s="1">
        <f t="shared" si="312"/>
        <v>0</v>
      </c>
      <c r="AY142" s="1">
        <f t="shared" si="312"/>
        <v>0.32469671807752332</v>
      </c>
      <c r="AZ142" s="1">
        <f t="shared" si="312"/>
        <v>0.43292895743669768</v>
      </c>
      <c r="BA142" s="1">
        <f t="shared" si="312"/>
        <v>0.54116119679587205</v>
      </c>
      <c r="BB142" s="1">
        <f t="shared" si="312"/>
        <v>0.64939343615504652</v>
      </c>
      <c r="BC142" s="1">
        <f t="shared" si="312"/>
        <v>0.75762567551422089</v>
      </c>
      <c r="BD142" s="1"/>
      <c r="BE142">
        <f t="shared" ref="BE142" si="335">LN($D142)-LN($D142*(1+BA142/100))</f>
        <v>-5.3970218097596501E-3</v>
      </c>
      <c r="BF142">
        <f t="shared" si="314"/>
        <v>-6.4729396131326666E-3</v>
      </c>
      <c r="BG142">
        <f t="shared" si="314"/>
        <v>-7.5477010614175555E-3</v>
      </c>
    </row>
    <row r="143" spans="1:59" x14ac:dyDescent="0.35">
      <c r="A143" t="str">
        <f>regions!A143</f>
        <v>Rwanda</v>
      </c>
      <c r="B143" s="22">
        <f>regions!B143</f>
        <v>10836732</v>
      </c>
      <c r="C143" s="22">
        <f>regions!C143</f>
        <v>3785756661.0048919</v>
      </c>
      <c r="D143" s="10">
        <f>regions!D143</f>
        <v>349.34486347036096</v>
      </c>
      <c r="E143" s="1">
        <f>regions!X143</f>
        <v>17.899999999999999</v>
      </c>
      <c r="I143" s="7">
        <f t="shared" si="243"/>
        <v>-9.1324008068316758</v>
      </c>
      <c r="J143" s="1">
        <f t="shared" si="244"/>
        <v>-8.6132357570855653</v>
      </c>
      <c r="K143" s="1">
        <f t="shared" si="303"/>
        <v>-7.3275784412123706</v>
      </c>
      <c r="L143" s="1">
        <f t="shared" si="244"/>
        <v>-12.431228719212463</v>
      </c>
      <c r="M143" s="1">
        <f t="shared" si="308"/>
        <v>-11.518167330087961</v>
      </c>
      <c r="N143" s="1">
        <f t="shared" ref="N143" si="336">M143+M$2</f>
        <v>-11.13372443964094</v>
      </c>
      <c r="O143" s="1">
        <f t="shared" si="310"/>
        <v>5.4242947257573384</v>
      </c>
      <c r="P143" s="1">
        <f t="shared" si="289"/>
        <v>-12.783675127670248</v>
      </c>
      <c r="Q143" s="1">
        <f t="shared" si="289"/>
        <v>-9.7583295055504333</v>
      </c>
      <c r="R143" s="1">
        <f t="shared" si="289"/>
        <v>-9.7168548511725525</v>
      </c>
      <c r="S143" s="1">
        <f>$M143+SUMPRODUCT(regions!BG143:BS143,regions!BG$193:BS$193)</f>
        <v>-2.2630390236600118</v>
      </c>
      <c r="T143" s="1">
        <f>$M143+SUMPRODUCT(regions!BV143:CD143,regions!BV$193:CD$193)</f>
        <v>-9.8728500104722769</v>
      </c>
      <c r="U143" s="1">
        <f>$M143+SUMPRODUCT(regions!CQ143:CV143,regions!CQ$193:CV$193)</f>
        <v>-7.7976817818058777</v>
      </c>
      <c r="V143" s="1">
        <f>$M143+SUMPRODUCT(regions!CY143:DF143,regions!CY$193:DF$193)</f>
        <v>-9.4165898092622591</v>
      </c>
      <c r="W143" s="1">
        <f>$M143+SUMPRODUCT(regions!DI143:DP143,regions!DI$193:DP$193)</f>
        <v>-5.8174898092622591</v>
      </c>
      <c r="X143" s="1">
        <f>$M143+SUMPRODUCT(regions!DR143:DW143,regions!DR$193:DW$193)</f>
        <v>-5.6945057368528182</v>
      </c>
      <c r="Y143" s="1">
        <f>$M143+SUMPRODUCT(regions!DZ143:EE143,regions!DZ$193:EE$193)</f>
        <v>-5.1935178038680885</v>
      </c>
      <c r="Z143" s="1">
        <f t="shared" si="324"/>
        <v>-23</v>
      </c>
      <c r="AA143" t="str">
        <f>Maddison!A67</f>
        <v>Rwanda</v>
      </c>
      <c r="AB143">
        <f>-Maddison!B67</f>
        <v>-23</v>
      </c>
      <c r="AC143" s="1">
        <f>N143-AB143</f>
        <v>11.86627556035906</v>
      </c>
      <c r="AF143" s="1">
        <f t="shared" si="305"/>
        <v>1.8118326699120395</v>
      </c>
      <c r="AG143" s="1"/>
      <c r="AH143" s="1">
        <f t="shared" si="311"/>
        <v>-0.17293817469618045</v>
      </c>
      <c r="AI143" s="1">
        <f t="shared" si="312"/>
        <v>-0.1614089630497684</v>
      </c>
      <c r="AJ143" s="1">
        <f t="shared" si="312"/>
        <v>-0.14987975140335635</v>
      </c>
      <c r="AK143" s="1">
        <f t="shared" si="312"/>
        <v>-0.12682132811053229</v>
      </c>
      <c r="AL143" s="1">
        <f t="shared" si="312"/>
        <v>-0.11529211646412026</v>
      </c>
      <c r="AM143" s="1">
        <f t="shared" si="312"/>
        <v>-0.10376290481770822</v>
      </c>
      <c r="AN143" s="1">
        <f t="shared" si="312"/>
        <v>-9.2233693171296191E-2</v>
      </c>
      <c r="AO143" s="1">
        <f t="shared" si="312"/>
        <v>-8.0704481524884158E-2</v>
      </c>
      <c r="AP143" s="1">
        <f t="shared" si="312"/>
        <v>-6.917526987847214E-2</v>
      </c>
      <c r="AQ143" s="1">
        <f t="shared" si="312"/>
        <v>-5.7646058232060114E-2</v>
      </c>
      <c r="AR143" s="1">
        <f t="shared" si="312"/>
        <v>-4.6116846585648089E-2</v>
      </c>
      <c r="AS143" s="1">
        <f t="shared" si="312"/>
        <v>-3.4587634939236063E-2</v>
      </c>
      <c r="AT143" s="1">
        <f t="shared" si="312"/>
        <v>-2.3058423292824034E-2</v>
      </c>
      <c r="AU143" s="1">
        <f t="shared" si="312"/>
        <v>-1.1529211646412007E-2</v>
      </c>
      <c r="AV143" s="1">
        <f t="shared" si="312"/>
        <v>0</v>
      </c>
      <c r="AW143" s="1">
        <f t="shared" si="312"/>
        <v>1.1529211646412029E-2</v>
      </c>
      <c r="AX143" s="1">
        <f t="shared" si="312"/>
        <v>0</v>
      </c>
      <c r="AY143" s="1">
        <f t="shared" si="312"/>
        <v>3.4587634939236091E-2</v>
      </c>
      <c r="AZ143" s="1">
        <f t="shared" si="312"/>
        <v>4.6116846585648116E-2</v>
      </c>
      <c r="BA143" s="1">
        <f t="shared" si="312"/>
        <v>5.7646058232060135E-2</v>
      </c>
      <c r="BB143" s="1">
        <f t="shared" si="312"/>
        <v>6.9175269878472168E-2</v>
      </c>
      <c r="BC143" s="1">
        <f t="shared" si="312"/>
        <v>8.07044815248842E-2</v>
      </c>
      <c r="BD143" s="1"/>
      <c r="BE143">
        <f t="shared" ref="BE143" si="337">LN($D143)-LN($D143*(1+BA143/100))</f>
        <v>-5.7629449274543276E-4</v>
      </c>
      <c r="BF143">
        <f t="shared" si="314"/>
        <v>-6.9151354816909816E-4</v>
      </c>
      <c r="BG143">
        <f t="shared" si="314"/>
        <v>-8.0671932969167415E-4</v>
      </c>
    </row>
    <row r="144" spans="1:59" x14ac:dyDescent="0.35">
      <c r="A144" t="str">
        <f>regions!A144</f>
        <v>SÃ£o TomÃ© and PrÃ­ncipe</v>
      </c>
      <c r="B144" s="22">
        <f>regions!B144</f>
        <v>178228</v>
      </c>
      <c r="C144" s="22">
        <f>regions!C144</f>
        <v>167926229.92155305</v>
      </c>
      <c r="D144" s="10">
        <f>regions!D144</f>
        <v>942.19892453235764</v>
      </c>
      <c r="E144" s="1">
        <f>regions!X144</f>
        <v>23.7</v>
      </c>
      <c r="I144" s="7">
        <f t="shared" si="243"/>
        <v>-11.747202929545997</v>
      </c>
      <c r="J144" s="1">
        <f t="shared" si="244"/>
        <v>-11.228037879799887</v>
      </c>
      <c r="K144" s="1">
        <f t="shared" si="303"/>
        <v>-8.6318972083736565</v>
      </c>
      <c r="L144" s="1">
        <f t="shared" si="244"/>
        <v>-13.735547486373749</v>
      </c>
      <c r="M144" s="1">
        <f t="shared" si="308"/>
        <v>-12.452249880849427</v>
      </c>
      <c r="N144" s="1">
        <f t="shared" ref="N144" si="338">M144+M$2</f>
        <v>-12.067806990402406</v>
      </c>
      <c r="O144" s="1">
        <f t="shared" si="310"/>
        <v>2.8294479745726338</v>
      </c>
      <c r="P144" s="1">
        <f t="shared" ref="P144:R163" si="339">$M144+P$1-$M$1</f>
        <v>-13.717757678431715</v>
      </c>
      <c r="Q144" s="1">
        <f t="shared" si="339"/>
        <v>-10.6924120563119</v>
      </c>
      <c r="R144" s="1">
        <f t="shared" si="339"/>
        <v>-10.650937401934019</v>
      </c>
      <c r="S144" s="1">
        <f>$M144+SUMPRODUCT(regions!BG144:BS144,regions!BG$193:BS$193)</f>
        <v>-3.6663113810494377</v>
      </c>
      <c r="T144" s="1">
        <f>$M144+SUMPRODUCT(regions!BV144:CD144,regions!BV$193:CD$193)</f>
        <v>-10.806932561233744</v>
      </c>
      <c r="U144" s="1">
        <f>$M144+SUMPRODUCT(regions!CQ144:CV144,regions!CQ$193:CV$193)</f>
        <v>-8.7317643325673444</v>
      </c>
      <c r="V144" s="1">
        <f>$M144+SUMPRODUCT(regions!CY144:DF144,regions!CY$193:DF$193)</f>
        <v>-10.350672360023726</v>
      </c>
      <c r="W144" s="1">
        <f>$M144+SUMPRODUCT(regions!DI144:DP144,regions!DI$193:DP$193)</f>
        <v>-6.7515723600237258</v>
      </c>
      <c r="X144" s="1">
        <f>$M144+SUMPRODUCT(regions!DR144:DW144,regions!DR$193:DW$193)</f>
        <v>-6.628588287614285</v>
      </c>
      <c r="Y144" s="1">
        <f>$M144+SUMPRODUCT(regions!DZ144:EE144,regions!DZ$193:EE$193)</f>
        <v>-6.1276003546295552</v>
      </c>
      <c r="Z144" s="1">
        <f t="shared" si="324"/>
        <v>-8.9721836984047751</v>
      </c>
      <c r="AF144" s="1">
        <f t="shared" si="305"/>
        <v>0.87775011915057277</v>
      </c>
      <c r="AG144" s="1"/>
      <c r="AH144" s="1">
        <f t="shared" si="311"/>
        <v>-8.3780641538285294E-2</v>
      </c>
      <c r="AI144" s="1">
        <f t="shared" si="312"/>
        <v>-7.8195265435732922E-2</v>
      </c>
      <c r="AJ144" s="1">
        <f t="shared" si="312"/>
        <v>-7.2609889333180563E-2</v>
      </c>
      <c r="AK144" s="1">
        <f t="shared" si="312"/>
        <v>-6.1439137128075853E-2</v>
      </c>
      <c r="AL144" s="1">
        <f t="shared" si="312"/>
        <v>-5.5853761025523502E-2</v>
      </c>
      <c r="AM144" s="1">
        <f t="shared" si="312"/>
        <v>-5.026838492297115E-2</v>
      </c>
      <c r="AN144" s="1">
        <f t="shared" ref="AI144:BC155" si="340">$AF144*AN$2</f>
        <v>-4.4683008820418799E-2</v>
      </c>
      <c r="AO144" s="1">
        <f t="shared" si="340"/>
        <v>-3.9097632717866447E-2</v>
      </c>
      <c r="AP144" s="1">
        <f t="shared" si="340"/>
        <v>-3.3512256615314095E-2</v>
      </c>
      <c r="AQ144" s="1">
        <f t="shared" si="340"/>
        <v>-2.7926880512761744E-2</v>
      </c>
      <c r="AR144" s="1">
        <f t="shared" si="340"/>
        <v>-2.2341504410209396E-2</v>
      </c>
      <c r="AS144" s="1">
        <f t="shared" si="340"/>
        <v>-1.6756128307657048E-2</v>
      </c>
      <c r="AT144" s="1">
        <f t="shared" si="340"/>
        <v>-1.1170752205104693E-2</v>
      </c>
      <c r="AU144" s="1">
        <f t="shared" si="340"/>
        <v>-5.5853761025523412E-3</v>
      </c>
      <c r="AV144" s="1">
        <f t="shared" si="340"/>
        <v>0</v>
      </c>
      <c r="AW144" s="1">
        <f t="shared" si="340"/>
        <v>5.5853761025523524E-3</v>
      </c>
      <c r="AX144" s="1">
        <f t="shared" si="340"/>
        <v>0</v>
      </c>
      <c r="AY144" s="1">
        <f t="shared" si="340"/>
        <v>1.6756128307657058E-2</v>
      </c>
      <c r="AZ144" s="1">
        <f t="shared" si="340"/>
        <v>2.234150441020941E-2</v>
      </c>
      <c r="BA144" s="1">
        <f t="shared" si="340"/>
        <v>2.7926880512761758E-2</v>
      </c>
      <c r="BB144" s="1">
        <f t="shared" si="340"/>
        <v>3.3512256615314109E-2</v>
      </c>
      <c r="BC144" s="1">
        <f t="shared" si="340"/>
        <v>3.9097632717866461E-2</v>
      </c>
      <c r="BD144" s="1"/>
      <c r="BE144">
        <f t="shared" ref="BE144" si="341">LN($D144)-LN($D144*(1+BA144/100))</f>
        <v>-2.7922981685346571E-4</v>
      </c>
      <c r="BF144">
        <f t="shared" si="314"/>
        <v>-3.350664251282609E-4</v>
      </c>
      <c r="BG144">
        <f t="shared" si="314"/>
        <v>-3.9089991585061767E-4</v>
      </c>
    </row>
    <row r="145" spans="1:59" x14ac:dyDescent="0.35">
      <c r="A145" t="str">
        <f>regions!A145</f>
        <v>Saint Kitts and Nevis</v>
      </c>
      <c r="B145" s="22">
        <f>regions!B145</f>
        <v>52352</v>
      </c>
      <c r="C145" s="22">
        <f>regions!C145</f>
        <v>554642952.86511683</v>
      </c>
      <c r="D145" s="10">
        <f>regions!D145</f>
        <v>10594.494056867299</v>
      </c>
      <c r="E145" s="1">
        <f>regions!X145</f>
        <v>24.4</v>
      </c>
      <c r="I145" s="7">
        <f t="shared" si="243"/>
        <v>-6.7142743058003065</v>
      </c>
      <c r="J145" s="1">
        <f t="shared" si="244"/>
        <v>-6.1951092560541969</v>
      </c>
      <c r="K145" s="1">
        <f t="shared" si="303"/>
        <v>5.3494771032793107</v>
      </c>
      <c r="L145" s="1">
        <f t="shared" si="244"/>
        <v>0.2458268252792184</v>
      </c>
      <c r="M145" s="1">
        <f t="shared" si="308"/>
        <v>-8.700282177350541</v>
      </c>
      <c r="N145" s="1">
        <f t="shared" ref="N145" si="342">M145+M$2</f>
        <v>-8.31583928690352</v>
      </c>
      <c r="O145" s="1">
        <f t="shared" si="310"/>
        <v>2.2389930977676755</v>
      </c>
      <c r="P145" s="1">
        <f t="shared" si="339"/>
        <v>-9.9657899749328287</v>
      </c>
      <c r="Q145" s="1">
        <f t="shared" si="339"/>
        <v>-6.9404443528130138</v>
      </c>
      <c r="R145" s="1">
        <f t="shared" si="339"/>
        <v>-6.898969698435133</v>
      </c>
      <c r="S145" s="1">
        <f>$M145+SUMPRODUCT(regions!BG145:BS145,regions!BG$193:BS$193)</f>
        <v>-5.0331832616117005</v>
      </c>
      <c r="T145" s="1">
        <f>$M145+SUMPRODUCT(regions!BV145:CD145,regions!BV$193:CD$193)</f>
        <v>-4.5410610658542572</v>
      </c>
      <c r="U145" s="1">
        <f>$M145+SUMPRODUCT(regions!CQ145:CV145,regions!CQ$193:CV$193)</f>
        <v>-4.9797966290684581</v>
      </c>
      <c r="V145" s="1">
        <f>$M145+SUMPRODUCT(regions!CY145:DF145,regions!CY$193:DF$193)</f>
        <v>-4.5310610658542565</v>
      </c>
      <c r="W145" s="1">
        <f>$M145+SUMPRODUCT(regions!DI145:DP145,regions!DI$193:DP$193)</f>
        <v>-2.491961065854257</v>
      </c>
      <c r="X145" s="1">
        <f>$M145+SUMPRODUCT(regions!DR145:DW145,regions!DR$193:DW$193)</f>
        <v>-2.8766205841153987</v>
      </c>
      <c r="Y145" s="1">
        <f>$M145+SUMPRODUCT(regions!DZ145:EE145,regions!DZ$193:EE$193)</f>
        <v>-2.3756326511306689</v>
      </c>
      <c r="Z145" s="1">
        <f t="shared" si="324"/>
        <v>-5.2202159949058888</v>
      </c>
      <c r="AF145" s="1">
        <f t="shared" si="305"/>
        <v>4.6297178226494591</v>
      </c>
      <c r="AG145" s="1"/>
      <c r="AH145" s="1">
        <f t="shared" si="311"/>
        <v>-0.44190336276817571</v>
      </c>
      <c r="AI145" s="1">
        <f t="shared" si="340"/>
        <v>-0.41244313858363058</v>
      </c>
      <c r="AJ145" s="1">
        <f t="shared" si="340"/>
        <v>-0.38298291439908549</v>
      </c>
      <c r="AK145" s="1">
        <f t="shared" si="340"/>
        <v>-0.32406246602999539</v>
      </c>
      <c r="AL145" s="1">
        <f t="shared" si="340"/>
        <v>-0.29460224184545036</v>
      </c>
      <c r="AM145" s="1">
        <f t="shared" si="340"/>
        <v>-0.26514201766090528</v>
      </c>
      <c r="AN145" s="1">
        <f t="shared" si="340"/>
        <v>-0.23568179347636026</v>
      </c>
      <c r="AO145" s="1">
        <f t="shared" si="340"/>
        <v>-0.2062215692918152</v>
      </c>
      <c r="AP145" s="1">
        <f t="shared" si="340"/>
        <v>-0.17676134510727018</v>
      </c>
      <c r="AQ145" s="1">
        <f t="shared" si="340"/>
        <v>-0.14730112092272513</v>
      </c>
      <c r="AR145" s="1">
        <f t="shared" si="340"/>
        <v>-0.1178408967381801</v>
      </c>
      <c r="AS145" s="1">
        <f t="shared" si="340"/>
        <v>-8.8380672553635076E-2</v>
      </c>
      <c r="AT145" s="1">
        <f t="shared" si="340"/>
        <v>-5.892044836909003E-2</v>
      </c>
      <c r="AU145" s="1">
        <f t="shared" si="340"/>
        <v>-2.9460224184544987E-2</v>
      </c>
      <c r="AV145" s="1">
        <f t="shared" si="340"/>
        <v>0</v>
      </c>
      <c r="AW145" s="1">
        <f t="shared" si="340"/>
        <v>2.9460224184545043E-2</v>
      </c>
      <c r="AX145" s="1">
        <f t="shared" si="340"/>
        <v>0</v>
      </c>
      <c r="AY145" s="1">
        <f t="shared" si="340"/>
        <v>8.8380672553635145E-2</v>
      </c>
      <c r="AZ145" s="1">
        <f t="shared" si="340"/>
        <v>0.11784089673818017</v>
      </c>
      <c r="BA145" s="1">
        <f t="shared" si="340"/>
        <v>0.14730112092272521</v>
      </c>
      <c r="BB145" s="1">
        <f t="shared" si="340"/>
        <v>0.17676134510727026</v>
      </c>
      <c r="BC145" s="1">
        <f t="shared" si="340"/>
        <v>0.20622156929181529</v>
      </c>
      <c r="BD145" s="1"/>
      <c r="BE145">
        <f t="shared" ref="BE145" si="343">LN($D145)-LN($D145*(1+BA145/100))</f>
        <v>-1.4719273924015397E-3</v>
      </c>
      <c r="BF145">
        <f t="shared" si="314"/>
        <v>-1.7660530609244773E-3</v>
      </c>
      <c r="BG145">
        <f t="shared" si="314"/>
        <v>-2.0600922449744985E-3</v>
      </c>
    </row>
    <row r="146" spans="1:59" x14ac:dyDescent="0.35">
      <c r="A146" t="str">
        <f>regions!A146</f>
        <v>Saint Lucia</v>
      </c>
      <c r="B146" s="22">
        <f>regions!B146</f>
        <v>177397</v>
      </c>
      <c r="C146" s="22">
        <f>regions!C146</f>
        <v>1083804878.6319301</v>
      </c>
      <c r="D146" s="10">
        <f>regions!D146</f>
        <v>6109.4882023480113</v>
      </c>
      <c r="E146" s="1">
        <f>regions!X146</f>
        <v>25.5</v>
      </c>
      <c r="I146" s="7">
        <f t="shared" si="243"/>
        <v>-9.4343741483799644</v>
      </c>
      <c r="J146" s="1">
        <f t="shared" si="244"/>
        <v>-8.9152090986338539</v>
      </c>
      <c r="K146" s="1">
        <f t="shared" si="303"/>
        <v>-0.15723210207095839</v>
      </c>
      <c r="L146" s="1">
        <f t="shared" si="244"/>
        <v>-5.2608823800710507</v>
      </c>
      <c r="M146" s="1">
        <f t="shared" si="308"/>
        <v>-10.118538186029348</v>
      </c>
      <c r="N146" s="1">
        <f t="shared" ref="N146" si="344">M146+M$2</f>
        <v>-9.7340952955823266</v>
      </c>
      <c r="O146" s="1">
        <f t="shared" si="310"/>
        <v>2.6626054889199859</v>
      </c>
      <c r="P146" s="1">
        <f t="shared" si="339"/>
        <v>-11.384045983611635</v>
      </c>
      <c r="Q146" s="1">
        <f t="shared" si="339"/>
        <v>-8.3587003614918203</v>
      </c>
      <c r="R146" s="1">
        <f t="shared" si="339"/>
        <v>-8.3172257071139395</v>
      </c>
      <c r="S146" s="1">
        <f>$M146+SUMPRODUCT(regions!BG146:BS146,regions!BG$193:BS$193)</f>
        <v>-6.451439270290507</v>
      </c>
      <c r="T146" s="1">
        <f>$M146+SUMPRODUCT(regions!BV146:CD146,regions!BV$193:CD$193)</f>
        <v>-5.9593170745330637</v>
      </c>
      <c r="U146" s="1">
        <f>$M146+SUMPRODUCT(regions!CQ146:CV146,regions!CQ$193:CV$193)</f>
        <v>-6.3980526377472646</v>
      </c>
      <c r="V146" s="1">
        <f>$M146+SUMPRODUCT(regions!CY146:DF146,regions!CY$193:DF$193)</f>
        <v>-5.949317074533063</v>
      </c>
      <c r="W146" s="1">
        <f>$M146+SUMPRODUCT(regions!DI146:DP146,regions!DI$193:DP$193)</f>
        <v>-3.9102170745330636</v>
      </c>
      <c r="X146" s="1">
        <f>$M146+SUMPRODUCT(regions!DR146:DW146,regions!DR$193:DW$193)</f>
        <v>-4.2948765927942052</v>
      </c>
      <c r="Y146" s="1">
        <f>$M146+SUMPRODUCT(regions!DZ146:EE146,regions!DZ$193:EE$193)</f>
        <v>-3.7938886598094754</v>
      </c>
      <c r="Z146" s="1">
        <f t="shared" si="324"/>
        <v>-1.7</v>
      </c>
      <c r="AA146" t="str">
        <f>Maddison!A68</f>
        <v>Saint Lucia</v>
      </c>
      <c r="AB146">
        <f>-Maddison!B68</f>
        <v>-1.7</v>
      </c>
      <c r="AC146" s="1">
        <f>N146-AB146</f>
        <v>-8.0340952955823273</v>
      </c>
      <c r="AF146" s="1">
        <f t="shared" si="305"/>
        <v>3.2114618139706526</v>
      </c>
      <c r="AG146" s="1"/>
      <c r="AH146" s="1">
        <f t="shared" si="311"/>
        <v>-0.30653180806234825</v>
      </c>
      <c r="AI146" s="1">
        <f t="shared" si="340"/>
        <v>-0.28609635419152502</v>
      </c>
      <c r="AJ146" s="1">
        <f t="shared" si="340"/>
        <v>-0.26566090032070172</v>
      </c>
      <c r="AK146" s="1">
        <f t="shared" si="340"/>
        <v>-0.2247899925790553</v>
      </c>
      <c r="AL146" s="1">
        <f t="shared" si="340"/>
        <v>-0.20435453870823209</v>
      </c>
      <c r="AM146" s="1">
        <f t="shared" si="340"/>
        <v>-0.18391908483740887</v>
      </c>
      <c r="AN146" s="1">
        <f t="shared" si="340"/>
        <v>-0.16348363096658564</v>
      </c>
      <c r="AO146" s="1">
        <f t="shared" si="340"/>
        <v>-0.14304817709576242</v>
      </c>
      <c r="AP146" s="1">
        <f t="shared" si="340"/>
        <v>-0.12261272322493924</v>
      </c>
      <c r="AQ146" s="1">
        <f t="shared" si="340"/>
        <v>-0.10217726935411602</v>
      </c>
      <c r="AR146" s="1">
        <f t="shared" si="340"/>
        <v>-8.1741815483292818E-2</v>
      </c>
      <c r="AS146" s="1">
        <f t="shared" si="340"/>
        <v>-6.1306361612469606E-2</v>
      </c>
      <c r="AT146" s="1">
        <f t="shared" si="340"/>
        <v>-4.0870907741646388E-2</v>
      </c>
      <c r="AU146" s="1">
        <f t="shared" si="340"/>
        <v>-2.0435453870823177E-2</v>
      </c>
      <c r="AV146" s="1">
        <f t="shared" si="340"/>
        <v>0</v>
      </c>
      <c r="AW146" s="1">
        <f t="shared" si="340"/>
        <v>2.0435453870823215E-2</v>
      </c>
      <c r="AX146" s="1">
        <f t="shared" si="340"/>
        <v>0</v>
      </c>
      <c r="AY146" s="1">
        <f t="shared" si="340"/>
        <v>6.1306361612469648E-2</v>
      </c>
      <c r="AZ146" s="1">
        <f t="shared" si="340"/>
        <v>8.174181548329286E-2</v>
      </c>
      <c r="BA146" s="1">
        <f t="shared" si="340"/>
        <v>0.10217726935411606</v>
      </c>
      <c r="BB146" s="1">
        <f t="shared" si="340"/>
        <v>0.12261272322493928</v>
      </c>
      <c r="BC146" s="1">
        <f t="shared" si="340"/>
        <v>0.14304817709576251</v>
      </c>
      <c r="BD146" s="1"/>
      <c r="BE146">
        <f t="shared" ref="BE146" si="345">LN($D146)-LN($D146*(1+BA146/100))</f>
        <v>-1.0212510391340857E-3</v>
      </c>
      <c r="BF146">
        <f t="shared" si="314"/>
        <v>-1.2253761521385798E-3</v>
      </c>
      <c r="BG146">
        <f t="shared" si="314"/>
        <v>-1.4294596065855814E-3</v>
      </c>
    </row>
    <row r="147" spans="1:59" x14ac:dyDescent="0.35">
      <c r="A147" t="str">
        <f>regions!A147</f>
        <v>Saint Vincent and the Grenadines</v>
      </c>
      <c r="B147" s="22">
        <f>regions!B147</f>
        <v>109316</v>
      </c>
      <c r="C147" s="22">
        <f>regions!C147</f>
        <v>589844929.93824661</v>
      </c>
      <c r="D147" s="10">
        <f>regions!D147</f>
        <v>5395.7785679886438</v>
      </c>
      <c r="E147" s="1">
        <f>regions!X147</f>
        <v>26.7</v>
      </c>
      <c r="I147" s="7">
        <f t="shared" si="243"/>
        <v>-10.463493485333277</v>
      </c>
      <c r="J147" s="1">
        <f t="shared" si="244"/>
        <v>-9.9443284355871668</v>
      </c>
      <c r="K147" s="1">
        <f t="shared" si="303"/>
        <v>-1.7497175120761899</v>
      </c>
      <c r="L147" s="1">
        <f t="shared" si="244"/>
        <v>-6.8533677900762822</v>
      </c>
      <c r="M147" s="1">
        <f t="shared" si="308"/>
        <v>-10.865425729172816</v>
      </c>
      <c r="N147" s="1">
        <f t="shared" ref="N147" si="346">M147+M$2</f>
        <v>-10.480982838725796</v>
      </c>
      <c r="O147" s="1">
        <f t="shared" si="310"/>
        <v>2.3057019607949494</v>
      </c>
      <c r="P147" s="1">
        <f t="shared" si="339"/>
        <v>-12.130933526755104</v>
      </c>
      <c r="Q147" s="1">
        <f t="shared" si="339"/>
        <v>-9.1055879046352892</v>
      </c>
      <c r="R147" s="1">
        <f t="shared" si="339"/>
        <v>-9.0641132502574084</v>
      </c>
      <c r="S147" s="1">
        <f>$M147+SUMPRODUCT(regions!BG147:BS147,regions!BG$193:BS$193)</f>
        <v>-5.4204753593002568</v>
      </c>
      <c r="T147" s="1">
        <f>$M147+SUMPRODUCT(regions!BV147:CD147,regions!BV$193:CD$193)</f>
        <v>-6.7062046176765326</v>
      </c>
      <c r="U147" s="1">
        <f>$M147+SUMPRODUCT(regions!CQ147:CV147,regions!CQ$193:CV$193)</f>
        <v>-7.1449401808907336</v>
      </c>
      <c r="V147" s="1">
        <f>$M147+SUMPRODUCT(regions!CY147:DF147,regions!CY$193:DF$193)</f>
        <v>-6.696204617676532</v>
      </c>
      <c r="W147" s="1">
        <f>$M147+SUMPRODUCT(regions!DI147:DP147,regions!DI$193:DP$193)</f>
        <v>-4.6571046176765325</v>
      </c>
      <c r="X147" s="1">
        <f>$M147+SUMPRODUCT(regions!DR147:DW147,regions!DR$193:DW$193)</f>
        <v>-5.0417641359376741</v>
      </c>
      <c r="Y147" s="1">
        <f>$M147+SUMPRODUCT(regions!DZ147:EE147,regions!DZ$193:EE$193)</f>
        <v>-4.5407762029529444</v>
      </c>
      <c r="Z147" s="1">
        <f t="shared" si="324"/>
        <v>-7.3853595467281643</v>
      </c>
      <c r="AF147" s="1">
        <f t="shared" si="305"/>
        <v>2.4645742708271836</v>
      </c>
      <c r="AG147" s="1"/>
      <c r="AH147" s="1">
        <f t="shared" si="311"/>
        <v>-0.23524190885724289</v>
      </c>
      <c r="AI147" s="1">
        <f t="shared" si="340"/>
        <v>-0.21955911493342667</v>
      </c>
      <c r="AJ147" s="1">
        <f t="shared" si="340"/>
        <v>-0.20387632100961042</v>
      </c>
      <c r="AK147" s="1">
        <f t="shared" si="340"/>
        <v>-0.17251073316197804</v>
      </c>
      <c r="AL147" s="1">
        <f t="shared" si="340"/>
        <v>-0.15682793923816185</v>
      </c>
      <c r="AM147" s="1">
        <f t="shared" si="340"/>
        <v>-0.14114514531434566</v>
      </c>
      <c r="AN147" s="1">
        <f t="shared" si="340"/>
        <v>-0.12546235139052947</v>
      </c>
      <c r="AO147" s="1">
        <f t="shared" si="340"/>
        <v>-0.10977955746671328</v>
      </c>
      <c r="AP147" s="1">
        <f t="shared" si="340"/>
        <v>-9.4096763542897102E-2</v>
      </c>
      <c r="AQ147" s="1">
        <f t="shared" si="340"/>
        <v>-7.8413969619080912E-2</v>
      </c>
      <c r="AR147" s="1">
        <f t="shared" si="340"/>
        <v>-6.2731175695264721E-2</v>
      </c>
      <c r="AS147" s="1">
        <f t="shared" si="340"/>
        <v>-4.7048381771448544E-2</v>
      </c>
      <c r="AT147" s="1">
        <f t="shared" si="340"/>
        <v>-3.1365587847632354E-2</v>
      </c>
      <c r="AU147" s="1">
        <f t="shared" si="340"/>
        <v>-1.5682793923816159E-2</v>
      </c>
      <c r="AV147" s="1">
        <f t="shared" si="340"/>
        <v>0</v>
      </c>
      <c r="AW147" s="1">
        <f t="shared" si="340"/>
        <v>1.5682793923816191E-2</v>
      </c>
      <c r="AX147" s="1">
        <f t="shared" si="340"/>
        <v>0</v>
      </c>
      <c r="AY147" s="1">
        <f t="shared" si="340"/>
        <v>4.7048381771448579E-2</v>
      </c>
      <c r="AZ147" s="1">
        <f t="shared" si="340"/>
        <v>6.2731175695264763E-2</v>
      </c>
      <c r="BA147" s="1">
        <f t="shared" si="340"/>
        <v>7.8413969619080939E-2</v>
      </c>
      <c r="BB147" s="1">
        <f t="shared" si="340"/>
        <v>9.4096763542897144E-2</v>
      </c>
      <c r="BC147" s="1">
        <f t="shared" si="340"/>
        <v>0.10977955746671333</v>
      </c>
      <c r="BD147" s="1"/>
      <c r="BE147">
        <f t="shared" ref="BE147" si="347">LN($D147)-LN($D147*(1+BA147/100))</f>
        <v>-7.8383241928037251E-4</v>
      </c>
      <c r="BF147">
        <f t="shared" si="314"/>
        <v>-9.4052520290510699E-4</v>
      </c>
      <c r="BG147">
        <f t="shared" si="314"/>
        <v>-1.0971934377472792E-3</v>
      </c>
    </row>
    <row r="148" spans="1:59" x14ac:dyDescent="0.35">
      <c r="A148" t="str">
        <f>regions!A148</f>
        <v>Samoa</v>
      </c>
      <c r="B148" s="22">
        <f>regions!B148</f>
        <v>186029</v>
      </c>
      <c r="C148" s="22">
        <f>regions!C148</f>
        <v>426326498.14749146</v>
      </c>
      <c r="D148" s="10">
        <f>regions!D148</f>
        <v>2291.7206357476061</v>
      </c>
      <c r="E148" s="1">
        <f>regions!X148</f>
        <v>26.7</v>
      </c>
      <c r="I148" s="7">
        <f t="shared" si="243"/>
        <v>-12.38885741279509</v>
      </c>
      <c r="J148" s="1">
        <f t="shared" si="244"/>
        <v>-11.86969236304898</v>
      </c>
      <c r="K148" s="1">
        <f t="shared" si="303"/>
        <v>-7.1734560559117382</v>
      </c>
      <c r="L148" s="1">
        <f t="shared" si="244"/>
        <v>-12.277106333911831</v>
      </c>
      <c r="M148" s="1">
        <f t="shared" si="308"/>
        <v>-12.304213069108677</v>
      </c>
      <c r="N148" s="1">
        <f t="shared" ref="N148" si="348">M148+M$2</f>
        <v>-11.919770178661656</v>
      </c>
      <c r="O148" s="1">
        <f t="shared" si="310"/>
        <v>2.6447940365986797</v>
      </c>
      <c r="P148" s="1">
        <f t="shared" si="339"/>
        <v>-13.569720866690965</v>
      </c>
      <c r="Q148" s="1">
        <f t="shared" si="339"/>
        <v>-10.54437524457115</v>
      </c>
      <c r="R148" s="1">
        <f t="shared" si="339"/>
        <v>-10.502900590193269</v>
      </c>
      <c r="S148" s="1">
        <f>$M148+SUMPRODUCT(regions!BG148:BS148,regions!BG$193:BS$193)</f>
        <v>-12.304213069108677</v>
      </c>
      <c r="T148" s="1">
        <f>$M148+SUMPRODUCT(regions!BV148:CD148,regions!BV$193:CD$193)</f>
        <v>-12.018962309590489</v>
      </c>
      <c r="U148" s="1">
        <f>$M148+SUMPRODUCT(regions!CQ148:CV148,regions!CQ$193:CV$193)</f>
        <v>-8.583727520826594</v>
      </c>
      <c r="V148" s="1">
        <f>$M148+SUMPRODUCT(regions!CY148:DF148,regions!CY$193:DF$193)</f>
        <v>-12.165575676788876</v>
      </c>
      <c r="W148" s="1">
        <f>$M148+SUMPRODUCT(regions!DI148:DP148,regions!DI$193:DP$193)</f>
        <v>-6.660575676788878</v>
      </c>
      <c r="X148" s="1">
        <f>$M148+SUMPRODUCT(regions!DR148:DW148,regions!DR$193:DW$193)</f>
        <v>-6.4805514758735345</v>
      </c>
      <c r="Y148" s="1">
        <f>$M148+SUMPRODUCT(regions!DZ148:EE148,regions!DZ$193:EE$193)</f>
        <v>-5.9795635428888048</v>
      </c>
      <c r="Z148" s="1">
        <f t="shared" si="324"/>
        <v>-8.8241468866640247</v>
      </c>
      <c r="AF148" s="1">
        <f t="shared" si="305"/>
        <v>1.0257869308913232</v>
      </c>
      <c r="AG148" s="1"/>
      <c r="AH148" s="1">
        <f t="shared" si="311"/>
        <v>-9.7910652789009872E-2</v>
      </c>
      <c r="AI148" s="1">
        <f t="shared" si="340"/>
        <v>-9.13832759364092E-2</v>
      </c>
      <c r="AJ148" s="1">
        <f t="shared" si="340"/>
        <v>-8.4855899083808528E-2</v>
      </c>
      <c r="AK148" s="1">
        <f t="shared" si="340"/>
        <v>-7.1801145378607212E-2</v>
      </c>
      <c r="AL148" s="1">
        <f t="shared" si="340"/>
        <v>-6.5273768526006554E-2</v>
      </c>
      <c r="AM148" s="1">
        <f t="shared" si="340"/>
        <v>-5.8746391673405896E-2</v>
      </c>
      <c r="AN148" s="1">
        <f t="shared" si="340"/>
        <v>-5.2219014820805237E-2</v>
      </c>
      <c r="AO148" s="1">
        <f t="shared" si="340"/>
        <v>-4.5691637968204579E-2</v>
      </c>
      <c r="AP148" s="1">
        <f t="shared" si="340"/>
        <v>-3.9164261115603928E-2</v>
      </c>
      <c r="AQ148" s="1">
        <f t="shared" si="340"/>
        <v>-3.263688426300327E-2</v>
      </c>
      <c r="AR148" s="1">
        <f t="shared" si="340"/>
        <v>-2.6109507410402615E-2</v>
      </c>
      <c r="AS148" s="1">
        <f t="shared" si="340"/>
        <v>-1.9582130557801961E-2</v>
      </c>
      <c r="AT148" s="1">
        <f t="shared" si="340"/>
        <v>-1.3054753705201302E-2</v>
      </c>
      <c r="AU148" s="1">
        <f t="shared" si="340"/>
        <v>-6.5273768526006451E-3</v>
      </c>
      <c r="AV148" s="1">
        <f t="shared" si="340"/>
        <v>0</v>
      </c>
      <c r="AW148" s="1">
        <f t="shared" si="340"/>
        <v>6.5273768526006573E-3</v>
      </c>
      <c r="AX148" s="1">
        <f t="shared" si="340"/>
        <v>0</v>
      </c>
      <c r="AY148" s="1">
        <f t="shared" si="340"/>
        <v>1.9582130557801974E-2</v>
      </c>
      <c r="AZ148" s="1">
        <f t="shared" si="340"/>
        <v>2.6109507410402629E-2</v>
      </c>
      <c r="BA148" s="1">
        <f t="shared" si="340"/>
        <v>3.2636884263003284E-2</v>
      </c>
      <c r="BB148" s="1">
        <f t="shared" si="340"/>
        <v>3.9164261115603942E-2</v>
      </c>
      <c r="BC148" s="1">
        <f t="shared" si="340"/>
        <v>4.56916379682046E-2</v>
      </c>
      <c r="BD148" s="1"/>
      <c r="BE148">
        <f t="shared" ref="BE148" si="349">LN($D148)-LN($D148*(1+BA148/100))</f>
        <v>-3.2631559590434733E-4</v>
      </c>
      <c r="BF148">
        <f t="shared" si="314"/>
        <v>-3.9156593920619542E-4</v>
      </c>
      <c r="BG148">
        <f t="shared" si="314"/>
        <v>-4.5681202517933173E-4</v>
      </c>
    </row>
    <row r="149" spans="1:59" x14ac:dyDescent="0.35">
      <c r="A149" t="str">
        <f>regions!A149</f>
        <v>Saudi Arabia</v>
      </c>
      <c r="B149" s="22">
        <f>regions!B149</f>
        <v>27258387</v>
      </c>
      <c r="C149" s="22">
        <f>regions!C149</f>
        <v>435991918415.44006</v>
      </c>
      <c r="D149" s="10">
        <f>regions!D149</f>
        <v>15994.78055746439</v>
      </c>
      <c r="E149" s="1">
        <f>regions!X149</f>
        <v>24.6</v>
      </c>
      <c r="I149" s="7">
        <f t="shared" si="243"/>
        <v>-5.0820832188537048</v>
      </c>
      <c r="J149" s="1">
        <f t="shared" si="244"/>
        <v>-4.5629181691075953</v>
      </c>
      <c r="K149" s="1">
        <f t="shared" si="303"/>
        <v>8.1060080354437627</v>
      </c>
      <c r="L149" s="1">
        <f t="shared" si="244"/>
        <v>3.0023577574436704</v>
      </c>
      <c r="M149" s="1">
        <f t="shared" si="308"/>
        <v>-8.0978502050986823</v>
      </c>
      <c r="N149" s="1">
        <f t="shared" ref="N149" si="350">M149+M$2</f>
        <v>-7.7134073146516613</v>
      </c>
      <c r="O149" s="1">
        <f t="shared" si="310"/>
        <v>2.3788817405873095</v>
      </c>
      <c r="P149" s="1">
        <f t="shared" si="339"/>
        <v>-9.36335800268097</v>
      </c>
      <c r="Q149" s="1">
        <f t="shared" si="339"/>
        <v>-6.338012380561155</v>
      </c>
      <c r="R149" s="1">
        <f t="shared" si="339"/>
        <v>-6.2965377261832742</v>
      </c>
      <c r="S149" s="1">
        <f>$M149+SUMPRODUCT(regions!BG149:BS149,regions!BG$193:BS$193)</f>
        <v>-2.0025956847288002</v>
      </c>
      <c r="T149" s="1">
        <f>$M149+SUMPRODUCT(regions!BV149:CD149,regions!BV$193:CD$193)</f>
        <v>-5.61087071481513</v>
      </c>
      <c r="U149" s="1">
        <f>$M149+SUMPRODUCT(regions!CQ149:CV149,regions!CQ$193:CV$193)</f>
        <v>-4.3773646568165994</v>
      </c>
      <c r="V149" s="1">
        <f>$M149+SUMPRODUCT(regions!CY149:DF149,regions!CY$193:DF$193)</f>
        <v>-5.9962726842729808</v>
      </c>
      <c r="W149" s="1">
        <f>$M149+SUMPRODUCT(regions!DI149:DP149,regions!DI$193:DP$193)</f>
        <v>-2.3971726842729808</v>
      </c>
      <c r="X149" s="1">
        <f>$M149+SUMPRODUCT(regions!DR149:DW149,regions!DR$193:DW$193)</f>
        <v>-2.2741886118635399</v>
      </c>
      <c r="Y149" s="1">
        <f>$M149+SUMPRODUCT(regions!DZ149:EE149,regions!DZ$193:EE$193)</f>
        <v>-1.7732006788788102</v>
      </c>
      <c r="Z149" s="1">
        <f t="shared" si="324"/>
        <v>-4.6177840226540301</v>
      </c>
      <c r="AF149" s="1">
        <f t="shared" si="305"/>
        <v>5.2321497949013178</v>
      </c>
      <c r="AG149" s="1"/>
      <c r="AH149" s="1">
        <f t="shared" si="311"/>
        <v>-0.49940507768366754</v>
      </c>
      <c r="AI149" s="1">
        <f t="shared" si="340"/>
        <v>-0.46611140583808963</v>
      </c>
      <c r="AJ149" s="1">
        <f t="shared" si="340"/>
        <v>-0.43281773399251172</v>
      </c>
      <c r="AK149" s="1">
        <f t="shared" si="340"/>
        <v>-0.36623039030135601</v>
      </c>
      <c r="AL149" s="1">
        <f t="shared" si="340"/>
        <v>-0.33293671845577821</v>
      </c>
      <c r="AM149" s="1">
        <f t="shared" si="340"/>
        <v>-0.29964304661020036</v>
      </c>
      <c r="AN149" s="1">
        <f t="shared" si="340"/>
        <v>-0.2663493747646225</v>
      </c>
      <c r="AO149" s="1">
        <f t="shared" si="340"/>
        <v>-0.2330557029190447</v>
      </c>
      <c r="AP149" s="1">
        <f t="shared" si="340"/>
        <v>-0.19976203107346691</v>
      </c>
      <c r="AQ149" s="1">
        <f t="shared" si="340"/>
        <v>-0.16646835922788905</v>
      </c>
      <c r="AR149" s="1">
        <f t="shared" si="340"/>
        <v>-0.13317468738231125</v>
      </c>
      <c r="AS149" s="1">
        <f t="shared" si="340"/>
        <v>-9.9881015536733425E-2</v>
      </c>
      <c r="AT149" s="1">
        <f t="shared" si="340"/>
        <v>-6.6587343691155598E-2</v>
      </c>
      <c r="AU149" s="1">
        <f t="shared" si="340"/>
        <v>-3.3293671845577764E-2</v>
      </c>
      <c r="AV149" s="1">
        <f t="shared" si="340"/>
        <v>0</v>
      </c>
      <c r="AW149" s="1">
        <f t="shared" si="340"/>
        <v>3.3293671845577827E-2</v>
      </c>
      <c r="AX149" s="1">
        <f t="shared" si="340"/>
        <v>0</v>
      </c>
      <c r="AY149" s="1">
        <f t="shared" si="340"/>
        <v>9.9881015536733508E-2</v>
      </c>
      <c r="AZ149" s="1">
        <f t="shared" si="340"/>
        <v>0.13317468738231131</v>
      </c>
      <c r="BA149" s="1">
        <f t="shared" si="340"/>
        <v>0.16646835922788913</v>
      </c>
      <c r="BB149" s="1">
        <f t="shared" si="340"/>
        <v>0.19976203107346696</v>
      </c>
      <c r="BC149" s="1">
        <f t="shared" si="340"/>
        <v>0.23305570291904482</v>
      </c>
      <c r="BD149" s="1"/>
      <c r="BE149">
        <f t="shared" ref="BE149" si="351">LN($D149)-LN($D149*(1+BA149/100))</f>
        <v>-1.6632995423382368E-3</v>
      </c>
      <c r="BF149">
        <f t="shared" si="314"/>
        <v>-1.9956277204666861E-3</v>
      </c>
      <c r="BG149">
        <f t="shared" si="314"/>
        <v>-2.3278454932658121E-3</v>
      </c>
    </row>
    <row r="150" spans="1:59" x14ac:dyDescent="0.35">
      <c r="A150" t="str">
        <f>regions!A150</f>
        <v>Senegal</v>
      </c>
      <c r="B150" s="22">
        <f>regions!B150</f>
        <v>12950564</v>
      </c>
      <c r="C150" s="22">
        <f>regions!C150</f>
        <v>10366034228.236326</v>
      </c>
      <c r="D150" s="10">
        <f>regions!D150</f>
        <v>800.43110309607573</v>
      </c>
      <c r="E150" s="1">
        <f>regions!X150</f>
        <v>27.8</v>
      </c>
      <c r="I150" s="7">
        <f t="shared" si="243"/>
        <v>-13.999139670709596</v>
      </c>
      <c r="J150" s="1">
        <f t="shared" si="244"/>
        <v>-13.479974620963485</v>
      </c>
      <c r="K150" s="1">
        <f t="shared" si="303"/>
        <v>-10.810085118600711</v>
      </c>
      <c r="L150" s="1">
        <f t="shared" si="244"/>
        <v>-15.913735396600803</v>
      </c>
      <c r="M150" s="1">
        <f t="shared" si="308"/>
        <v>-14.564953743259601</v>
      </c>
      <c r="N150" s="1">
        <f t="shared" ref="N150" si="352">M150+M$2</f>
        <v>-14.18051085281258</v>
      </c>
      <c r="O150" s="1">
        <f t="shared" si="310"/>
        <v>6.0345970742451218</v>
      </c>
      <c r="P150" s="1">
        <f t="shared" si="339"/>
        <v>-15.830461540841888</v>
      </c>
      <c r="Q150" s="1">
        <f t="shared" si="339"/>
        <v>-12.805115918722073</v>
      </c>
      <c r="R150" s="1">
        <f t="shared" si="339"/>
        <v>-12.763641264344193</v>
      </c>
      <c r="S150" s="1">
        <f>$M150+SUMPRODUCT(regions!BG150:BS150,regions!BG$193:BS$193)</f>
        <v>-5.3098254368316518</v>
      </c>
      <c r="T150" s="1">
        <f>$M150+SUMPRODUCT(regions!BV150:CD150,regions!BV$193:CD$193)</f>
        <v>-12.919636423643917</v>
      </c>
      <c r="U150" s="1">
        <f>$M150+SUMPRODUCT(regions!CQ150:CV150,regions!CQ$193:CV$193)</f>
        <v>-10.844468194977518</v>
      </c>
      <c r="V150" s="1">
        <f>$M150+SUMPRODUCT(regions!CY150:DF150,regions!CY$193:DF$193)</f>
        <v>-12.463376222433899</v>
      </c>
      <c r="W150" s="1">
        <f>$M150+SUMPRODUCT(regions!DI150:DP150,regions!DI$193:DP$193)</f>
        <v>-8.8642762224338991</v>
      </c>
      <c r="X150" s="1">
        <f>$M150+SUMPRODUCT(regions!DR150:DW150,regions!DR$193:DW$193)</f>
        <v>-8.7412921500244583</v>
      </c>
      <c r="Y150" s="1">
        <f>$M150+SUMPRODUCT(regions!DZ150:EE150,regions!DZ$193:EE$193)</f>
        <v>-8.2403042170397285</v>
      </c>
      <c r="Z150" s="1">
        <f t="shared" si="324"/>
        <v>-28.4</v>
      </c>
      <c r="AA150" t="str">
        <f>Maddison!A69</f>
        <v>Senegal</v>
      </c>
      <c r="AB150">
        <f>-Maddison!B69</f>
        <v>-28.4</v>
      </c>
      <c r="AC150" s="1">
        <f>N150-AB150</f>
        <v>14.219489147187419</v>
      </c>
      <c r="AF150" s="1">
        <f t="shared" si="305"/>
        <v>-1.2349537432596005</v>
      </c>
      <c r="AG150" s="1"/>
      <c r="AH150" s="1">
        <f t="shared" si="311"/>
        <v>0.11787548030243829</v>
      </c>
      <c r="AI150" s="1">
        <f t="shared" si="340"/>
        <v>0.11001711494894238</v>
      </c>
      <c r="AJ150" s="1">
        <f t="shared" si="340"/>
        <v>0.10215874959544648</v>
      </c>
      <c r="AK150" s="1">
        <f t="shared" si="340"/>
        <v>8.6442018888454708E-2</v>
      </c>
      <c r="AL150" s="1">
        <f t="shared" si="340"/>
        <v>7.8583653534958817E-2</v>
      </c>
      <c r="AM150" s="1">
        <f t="shared" si="340"/>
        <v>7.0725288181462939E-2</v>
      </c>
      <c r="AN150" s="1">
        <f t="shared" si="340"/>
        <v>6.2866922827967048E-2</v>
      </c>
      <c r="AO150" s="1">
        <f t="shared" si="340"/>
        <v>5.5008557474471163E-2</v>
      </c>
      <c r="AP150" s="1">
        <f t="shared" si="340"/>
        <v>4.7150192120975286E-2</v>
      </c>
      <c r="AQ150" s="1">
        <f t="shared" si="340"/>
        <v>3.9291826767479401E-2</v>
      </c>
      <c r="AR150" s="1">
        <f t="shared" si="340"/>
        <v>3.1433461413983517E-2</v>
      </c>
      <c r="AS150" s="1">
        <f t="shared" si="340"/>
        <v>2.3575096060487639E-2</v>
      </c>
      <c r="AT150" s="1">
        <f t="shared" si="340"/>
        <v>1.5716730706991755E-2</v>
      </c>
      <c r="AU150" s="1">
        <f t="shared" si="340"/>
        <v>7.8583653534958688E-3</v>
      </c>
      <c r="AV150" s="1">
        <f t="shared" si="340"/>
        <v>0</v>
      </c>
      <c r="AW150" s="1">
        <f t="shared" si="340"/>
        <v>-7.8583653534958844E-3</v>
      </c>
      <c r="AX150" s="1">
        <f t="shared" si="340"/>
        <v>0</v>
      </c>
      <c r="AY150" s="1">
        <f t="shared" si="340"/>
        <v>-2.3575096060487657E-2</v>
      </c>
      <c r="AZ150" s="1">
        <f t="shared" si="340"/>
        <v>-3.1433461413983538E-2</v>
      </c>
      <c r="BA150" s="1">
        <f t="shared" si="340"/>
        <v>-3.9291826767479415E-2</v>
      </c>
      <c r="BB150" s="1">
        <f t="shared" si="340"/>
        <v>-4.7150192120975307E-2</v>
      </c>
      <c r="BC150" s="1">
        <f t="shared" si="340"/>
        <v>-5.5008557474471191E-2</v>
      </c>
      <c r="BD150" s="1"/>
      <c r="BE150">
        <f t="shared" ref="BE150" si="353">LN($D150)-LN($D150*(1+BA150/100))</f>
        <v>3.9299548028370879E-4</v>
      </c>
      <c r="BF150">
        <f t="shared" si="314"/>
        <v>4.716131131941026E-4</v>
      </c>
      <c r="BG150">
        <f t="shared" si="314"/>
        <v>5.5023692732181217E-4</v>
      </c>
    </row>
    <row r="151" spans="1:59" x14ac:dyDescent="0.35">
      <c r="A151" t="str">
        <f>regions!A151</f>
        <v>Serbia</v>
      </c>
      <c r="B151" s="22">
        <f>regions!B151</f>
        <v>7291436</v>
      </c>
      <c r="C151" s="22">
        <f>regions!C151</f>
        <v>27876766882.558659</v>
      </c>
      <c r="D151" s="10">
        <f>regions!D151</f>
        <v>3823.2204030260514</v>
      </c>
      <c r="E151" s="1">
        <f>regions!X151</f>
        <v>9.9</v>
      </c>
      <c r="I151" s="7">
        <f t="shared" ref="I151:I190" si="354">D151*G$1+D151*D151*G$2+E151*G$3</f>
        <v>-2.5882880151273597</v>
      </c>
      <c r="J151" s="1">
        <f t="shared" ref="J151:L190" si="355">I151+I$2</f>
        <v>-2.0691229653812497</v>
      </c>
      <c r="K151" s="1">
        <f t="shared" si="303"/>
        <v>3.3239283715379386</v>
      </c>
      <c r="L151" s="1">
        <f t="shared" si="355"/>
        <v>-1.7797219064621537</v>
      </c>
      <c r="M151" s="1">
        <f t="shared" si="308"/>
        <v>-3.9100356569117016</v>
      </c>
      <c r="N151" s="1">
        <f t="shared" ref="N151" si="356">M151+M$2</f>
        <v>-3.5255927664646807</v>
      </c>
      <c r="O151" s="1">
        <f t="shared" si="310"/>
        <v>2.5569286635580344</v>
      </c>
      <c r="P151" s="1">
        <f t="shared" si="339"/>
        <v>-5.1755434544939893</v>
      </c>
      <c r="Q151" s="1">
        <f t="shared" si="339"/>
        <v>-2.1501978323741735</v>
      </c>
      <c r="R151" s="1">
        <f t="shared" si="339"/>
        <v>-2.1087231779962936</v>
      </c>
      <c r="S151" s="1">
        <f>$M151+SUMPRODUCT(regions!BG151:BS151,regions!BG$193:BS$193)</f>
        <v>-2.7568184842215908</v>
      </c>
      <c r="T151" s="1">
        <f>$M151+SUMPRODUCT(regions!BV151:CD151,regions!BV$193:CD$193)</f>
        <v>-3.740789512759195</v>
      </c>
      <c r="U151" s="1">
        <f>$M151+SUMPRODUCT(regions!CQ151:CV151,regions!CQ$193:CV$193)</f>
        <v>-0.18955010862961874</v>
      </c>
      <c r="V151" s="1">
        <f>$M151+SUMPRODUCT(regions!CY151:DF151,regions!CY$193:DF$193)</f>
        <v>-4.0407895127591953</v>
      </c>
      <c r="W151" s="1">
        <f>$M151+SUMPRODUCT(regions!DI151:DP151,regions!DI$193:DP$193)</f>
        <v>-3.610289512759195</v>
      </c>
      <c r="X151" s="1">
        <f>$M151+SUMPRODUCT(regions!DR151:DW151,regions!DR$193:DW$193)</f>
        <v>1.9136259363234407</v>
      </c>
      <c r="Y151" s="1">
        <f>$M151+SUMPRODUCT(regions!DZ151:EE151,regions!DZ$193:EE$193)</f>
        <v>2.4146138693081705</v>
      </c>
      <c r="Z151" s="1">
        <f t="shared" si="324"/>
        <v>0.8</v>
      </c>
      <c r="AA151" t="str">
        <f>Maddison!A88</f>
        <v>Yugoslavia</v>
      </c>
      <c r="AB151">
        <f>-Maddison!B88</f>
        <v>0.8</v>
      </c>
      <c r="AC151" s="1">
        <f>N151-AB151</f>
        <v>-4.3255927664646805</v>
      </c>
      <c r="AF151" s="1">
        <f t="shared" si="305"/>
        <v>9.4199643430882993</v>
      </c>
      <c r="AG151" s="1"/>
      <c r="AH151" s="1">
        <f t="shared" si="311"/>
        <v>-0.89912907866700675</v>
      </c>
      <c r="AI151" s="1">
        <f t="shared" si="340"/>
        <v>-0.83918714008920614</v>
      </c>
      <c r="AJ151" s="1">
        <f t="shared" si="340"/>
        <v>-0.77924520151140564</v>
      </c>
      <c r="AK151" s="1">
        <f t="shared" si="340"/>
        <v>-0.65936132435580463</v>
      </c>
      <c r="AL151" s="1">
        <f t="shared" si="340"/>
        <v>-0.59941938577800424</v>
      </c>
      <c r="AM151" s="1">
        <f t="shared" si="340"/>
        <v>-0.53947744720020374</v>
      </c>
      <c r="AN151" s="1">
        <f t="shared" si="340"/>
        <v>-0.47953550862240335</v>
      </c>
      <c r="AO151" s="1">
        <f t="shared" si="340"/>
        <v>-0.4195935700446029</v>
      </c>
      <c r="AP151" s="1">
        <f t="shared" si="340"/>
        <v>-0.35965163146680251</v>
      </c>
      <c r="AQ151" s="1">
        <f t="shared" si="340"/>
        <v>-0.29970969288900207</v>
      </c>
      <c r="AR151" s="1">
        <f t="shared" si="340"/>
        <v>-0.23976775431120165</v>
      </c>
      <c r="AS151" s="1">
        <f t="shared" si="340"/>
        <v>-0.17982581573340123</v>
      </c>
      <c r="AT151" s="1">
        <f t="shared" si="340"/>
        <v>-0.11988387715560077</v>
      </c>
      <c r="AU151" s="1">
        <f t="shared" si="340"/>
        <v>-5.9941938577800329E-2</v>
      </c>
      <c r="AV151" s="1">
        <f t="shared" si="340"/>
        <v>0</v>
      </c>
      <c r="AW151" s="1">
        <f t="shared" si="340"/>
        <v>5.994193857780044E-2</v>
      </c>
      <c r="AX151" s="1">
        <f t="shared" si="340"/>
        <v>0</v>
      </c>
      <c r="AY151" s="1">
        <f t="shared" si="340"/>
        <v>0.17982581573340134</v>
      </c>
      <c r="AZ151" s="1">
        <f t="shared" si="340"/>
        <v>0.23976775431120176</v>
      </c>
      <c r="BA151" s="1">
        <f t="shared" si="340"/>
        <v>0.29970969288900218</v>
      </c>
      <c r="BB151" s="1">
        <f t="shared" si="340"/>
        <v>0.35965163146680262</v>
      </c>
      <c r="BC151" s="1">
        <f t="shared" si="340"/>
        <v>0.41959357004460307</v>
      </c>
      <c r="BD151" s="1"/>
      <c r="BE151">
        <f t="shared" ref="BE151" si="357">LN($D151)-LN($D151*(1+BA151/100))</f>
        <v>-2.9926145876633115E-3</v>
      </c>
      <c r="BF151">
        <f t="shared" si="314"/>
        <v>-3.5900643150537093E-3</v>
      </c>
      <c r="BG151">
        <f t="shared" si="314"/>
        <v>-4.1871573093867909E-3</v>
      </c>
    </row>
    <row r="152" spans="1:59" x14ac:dyDescent="0.35">
      <c r="A152" t="str">
        <f>regions!A152</f>
        <v>Seychelles</v>
      </c>
      <c r="B152" s="22">
        <f>regions!B152</f>
        <v>89770</v>
      </c>
      <c r="C152" s="22">
        <f>regions!C152</f>
        <v>1135149255.7550099</v>
      </c>
      <c r="D152" s="10">
        <f>regions!D152</f>
        <v>12645.084724908209</v>
      </c>
      <c r="E152" s="1">
        <f>regions!X152</f>
        <v>27.1</v>
      </c>
      <c r="I152" s="7">
        <f t="shared" si="354"/>
        <v>-7.3624581318865108</v>
      </c>
      <c r="J152" s="1">
        <f t="shared" si="355"/>
        <v>-6.8432930821404012</v>
      </c>
      <c r="K152" s="1">
        <f t="shared" si="303"/>
        <v>5.5789804657851771</v>
      </c>
      <c r="L152" s="1">
        <f t="shared" si="355"/>
        <v>0.47533018778508485</v>
      </c>
      <c r="M152" s="1">
        <f t="shared" si="308"/>
        <v>-9.6138592612796057</v>
      </c>
      <c r="N152" s="1">
        <f t="shared" ref="N152" si="358">M152+M$2</f>
        <v>-9.2294163708325847</v>
      </c>
      <c r="O152" s="1">
        <f t="shared" si="310"/>
        <v>2.5238382245501425</v>
      </c>
      <c r="P152" s="1">
        <f t="shared" si="339"/>
        <v>-10.879367058861893</v>
      </c>
      <c r="Q152" s="1">
        <f t="shared" si="339"/>
        <v>-7.8540214367420784</v>
      </c>
      <c r="R152" s="1">
        <f t="shared" si="339"/>
        <v>-7.8125467823641976</v>
      </c>
      <c r="S152" s="1">
        <f>$M152+SUMPRODUCT(regions!BG152:BS152,regions!BG$193:BS$193)</f>
        <v>-5.9467603455407652</v>
      </c>
      <c r="T152" s="1">
        <f>$M152+SUMPRODUCT(regions!BV152:CD152,regions!BV$193:CD$193)</f>
        <v>-9.3286085017614173</v>
      </c>
      <c r="U152" s="1">
        <f>$M152+SUMPRODUCT(regions!CQ152:CV152,regions!CQ$193:CV$193)</f>
        <v>-5.8933737129975228</v>
      </c>
      <c r="V152" s="1">
        <f>$M152+SUMPRODUCT(regions!CY152:DF152,regions!CY$193:DF$193)</f>
        <v>-9.4752218689598049</v>
      </c>
      <c r="W152" s="1">
        <f>$M152+SUMPRODUCT(regions!DI152:DP152,regions!DI$193:DP$193)</f>
        <v>-3.9702218689598068</v>
      </c>
      <c r="X152" s="1">
        <f>$M152+SUMPRODUCT(regions!DR152:DW152,regions!DR$193:DW$193)</f>
        <v>-3.7901976680444633</v>
      </c>
      <c r="Y152" s="1">
        <f>$M152+SUMPRODUCT(regions!DZ152:EE152,regions!DZ$193:EE$193)</f>
        <v>-3.2892097350597336</v>
      </c>
      <c r="Z152" s="1">
        <f t="shared" si="324"/>
        <v>-6.1337930788349535</v>
      </c>
      <c r="AF152" s="1">
        <f t="shared" si="305"/>
        <v>3.7161407387203944</v>
      </c>
      <c r="AG152" s="1"/>
      <c r="AH152" s="1">
        <f t="shared" si="311"/>
        <v>-0.35470306223124926</v>
      </c>
      <c r="AI152" s="1">
        <f t="shared" si="340"/>
        <v>-0.33105619141583259</v>
      </c>
      <c r="AJ152" s="1">
        <f t="shared" si="340"/>
        <v>-0.30740932060041593</v>
      </c>
      <c r="AK152" s="1">
        <f t="shared" si="340"/>
        <v>-0.26011557896958271</v>
      </c>
      <c r="AL152" s="1">
        <f t="shared" si="340"/>
        <v>-0.23646870815416607</v>
      </c>
      <c r="AM152" s="1">
        <f t="shared" si="340"/>
        <v>-0.21282183733874946</v>
      </c>
      <c r="AN152" s="1">
        <f t="shared" si="340"/>
        <v>-0.18917496652333282</v>
      </c>
      <c r="AO152" s="1">
        <f t="shared" si="340"/>
        <v>-0.16552809570791621</v>
      </c>
      <c r="AP152" s="1">
        <f t="shared" si="340"/>
        <v>-0.14188122489249963</v>
      </c>
      <c r="AQ152" s="1">
        <f t="shared" si="340"/>
        <v>-0.11823435407708301</v>
      </c>
      <c r="AR152" s="1">
        <f t="shared" si="340"/>
        <v>-9.4587483261666411E-2</v>
      </c>
      <c r="AS152" s="1">
        <f t="shared" si="340"/>
        <v>-7.0940612446249801E-2</v>
      </c>
      <c r="AT152" s="1">
        <f t="shared" si="340"/>
        <v>-4.7293741630833185E-2</v>
      </c>
      <c r="AU152" s="1">
        <f t="shared" si="340"/>
        <v>-2.3646870815416568E-2</v>
      </c>
      <c r="AV152" s="1">
        <f t="shared" si="340"/>
        <v>0</v>
      </c>
      <c r="AW152" s="1">
        <f t="shared" si="340"/>
        <v>2.3646870815416613E-2</v>
      </c>
      <c r="AX152" s="1">
        <f t="shared" si="340"/>
        <v>0</v>
      </c>
      <c r="AY152" s="1">
        <f t="shared" si="340"/>
        <v>7.0940612446249857E-2</v>
      </c>
      <c r="AZ152" s="1">
        <f t="shared" si="340"/>
        <v>9.4587483261666452E-2</v>
      </c>
      <c r="BA152" s="1">
        <f t="shared" si="340"/>
        <v>0.11823435407708306</v>
      </c>
      <c r="BB152" s="1">
        <f t="shared" si="340"/>
        <v>0.14188122489249969</v>
      </c>
      <c r="BC152" s="1">
        <f t="shared" si="340"/>
        <v>0.1655280957079163</v>
      </c>
      <c r="BD152" s="1"/>
      <c r="BE152">
        <f t="shared" ref="BE152" si="359">LN($D152)-LN($D152*(1+BA152/100))</f>
        <v>-1.1816451231059233E-3</v>
      </c>
      <c r="BF152">
        <f t="shared" si="314"/>
        <v>-1.4178066858505645E-3</v>
      </c>
      <c r="BG152">
        <f t="shared" si="314"/>
        <v>-1.6539124894787705E-3</v>
      </c>
    </row>
    <row r="153" spans="1:59" x14ac:dyDescent="0.35">
      <c r="A153" t="str">
        <f>regions!A153</f>
        <v>Sierra Leone</v>
      </c>
      <c r="B153" s="22">
        <f>regions!B153</f>
        <v>5751976</v>
      </c>
      <c r="C153" s="22">
        <f>regions!C153</f>
        <v>2130751272.7919905</v>
      </c>
      <c r="D153" s="10">
        <f>regions!D153</f>
        <v>370.43813687539563</v>
      </c>
      <c r="E153" s="1">
        <f>regions!X153</f>
        <v>26</v>
      </c>
      <c r="I153" s="7">
        <f t="shared" si="354"/>
        <v>-13.365915196106283</v>
      </c>
      <c r="J153" s="1">
        <f t="shared" si="355"/>
        <v>-12.846750146360172</v>
      </c>
      <c r="K153" s="1">
        <f t="shared" si="303"/>
        <v>-10.962844626990153</v>
      </c>
      <c r="L153" s="1">
        <f t="shared" si="355"/>
        <v>-16.066494904990243</v>
      </c>
      <c r="M153" s="1">
        <f t="shared" si="308"/>
        <v>-15.052252665062115</v>
      </c>
      <c r="N153" s="1">
        <f t="shared" ref="N153" si="360">M153+M$2</f>
        <v>-14.667809774615094</v>
      </c>
      <c r="O153" s="1">
        <f t="shared" si="310"/>
        <v>3.976622393142824</v>
      </c>
      <c r="P153" s="1">
        <f t="shared" si="339"/>
        <v>-16.317760462644401</v>
      </c>
      <c r="Q153" s="1">
        <f t="shared" si="339"/>
        <v>-13.292414840524588</v>
      </c>
      <c r="R153" s="1">
        <f t="shared" si="339"/>
        <v>-13.250940186146707</v>
      </c>
      <c r="S153" s="1">
        <f>$M153+SUMPRODUCT(regions!BG153:BS153,regions!BG$193:BS$193)</f>
        <v>-5.7971243586341661</v>
      </c>
      <c r="T153" s="1">
        <f>$M153+SUMPRODUCT(regions!BV153:CD153,regions!BV$193:CD$193)</f>
        <v>-13.406935345446431</v>
      </c>
      <c r="U153" s="1">
        <f>$M153+SUMPRODUCT(regions!CQ153:CV153,regions!CQ$193:CV$193)</f>
        <v>-11.331767116780032</v>
      </c>
      <c r="V153" s="1">
        <f>$M153+SUMPRODUCT(regions!CY153:DF153,regions!CY$193:DF$193)</f>
        <v>-12.950675144236413</v>
      </c>
      <c r="W153" s="1">
        <f>$M153+SUMPRODUCT(regions!DI153:DP153,regions!DI$193:DP$193)</f>
        <v>-9.3515751442364135</v>
      </c>
      <c r="X153" s="1">
        <f>$M153+SUMPRODUCT(regions!DR153:DW153,regions!DR$193:DW$193)</f>
        <v>-9.2285910718269726</v>
      </c>
      <c r="Y153" s="1">
        <f>$M153+SUMPRODUCT(regions!DZ153:EE153,regions!DZ$193:EE$193)</f>
        <v>-8.7276031388422428</v>
      </c>
      <c r="Z153" s="1">
        <f t="shared" si="324"/>
        <v>-2.4</v>
      </c>
      <c r="AA153" t="str">
        <f>Maddison!A70</f>
        <v>Sierra Leone</v>
      </c>
      <c r="AB153">
        <f>-Maddison!B70</f>
        <v>-2.4</v>
      </c>
      <c r="AC153" s="1">
        <f>N153-AB153</f>
        <v>-12.267809774615094</v>
      </c>
      <c r="AF153" s="1">
        <f t="shared" si="305"/>
        <v>-1.7222526650621148</v>
      </c>
      <c r="AG153" s="1"/>
      <c r="AH153" s="1">
        <f t="shared" si="311"/>
        <v>0.16438782521563319</v>
      </c>
      <c r="AI153" s="1">
        <f t="shared" si="340"/>
        <v>0.1534286368679243</v>
      </c>
      <c r="AJ153" s="1">
        <f t="shared" si="340"/>
        <v>0.14246944852021537</v>
      </c>
      <c r="AK153" s="1">
        <f t="shared" si="340"/>
        <v>0.12055107182479763</v>
      </c>
      <c r="AL153" s="1">
        <f t="shared" si="340"/>
        <v>0.10959188347708874</v>
      </c>
      <c r="AM153" s="1">
        <f t="shared" si="340"/>
        <v>9.863269512937986E-2</v>
      </c>
      <c r="AN153" s="1">
        <f t="shared" si="340"/>
        <v>8.767350678167099E-2</v>
      </c>
      <c r="AO153" s="1">
        <f t="shared" si="340"/>
        <v>7.6714318433962106E-2</v>
      </c>
      <c r="AP153" s="1">
        <f t="shared" si="340"/>
        <v>6.5755130086253236E-2</v>
      </c>
      <c r="AQ153" s="1">
        <f t="shared" si="340"/>
        <v>5.4795941738544358E-2</v>
      </c>
      <c r="AR153" s="1">
        <f t="shared" si="340"/>
        <v>4.3836753390835488E-2</v>
      </c>
      <c r="AS153" s="1">
        <f t="shared" si="340"/>
        <v>3.2877565043126611E-2</v>
      </c>
      <c r="AT153" s="1">
        <f t="shared" si="340"/>
        <v>2.1918376695417734E-2</v>
      </c>
      <c r="AU153" s="1">
        <f t="shared" si="340"/>
        <v>1.0959188347708856E-2</v>
      </c>
      <c r="AV153" s="1">
        <f t="shared" si="340"/>
        <v>0</v>
      </c>
      <c r="AW153" s="1">
        <f t="shared" si="340"/>
        <v>-1.0959188347708877E-2</v>
      </c>
      <c r="AX153" s="1">
        <f t="shared" si="340"/>
        <v>0</v>
      </c>
      <c r="AY153" s="1">
        <f t="shared" si="340"/>
        <v>-3.2877565043126639E-2</v>
      </c>
      <c r="AZ153" s="1">
        <f t="shared" si="340"/>
        <v>-4.3836753390835509E-2</v>
      </c>
      <c r="BA153" s="1">
        <f t="shared" si="340"/>
        <v>-5.4795941738544386E-2</v>
      </c>
      <c r="BB153" s="1">
        <f t="shared" si="340"/>
        <v>-6.5755130086253263E-2</v>
      </c>
      <c r="BC153" s="1">
        <f t="shared" si="340"/>
        <v>-7.6714318433962148E-2</v>
      </c>
      <c r="BD153" s="1"/>
      <c r="BE153">
        <f t="shared" ref="BE153" si="361">LN($D153)-LN($D153*(1+BA153/100))</f>
        <v>5.4810960201301384E-4</v>
      </c>
      <c r="BF153">
        <f t="shared" si="314"/>
        <v>6.5776758253566214E-4</v>
      </c>
      <c r="BG153">
        <f t="shared" si="314"/>
        <v>7.6743758924902039E-4</v>
      </c>
    </row>
    <row r="154" spans="1:59" x14ac:dyDescent="0.35">
      <c r="A154" t="str">
        <f>regions!A154</f>
        <v>Singapore</v>
      </c>
      <c r="B154" s="22">
        <f>regions!B154</f>
        <v>5076700</v>
      </c>
      <c r="C154" s="22">
        <f>regions!C154</f>
        <v>176457991287.06442</v>
      </c>
      <c r="D154" s="10">
        <f>regions!D154</f>
        <v>34758.404334915285</v>
      </c>
      <c r="E154" s="1">
        <f>regions!X154</f>
        <v>26.4</v>
      </c>
      <c r="I154" s="7">
        <f t="shared" si="354"/>
        <v>-7.1533357323393414</v>
      </c>
      <c r="J154" s="1">
        <f t="shared" si="355"/>
        <v>-6.6341706825932318</v>
      </c>
      <c r="K154" s="1">
        <f t="shared" si="303"/>
        <v>-0.25665060739543577</v>
      </c>
      <c r="L154" s="1">
        <f t="shared" si="355"/>
        <v>-5.3603008853955281</v>
      </c>
      <c r="M154" s="1">
        <f t="shared" si="308"/>
        <v>-7.600982592063632</v>
      </c>
      <c r="N154" s="1">
        <f t="shared" ref="N154" si="362">M154+M$2</f>
        <v>-7.2165397016166111</v>
      </c>
      <c r="O154" s="1">
        <f t="shared" si="310"/>
        <v>2.6200538171375021</v>
      </c>
      <c r="P154" s="1">
        <f t="shared" si="339"/>
        <v>-8.8664903896459197</v>
      </c>
      <c r="Q154" s="1">
        <f t="shared" si="339"/>
        <v>-5.8411447675261039</v>
      </c>
      <c r="R154" s="1">
        <f t="shared" si="339"/>
        <v>-5.799670113148224</v>
      </c>
      <c r="S154" s="1">
        <f>$M154+SUMPRODUCT(regions!BG154:BS154,regions!BG$193:BS$193)</f>
        <v>-7.3291350512790014</v>
      </c>
      <c r="T154" s="1">
        <f>$M154+SUMPRODUCT(regions!BV154:CD154,regions!BV$193:CD$193)</f>
        <v>-7.3157318325454437</v>
      </c>
      <c r="U154" s="1">
        <f>$M154+SUMPRODUCT(regions!CQ154:CV154,regions!CQ$193:CV$193)</f>
        <v>-3.8804970437815491</v>
      </c>
      <c r="V154" s="1">
        <f>$M154+SUMPRODUCT(regions!CY154:DF154,regions!CY$193:DF$193)</f>
        <v>-7.4623451997438313</v>
      </c>
      <c r="W154" s="1">
        <f>$M154+SUMPRODUCT(regions!DI154:DP154,regions!DI$193:DP$193)</f>
        <v>-1.9573451997438331</v>
      </c>
      <c r="X154" s="1">
        <f>$M154+SUMPRODUCT(regions!DR154:DW154,regions!DR$193:DW$193)</f>
        <v>-1.7773209988284897</v>
      </c>
      <c r="Y154" s="1">
        <f>$M154+SUMPRODUCT(regions!DZ154:EE154,regions!DZ$193:EE$193)</f>
        <v>-1.2763330658437599</v>
      </c>
      <c r="Z154" s="1">
        <f t="shared" si="324"/>
        <v>-4.1209164096189799</v>
      </c>
      <c r="AF154" s="1">
        <f t="shared" si="305"/>
        <v>5.729017407936368</v>
      </c>
      <c r="AG154" s="1"/>
      <c r="AH154" s="1">
        <f t="shared" si="311"/>
        <v>-0.54683074755421979</v>
      </c>
      <c r="AI154" s="1">
        <f t="shared" si="340"/>
        <v>-0.51037536438393838</v>
      </c>
      <c r="AJ154" s="1">
        <f t="shared" si="340"/>
        <v>-0.47391998121365697</v>
      </c>
      <c r="AK154" s="1">
        <f t="shared" si="340"/>
        <v>-0.40100921487309438</v>
      </c>
      <c r="AL154" s="1">
        <f t="shared" si="340"/>
        <v>-0.36455383170281302</v>
      </c>
      <c r="AM154" s="1">
        <f t="shared" si="340"/>
        <v>-0.32809844853253173</v>
      </c>
      <c r="AN154" s="1">
        <f t="shared" si="340"/>
        <v>-0.29164306536225038</v>
      </c>
      <c r="AO154" s="1">
        <f t="shared" si="340"/>
        <v>-0.25518768219196908</v>
      </c>
      <c r="AP154" s="1">
        <f t="shared" si="340"/>
        <v>-0.21873229902168781</v>
      </c>
      <c r="AQ154" s="1">
        <f t="shared" si="340"/>
        <v>-0.18227691585140648</v>
      </c>
      <c r="AR154" s="1">
        <f t="shared" si="340"/>
        <v>-0.14582153268112519</v>
      </c>
      <c r="AS154" s="1">
        <f t="shared" si="340"/>
        <v>-0.10936614951084388</v>
      </c>
      <c r="AT154" s="1">
        <f t="shared" si="340"/>
        <v>-7.2910766340562566E-2</v>
      </c>
      <c r="AU154" s="1">
        <f t="shared" si="340"/>
        <v>-3.6455383170281248E-2</v>
      </c>
      <c r="AV154" s="1">
        <f t="shared" si="340"/>
        <v>0</v>
      </c>
      <c r="AW154" s="1">
        <f t="shared" si="340"/>
        <v>3.6455383170281318E-2</v>
      </c>
      <c r="AX154" s="1">
        <f t="shared" si="340"/>
        <v>0</v>
      </c>
      <c r="AY154" s="1">
        <f t="shared" si="340"/>
        <v>0.10936614951084396</v>
      </c>
      <c r="AZ154" s="1">
        <f t="shared" si="340"/>
        <v>0.14582153268112527</v>
      </c>
      <c r="BA154" s="1">
        <f t="shared" si="340"/>
        <v>0.18227691585140657</v>
      </c>
      <c r="BB154" s="1">
        <f t="shared" si="340"/>
        <v>0.21873229902168789</v>
      </c>
      <c r="BC154" s="1">
        <f t="shared" si="340"/>
        <v>0.25518768219196919</v>
      </c>
      <c r="BD154" s="1"/>
      <c r="BE154">
        <f t="shared" ref="BE154" si="363">LN($D154)-LN($D154*(1+BA154/100))</f>
        <v>-1.8211099307663403E-3</v>
      </c>
      <c r="BF154">
        <f t="shared" si="314"/>
        <v>-2.1849342819031392E-3</v>
      </c>
      <c r="BG154">
        <f t="shared" si="314"/>
        <v>-2.5486263130218845E-3</v>
      </c>
    </row>
    <row r="155" spans="1:59" x14ac:dyDescent="0.35">
      <c r="A155" t="str">
        <f>regions!A155</f>
        <v>Slovakia</v>
      </c>
      <c r="B155" s="22">
        <f>regions!B155</f>
        <v>5430099</v>
      </c>
      <c r="C155" s="22">
        <f>regions!C155</f>
        <v>76899962691.20755</v>
      </c>
      <c r="D155" s="10">
        <f>regions!D155</f>
        <v>14161.797545718329</v>
      </c>
      <c r="E155" s="1">
        <f>regions!X155</f>
        <v>6.8</v>
      </c>
      <c r="I155" s="7">
        <f t="shared" si="354"/>
        <v>3.7687341783180424</v>
      </c>
      <c r="J155" s="1">
        <f t="shared" si="355"/>
        <v>4.2878992280641519</v>
      </c>
      <c r="K155" s="1">
        <f t="shared" si="303"/>
        <v>15.585326611899109</v>
      </c>
      <c r="L155" s="1">
        <f t="shared" si="355"/>
        <v>10.481676333899017</v>
      </c>
      <c r="M155" s="1">
        <f t="shared" si="308"/>
        <v>-0.31962560472937396</v>
      </c>
      <c r="N155" s="1">
        <f t="shared" ref="N155" si="364">M155+M$2</f>
        <v>6.4817285717646778E-2</v>
      </c>
      <c r="O155" s="1">
        <f t="shared" si="310"/>
        <v>2.4620460994655309</v>
      </c>
      <c r="P155" s="1">
        <f t="shared" si="339"/>
        <v>-1.5851334023116619</v>
      </c>
      <c r="Q155" s="1">
        <f t="shared" si="339"/>
        <v>1.4402122198081537</v>
      </c>
      <c r="R155" s="1">
        <f t="shared" si="339"/>
        <v>1.4816868741860341</v>
      </c>
      <c r="S155" s="1">
        <f>$M155+SUMPRODUCT(regions!BG155:BS155,regions!BG$193:BS$193)</f>
        <v>0.83359156796073663</v>
      </c>
      <c r="T155" s="1">
        <f>$M155+SUMPRODUCT(regions!BV155:CD155,regions!BV$193:CD$193)</f>
        <v>-0.15037946057686752</v>
      </c>
      <c r="U155" s="1">
        <f>$M155+SUMPRODUCT(regions!CQ155:CV155,regions!CQ$193:CV$193)</f>
        <v>3.4008599435527089</v>
      </c>
      <c r="V155" s="1">
        <f>$M155+SUMPRODUCT(regions!CY155:DF155,regions!CY$193:DF$193)</f>
        <v>-0.45037946057686751</v>
      </c>
      <c r="W155" s="1">
        <f>$M155+SUMPRODUCT(regions!DI155:DP155,regions!DI$193:DP$193)</f>
        <v>-1.9879460576867514E-2</v>
      </c>
      <c r="X155" s="1">
        <f>$M155+SUMPRODUCT(regions!DR155:DW155,regions!DR$193:DW$193)</f>
        <v>5.5040359885057679</v>
      </c>
      <c r="Y155" s="1">
        <f>$M155+SUMPRODUCT(regions!DZ155:EE155,regions!DZ$193:EE$193)</f>
        <v>6.0050239214904977</v>
      </c>
      <c r="Z155" s="1">
        <f t="shared" si="324"/>
        <v>3.1604405777152786</v>
      </c>
      <c r="AF155" s="1">
        <f t="shared" si="305"/>
        <v>13.010374395270626</v>
      </c>
      <c r="AG155" s="1"/>
      <c r="AH155" s="1">
        <f t="shared" si="311"/>
        <v>-1.2418312338640283</v>
      </c>
      <c r="AI155" s="1">
        <f t="shared" si="340"/>
        <v>-1.1590424849397596</v>
      </c>
      <c r="AJ155" s="1">
        <f t="shared" si="340"/>
        <v>-1.0762537360154907</v>
      </c>
      <c r="AK155" s="1">
        <f t="shared" si="340"/>
        <v>-0.91067623816695364</v>
      </c>
      <c r="AL155" s="1">
        <f t="shared" si="340"/>
        <v>-0.82788748924268507</v>
      </c>
      <c r="AM155" s="1">
        <f t="shared" si="340"/>
        <v>-0.74509874031841661</v>
      </c>
      <c r="AN155" s="1">
        <f t="shared" si="340"/>
        <v>-0.66230999139414803</v>
      </c>
      <c r="AO155" s="1">
        <f t="shared" si="340"/>
        <v>-0.57952124246987946</v>
      </c>
      <c r="AP155" s="1">
        <f t="shared" si="340"/>
        <v>-0.496732493545611</v>
      </c>
      <c r="AQ155" s="1">
        <f t="shared" si="340"/>
        <v>-0.41394374462134248</v>
      </c>
      <c r="AR155" s="1">
        <f t="shared" si="340"/>
        <v>-0.33115499569707396</v>
      </c>
      <c r="AS155" s="1">
        <f t="shared" si="340"/>
        <v>-0.24836624677280547</v>
      </c>
      <c r="AT155" s="1">
        <f t="shared" si="340"/>
        <v>-0.16557749784853693</v>
      </c>
      <c r="AU155" s="1">
        <f t="shared" si="340"/>
        <v>-8.2788748924268379E-2</v>
      </c>
      <c r="AV155" s="1">
        <f t="shared" si="340"/>
        <v>0</v>
      </c>
      <c r="AW155" s="1">
        <f t="shared" si="340"/>
        <v>8.2788748924268532E-2</v>
      </c>
      <c r="AX155" s="1">
        <f t="shared" si="340"/>
        <v>0</v>
      </c>
      <c r="AY155" s="1">
        <f t="shared" si="340"/>
        <v>0.24836624677280564</v>
      </c>
      <c r="AZ155" s="1">
        <f t="shared" si="340"/>
        <v>0.33115499569707413</v>
      </c>
      <c r="BA155" s="1">
        <f t="shared" ref="AI155:BC167" si="365">$AF155*BA$2</f>
        <v>0.41394374462134265</v>
      </c>
      <c r="BB155" s="1">
        <f t="shared" si="365"/>
        <v>0.49673249354561122</v>
      </c>
      <c r="BC155" s="1">
        <f t="shared" si="365"/>
        <v>0.57952124246987979</v>
      </c>
      <c r="BD155" s="1"/>
      <c r="BE155">
        <f t="shared" ref="BE155" si="366">LN($D155)-LN($D155*(1+BA155/100))</f>
        <v>-4.1308935448753914E-3</v>
      </c>
      <c r="BF155">
        <f t="shared" si="314"/>
        <v>-4.9550284804613653E-3</v>
      </c>
      <c r="BG155">
        <f t="shared" si="314"/>
        <v>-5.7784847769077885E-3</v>
      </c>
    </row>
    <row r="156" spans="1:59" x14ac:dyDescent="0.35">
      <c r="A156" t="str">
        <f>regions!A156</f>
        <v>Slovenia</v>
      </c>
      <c r="B156" s="22">
        <f>regions!B156</f>
        <v>2048583</v>
      </c>
      <c r="C156" s="22">
        <f>regions!C156</f>
        <v>39034227961.239731</v>
      </c>
      <c r="D156" s="10">
        <f>regions!D156</f>
        <v>19054.257484924816</v>
      </c>
      <c r="E156" s="1">
        <f>regions!X156</f>
        <v>8.9</v>
      </c>
      <c r="I156" s="7">
        <f t="shared" si="354"/>
        <v>3.7287318949099086</v>
      </c>
      <c r="J156" s="1">
        <f t="shared" si="355"/>
        <v>4.2478969446560182</v>
      </c>
      <c r="K156" s="1">
        <f t="shared" si="303"/>
        <v>15.564134004448096</v>
      </c>
      <c r="L156" s="1">
        <f t="shared" si="355"/>
        <v>10.460483726448004</v>
      </c>
      <c r="M156" s="1">
        <f t="shared" si="308"/>
        <v>-0.76281861975271203</v>
      </c>
      <c r="N156" s="1">
        <f t="shared" ref="N156" si="367">M156+M$2</f>
        <v>-0.3783757293056913</v>
      </c>
      <c r="O156" s="1">
        <f t="shared" si="310"/>
        <v>2.4620460994655304</v>
      </c>
      <c r="P156" s="1">
        <f t="shared" si="339"/>
        <v>-2.0283264173350002</v>
      </c>
      <c r="Q156" s="1">
        <f t="shared" si="339"/>
        <v>0.99701920478481565</v>
      </c>
      <c r="R156" s="1">
        <f t="shared" si="339"/>
        <v>1.038493859162696</v>
      </c>
      <c r="S156" s="1">
        <f>$M156+SUMPRODUCT(regions!BG156:BS156,regions!BG$193:BS$193)</f>
        <v>0.39039855293739856</v>
      </c>
      <c r="T156" s="1">
        <f>$M156+SUMPRODUCT(regions!BV156:CD156,regions!BV$193:CD$193)</f>
        <v>-0.59357247560020565</v>
      </c>
      <c r="U156" s="1">
        <f>$M156+SUMPRODUCT(regions!CQ156:CV156,regions!CQ$193:CV$193)</f>
        <v>2.9576669285293709</v>
      </c>
      <c r="V156" s="1">
        <f>$M156+SUMPRODUCT(regions!CY156:DF156,regions!CY$193:DF$193)</f>
        <v>-0.89357247560020558</v>
      </c>
      <c r="W156" s="1">
        <f>$M156+SUMPRODUCT(regions!DI156:DP156,regions!DI$193:DP$193)</f>
        <v>-0.46307247560020559</v>
      </c>
      <c r="X156" s="1">
        <f>$M156+SUMPRODUCT(regions!DR156:DW156,regions!DR$193:DW$193)</f>
        <v>5.0608429734824298</v>
      </c>
      <c r="Y156" s="1">
        <f>$M156+SUMPRODUCT(regions!DZ156:EE156,regions!DZ$193:EE$193)</f>
        <v>5.5618309064671596</v>
      </c>
      <c r="Z156" s="1">
        <f t="shared" si="324"/>
        <v>2.7172475626919406</v>
      </c>
      <c r="AF156" s="1">
        <f t="shared" si="305"/>
        <v>12.567181380247288</v>
      </c>
      <c r="AG156" s="1"/>
      <c r="AH156" s="1">
        <f t="shared" si="311"/>
        <v>-1.1995287672350574</v>
      </c>
      <c r="AI156" s="1">
        <f t="shared" si="365"/>
        <v>-1.1195601827527202</v>
      </c>
      <c r="AJ156" s="1">
        <f t="shared" si="365"/>
        <v>-1.0395915982703827</v>
      </c>
      <c r="AK156" s="1">
        <f t="shared" si="365"/>
        <v>-0.87965442930570847</v>
      </c>
      <c r="AL156" s="1">
        <f t="shared" si="365"/>
        <v>-0.79968584482337135</v>
      </c>
      <c r="AM156" s="1">
        <f t="shared" si="365"/>
        <v>-0.71971726034103412</v>
      </c>
      <c r="AN156" s="1">
        <f t="shared" si="365"/>
        <v>-0.63974867585869699</v>
      </c>
      <c r="AO156" s="1">
        <f t="shared" si="365"/>
        <v>-0.55978009137635987</v>
      </c>
      <c r="AP156" s="1">
        <f t="shared" si="365"/>
        <v>-0.47981150689402274</v>
      </c>
      <c r="AQ156" s="1">
        <f t="shared" si="365"/>
        <v>-0.39984292241168556</v>
      </c>
      <c r="AR156" s="1">
        <f t="shared" si="365"/>
        <v>-0.31987433792934844</v>
      </c>
      <c r="AS156" s="1">
        <f t="shared" si="365"/>
        <v>-0.23990575344701132</v>
      </c>
      <c r="AT156" s="1">
        <f t="shared" si="365"/>
        <v>-0.15993716896467416</v>
      </c>
      <c r="AU156" s="1">
        <f t="shared" si="365"/>
        <v>-7.9968584482336999E-2</v>
      </c>
      <c r="AV156" s="1">
        <f t="shared" si="365"/>
        <v>0</v>
      </c>
      <c r="AW156" s="1">
        <f t="shared" si="365"/>
        <v>7.9968584482337152E-2</v>
      </c>
      <c r="AX156" s="1">
        <f t="shared" si="365"/>
        <v>0</v>
      </c>
      <c r="AY156" s="1">
        <f t="shared" si="365"/>
        <v>0.23990575344701151</v>
      </c>
      <c r="AZ156" s="1">
        <f t="shared" si="365"/>
        <v>0.31987433792934861</v>
      </c>
      <c r="BA156" s="1">
        <f t="shared" si="365"/>
        <v>0.39984292241168573</v>
      </c>
      <c r="BB156" s="1">
        <f t="shared" si="365"/>
        <v>0.47981150689402291</v>
      </c>
      <c r="BC156" s="1">
        <f t="shared" si="365"/>
        <v>0.55978009137636009</v>
      </c>
      <c r="BD156" s="1"/>
      <c r="BE156">
        <f t="shared" ref="BE156" si="368">LN($D156)-LN($D156*(1+BA156/100))</f>
        <v>-3.990456750502247E-3</v>
      </c>
      <c r="BF156">
        <f t="shared" si="314"/>
        <v>-4.7866408034256125E-3</v>
      </c>
      <c r="BG156">
        <f t="shared" si="314"/>
        <v>-5.5821914515767901E-3</v>
      </c>
    </row>
    <row r="157" spans="1:59" x14ac:dyDescent="0.35">
      <c r="A157" t="str">
        <f>regions!A157</f>
        <v>Solomon Islands</v>
      </c>
      <c r="B157" s="22">
        <f>regions!B157</f>
        <v>526447</v>
      </c>
      <c r="C157" s="22">
        <f>regions!C157</f>
        <v>522614190.24701446</v>
      </c>
      <c r="D157" s="10">
        <f>regions!D157</f>
        <v>992.71947650383504</v>
      </c>
      <c r="E157" s="1">
        <f>regions!X157</f>
        <v>25.6</v>
      </c>
      <c r="I157" s="7">
        <f t="shared" si="354"/>
        <v>-12.707935401647697</v>
      </c>
      <c r="J157" s="1">
        <f t="shared" si="355"/>
        <v>-12.188770351901587</v>
      </c>
      <c r="K157" s="1">
        <f t="shared" si="303"/>
        <v>-9.3850146125824754</v>
      </c>
      <c r="L157" s="1">
        <f t="shared" si="355"/>
        <v>-14.488664890582568</v>
      </c>
      <c r="M157" s="1">
        <f t="shared" si="308"/>
        <v>-13.216578859033962</v>
      </c>
      <c r="N157" s="1">
        <f t="shared" ref="N157" si="369">M157+M$2</f>
        <v>-12.832135968586941</v>
      </c>
      <c r="O157" s="1">
        <f t="shared" si="310"/>
        <v>3.0960644511117157</v>
      </c>
      <c r="P157" s="1">
        <f t="shared" si="339"/>
        <v>-14.48208665661625</v>
      </c>
      <c r="Q157" s="1">
        <f t="shared" si="339"/>
        <v>-11.456741034496435</v>
      </c>
      <c r="R157" s="1">
        <f t="shared" si="339"/>
        <v>-11.415266380118554</v>
      </c>
      <c r="S157" s="1">
        <f>$M157+SUMPRODUCT(regions!BG157:BS157,regions!BG$193:BS$193)</f>
        <v>-4.4306403592339727</v>
      </c>
      <c r="T157" s="1">
        <f>$M157+SUMPRODUCT(regions!BV157:CD157,regions!BV$193:CD$193)</f>
        <v>-12.931328099515774</v>
      </c>
      <c r="U157" s="1">
        <f>$M157+SUMPRODUCT(regions!CQ157:CV157,regions!CQ$193:CV$193)</f>
        <v>-9.4960933107518795</v>
      </c>
      <c r="V157" s="1">
        <f>$M157+SUMPRODUCT(regions!CY157:DF157,regions!CY$193:DF$193)</f>
        <v>-13.077941466714162</v>
      </c>
      <c r="W157" s="1">
        <f>$M157+SUMPRODUCT(regions!DI157:DP157,regions!DI$193:DP$193)</f>
        <v>-7.5729414667141635</v>
      </c>
      <c r="X157" s="1">
        <f>$M157+SUMPRODUCT(regions!DR157:DW157,regions!DR$193:DW$193)</f>
        <v>-7.39291726579882</v>
      </c>
      <c r="Y157" s="1">
        <f>$M157+SUMPRODUCT(regions!DZ157:EE157,regions!DZ$193:EE$193)</f>
        <v>-6.8919293328140903</v>
      </c>
      <c r="Z157" s="1">
        <f t="shared" si="324"/>
        <v>-9.7365126765893102</v>
      </c>
      <c r="AF157" s="1">
        <f t="shared" si="305"/>
        <v>0.11342114096603773</v>
      </c>
      <c r="AG157" s="1"/>
      <c r="AH157" s="1">
        <f t="shared" si="311"/>
        <v>-1.0825969426623155E-2</v>
      </c>
      <c r="AI157" s="1">
        <f t="shared" si="365"/>
        <v>-1.0104238131514943E-2</v>
      </c>
      <c r="AJ157" s="1">
        <f t="shared" si="365"/>
        <v>-9.3825068364067309E-3</v>
      </c>
      <c r="AK157" s="1">
        <f t="shared" si="365"/>
        <v>-7.9390442461903105E-3</v>
      </c>
      <c r="AL157" s="1">
        <f t="shared" si="365"/>
        <v>-7.2173129510820994E-3</v>
      </c>
      <c r="AM157" s="1">
        <f t="shared" si="365"/>
        <v>-6.4955816559738892E-3</v>
      </c>
      <c r="AN157" s="1">
        <f t="shared" si="365"/>
        <v>-5.773850360865679E-3</v>
      </c>
      <c r="AO157" s="1">
        <f t="shared" si="365"/>
        <v>-5.0521190657574688E-3</v>
      </c>
      <c r="AP157" s="1">
        <f t="shared" si="365"/>
        <v>-4.3303877706492595E-3</v>
      </c>
      <c r="AQ157" s="1">
        <f t="shared" si="365"/>
        <v>-3.6086564755410493E-3</v>
      </c>
      <c r="AR157" s="1">
        <f t="shared" si="365"/>
        <v>-2.8869251804328391E-3</v>
      </c>
      <c r="AS157" s="1">
        <f t="shared" si="365"/>
        <v>-2.1651938853246293E-3</v>
      </c>
      <c r="AT157" s="1">
        <f t="shared" si="365"/>
        <v>-1.4434625902164191E-3</v>
      </c>
      <c r="AU157" s="1">
        <f t="shared" si="365"/>
        <v>-7.2173129510820879E-4</v>
      </c>
      <c r="AV157" s="1">
        <f t="shared" si="365"/>
        <v>0</v>
      </c>
      <c r="AW157" s="1">
        <f t="shared" si="365"/>
        <v>7.217312951082102E-4</v>
      </c>
      <c r="AX157" s="1">
        <f t="shared" si="365"/>
        <v>0</v>
      </c>
      <c r="AY157" s="1">
        <f t="shared" si="365"/>
        <v>2.165193885324631E-3</v>
      </c>
      <c r="AZ157" s="1">
        <f t="shared" si="365"/>
        <v>2.8869251804328408E-3</v>
      </c>
      <c r="BA157" s="1">
        <f t="shared" si="365"/>
        <v>3.6086564755410506E-3</v>
      </c>
      <c r="BB157" s="1">
        <f t="shared" si="365"/>
        <v>4.3303877706492612E-3</v>
      </c>
      <c r="BC157" s="1">
        <f t="shared" si="365"/>
        <v>5.0521190657574714E-3</v>
      </c>
      <c r="BD157" s="1"/>
      <c r="BE157">
        <f t="shared" ref="BE157" si="370">LN($D157)-LN($D157*(1+BA157/100))</f>
        <v>-3.6085913651007218E-5</v>
      </c>
      <c r="BF157">
        <f t="shared" si="314"/>
        <v>-4.3302940120781841E-5</v>
      </c>
      <c r="BG157">
        <f t="shared" si="314"/>
        <v>-5.0519914505109398E-5</v>
      </c>
    </row>
    <row r="158" spans="1:59" x14ac:dyDescent="0.35">
      <c r="A158" t="str">
        <f>regions!A158</f>
        <v>South Africa</v>
      </c>
      <c r="B158" s="22">
        <f>regions!B158</f>
        <v>49991300</v>
      </c>
      <c r="C158" s="22">
        <f>regions!C158</f>
        <v>289811738503.83063</v>
      </c>
      <c r="D158" s="10">
        <f>regions!D158</f>
        <v>5797.2434904439497</v>
      </c>
      <c r="E158" s="1">
        <f>regions!X158</f>
        <v>17.8</v>
      </c>
      <c r="I158" s="7">
        <f t="shared" si="354"/>
        <v>-5.5681421612635091</v>
      </c>
      <c r="J158" s="1">
        <f t="shared" si="355"/>
        <v>-5.0489771115173996</v>
      </c>
      <c r="K158" s="1">
        <f t="shared" si="303"/>
        <v>2.8955011091572427</v>
      </c>
      <c r="L158" s="1">
        <f t="shared" si="355"/>
        <v>-2.2081491688428496</v>
      </c>
      <c r="M158" s="1">
        <f t="shared" si="308"/>
        <v>-6.7534791779227357</v>
      </c>
      <c r="N158" s="1">
        <f t="shared" ref="N158" si="371">M158+M$2</f>
        <v>-6.3690362874757147</v>
      </c>
      <c r="O158" s="1">
        <f t="shared" si="310"/>
        <v>2.3605460842533423</v>
      </c>
      <c r="P158" s="1">
        <f t="shared" si="339"/>
        <v>-8.0189869755050225</v>
      </c>
      <c r="Q158" s="1">
        <f t="shared" si="339"/>
        <v>-4.9936413533852075</v>
      </c>
      <c r="R158" s="1">
        <f t="shared" si="339"/>
        <v>-4.9521666990073276</v>
      </c>
      <c r="S158" s="1">
        <f>$M158+SUMPRODUCT(regions!BG158:BS158,regions!BG$193:BS$193)</f>
        <v>-1.308528808050176</v>
      </c>
      <c r="T158" s="1">
        <f>$M158+SUMPRODUCT(regions!BV158:CD158,regions!BV$193:CD$193)</f>
        <v>-5.1081618583070521</v>
      </c>
      <c r="U158" s="1">
        <f>$M158+SUMPRODUCT(regions!CQ158:CV158,regions!CQ$193:CV$193)</f>
        <v>-3.0329936296406528</v>
      </c>
      <c r="V158" s="1">
        <f>$M158+SUMPRODUCT(regions!CY158:DF158,regions!CY$193:DF$193)</f>
        <v>-4.6519016570970342</v>
      </c>
      <c r="W158" s="1">
        <f>$M158+SUMPRODUCT(regions!DI158:DP158,regions!DI$193:DP$193)</f>
        <v>-1.0528016570970342</v>
      </c>
      <c r="X158" s="1">
        <f>$M158+SUMPRODUCT(regions!DR158:DW158,regions!DR$193:DW$193)</f>
        <v>-0.92981758468759335</v>
      </c>
      <c r="Y158" s="1">
        <f>$M158+SUMPRODUCT(regions!DZ158:EE158,regions!DZ$193:EE$193)</f>
        <v>-0.42882965170286358</v>
      </c>
      <c r="Z158" s="1">
        <f t="shared" si="324"/>
        <v>-3.2734129954780831</v>
      </c>
      <c r="AF158" s="1">
        <f t="shared" si="305"/>
        <v>6.5765208220772644</v>
      </c>
      <c r="AG158" s="1"/>
      <c r="AH158" s="1">
        <f t="shared" si="311"/>
        <v>-0.62772436202769277</v>
      </c>
      <c r="AI158" s="1">
        <f t="shared" si="365"/>
        <v>-0.58587607122584651</v>
      </c>
      <c r="AJ158" s="1">
        <f t="shared" si="365"/>
        <v>-0.54402778042400024</v>
      </c>
      <c r="AK158" s="1">
        <f t="shared" si="365"/>
        <v>-0.46033119882030782</v>
      </c>
      <c r="AL158" s="1">
        <f t="shared" si="365"/>
        <v>-0.41848290801846166</v>
      </c>
      <c r="AM158" s="1">
        <f t="shared" si="365"/>
        <v>-0.37663461721661545</v>
      </c>
      <c r="AN158" s="1">
        <f t="shared" si="365"/>
        <v>-0.3347863264147693</v>
      </c>
      <c r="AO158" s="1">
        <f t="shared" si="365"/>
        <v>-0.29293803561292309</v>
      </c>
      <c r="AP158" s="1">
        <f t="shared" si="365"/>
        <v>-0.25108974481107699</v>
      </c>
      <c r="AQ158" s="1">
        <f t="shared" si="365"/>
        <v>-0.20924145400923078</v>
      </c>
      <c r="AR158" s="1">
        <f t="shared" si="365"/>
        <v>-0.16739316320738462</v>
      </c>
      <c r="AS158" s="1">
        <f t="shared" si="365"/>
        <v>-0.12554487240553847</v>
      </c>
      <c r="AT158" s="1">
        <f t="shared" si="365"/>
        <v>-8.3696581603692269E-2</v>
      </c>
      <c r="AU158" s="1">
        <f t="shared" si="365"/>
        <v>-4.18482908018461E-2</v>
      </c>
      <c r="AV158" s="1">
        <f t="shared" si="365"/>
        <v>0</v>
      </c>
      <c r="AW158" s="1">
        <f t="shared" si="365"/>
        <v>4.1848290801846176E-2</v>
      </c>
      <c r="AX158" s="1">
        <f t="shared" si="365"/>
        <v>0</v>
      </c>
      <c r="AY158" s="1">
        <f t="shared" si="365"/>
        <v>0.12554487240553855</v>
      </c>
      <c r="AZ158" s="1">
        <f t="shared" si="365"/>
        <v>0.1673931632073847</v>
      </c>
      <c r="BA158" s="1">
        <f t="shared" si="365"/>
        <v>0.20924145400923086</v>
      </c>
      <c r="BB158" s="1">
        <f t="shared" si="365"/>
        <v>0.25108974481107704</v>
      </c>
      <c r="BC158" s="1">
        <f t="shared" si="365"/>
        <v>0.29293803561292325</v>
      </c>
      <c r="BD158" s="1"/>
      <c r="BE158">
        <f t="shared" ref="BE158" si="372">LN($D158)-LN($D158*(1+BA158/100))</f>
        <v>-2.090228489672441E-3</v>
      </c>
      <c r="BF158">
        <f t="shared" si="314"/>
        <v>-2.5077504119348504E-3</v>
      </c>
      <c r="BG158">
        <f t="shared" si="314"/>
        <v>-2.9250980823949391E-3</v>
      </c>
    </row>
    <row r="159" spans="1:59" x14ac:dyDescent="0.35">
      <c r="A159" t="str">
        <f>regions!A159</f>
        <v>South Korea</v>
      </c>
      <c r="B159" s="22">
        <f>regions!B159</f>
        <v>49410000</v>
      </c>
      <c r="C159" s="22">
        <f>regions!C159</f>
        <v>1098690046553.521</v>
      </c>
      <c r="D159" s="10">
        <f>regions!D159</f>
        <v>22236.187948867053</v>
      </c>
      <c r="E159" s="1">
        <f>regions!X159</f>
        <v>11.5</v>
      </c>
      <c r="I159" s="7">
        <f t="shared" si="354"/>
        <v>2.6494218225251389</v>
      </c>
      <c r="J159" s="1">
        <f t="shared" si="355"/>
        <v>3.1685868722712485</v>
      </c>
      <c r="K159" s="1">
        <f t="shared" si="303"/>
        <v>13.889270281696145</v>
      </c>
      <c r="L159" s="1">
        <f t="shared" si="355"/>
        <v>8.785620003696053</v>
      </c>
      <c r="M159" s="1">
        <f t="shared" si="308"/>
        <v>-1.6693597780975153</v>
      </c>
      <c r="N159" s="1">
        <f t="shared" ref="N159" si="373">M159+M$2</f>
        <v>-1.2849168876504946</v>
      </c>
      <c r="O159" s="1">
        <f t="shared" si="310"/>
        <v>2.5246101413941484</v>
      </c>
      <c r="P159" s="1">
        <f t="shared" si="339"/>
        <v>-2.9348675756798031</v>
      </c>
      <c r="Q159" s="1">
        <f t="shared" si="339"/>
        <v>9.0478046440012339E-2</v>
      </c>
      <c r="R159" s="1">
        <f t="shared" si="339"/>
        <v>0.13195270081789268</v>
      </c>
      <c r="S159" s="1">
        <f>$M159+SUMPRODUCT(regions!BG159:BS159,regions!BG$193:BS$193)</f>
        <v>1.9977391376413247</v>
      </c>
      <c r="T159" s="1">
        <f>$M159+SUMPRODUCT(regions!BV159:CD159,regions!BV$193:CD$193)</f>
        <v>-1.384109018579327</v>
      </c>
      <c r="U159" s="1">
        <f>$M159+SUMPRODUCT(regions!CQ159:CV159,regions!CQ$193:CV$193)</f>
        <v>2.0511257701845675</v>
      </c>
      <c r="V159" s="1">
        <f>$M159+SUMPRODUCT(regions!CY159:DF159,regions!CY$193:DF$193)</f>
        <v>-1.5307223857777146</v>
      </c>
      <c r="W159" s="1">
        <f>$M159+SUMPRODUCT(regions!DI159:DP159,regions!DI$193:DP$193)</f>
        <v>3.9742776142222835</v>
      </c>
      <c r="X159" s="1">
        <f>$M159+SUMPRODUCT(regions!DR159:DW159,regions!DR$193:DW$193)</f>
        <v>4.154301815137627</v>
      </c>
      <c r="Y159" s="1">
        <f>$M159+SUMPRODUCT(regions!DZ159:EE159,regions!DZ$193:EE$193)</f>
        <v>4.6552897481223567</v>
      </c>
      <c r="Z159" s="1">
        <f t="shared" si="324"/>
        <v>0.4</v>
      </c>
      <c r="AA159" t="str">
        <f>Maddison!A71</f>
        <v>South Korea</v>
      </c>
      <c r="AB159">
        <f>-Maddison!B71</f>
        <v>0.4</v>
      </c>
      <c r="AC159" s="1">
        <f>N159-AB159</f>
        <v>-1.6849168876504947</v>
      </c>
      <c r="AF159" s="1">
        <f t="shared" si="305"/>
        <v>11.660640221902485</v>
      </c>
      <c r="AG159" s="1"/>
      <c r="AH159" s="1">
        <f t="shared" si="311"/>
        <v>-1.113000040926837</v>
      </c>
      <c r="AI159" s="1">
        <f t="shared" si="365"/>
        <v>-1.0388000381983811</v>
      </c>
      <c r="AJ159" s="1">
        <f t="shared" si="365"/>
        <v>-0.96460003546992501</v>
      </c>
      <c r="AK159" s="1">
        <f t="shared" si="365"/>
        <v>-0.81620003001301344</v>
      </c>
      <c r="AL159" s="1">
        <f t="shared" si="365"/>
        <v>-0.74200002728455772</v>
      </c>
      <c r="AM159" s="1">
        <f t="shared" si="365"/>
        <v>-0.66780002455610188</v>
      </c>
      <c r="AN159" s="1">
        <f t="shared" si="365"/>
        <v>-0.59360002182764604</v>
      </c>
      <c r="AO159" s="1">
        <f t="shared" si="365"/>
        <v>-0.51940001909919031</v>
      </c>
      <c r="AP159" s="1">
        <f t="shared" si="365"/>
        <v>-0.44520001637073453</v>
      </c>
      <c r="AQ159" s="1">
        <f t="shared" si="365"/>
        <v>-0.37100001364227875</v>
      </c>
      <c r="AR159" s="1">
        <f t="shared" si="365"/>
        <v>-0.29680001091382296</v>
      </c>
      <c r="AS159" s="1">
        <f t="shared" si="365"/>
        <v>-0.22260000818536724</v>
      </c>
      <c r="AT159" s="1">
        <f t="shared" si="365"/>
        <v>-0.14840000545691143</v>
      </c>
      <c r="AU159" s="1">
        <f t="shared" si="365"/>
        <v>-7.4200002728455644E-2</v>
      </c>
      <c r="AV159" s="1">
        <f t="shared" si="365"/>
        <v>0</v>
      </c>
      <c r="AW159" s="1">
        <f t="shared" si="365"/>
        <v>7.4200002728455783E-2</v>
      </c>
      <c r="AX159" s="1">
        <f t="shared" si="365"/>
        <v>0</v>
      </c>
      <c r="AY159" s="1">
        <f t="shared" si="365"/>
        <v>0.2226000081853674</v>
      </c>
      <c r="AZ159" s="1">
        <f t="shared" si="365"/>
        <v>0.29680001091382313</v>
      </c>
      <c r="BA159" s="1">
        <f t="shared" si="365"/>
        <v>0.37100001364227891</v>
      </c>
      <c r="BB159" s="1">
        <f t="shared" si="365"/>
        <v>0.4452000163707347</v>
      </c>
      <c r="BC159" s="1">
        <f t="shared" si="365"/>
        <v>0.51940001909919054</v>
      </c>
      <c r="BD159" s="1"/>
      <c r="BE159">
        <f t="shared" ref="BE159" si="374">LN($D159)-LN($D159*(1+BA159/100))</f>
        <v>-3.7031350603005109E-3</v>
      </c>
      <c r="BF159">
        <f t="shared" si="314"/>
        <v>-4.4421193264501113E-3</v>
      </c>
      <c r="BG159">
        <f t="shared" si="314"/>
        <v>-5.1805578980896883E-3</v>
      </c>
    </row>
    <row r="160" spans="1:59" x14ac:dyDescent="0.35">
      <c r="A160" t="str">
        <f>regions!A160</f>
        <v>Spain</v>
      </c>
      <c r="B160" s="22">
        <f>regions!B160</f>
        <v>46070971</v>
      </c>
      <c r="C160" s="22">
        <f>regions!C160</f>
        <v>1179232117935.5505</v>
      </c>
      <c r="D160" s="10">
        <f>regions!D160</f>
        <v>25595.990106992766</v>
      </c>
      <c r="E160" s="1">
        <f>regions!X160</f>
        <v>13.3</v>
      </c>
      <c r="I160" s="7">
        <f t="shared" si="354"/>
        <v>1.6584476350055537</v>
      </c>
      <c r="J160" s="1">
        <f t="shared" si="355"/>
        <v>2.1776126847516633</v>
      </c>
      <c r="K160" s="1">
        <f t="shared" si="303"/>
        <v>11.795143936080571</v>
      </c>
      <c r="L160" s="1">
        <f t="shared" si="355"/>
        <v>6.6914936580804785</v>
      </c>
      <c r="M160" s="1">
        <f t="shared" si="308"/>
        <v>-2.2401720105483065</v>
      </c>
      <c r="N160" s="1">
        <f t="shared" ref="N160" si="375">M160+M$2</f>
        <v>-1.8557291201012858</v>
      </c>
      <c r="O160" s="1">
        <f t="shared" si="310"/>
        <v>1.8165982698129328</v>
      </c>
      <c r="P160" s="1">
        <f t="shared" si="339"/>
        <v>-3.5056798081305942</v>
      </c>
      <c r="Q160" s="1">
        <f t="shared" si="339"/>
        <v>-0.4803341860107786</v>
      </c>
      <c r="R160" s="1">
        <f t="shared" si="339"/>
        <v>-0.4388595316328987</v>
      </c>
      <c r="S160" s="1">
        <f>$M160+SUMPRODUCT(regions!BG160:BS160,regions!BG$193:BS$193)</f>
        <v>-5.0712272506249194</v>
      </c>
      <c r="T160" s="1">
        <f>$M160+SUMPRODUCT(regions!BV160:CD160,regions!BV$193:CD$193)</f>
        <v>-3.4713609586158292</v>
      </c>
      <c r="U160" s="1">
        <f>$M160+SUMPRODUCT(regions!CQ160:CV160,regions!CQ$193:CV$193)</f>
        <v>-3.2210847763656707</v>
      </c>
      <c r="V160" s="1">
        <f>$M160+SUMPRODUCT(regions!CY160:DF160,regions!CY$193:DF$193)</f>
        <v>-3.344366987857688</v>
      </c>
      <c r="W160" s="1">
        <f>$M160+SUMPRODUCT(regions!DI160:DP160,regions!DI$193:DP$193)</f>
        <v>-3.2743669878576878</v>
      </c>
      <c r="X160" s="1">
        <f>$M160+SUMPRODUCT(regions!DR160:DW160,regions!DR$193:DW$193)</f>
        <v>-3.4443669878576877</v>
      </c>
      <c r="Y160" s="1">
        <f>$M160+SUMPRODUCT(regions!DZ160:EE160,regions!DZ$193:EE$193)</f>
        <v>-3.6443669878576879</v>
      </c>
      <c r="Z160" s="1">
        <f t="shared" si="324"/>
        <v>1</v>
      </c>
      <c r="AA160" t="str">
        <f>Maddison!A72</f>
        <v>Spain</v>
      </c>
      <c r="AB160">
        <f>-Maddison!B72</f>
        <v>1</v>
      </c>
      <c r="AC160" s="1">
        <f>N160-AB160</f>
        <v>-2.8557291201012855</v>
      </c>
      <c r="AF160" s="1">
        <f t="shared" si="305"/>
        <v>11.089827989451694</v>
      </c>
      <c r="AG160" s="1"/>
      <c r="AH160" s="1">
        <f t="shared" si="311"/>
        <v>-1.0585164082969627</v>
      </c>
      <c r="AI160" s="1">
        <f t="shared" si="365"/>
        <v>-0.98794864774383173</v>
      </c>
      <c r="AJ160" s="1">
        <f t="shared" si="365"/>
        <v>-0.91738088719070077</v>
      </c>
      <c r="AK160" s="1">
        <f t="shared" si="365"/>
        <v>-0.77624536608443906</v>
      </c>
      <c r="AL160" s="1">
        <f t="shared" si="365"/>
        <v>-0.70567760553130821</v>
      </c>
      <c r="AM160" s="1">
        <f t="shared" si="365"/>
        <v>-0.63510984497817735</v>
      </c>
      <c r="AN160" s="1">
        <f t="shared" si="365"/>
        <v>-0.5645420844250465</v>
      </c>
      <c r="AO160" s="1">
        <f t="shared" si="365"/>
        <v>-0.49397432387191564</v>
      </c>
      <c r="AP160" s="1">
        <f t="shared" si="365"/>
        <v>-0.4234065633187849</v>
      </c>
      <c r="AQ160" s="1">
        <f t="shared" si="365"/>
        <v>-0.35283880276565405</v>
      </c>
      <c r="AR160" s="1">
        <f t="shared" si="365"/>
        <v>-0.28227104221252319</v>
      </c>
      <c r="AS160" s="1">
        <f t="shared" si="365"/>
        <v>-0.21170328165939239</v>
      </c>
      <c r="AT160" s="1">
        <f t="shared" si="365"/>
        <v>-0.14113552110626154</v>
      </c>
      <c r="AU160" s="1">
        <f t="shared" si="365"/>
        <v>-7.0567760553130701E-2</v>
      </c>
      <c r="AV160" s="1">
        <f t="shared" si="365"/>
        <v>0</v>
      </c>
      <c r="AW160" s="1">
        <f t="shared" si="365"/>
        <v>7.056776055313084E-2</v>
      </c>
      <c r="AX160" s="1">
        <f t="shared" si="365"/>
        <v>0</v>
      </c>
      <c r="AY160" s="1">
        <f t="shared" si="365"/>
        <v>0.21170328165939256</v>
      </c>
      <c r="AZ160" s="1">
        <f t="shared" si="365"/>
        <v>0.28227104221252336</v>
      </c>
      <c r="BA160" s="1">
        <f t="shared" si="365"/>
        <v>0.35283880276565416</v>
      </c>
      <c r="BB160" s="1">
        <f t="shared" si="365"/>
        <v>0.42340656331878501</v>
      </c>
      <c r="BC160" s="1">
        <f t="shared" si="365"/>
        <v>0.49397432387191587</v>
      </c>
      <c r="BD160" s="1"/>
      <c r="BE160">
        <f t="shared" ref="BE160" si="376">LN($D160)-LN($D160*(1+BA160/100))</f>
        <v>-3.5221778702307915E-3</v>
      </c>
      <c r="BF160">
        <f t="shared" si="314"/>
        <v>-4.2251271990245698E-3</v>
      </c>
      <c r="BG160">
        <f t="shared" si="314"/>
        <v>-4.9275827371495495E-3</v>
      </c>
    </row>
    <row r="161" spans="1:59" x14ac:dyDescent="0.35">
      <c r="A161" t="str">
        <f>regions!A161</f>
        <v>Sri Lanka</v>
      </c>
      <c r="B161" s="22">
        <f>regions!B161</f>
        <v>20653000</v>
      </c>
      <c r="C161" s="22">
        <f>regions!C161</f>
        <v>33253082140.166439</v>
      </c>
      <c r="D161" s="10">
        <f>regions!D161</f>
        <v>1610.0848370777339</v>
      </c>
      <c r="E161" s="1">
        <f>regions!X161</f>
        <v>26.9</v>
      </c>
      <c r="I161" s="7">
        <f t="shared" si="354"/>
        <v>-12.95733482863894</v>
      </c>
      <c r="J161" s="1">
        <f t="shared" si="355"/>
        <v>-12.43816977889283</v>
      </c>
      <c r="K161" s="1">
        <f t="shared" si="303"/>
        <v>-8.6537055481419145</v>
      </c>
      <c r="L161" s="1">
        <f t="shared" si="355"/>
        <v>-13.757355826142007</v>
      </c>
      <c r="M161" s="1">
        <f t="shared" si="308"/>
        <v>-12.98704773843048</v>
      </c>
      <c r="N161" s="1">
        <f t="shared" ref="N161" si="377">M161+M$2</f>
        <v>-12.602604847983459</v>
      </c>
      <c r="O161" s="1">
        <f t="shared" si="310"/>
        <v>4.074206353663306</v>
      </c>
      <c r="P161" s="1">
        <f t="shared" si="339"/>
        <v>-14.252555536012768</v>
      </c>
      <c r="Q161" s="1">
        <f t="shared" si="339"/>
        <v>-11.227209913892953</v>
      </c>
      <c r="R161" s="1">
        <f t="shared" si="339"/>
        <v>-11.185735259515072</v>
      </c>
      <c r="S161" s="1">
        <f>$M161+SUMPRODUCT(regions!BG161:BS161,regions!BG$193:BS$193)</f>
        <v>-4.2011092386304902</v>
      </c>
      <c r="T161" s="1">
        <f>$M161+SUMPRODUCT(regions!BV161:CD161,regions!BV$193:CD$193)</f>
        <v>-12.701796978912292</v>
      </c>
      <c r="U161" s="1">
        <f>$M161+SUMPRODUCT(regions!CQ161:CV161,regions!CQ$193:CV$193)</f>
        <v>-9.266562190148397</v>
      </c>
      <c r="V161" s="1">
        <f>$M161+SUMPRODUCT(regions!CY161:DF161,regions!CY$193:DF$193)</f>
        <v>-12.848410346110679</v>
      </c>
      <c r="W161" s="1">
        <f>$M161+SUMPRODUCT(regions!DI161:DP161,regions!DI$193:DP$193)</f>
        <v>-7.343410346110681</v>
      </c>
      <c r="X161" s="1">
        <f>$M161+SUMPRODUCT(regions!DR161:DW161,regions!DR$193:DW$193)</f>
        <v>-7.1633861451953376</v>
      </c>
      <c r="Y161" s="1">
        <f>$M161+SUMPRODUCT(regions!DZ161:EE161,regions!DZ$193:EE$193)</f>
        <v>-6.6623982122106078</v>
      </c>
      <c r="Z161" s="1">
        <f t="shared" si="324"/>
        <v>-0.9</v>
      </c>
      <c r="AA161" t="str">
        <f>Maddison!A73</f>
        <v>Sri Lanka</v>
      </c>
      <c r="AB161">
        <f>-Maddison!B73</f>
        <v>-0.9</v>
      </c>
      <c r="AC161" s="1">
        <f>N161-AB161</f>
        <v>-11.702604847983459</v>
      </c>
      <c r="AF161" s="1">
        <f t="shared" si="305"/>
        <v>0.34295226156952019</v>
      </c>
      <c r="AG161" s="1"/>
      <c r="AH161" s="1">
        <f t="shared" si="311"/>
        <v>-3.2734556070588575E-2</v>
      </c>
      <c r="AI161" s="1">
        <f t="shared" si="365"/>
        <v>-3.055225233254933E-2</v>
      </c>
      <c r="AJ161" s="1">
        <f t="shared" si="365"/>
        <v>-2.8369948594510086E-2</v>
      </c>
      <c r="AK161" s="1">
        <f t="shared" si="365"/>
        <v>-2.4005341118431611E-2</v>
      </c>
      <c r="AL161" s="1">
        <f t="shared" si="365"/>
        <v>-2.1823037380392374E-2</v>
      </c>
      <c r="AM161" s="1">
        <f t="shared" si="365"/>
        <v>-1.9640733642353133E-2</v>
      </c>
      <c r="AN161" s="1">
        <f t="shared" si="365"/>
        <v>-1.7458429904313896E-2</v>
      </c>
      <c r="AO161" s="1">
        <f t="shared" si="365"/>
        <v>-1.5276126166274658E-2</v>
      </c>
      <c r="AP161" s="1">
        <f t="shared" si="365"/>
        <v>-1.3093822428235423E-2</v>
      </c>
      <c r="AQ161" s="1">
        <f t="shared" si="365"/>
        <v>-1.0911518690196183E-2</v>
      </c>
      <c r="AR161" s="1">
        <f t="shared" si="365"/>
        <v>-8.7292149521569478E-3</v>
      </c>
      <c r="AS161" s="1">
        <f t="shared" si="365"/>
        <v>-6.5469112141177096E-3</v>
      </c>
      <c r="AT161" s="1">
        <f t="shared" si="365"/>
        <v>-4.3646074760784713E-3</v>
      </c>
      <c r="AU161" s="1">
        <f t="shared" si="365"/>
        <v>-2.1823037380392339E-3</v>
      </c>
      <c r="AV161" s="1">
        <f t="shared" si="365"/>
        <v>0</v>
      </c>
      <c r="AW161" s="1">
        <f t="shared" si="365"/>
        <v>2.1823037380392378E-3</v>
      </c>
      <c r="AX161" s="1">
        <f t="shared" si="365"/>
        <v>0</v>
      </c>
      <c r="AY161" s="1">
        <f t="shared" si="365"/>
        <v>6.5469112141177148E-3</v>
      </c>
      <c r="AZ161" s="1">
        <f t="shared" si="365"/>
        <v>8.7292149521569513E-3</v>
      </c>
      <c r="BA161" s="1">
        <f t="shared" si="365"/>
        <v>1.0911518690196189E-2</v>
      </c>
      <c r="BB161" s="1">
        <f t="shared" si="365"/>
        <v>1.3093822428235428E-2</v>
      </c>
      <c r="BC161" s="1">
        <f t="shared" si="365"/>
        <v>1.5276126166274665E-2</v>
      </c>
      <c r="BD161" s="1"/>
      <c r="BE161">
        <f t="shared" ref="BE161" si="378">LN($D161)-LN($D161*(1+BA161/100))</f>
        <v>-1.0910923427331909E-4</v>
      </c>
      <c r="BF161">
        <f t="shared" si="314"/>
        <v>-1.3092965262107015E-4</v>
      </c>
      <c r="BG161">
        <f t="shared" si="314"/>
        <v>-1.5274959484923301E-4</v>
      </c>
    </row>
    <row r="162" spans="1:59" x14ac:dyDescent="0.35">
      <c r="A162" t="str">
        <f>regions!A162</f>
        <v>Sudan</v>
      </c>
      <c r="B162" s="22">
        <f>regions!B162</f>
        <v>35652002</v>
      </c>
      <c r="C162" s="22">
        <f>regions!C162</f>
        <v>35822262376.238686</v>
      </c>
      <c r="D162" s="10">
        <f>regions!D162</f>
        <v>1004.7756189466916</v>
      </c>
      <c r="E162" s="1">
        <f>regions!X162</f>
        <v>26.8</v>
      </c>
      <c r="I162" s="7">
        <f t="shared" si="354"/>
        <v>-13.328843185347784</v>
      </c>
      <c r="J162" s="1">
        <f t="shared" si="355"/>
        <v>-12.809678135601674</v>
      </c>
      <c r="K162" s="1">
        <f t="shared" si="303"/>
        <v>-9.9043302111012501</v>
      </c>
      <c r="L162" s="1">
        <f t="shared" si="355"/>
        <v>-15.007980489101342</v>
      </c>
      <c r="M162" s="1">
        <f t="shared" si="308"/>
        <v>-13.734457959093648</v>
      </c>
      <c r="N162" s="1">
        <f t="shared" ref="N162" si="379">M162+M$2</f>
        <v>-13.350015068646627</v>
      </c>
      <c r="O162" s="1">
        <f t="shared" si="310"/>
        <v>2.9171998047435035</v>
      </c>
      <c r="P162" s="1">
        <f t="shared" si="339"/>
        <v>-14.999965756675934</v>
      </c>
      <c r="Q162" s="1">
        <f t="shared" si="339"/>
        <v>-11.974620134556121</v>
      </c>
      <c r="R162" s="1">
        <f t="shared" si="339"/>
        <v>-11.93314548017824</v>
      </c>
      <c r="S162" s="1">
        <f>$M162+SUMPRODUCT(regions!BG162:BS162,regions!BG$193:BS$193)</f>
        <v>-4.4793296526656992</v>
      </c>
      <c r="T162" s="1">
        <f>$M162+SUMPRODUCT(regions!BV162:CD162,regions!BV$193:CD$193)</f>
        <v>-12.089140639477964</v>
      </c>
      <c r="U162" s="1">
        <f>$M162+SUMPRODUCT(regions!CQ162:CV162,regions!CQ$193:CV$193)</f>
        <v>-10.013972410811565</v>
      </c>
      <c r="V162" s="1">
        <f>$M162+SUMPRODUCT(regions!CY162:DF162,regions!CY$193:DF$193)</f>
        <v>-11.632880438267946</v>
      </c>
      <c r="W162" s="1">
        <f>$M162+SUMPRODUCT(regions!DI162:DP162,regions!DI$193:DP$193)</f>
        <v>-8.0337804382679465</v>
      </c>
      <c r="X162" s="1">
        <f>$M162+SUMPRODUCT(regions!DR162:DW162,regions!DR$193:DW$193)</f>
        <v>-7.9107963658585057</v>
      </c>
      <c r="Y162" s="1">
        <f>$M162+SUMPRODUCT(regions!DZ162:EE162,regions!DZ$193:EE$193)</f>
        <v>-7.4098084328737759</v>
      </c>
      <c r="Z162" s="1">
        <f t="shared" si="324"/>
        <v>-10.254391776648996</v>
      </c>
      <c r="AF162" s="1">
        <f t="shared" si="305"/>
        <v>-0.4044579590936479</v>
      </c>
      <c r="AG162" s="1"/>
      <c r="AH162" s="1">
        <f t="shared" si="311"/>
        <v>3.8605232342119995E-2</v>
      </c>
      <c r="AI162" s="1">
        <f t="shared" si="365"/>
        <v>3.6031550185978659E-2</v>
      </c>
      <c r="AJ162" s="1">
        <f t="shared" si="365"/>
        <v>3.3457868029837315E-2</v>
      </c>
      <c r="AK162" s="1">
        <f t="shared" si="365"/>
        <v>2.8310503717554652E-2</v>
      </c>
      <c r="AL162" s="1">
        <f t="shared" si="365"/>
        <v>2.5736821561413319E-2</v>
      </c>
      <c r="AM162" s="1">
        <f t="shared" si="365"/>
        <v>2.3163139405271985E-2</v>
      </c>
      <c r="AN162" s="1">
        <f t="shared" si="365"/>
        <v>2.0589457249130652E-2</v>
      </c>
      <c r="AO162" s="1">
        <f t="shared" si="365"/>
        <v>1.8015775092989319E-2</v>
      </c>
      <c r="AP162" s="1">
        <f t="shared" si="365"/>
        <v>1.5442092936847989E-2</v>
      </c>
      <c r="AQ162" s="1">
        <f t="shared" si="365"/>
        <v>1.2868410780706656E-2</v>
      </c>
      <c r="AR162" s="1">
        <f t="shared" si="365"/>
        <v>1.0294728624565324E-2</v>
      </c>
      <c r="AS162" s="1">
        <f t="shared" si="365"/>
        <v>7.7210464684239937E-3</v>
      </c>
      <c r="AT162" s="1">
        <f t="shared" si="365"/>
        <v>5.1473643122826604E-3</v>
      </c>
      <c r="AU162" s="1">
        <f t="shared" si="365"/>
        <v>2.5736821561413276E-3</v>
      </c>
      <c r="AV162" s="1">
        <f t="shared" si="365"/>
        <v>0</v>
      </c>
      <c r="AW162" s="1">
        <f t="shared" si="365"/>
        <v>-2.5736821561413328E-3</v>
      </c>
      <c r="AX162" s="1">
        <f t="shared" si="365"/>
        <v>0</v>
      </c>
      <c r="AY162" s="1">
        <f t="shared" si="365"/>
        <v>-7.7210464684239989E-3</v>
      </c>
      <c r="AZ162" s="1">
        <f t="shared" si="365"/>
        <v>-1.0294728624565331E-2</v>
      </c>
      <c r="BA162" s="1">
        <f t="shared" si="365"/>
        <v>-1.2868410780706663E-2</v>
      </c>
      <c r="BB162" s="1">
        <f t="shared" si="365"/>
        <v>-1.5442092936847994E-2</v>
      </c>
      <c r="BC162" s="1">
        <f t="shared" si="365"/>
        <v>-1.8015775092989329E-2</v>
      </c>
      <c r="BD162" s="1"/>
      <c r="BE162">
        <f t="shared" ref="BE162" si="380">LN($D162)-LN($D162*(1+BA162/100))</f>
        <v>1.2869238831747509E-4</v>
      </c>
      <c r="BF162">
        <f t="shared" si="314"/>
        <v>1.5443285350791314E-4</v>
      </c>
      <c r="BG162">
        <f t="shared" si="314"/>
        <v>1.8017398128655771E-4</v>
      </c>
    </row>
    <row r="163" spans="1:59" x14ac:dyDescent="0.35">
      <c r="A163" t="str">
        <f>regions!A163</f>
        <v>Suriname</v>
      </c>
      <c r="B163" s="22">
        <f>regions!B163</f>
        <v>524960</v>
      </c>
      <c r="C163" s="22">
        <f>regions!C163</f>
        <v>2188868338.2963519</v>
      </c>
      <c r="D163" s="10">
        <f>regions!D163</f>
        <v>4169.5907084279788</v>
      </c>
      <c r="E163" s="1">
        <f>regions!X163</f>
        <v>25.7</v>
      </c>
      <c r="I163" s="7">
        <f t="shared" si="354"/>
        <v>-10.663130821784641</v>
      </c>
      <c r="J163" s="1">
        <f t="shared" si="355"/>
        <v>-10.143965772038531</v>
      </c>
      <c r="K163" s="1">
        <f t="shared" ref="K163:K190" si="381">G$7*D163+G$8*D163*D163+G$9*D163*D163*D163+G$10*E163</f>
        <v>-3.2648899111160574</v>
      </c>
      <c r="L163" s="1">
        <f t="shared" si="355"/>
        <v>-8.3685401891161497</v>
      </c>
      <c r="M163" s="1">
        <f t="shared" si="308"/>
        <v>-10.850114223323855</v>
      </c>
      <c r="N163" s="1">
        <f t="shared" ref="N163" si="382">M163+M$2</f>
        <v>-10.465671332876834</v>
      </c>
      <c r="O163" s="1">
        <f t="shared" si="310"/>
        <v>3.0179402853095159</v>
      </c>
      <c r="P163" s="1">
        <f t="shared" si="339"/>
        <v>-12.115622020906143</v>
      </c>
      <c r="Q163" s="1">
        <f t="shared" si="339"/>
        <v>-9.0902763987863278</v>
      </c>
      <c r="R163" s="1">
        <f t="shared" si="339"/>
        <v>-9.048801744408447</v>
      </c>
      <c r="S163" s="1">
        <f>$M163+SUMPRODUCT(regions!BG163:BS163,regions!BG$193:BS$193)</f>
        <v>-7.1830153075850145</v>
      </c>
      <c r="T163" s="1">
        <f>$M163+SUMPRODUCT(regions!BV163:CD163,regions!BV$193:CD$193)</f>
        <v>-6.6908931118275712</v>
      </c>
      <c r="U163" s="1">
        <f>$M163+SUMPRODUCT(regions!CQ163:CV163,regions!CQ$193:CV$193)</f>
        <v>-7.1296286750417721</v>
      </c>
      <c r="V163" s="1">
        <f>$M163+SUMPRODUCT(regions!CY163:DF163,regions!CY$193:DF$193)</f>
        <v>-6.6808931118275705</v>
      </c>
      <c r="W163" s="1">
        <f>$M163+SUMPRODUCT(regions!DI163:DP163,regions!DI$193:DP$193)</f>
        <v>-4.641793111827571</v>
      </c>
      <c r="X163" s="1">
        <f>$M163+SUMPRODUCT(regions!DR163:DW163,regions!DR$193:DW$193)</f>
        <v>-5.0264526300887127</v>
      </c>
      <c r="Y163" s="1">
        <f>$M163+SUMPRODUCT(regions!DZ163:EE163,regions!DZ$193:EE$193)</f>
        <v>-4.5254646971039829</v>
      </c>
      <c r="Z163" s="1">
        <f t="shared" si="324"/>
        <v>-0.5</v>
      </c>
      <c r="AA163" t="str">
        <f>Maddison!A74</f>
        <v>Suriname</v>
      </c>
      <c r="AB163">
        <f>-Maddison!B74</f>
        <v>-0.5</v>
      </c>
      <c r="AC163" s="1">
        <f>N163-AB163</f>
        <v>-9.965671332876834</v>
      </c>
      <c r="AF163" s="1">
        <f t="shared" ref="AF163:AF190" si="383">$G$13*LN($D163)+$G$14*$E163</f>
        <v>2.4798857766761451</v>
      </c>
      <c r="AG163" s="1"/>
      <c r="AH163" s="1">
        <f t="shared" si="311"/>
        <v>-0.23670338149615819</v>
      </c>
      <c r="AI163" s="1">
        <f t="shared" si="365"/>
        <v>-0.22092315606308094</v>
      </c>
      <c r="AJ163" s="1">
        <f t="shared" si="365"/>
        <v>-0.20514293063000369</v>
      </c>
      <c r="AK163" s="1">
        <f t="shared" si="365"/>
        <v>-0.17358247976384927</v>
      </c>
      <c r="AL163" s="1">
        <f t="shared" si="365"/>
        <v>-0.15780225433077205</v>
      </c>
      <c r="AM163" s="1">
        <f t="shared" si="365"/>
        <v>-0.14202202889769483</v>
      </c>
      <c r="AN163" s="1">
        <f t="shared" si="365"/>
        <v>-0.12624180346461764</v>
      </c>
      <c r="AO163" s="1">
        <f t="shared" si="365"/>
        <v>-0.11046157803154041</v>
      </c>
      <c r="AP163" s="1">
        <f t="shared" si="365"/>
        <v>-9.468135259846322E-2</v>
      </c>
      <c r="AQ163" s="1">
        <f t="shared" si="365"/>
        <v>-7.8901127165386012E-2</v>
      </c>
      <c r="AR163" s="1">
        <f t="shared" si="365"/>
        <v>-6.3120901732308804E-2</v>
      </c>
      <c r="AS163" s="1">
        <f t="shared" si="365"/>
        <v>-4.7340676299231603E-2</v>
      </c>
      <c r="AT163" s="1">
        <f t="shared" si="365"/>
        <v>-3.1560450866154388E-2</v>
      </c>
      <c r="AU163" s="1">
        <f t="shared" si="365"/>
        <v>-1.578022543307718E-2</v>
      </c>
      <c r="AV163" s="1">
        <f t="shared" si="365"/>
        <v>0</v>
      </c>
      <c r="AW163" s="1">
        <f t="shared" si="365"/>
        <v>1.5780225433077208E-2</v>
      </c>
      <c r="AX163" s="1">
        <f t="shared" si="365"/>
        <v>0</v>
      </c>
      <c r="AY163" s="1">
        <f t="shared" si="365"/>
        <v>4.7340676299231638E-2</v>
      </c>
      <c r="AZ163" s="1">
        <f t="shared" si="365"/>
        <v>6.3120901732308832E-2</v>
      </c>
      <c r="BA163" s="1">
        <f t="shared" si="365"/>
        <v>7.890112716538604E-2</v>
      </c>
      <c r="BB163" s="1">
        <f t="shared" si="365"/>
        <v>9.4681352598463248E-2</v>
      </c>
      <c r="BC163" s="1">
        <f t="shared" si="365"/>
        <v>0.11046157803154047</v>
      </c>
      <c r="BD163" s="1"/>
      <c r="BE163">
        <f t="shared" ref="BE163" si="384">LN($D163)-LN($D163*(1+BA163/100))</f>
        <v>-7.8870016589505099E-4</v>
      </c>
      <c r="BF163">
        <f t="shared" si="314"/>
        <v>-9.4636558078420308E-4</v>
      </c>
      <c r="BG163">
        <f t="shared" si="314"/>
        <v>-1.1040061412082025E-3</v>
      </c>
    </row>
    <row r="164" spans="1:59" x14ac:dyDescent="0.35">
      <c r="A164" t="str">
        <f>regions!A164</f>
        <v>Swaziland</v>
      </c>
      <c r="B164" s="22">
        <f>regions!B164</f>
        <v>1193148</v>
      </c>
      <c r="C164" s="22">
        <f>regions!C164</f>
        <v>2917342648.1127834</v>
      </c>
      <c r="D164" s="10">
        <f>regions!D164</f>
        <v>2445.0802818366064</v>
      </c>
      <c r="E164" s="1">
        <f>regions!X164</f>
        <v>21.4</v>
      </c>
      <c r="I164" s="7">
        <f t="shared" si="354"/>
        <v>-9.5064263909933633</v>
      </c>
      <c r="J164" s="1">
        <f t="shared" si="355"/>
        <v>-8.9872613412472528</v>
      </c>
      <c r="K164" s="1">
        <f t="shared" si="381"/>
        <v>-4.4606762022015589</v>
      </c>
      <c r="L164" s="1">
        <f t="shared" si="355"/>
        <v>-9.5643264802016503</v>
      </c>
      <c r="M164" s="1">
        <f t="shared" si="308"/>
        <v>-9.818496977739132</v>
      </c>
      <c r="N164" s="1">
        <f t="shared" ref="N164" si="385">M164+M$2</f>
        <v>-9.434054087292111</v>
      </c>
      <c r="O164" s="1">
        <f t="shared" si="310"/>
        <v>3.3901090714638071</v>
      </c>
      <c r="P164" s="1">
        <f t="shared" ref="P164:R190" si="386">$M164+P$1-$M$1</f>
        <v>-11.08400477532142</v>
      </c>
      <c r="Q164" s="1">
        <f t="shared" si="386"/>
        <v>-8.0586591532016048</v>
      </c>
      <c r="R164" s="1">
        <f t="shared" si="386"/>
        <v>-8.017184498823724</v>
      </c>
      <c r="S164" s="1">
        <f>$M164+SUMPRODUCT(regions!BG164:BS164,regions!BG$193:BS$193)</f>
        <v>-0.56336867131118318</v>
      </c>
      <c r="T164" s="1">
        <f>$M164+SUMPRODUCT(regions!BV164:CD164,regions!BV$193:CD$193)</f>
        <v>-8.1731796581234484</v>
      </c>
      <c r="U164" s="1">
        <f>$M164+SUMPRODUCT(regions!CQ164:CV164,regions!CQ$193:CV$193)</f>
        <v>-6.0980114294570491</v>
      </c>
      <c r="V164" s="1">
        <f>$M164+SUMPRODUCT(regions!CY164:DF164,regions!CY$193:DF$193)</f>
        <v>-7.7169194569134305</v>
      </c>
      <c r="W164" s="1">
        <f>$M164+SUMPRODUCT(regions!DI164:DP164,regions!DI$193:DP$193)</f>
        <v>-4.1178194569134305</v>
      </c>
      <c r="X164" s="1">
        <f>$M164+SUMPRODUCT(regions!DR164:DW164,regions!DR$193:DW$193)</f>
        <v>-3.9948353845039897</v>
      </c>
      <c r="Y164" s="1">
        <f>$M164+SUMPRODUCT(regions!DZ164:EE164,regions!DZ$193:EE$193)</f>
        <v>-3.4938474515192599</v>
      </c>
      <c r="Z164" s="1">
        <f t="shared" si="324"/>
        <v>-0.4</v>
      </c>
      <c r="AA164" t="str">
        <f>Maddison!A75</f>
        <v>Swaziland</v>
      </c>
      <c r="AB164">
        <f>-Maddison!B75</f>
        <v>-0.4</v>
      </c>
      <c r="AC164" s="1">
        <f>N164-AB164</f>
        <v>-9.0340540872921107</v>
      </c>
      <c r="AF164" s="1">
        <f t="shared" si="383"/>
        <v>3.5115030222608681</v>
      </c>
      <c r="AG164" s="1"/>
      <c r="AH164" s="1">
        <f t="shared" si="311"/>
        <v>-0.33517053378852996</v>
      </c>
      <c r="AI164" s="1">
        <f t="shared" si="365"/>
        <v>-0.31282583153596122</v>
      </c>
      <c r="AJ164" s="1">
        <f t="shared" si="365"/>
        <v>-0.29048112928339254</v>
      </c>
      <c r="AK164" s="1">
        <f t="shared" si="365"/>
        <v>-0.2457917247782552</v>
      </c>
      <c r="AL164" s="1">
        <f t="shared" si="365"/>
        <v>-0.22344702252568652</v>
      </c>
      <c r="AM164" s="1">
        <f t="shared" si="365"/>
        <v>-0.20110232027311786</v>
      </c>
      <c r="AN164" s="1">
        <f t="shared" si="365"/>
        <v>-0.17875761802054921</v>
      </c>
      <c r="AO164" s="1">
        <f t="shared" si="365"/>
        <v>-0.15641291576798053</v>
      </c>
      <c r="AP164" s="1">
        <f t="shared" si="365"/>
        <v>-0.1340682135154119</v>
      </c>
      <c r="AQ164" s="1">
        <f t="shared" si="365"/>
        <v>-0.11172351126284323</v>
      </c>
      <c r="AR164" s="1">
        <f t="shared" si="365"/>
        <v>-8.937880901027459E-2</v>
      </c>
      <c r="AS164" s="1">
        <f t="shared" si="365"/>
        <v>-6.7034106757705936E-2</v>
      </c>
      <c r="AT164" s="1">
        <f t="shared" si="365"/>
        <v>-4.4689404505137274E-2</v>
      </c>
      <c r="AU164" s="1">
        <f t="shared" si="365"/>
        <v>-2.2344702252568616E-2</v>
      </c>
      <c r="AV164" s="1">
        <f t="shared" si="365"/>
        <v>0</v>
      </c>
      <c r="AW164" s="1">
        <f t="shared" si="365"/>
        <v>2.2344702252568658E-2</v>
      </c>
      <c r="AX164" s="1">
        <f t="shared" si="365"/>
        <v>0</v>
      </c>
      <c r="AY164" s="1">
        <f t="shared" si="365"/>
        <v>6.7034106757705991E-2</v>
      </c>
      <c r="AZ164" s="1">
        <f t="shared" si="365"/>
        <v>8.9378809010274632E-2</v>
      </c>
      <c r="BA164" s="1">
        <f t="shared" si="365"/>
        <v>0.11172351126284329</v>
      </c>
      <c r="BB164" s="1">
        <f t="shared" si="365"/>
        <v>0.13406821351541195</v>
      </c>
      <c r="BC164" s="1">
        <f t="shared" si="365"/>
        <v>0.15641291576798061</v>
      </c>
      <c r="BD164" s="1"/>
      <c r="BE164">
        <f t="shared" ref="BE164" si="387">LN($D164)-LN($D164*(1+BA164/100))</f>
        <v>-1.1166114699401319E-3</v>
      </c>
      <c r="BF164">
        <f t="shared" si="314"/>
        <v>-1.3397842233136004E-3</v>
      </c>
      <c r="BG164">
        <f t="shared" si="314"/>
        <v>-1.5629071817215845E-3</v>
      </c>
    </row>
    <row r="165" spans="1:59" x14ac:dyDescent="0.35">
      <c r="A165" t="str">
        <f>regions!A165</f>
        <v>Sweden</v>
      </c>
      <c r="B165" s="22">
        <f>regions!B165</f>
        <v>9378126</v>
      </c>
      <c r="C165" s="22">
        <f>regions!C165</f>
        <v>401624584927.2937</v>
      </c>
      <c r="D165" s="10">
        <f>regions!D165</f>
        <v>42825.675932195161</v>
      </c>
      <c r="E165" s="1">
        <f>regions!X165</f>
        <v>2.1</v>
      </c>
      <c r="I165" s="7">
        <f t="shared" si="354"/>
        <v>1.6894125886892284</v>
      </c>
      <c r="J165" s="1">
        <f t="shared" si="355"/>
        <v>2.2085776384353384</v>
      </c>
      <c r="K165" s="1">
        <f t="shared" si="381"/>
        <v>4.3696812172363577</v>
      </c>
      <c r="L165" s="1">
        <f t="shared" si="355"/>
        <v>-0.73396906076373458</v>
      </c>
      <c r="M165" s="1">
        <f t="shared" si="308"/>
        <v>3.6474772467356087</v>
      </c>
      <c r="N165" s="1">
        <f t="shared" ref="N165" si="388">M165+M$2</f>
        <v>4.0319201371826292</v>
      </c>
      <c r="O165" s="1">
        <f t="shared" si="310"/>
        <v>1.3823656476305204</v>
      </c>
      <c r="P165" s="1">
        <f t="shared" si="386"/>
        <v>2.3819694491533205</v>
      </c>
      <c r="Q165" s="1">
        <f t="shared" si="386"/>
        <v>5.4073150712731364</v>
      </c>
      <c r="R165" s="1">
        <f t="shared" si="386"/>
        <v>5.4487897256510163</v>
      </c>
      <c r="S165" s="1">
        <f>$M165+SUMPRODUCT(regions!BG165:BS165,regions!BG$193:BS$193)</f>
        <v>0.81642200665899578</v>
      </c>
      <c r="T165" s="1">
        <f>$M165+SUMPRODUCT(regions!BV165:CD165,regions!BV$193:CD$193)</f>
        <v>2.4162882986680865</v>
      </c>
      <c r="U165" s="1">
        <f>$M165+SUMPRODUCT(regions!CQ165:CV165,regions!CQ$193:CV$193)</f>
        <v>2.6665644809182441</v>
      </c>
      <c r="V165" s="1">
        <f>$M165+SUMPRODUCT(regions!CY165:DF165,regions!CY$193:DF$193)</f>
        <v>2.5432822694262276</v>
      </c>
      <c r="W165" s="1">
        <f>$M165+SUMPRODUCT(regions!DI165:DP165,regions!DI$193:DP$193)</f>
        <v>2.613282269426227</v>
      </c>
      <c r="X165" s="1">
        <f>$M165+SUMPRODUCT(regions!DR165:DW165,regions!DR$193:DW$193)</f>
        <v>2.4432822694262271</v>
      </c>
      <c r="Y165" s="1">
        <f>$M165+SUMPRODUCT(regions!DZ165:EE165,regions!DZ$193:EE$193)</f>
        <v>2.2432822694262269</v>
      </c>
      <c r="Z165" s="1">
        <f t="shared" si="324"/>
        <v>2.1</v>
      </c>
      <c r="AA165" t="str">
        <f>Maddison!A76</f>
        <v>Sweden</v>
      </c>
      <c r="AB165">
        <f>-Maddison!B76</f>
        <v>2.1</v>
      </c>
      <c r="AC165" s="1">
        <f>N165-AB165</f>
        <v>1.9319201371826291</v>
      </c>
      <c r="AF165" s="1">
        <f t="shared" si="383"/>
        <v>16.97747724673561</v>
      </c>
      <c r="AG165" s="1"/>
      <c r="AH165" s="1">
        <f t="shared" si="311"/>
        <v>-1.6204884561105362</v>
      </c>
      <c r="AI165" s="1">
        <f t="shared" si="365"/>
        <v>-1.5124558923698335</v>
      </c>
      <c r="AJ165" s="1">
        <f t="shared" si="365"/>
        <v>-1.404423328629131</v>
      </c>
      <c r="AK165" s="1">
        <f t="shared" si="365"/>
        <v>-1.1883582011477261</v>
      </c>
      <c r="AL165" s="1">
        <f t="shared" si="365"/>
        <v>-1.0803256374070236</v>
      </c>
      <c r="AM165" s="1">
        <f t="shared" si="365"/>
        <v>-0.97229307366632123</v>
      </c>
      <c r="AN165" s="1">
        <f t="shared" si="365"/>
        <v>-0.86426050992561887</v>
      </c>
      <c r="AO165" s="1">
        <f t="shared" si="365"/>
        <v>-0.7562279461849164</v>
      </c>
      <c r="AP165" s="1">
        <f t="shared" si="365"/>
        <v>-0.64819538244421415</v>
      </c>
      <c r="AQ165" s="1">
        <f t="shared" si="365"/>
        <v>-0.54016281870351168</v>
      </c>
      <c r="AR165" s="1">
        <f t="shared" si="365"/>
        <v>-0.43213025496280938</v>
      </c>
      <c r="AS165" s="1">
        <f t="shared" si="365"/>
        <v>-0.32409769122210702</v>
      </c>
      <c r="AT165" s="1">
        <f t="shared" si="365"/>
        <v>-0.21606512748140458</v>
      </c>
      <c r="AU165" s="1">
        <f t="shared" si="365"/>
        <v>-0.10803256374070219</v>
      </c>
      <c r="AV165" s="1">
        <f t="shared" si="365"/>
        <v>0</v>
      </c>
      <c r="AW165" s="1">
        <f t="shared" si="365"/>
        <v>0.1080325637407024</v>
      </c>
      <c r="AX165" s="1">
        <f t="shared" si="365"/>
        <v>0</v>
      </c>
      <c r="AY165" s="1">
        <f t="shared" si="365"/>
        <v>0.32409769122210724</v>
      </c>
      <c r="AZ165" s="1">
        <f t="shared" si="365"/>
        <v>0.4321302549628096</v>
      </c>
      <c r="BA165" s="1">
        <f t="shared" si="365"/>
        <v>0.5401628187035119</v>
      </c>
      <c r="BB165" s="1">
        <f t="shared" si="365"/>
        <v>0.64819538244421437</v>
      </c>
      <c r="BC165" s="1">
        <f t="shared" si="365"/>
        <v>0.75622794618491673</v>
      </c>
      <c r="BD165" s="1"/>
      <c r="BE165">
        <f t="shared" ref="BE165" si="389">LN($D165)-LN($D165*(1+BA165/100))</f>
        <v>-5.3870917170737442E-3</v>
      </c>
      <c r="BF165">
        <f t="shared" si="314"/>
        <v>-6.4610363040262797E-3</v>
      </c>
      <c r="BG165">
        <f t="shared" si="314"/>
        <v>-7.5338287712067853E-3</v>
      </c>
    </row>
    <row r="166" spans="1:59" x14ac:dyDescent="0.35">
      <c r="A166" t="str">
        <f>regions!A166</f>
        <v>Switzerland</v>
      </c>
      <c r="B166" s="22">
        <f>regions!B166</f>
        <v>7824909</v>
      </c>
      <c r="C166" s="22">
        <f>regions!C166</f>
        <v>427575024211.02106</v>
      </c>
      <c r="D166" s="10">
        <f>regions!D166</f>
        <v>54642.81108074497</v>
      </c>
      <c r="E166" s="1">
        <f>regions!X166</f>
        <v>5.5</v>
      </c>
      <c r="I166" s="7">
        <f t="shared" si="354"/>
        <v>-9.5248665105001162</v>
      </c>
      <c r="J166" s="1">
        <f t="shared" si="355"/>
        <v>-9.0057014607540058</v>
      </c>
      <c r="K166" s="1">
        <f t="shared" si="381"/>
        <v>-3.3459571865327185</v>
      </c>
      <c r="L166" s="1">
        <f t="shared" si="355"/>
        <v>-8.4496074645328108</v>
      </c>
      <c r="M166" s="1">
        <f t="shared" si="308"/>
        <v>2.5321193398976294</v>
      </c>
      <c r="N166" s="1">
        <f t="shared" ref="N166" si="390">M166+M$2</f>
        <v>2.9165622303446499</v>
      </c>
      <c r="O166" s="1">
        <f t="shared" si="310"/>
        <v>2.1503699197592865</v>
      </c>
      <c r="P166" s="1">
        <f t="shared" si="386"/>
        <v>1.2666115423153415</v>
      </c>
      <c r="Q166" s="1">
        <f t="shared" si="386"/>
        <v>4.2919571644351571</v>
      </c>
      <c r="R166" s="1">
        <f t="shared" si="386"/>
        <v>4.333431818813037</v>
      </c>
      <c r="S166" s="1">
        <f>$M166+SUMPRODUCT(regions!BG166:BS166,regions!BG$193:BS$193)</f>
        <v>-0.29893590017898353</v>
      </c>
      <c r="T166" s="1">
        <f>$M166+SUMPRODUCT(regions!BV166:CD166,regions!BV$193:CD$193)</f>
        <v>1.3009303918301069</v>
      </c>
      <c r="U166" s="1">
        <f>$M166+SUMPRODUCT(regions!CQ166:CV166,regions!CQ$193:CV$193)</f>
        <v>6.2526048881797127</v>
      </c>
      <c r="V166" s="1">
        <f>$M166+SUMPRODUCT(regions!CY166:DF166,regions!CY$193:DF$193)</f>
        <v>-0.77616259934501075</v>
      </c>
      <c r="W166" s="1">
        <f>$M166+SUMPRODUCT(regions!DI166:DP166,regions!DI$193:DP$193)</f>
        <v>1.776337400654989</v>
      </c>
      <c r="X166" s="1">
        <f>$M166+SUMPRODUCT(regions!DR166:DW166,regions!DR$193:DW$193)</f>
        <v>0.68383740065498921</v>
      </c>
      <c r="Y166" s="1">
        <f>$M166+SUMPRODUCT(regions!DZ166:EE166,regions!DZ$193:EE$193)</f>
        <v>1.0274058627591132</v>
      </c>
      <c r="Z166" s="1">
        <f t="shared" si="324"/>
        <v>1.1000000000000001</v>
      </c>
      <c r="AA166" t="str">
        <f>Maddison!A77</f>
        <v>Switzerland</v>
      </c>
      <c r="AB166">
        <f>-Maddison!B77</f>
        <v>1.1000000000000001</v>
      </c>
      <c r="AC166" s="1">
        <f>N166-AB166</f>
        <v>1.8165622303446498</v>
      </c>
      <c r="AF166" s="1">
        <f t="shared" si="383"/>
        <v>15.86211933989763</v>
      </c>
      <c r="AG166" s="1"/>
      <c r="AH166" s="1">
        <f t="shared" si="311"/>
        <v>-1.5140283156435486</v>
      </c>
      <c r="AI166" s="1">
        <f t="shared" si="365"/>
        <v>-1.4130930946006452</v>
      </c>
      <c r="AJ166" s="1">
        <f t="shared" si="365"/>
        <v>-1.3121578735577417</v>
      </c>
      <c r="AK166" s="1">
        <f t="shared" si="365"/>
        <v>-1.1102874314719353</v>
      </c>
      <c r="AL166" s="1">
        <f t="shared" si="365"/>
        <v>-1.009352210429032</v>
      </c>
      <c r="AM166" s="1">
        <f t="shared" si="365"/>
        <v>-0.9084169893861288</v>
      </c>
      <c r="AN166" s="1">
        <f t="shared" si="365"/>
        <v>-0.80748176834322549</v>
      </c>
      <c r="AO166" s="1">
        <f t="shared" si="365"/>
        <v>-0.70654654730032229</v>
      </c>
      <c r="AP166" s="1">
        <f t="shared" si="365"/>
        <v>-0.60561132625741909</v>
      </c>
      <c r="AQ166" s="1">
        <f t="shared" si="365"/>
        <v>-0.50467610521451589</v>
      </c>
      <c r="AR166" s="1">
        <f t="shared" si="365"/>
        <v>-0.40374088417161269</v>
      </c>
      <c r="AS166" s="1">
        <f t="shared" si="365"/>
        <v>-0.30280566312870949</v>
      </c>
      <c r="AT166" s="1">
        <f t="shared" si="365"/>
        <v>-0.20187044208580626</v>
      </c>
      <c r="AU166" s="1">
        <f t="shared" si="365"/>
        <v>-0.10093522104290303</v>
      </c>
      <c r="AV166" s="1">
        <f t="shared" si="365"/>
        <v>0</v>
      </c>
      <c r="AW166" s="1">
        <f t="shared" si="365"/>
        <v>0.10093522104290323</v>
      </c>
      <c r="AX166" s="1">
        <f t="shared" si="365"/>
        <v>0</v>
      </c>
      <c r="AY166" s="1">
        <f t="shared" si="365"/>
        <v>0.30280566312870971</v>
      </c>
      <c r="AZ166" s="1">
        <f t="shared" si="365"/>
        <v>0.40374088417161291</v>
      </c>
      <c r="BA166" s="1">
        <f t="shared" si="365"/>
        <v>0.50467610521451611</v>
      </c>
      <c r="BB166" s="1">
        <f t="shared" si="365"/>
        <v>0.60561132625741931</v>
      </c>
      <c r="BC166" s="1">
        <f t="shared" si="365"/>
        <v>0.70654654730032262</v>
      </c>
      <c r="BD166" s="1"/>
      <c r="BE166">
        <f t="shared" ref="BE166" si="391">LN($D166)-LN($D166*(1+BA166/100))</f>
        <v>-5.0340688387215948E-3</v>
      </c>
      <c r="BF166">
        <f t="shared" si="314"/>
        <v>-6.0378487130083869E-3</v>
      </c>
      <c r="BG166">
        <f t="shared" si="314"/>
        <v>-7.0406220235437189E-3</v>
      </c>
    </row>
    <row r="167" spans="1:59" x14ac:dyDescent="0.35">
      <c r="A167" t="str">
        <f>regions!A167</f>
        <v>Tajikistan</v>
      </c>
      <c r="B167" s="22">
        <f>regions!B167</f>
        <v>7627326</v>
      </c>
      <c r="C167" s="22">
        <f>regions!C167</f>
        <v>3181403840.3997879</v>
      </c>
      <c r="D167" s="10">
        <f>regions!D167</f>
        <v>417.10605268475319</v>
      </c>
      <c r="E167" s="1">
        <f>regions!X167</f>
        <v>2</v>
      </c>
      <c r="I167" s="7">
        <f t="shared" si="354"/>
        <v>-0.74248937652175684</v>
      </c>
      <c r="J167" s="1">
        <f t="shared" si="355"/>
        <v>-0.22332432677564706</v>
      </c>
      <c r="K167" s="1">
        <f t="shared" si="381"/>
        <v>5.8726988031370331E-2</v>
      </c>
      <c r="L167" s="1">
        <f t="shared" si="355"/>
        <v>-5.0449232899687217</v>
      </c>
      <c r="M167" s="1">
        <f t="shared" si="308"/>
        <v>-4.0896569375777094</v>
      </c>
      <c r="N167" s="1">
        <f t="shared" ref="N167" si="392">M167+M$2</f>
        <v>-3.7052140471306885</v>
      </c>
      <c r="O167" s="1">
        <f t="shared" si="310"/>
        <v>3.3374758260599897</v>
      </c>
      <c r="P167" s="1">
        <f t="shared" si="386"/>
        <v>-5.3551647351599971</v>
      </c>
      <c r="Q167" s="1">
        <f t="shared" si="386"/>
        <v>-2.3298191130401813</v>
      </c>
      <c r="R167" s="1">
        <f t="shared" si="386"/>
        <v>-2.2883444586623014</v>
      </c>
      <c r="S167" s="1">
        <f>$M167+SUMPRODUCT(regions!BG167:BS167,regions!BG$193:BS$193)</f>
        <v>4.6962815622222802</v>
      </c>
      <c r="T167" s="1">
        <f>$M167+SUMPRODUCT(regions!BV167:CD167,regions!BV$193:CD$193)</f>
        <v>-3.9204107934252028</v>
      </c>
      <c r="U167" s="1">
        <f>$M167+SUMPRODUCT(regions!CQ167:CV167,regions!CQ$193:CV$193)</f>
        <v>-6.6725535513253655</v>
      </c>
      <c r="V167" s="1">
        <f>$M167+SUMPRODUCT(regions!CY167:DF167,regions!CY$193:DF$193)</f>
        <v>-4.2204107934252031</v>
      </c>
      <c r="W167" s="1">
        <f>$M167+SUMPRODUCT(regions!DI167:DP167,regions!DI$193:DP$193)</f>
        <v>-3.7899107934252028</v>
      </c>
      <c r="X167" s="1">
        <f>$M167+SUMPRODUCT(regions!DR167:DW167,regions!DR$193:DW$193)</f>
        <v>-6.5155535513253655</v>
      </c>
      <c r="Y167" s="1">
        <f>$M167+SUMPRODUCT(regions!DZ167:EE167,regions!DZ$193:EE$193)</f>
        <v>-6.615553551325366</v>
      </c>
      <c r="Z167" s="1">
        <f t="shared" si="324"/>
        <v>-0.60959075513305683</v>
      </c>
      <c r="AF167" s="1">
        <f t="shared" si="383"/>
        <v>9.2403430624222906</v>
      </c>
      <c r="AG167" s="1"/>
      <c r="AH167" s="1">
        <f t="shared" si="311"/>
        <v>-0.88198435171135581</v>
      </c>
      <c r="AI167" s="1">
        <f t="shared" si="365"/>
        <v>-0.82318539493059861</v>
      </c>
      <c r="AJ167" s="1">
        <f t="shared" si="365"/>
        <v>-0.76438643814984153</v>
      </c>
      <c r="AK167" s="1">
        <f t="shared" si="365"/>
        <v>-0.64678852458832736</v>
      </c>
      <c r="AL167" s="1">
        <f t="shared" si="365"/>
        <v>-0.58798956780757028</v>
      </c>
      <c r="AM167" s="1">
        <f t="shared" si="365"/>
        <v>-0.52919061102681331</v>
      </c>
      <c r="AN167" s="1">
        <f t="shared" si="365"/>
        <v>-0.47039165424605622</v>
      </c>
      <c r="AO167" s="1">
        <f t="shared" si="365"/>
        <v>-0.41159269746529914</v>
      </c>
      <c r="AP167" s="1">
        <f t="shared" si="365"/>
        <v>-0.35279374068454217</v>
      </c>
      <c r="AQ167" s="1">
        <f t="shared" si="365"/>
        <v>-0.29399478390378508</v>
      </c>
      <c r="AR167" s="1">
        <f t="shared" ref="AI167:BC179" si="393">$AF167*AR$2</f>
        <v>-0.23519582712302806</v>
      </c>
      <c r="AS167" s="1">
        <f t="shared" si="393"/>
        <v>-0.17639687034227106</v>
      </c>
      <c r="AT167" s="1">
        <f t="shared" si="393"/>
        <v>-0.11759791356151399</v>
      </c>
      <c r="AU167" s="1">
        <f t="shared" si="393"/>
        <v>-5.8798956780756938E-2</v>
      </c>
      <c r="AV167" s="1">
        <f t="shared" si="393"/>
        <v>0</v>
      </c>
      <c r="AW167" s="1">
        <f t="shared" si="393"/>
        <v>5.8798956780757049E-2</v>
      </c>
      <c r="AX167" s="1">
        <f t="shared" si="393"/>
        <v>0</v>
      </c>
      <c r="AY167" s="1">
        <f t="shared" si="393"/>
        <v>0.17639687034227117</v>
      </c>
      <c r="AZ167" s="1">
        <f t="shared" si="393"/>
        <v>0.23519582712302819</v>
      </c>
      <c r="BA167" s="1">
        <f t="shared" si="393"/>
        <v>0.2939947839037852</v>
      </c>
      <c r="BB167" s="1">
        <f t="shared" si="393"/>
        <v>0.35279374068454228</v>
      </c>
      <c r="BC167" s="1">
        <f t="shared" si="393"/>
        <v>0.41159269746529931</v>
      </c>
      <c r="BD167" s="1"/>
      <c r="BE167">
        <f t="shared" ref="BE167" si="394">LN($D167)-LN($D167*(1+BA167/100))</f>
        <v>-2.9356346440341241E-3</v>
      </c>
      <c r="BF167">
        <f t="shared" si="314"/>
        <v>-3.5217288336921726E-3</v>
      </c>
      <c r="BG167">
        <f t="shared" si="314"/>
        <v>-4.1074797181508416E-3</v>
      </c>
    </row>
    <row r="168" spans="1:59" x14ac:dyDescent="0.35">
      <c r="A168" t="str">
        <f>regions!A168</f>
        <v>Tanzania</v>
      </c>
      <c r="B168" s="22">
        <f>regions!B168</f>
        <v>44973330</v>
      </c>
      <c r="C168" s="22">
        <f>regions!C168</f>
        <v>19720449298.896339</v>
      </c>
      <c r="D168" s="10">
        <f>regions!D168</f>
        <v>438.4920862852793</v>
      </c>
      <c r="E168" s="1">
        <f>regions!X168</f>
        <v>22.3</v>
      </c>
      <c r="I168" s="7">
        <f t="shared" si="354"/>
        <v>-11.375443434405254</v>
      </c>
      <c r="J168" s="1">
        <f t="shared" si="355"/>
        <v>-10.856278384659143</v>
      </c>
      <c r="K168" s="1">
        <f t="shared" si="381"/>
        <v>-9.1243990924600844</v>
      </c>
      <c r="L168" s="1">
        <f t="shared" si="355"/>
        <v>-14.228049370460177</v>
      </c>
      <c r="M168" s="1">
        <f t="shared" si="308"/>
        <v>-13.109544734021634</v>
      </c>
      <c r="N168" s="1">
        <f t="shared" ref="N168" si="395">M168+M$2</f>
        <v>-12.725101843574613</v>
      </c>
      <c r="O168" s="1">
        <f t="shared" si="310"/>
        <v>3.0937424929159367</v>
      </c>
      <c r="P168" s="1">
        <f t="shared" si="386"/>
        <v>-14.37505253160392</v>
      </c>
      <c r="Q168" s="1">
        <f t="shared" si="386"/>
        <v>-11.349706909484107</v>
      </c>
      <c r="R168" s="1">
        <f t="shared" si="386"/>
        <v>-11.308232255106226</v>
      </c>
      <c r="S168" s="1">
        <f>$M168+SUMPRODUCT(regions!BG168:BS168,regions!BG$193:BS$193)</f>
        <v>-3.8544164275936854</v>
      </c>
      <c r="T168" s="1">
        <f>$M168+SUMPRODUCT(regions!BV168:CD168,regions!BV$193:CD$193)</f>
        <v>-11.464227414405951</v>
      </c>
      <c r="U168" s="1">
        <f>$M168+SUMPRODUCT(regions!CQ168:CV168,regions!CQ$193:CV$193)</f>
        <v>-9.3890591857395513</v>
      </c>
      <c r="V168" s="1">
        <f>$M168+SUMPRODUCT(regions!CY168:DF168,regions!CY$193:DF$193)</f>
        <v>-11.007967213195933</v>
      </c>
      <c r="W168" s="1">
        <f>$M168+SUMPRODUCT(regions!DI168:DP168,regions!DI$193:DP$193)</f>
        <v>-7.4088672131959328</v>
      </c>
      <c r="X168" s="1">
        <f>$M168+SUMPRODUCT(regions!DR168:DW168,regions!DR$193:DW$193)</f>
        <v>-7.2858831407864919</v>
      </c>
      <c r="Y168" s="1">
        <f>$M168+SUMPRODUCT(regions!DZ168:EE168,regions!DZ$193:EE$193)</f>
        <v>-6.7848952078017621</v>
      </c>
      <c r="Z168" s="1">
        <f t="shared" si="324"/>
        <v>-6</v>
      </c>
      <c r="AA168" t="str">
        <f>Maddison!A79</f>
        <v>Tanzania</v>
      </c>
      <c r="AB168">
        <f>-Maddison!B79</f>
        <v>-6</v>
      </c>
      <c r="AC168" s="1">
        <f>N168-AB168</f>
        <v>-6.7251018435746133</v>
      </c>
      <c r="AF168" s="1">
        <f t="shared" si="383"/>
        <v>0.22045526597836584</v>
      </c>
      <c r="AG168" s="1"/>
      <c r="AH168" s="1">
        <f t="shared" si="311"/>
        <v>-2.1042302599781716E-2</v>
      </c>
      <c r="AI168" s="1">
        <f t="shared" si="393"/>
        <v>-1.9639482426462934E-2</v>
      </c>
      <c r="AJ168" s="1">
        <f t="shared" si="393"/>
        <v>-1.8236662253144149E-2</v>
      </c>
      <c r="AK168" s="1">
        <f t="shared" si="393"/>
        <v>-1.5431021906506586E-2</v>
      </c>
      <c r="AL168" s="1">
        <f t="shared" si="393"/>
        <v>-1.4028201733187806E-2</v>
      </c>
      <c r="AM168" s="1">
        <f t="shared" si="393"/>
        <v>-1.2625381559869024E-2</v>
      </c>
      <c r="AN168" s="1">
        <f t="shared" si="393"/>
        <v>-1.1222561386550244E-2</v>
      </c>
      <c r="AO168" s="1">
        <f t="shared" si="393"/>
        <v>-9.8197412132314619E-3</v>
      </c>
      <c r="AP168" s="1">
        <f t="shared" si="393"/>
        <v>-8.4169210399126816E-3</v>
      </c>
      <c r="AQ168" s="1">
        <f t="shared" si="393"/>
        <v>-7.0141008665939013E-3</v>
      </c>
      <c r="AR168" s="1">
        <f t="shared" si="393"/>
        <v>-5.6112806932751211E-3</v>
      </c>
      <c r="AS168" s="1">
        <f t="shared" si="393"/>
        <v>-4.2084605199563408E-3</v>
      </c>
      <c r="AT168" s="1">
        <f t="shared" si="393"/>
        <v>-2.8056403466375592E-3</v>
      </c>
      <c r="AU168" s="1">
        <f t="shared" si="393"/>
        <v>-1.4028201733187783E-3</v>
      </c>
      <c r="AV168" s="1">
        <f t="shared" si="393"/>
        <v>0</v>
      </c>
      <c r="AW168" s="1">
        <f t="shared" si="393"/>
        <v>1.4028201733187809E-3</v>
      </c>
      <c r="AX168" s="1">
        <f t="shared" si="393"/>
        <v>0</v>
      </c>
      <c r="AY168" s="1">
        <f t="shared" si="393"/>
        <v>4.2084605199563434E-3</v>
      </c>
      <c r="AZ168" s="1">
        <f t="shared" si="393"/>
        <v>5.6112806932751237E-3</v>
      </c>
      <c r="BA168" s="1">
        <f t="shared" si="393"/>
        <v>7.014100866593904E-3</v>
      </c>
      <c r="BB168" s="1">
        <f t="shared" si="393"/>
        <v>8.4169210399126851E-3</v>
      </c>
      <c r="BC168" s="1">
        <f t="shared" si="393"/>
        <v>9.8197412132314671E-3</v>
      </c>
      <c r="BD168" s="1"/>
      <c r="BE168">
        <f t="shared" ref="BE168" si="396">LN($D168)-LN($D168*(1+BA168/100))</f>
        <v>-7.013854890036697E-5</v>
      </c>
      <c r="BF168">
        <f t="shared" si="314"/>
        <v>-8.4165668369884372E-5</v>
      </c>
      <c r="BG168">
        <f t="shared" si="314"/>
        <v>-9.8192591082124636E-5</v>
      </c>
    </row>
    <row r="169" spans="1:59" x14ac:dyDescent="0.35">
      <c r="A169" t="str">
        <f>regions!A169</f>
        <v>Thailand</v>
      </c>
      <c r="B169" s="22">
        <f>regions!B169</f>
        <v>66402316</v>
      </c>
      <c r="C169" s="22">
        <f>regions!C169</f>
        <v>210090542914.01364</v>
      </c>
      <c r="D169" s="10">
        <f>regions!D169</f>
        <v>3163.9038450709104</v>
      </c>
      <c r="E169" s="1">
        <f>regions!X169</f>
        <v>26.3</v>
      </c>
      <c r="I169" s="7">
        <f t="shared" si="354"/>
        <v>-11.607290487325852</v>
      </c>
      <c r="J169" s="1">
        <f t="shared" si="355"/>
        <v>-11.088125437579741</v>
      </c>
      <c r="K169" s="1">
        <f t="shared" si="381"/>
        <v>-5.3202384371033373</v>
      </c>
      <c r="L169" s="1">
        <f t="shared" si="355"/>
        <v>-10.423888715103431</v>
      </c>
      <c r="M169" s="1">
        <f t="shared" si="308"/>
        <v>-11.582951835952295</v>
      </c>
      <c r="N169" s="1">
        <f t="shared" ref="N169" si="397">M169+M$2</f>
        <v>-11.198508945505274</v>
      </c>
      <c r="O169" s="1">
        <f t="shared" si="310"/>
        <v>3.178642153482572</v>
      </c>
      <c r="P169" s="1">
        <f t="shared" si="386"/>
        <v>-12.848459633534583</v>
      </c>
      <c r="Q169" s="1">
        <f t="shared" si="386"/>
        <v>-9.8231140114147681</v>
      </c>
      <c r="R169" s="1">
        <f t="shared" si="386"/>
        <v>-9.7816393570368874</v>
      </c>
      <c r="S169" s="1">
        <f>$M169+SUMPRODUCT(regions!BG169:BS169,regions!BG$193:BS$193)</f>
        <v>-6.1380014660797357</v>
      </c>
      <c r="T169" s="1">
        <f>$M169+SUMPRODUCT(regions!BV169:CD169,regions!BV$193:CD$193)</f>
        <v>-11.297701076434107</v>
      </c>
      <c r="U169" s="1">
        <f>$M169+SUMPRODUCT(regions!CQ169:CV169,regions!CQ$193:CV$193)</f>
        <v>-7.8624662876702125</v>
      </c>
      <c r="V169" s="1">
        <f>$M169+SUMPRODUCT(regions!CY169:DF169,regions!CY$193:DF$193)</f>
        <v>-11.444314443632495</v>
      </c>
      <c r="W169" s="1">
        <f>$M169+SUMPRODUCT(regions!DI169:DP169,regions!DI$193:DP$193)</f>
        <v>-5.9393144436324965</v>
      </c>
      <c r="X169" s="1">
        <f>$M169+SUMPRODUCT(regions!DR169:DW169,regions!DR$193:DW$193)</f>
        <v>-5.7592902427171531</v>
      </c>
      <c r="Y169" s="1">
        <f>$M169+SUMPRODUCT(regions!DZ169:EE169,regions!DZ$193:EE$193)</f>
        <v>-5.2583023097324233</v>
      </c>
      <c r="Z169" s="1">
        <f t="shared" si="324"/>
        <v>-2.7</v>
      </c>
      <c r="AA169" t="str">
        <f>Maddison!A80</f>
        <v>Thailand</v>
      </c>
      <c r="AB169">
        <f>-Maddison!B80</f>
        <v>-2.7</v>
      </c>
      <c r="AC169" s="1">
        <f>N169-AB169</f>
        <v>-8.4985089455052751</v>
      </c>
      <c r="AF169" s="1">
        <f t="shared" si="383"/>
        <v>1.7470481640477047</v>
      </c>
      <c r="AG169" s="1"/>
      <c r="AH169" s="1">
        <f t="shared" si="311"/>
        <v>-0.16675453843725596</v>
      </c>
      <c r="AI169" s="1">
        <f t="shared" si="393"/>
        <v>-0.15563756920810554</v>
      </c>
      <c r="AJ169" s="1">
        <f t="shared" si="393"/>
        <v>-0.14452059997895511</v>
      </c>
      <c r="AK169" s="1">
        <f t="shared" si="393"/>
        <v>-0.12228666152065432</v>
      </c>
      <c r="AL169" s="1">
        <f t="shared" si="393"/>
        <v>-0.11116969229150392</v>
      </c>
      <c r="AM169" s="1">
        <f t="shared" si="393"/>
        <v>-0.10005272306235352</v>
      </c>
      <c r="AN169" s="1">
        <f t="shared" si="393"/>
        <v>-8.8935753833203124E-2</v>
      </c>
      <c r="AO169" s="1">
        <f t="shared" si="393"/>
        <v>-7.7818784604052726E-2</v>
      </c>
      <c r="AP169" s="1">
        <f t="shared" si="393"/>
        <v>-6.6701815374902343E-2</v>
      </c>
      <c r="AQ169" s="1">
        <f t="shared" si="393"/>
        <v>-5.5584846145751952E-2</v>
      </c>
      <c r="AR169" s="1">
        <f t="shared" si="393"/>
        <v>-4.4467876916601555E-2</v>
      </c>
      <c r="AS169" s="1">
        <f t="shared" si="393"/>
        <v>-3.3350907687451165E-2</v>
      </c>
      <c r="AT169" s="1">
        <f t="shared" si="393"/>
        <v>-2.2233938458300771E-2</v>
      </c>
      <c r="AU169" s="1">
        <f t="shared" si="393"/>
        <v>-1.1116969229150375E-2</v>
      </c>
      <c r="AV169" s="1">
        <f t="shared" si="393"/>
        <v>0</v>
      </c>
      <c r="AW169" s="1">
        <f t="shared" si="393"/>
        <v>1.1116969229150396E-2</v>
      </c>
      <c r="AX169" s="1">
        <f t="shared" si="393"/>
        <v>0</v>
      </c>
      <c r="AY169" s="1">
        <f t="shared" si="393"/>
        <v>3.3350907687451192E-2</v>
      </c>
      <c r="AZ169" s="1">
        <f t="shared" si="393"/>
        <v>4.4467876916601583E-2</v>
      </c>
      <c r="BA169" s="1">
        <f t="shared" si="393"/>
        <v>5.5584846145751973E-2</v>
      </c>
      <c r="BB169" s="1">
        <f t="shared" si="393"/>
        <v>6.6701815374902371E-2</v>
      </c>
      <c r="BC169" s="1">
        <f t="shared" si="393"/>
        <v>7.7818784604052768E-2</v>
      </c>
      <c r="BD169" s="1"/>
      <c r="BE169">
        <f t="shared" ref="BE169" si="398">LN($D169)-LN($D169*(1+BA169/100))</f>
        <v>-5.5569403492405911E-4</v>
      </c>
      <c r="BF169">
        <f t="shared" si="314"/>
        <v>-6.6679579601292005E-4</v>
      </c>
      <c r="BG169">
        <f t="shared" si="314"/>
        <v>-7.7788521487143214E-4</v>
      </c>
    </row>
    <row r="170" spans="1:59" x14ac:dyDescent="0.35">
      <c r="A170" t="str">
        <f>regions!A170</f>
        <v>Timor-Leste</v>
      </c>
      <c r="B170" s="22">
        <f>regions!B170</f>
        <v>1142502</v>
      </c>
      <c r="C170" s="22">
        <f>regions!C170</f>
        <v>732847298.62475431</v>
      </c>
      <c r="D170" s="10">
        <f>regions!D170</f>
        <v>641.4407139985351</v>
      </c>
      <c r="E170" s="1">
        <f>regions!X170</f>
        <v>25.8</v>
      </c>
      <c r="I170" s="7">
        <f t="shared" si="354"/>
        <v>-13.064328179963484</v>
      </c>
      <c r="J170" s="1">
        <f t="shared" si="355"/>
        <v>-12.545163130217373</v>
      </c>
      <c r="K170" s="1">
        <f t="shared" si="381"/>
        <v>-10.256142238025616</v>
      </c>
      <c r="L170" s="1">
        <f t="shared" si="355"/>
        <v>-15.359792516025708</v>
      </c>
      <c r="M170" s="1">
        <f t="shared" si="308"/>
        <v>-14.040072859300199</v>
      </c>
      <c r="N170" s="1">
        <f t="shared" ref="N170" si="399">M170+M$2</f>
        <v>-13.655629968853178</v>
      </c>
      <c r="O170" s="1">
        <f t="shared" si="310"/>
        <v>3.0960644511117228</v>
      </c>
      <c r="P170" s="1">
        <f t="shared" si="386"/>
        <v>-15.305580656882487</v>
      </c>
      <c r="Q170" s="1">
        <f t="shared" si="386"/>
        <v>-12.280235034762672</v>
      </c>
      <c r="R170" s="1">
        <f t="shared" si="386"/>
        <v>-12.238760380384791</v>
      </c>
      <c r="S170" s="1">
        <f>$M170+SUMPRODUCT(regions!BG170:BS170,regions!BG$193:BS$193)</f>
        <v>-5.2541343595002097</v>
      </c>
      <c r="T170" s="1">
        <f>$M170+SUMPRODUCT(regions!BV170:CD170,regions!BV$193:CD$193)</f>
        <v>-13.754822099782011</v>
      </c>
      <c r="U170" s="1">
        <f>$M170+SUMPRODUCT(regions!CQ170:CV170,regions!CQ$193:CV$193)</f>
        <v>-10.319587311018116</v>
      </c>
      <c r="V170" s="1">
        <f>$M170+SUMPRODUCT(regions!CY170:DF170,regions!CY$193:DF$193)</f>
        <v>-13.901435466980399</v>
      </c>
      <c r="W170" s="1">
        <f>$M170+SUMPRODUCT(regions!DI170:DP170,regions!DI$193:DP$193)</f>
        <v>-8.3964354669803996</v>
      </c>
      <c r="X170" s="1">
        <f>$M170+SUMPRODUCT(regions!DR170:DW170,regions!DR$193:DW$193)</f>
        <v>-8.216411266065057</v>
      </c>
      <c r="Y170" s="1">
        <f>$M170+SUMPRODUCT(regions!DZ170:EE170,regions!DZ$193:EE$193)</f>
        <v>-7.7154233330803272</v>
      </c>
      <c r="Z170" s="1">
        <f t="shared" si="324"/>
        <v>-10.560006676855547</v>
      </c>
      <c r="AF170" s="1">
        <f t="shared" si="383"/>
        <v>-0.71007285930019926</v>
      </c>
      <c r="AG170" s="1"/>
      <c r="AH170" s="1">
        <f t="shared" si="311"/>
        <v>6.7775963105155754E-2</v>
      </c>
      <c r="AI170" s="1">
        <f t="shared" si="393"/>
        <v>6.3257565564812018E-2</v>
      </c>
      <c r="AJ170" s="1">
        <f t="shared" si="393"/>
        <v>5.8739168024468297E-2</v>
      </c>
      <c r="AK170" s="1">
        <f t="shared" si="393"/>
        <v>4.9702372943780861E-2</v>
      </c>
      <c r="AL170" s="1">
        <f t="shared" si="393"/>
        <v>4.5183975403437146E-2</v>
      </c>
      <c r="AM170" s="1">
        <f t="shared" si="393"/>
        <v>4.0665577863093431E-2</v>
      </c>
      <c r="AN170" s="1">
        <f t="shared" si="393"/>
        <v>3.614718032274971E-2</v>
      </c>
      <c r="AO170" s="1">
        <f t="shared" si="393"/>
        <v>3.1628782782405995E-2</v>
      </c>
      <c r="AP170" s="1">
        <f t="shared" si="393"/>
        <v>2.7110385242062284E-2</v>
      </c>
      <c r="AQ170" s="1">
        <f t="shared" si="393"/>
        <v>2.2591987701718566E-2</v>
      </c>
      <c r="AR170" s="1">
        <f t="shared" si="393"/>
        <v>1.8073590161374855E-2</v>
      </c>
      <c r="AS170" s="1">
        <f t="shared" si="393"/>
        <v>1.355519262103114E-2</v>
      </c>
      <c r="AT170" s="1">
        <f t="shared" si="393"/>
        <v>9.0367950806874223E-3</v>
      </c>
      <c r="AU170" s="1">
        <f t="shared" si="393"/>
        <v>4.5183975403437068E-3</v>
      </c>
      <c r="AV170" s="1">
        <f t="shared" si="393"/>
        <v>0</v>
      </c>
      <c r="AW170" s="1">
        <f t="shared" si="393"/>
        <v>-4.5183975403437155E-3</v>
      </c>
      <c r="AX170" s="1">
        <f t="shared" si="393"/>
        <v>0</v>
      </c>
      <c r="AY170" s="1">
        <f t="shared" si="393"/>
        <v>-1.3555192621031149E-2</v>
      </c>
      <c r="AZ170" s="1">
        <f t="shared" si="393"/>
        <v>-1.8073590161374862E-2</v>
      </c>
      <c r="BA170" s="1">
        <f t="shared" si="393"/>
        <v>-2.2591987701718576E-2</v>
      </c>
      <c r="BB170" s="1">
        <f t="shared" si="393"/>
        <v>-2.7110385242062295E-2</v>
      </c>
      <c r="BC170" s="1">
        <f t="shared" si="393"/>
        <v>-3.1628782782406009E-2</v>
      </c>
      <c r="BD170" s="1"/>
      <c r="BE170">
        <f t="shared" ref="BE170" si="400">LN($D170)-LN($D170*(1+BA170/100))</f>
        <v>2.2594540075715486E-4</v>
      </c>
      <c r="BF170">
        <f t="shared" si="314"/>
        <v>2.7114060771360471E-4</v>
      </c>
      <c r="BG170">
        <f t="shared" si="314"/>
        <v>3.1633785736850939E-4</v>
      </c>
    </row>
    <row r="171" spans="1:59" x14ac:dyDescent="0.35">
      <c r="A171" t="str">
        <f>regions!A171</f>
        <v>Togo</v>
      </c>
      <c r="B171" s="22">
        <f>regions!B171</f>
        <v>6306014</v>
      </c>
      <c r="C171" s="22">
        <f>regions!C171</f>
        <v>2477349486.2692142</v>
      </c>
      <c r="D171" s="10">
        <f>regions!D171</f>
        <v>392.85505650149429</v>
      </c>
      <c r="E171" s="1">
        <f>regions!X171</f>
        <v>27.1</v>
      </c>
      <c r="I171" s="7">
        <f t="shared" si="354"/>
        <v>-13.926572272738721</v>
      </c>
      <c r="J171" s="1">
        <f t="shared" si="355"/>
        <v>-13.40740722299261</v>
      </c>
      <c r="K171" s="1">
        <f t="shared" si="381"/>
        <v>-11.411706205508333</v>
      </c>
      <c r="L171" s="1">
        <f t="shared" si="355"/>
        <v>-16.515356483508427</v>
      </c>
      <c r="M171" s="1">
        <f t="shared" si="308"/>
        <v>-15.446847949588728</v>
      </c>
      <c r="N171" s="1">
        <f t="shared" ref="N171" si="401">M171+M$2</f>
        <v>-15.062405059141707</v>
      </c>
      <c r="O171" s="1">
        <f t="shared" si="310"/>
        <v>2.4402949795195483</v>
      </c>
      <c r="P171" s="1">
        <f t="shared" si="386"/>
        <v>-16.712355747171017</v>
      </c>
      <c r="Q171" s="1">
        <f t="shared" si="386"/>
        <v>-13.6870101250512</v>
      </c>
      <c r="R171" s="1">
        <f t="shared" si="386"/>
        <v>-13.64553547067332</v>
      </c>
      <c r="S171" s="1">
        <f>$M171+SUMPRODUCT(regions!BG171:BS171,regions!BG$193:BS$193)</f>
        <v>-15.446847949588728</v>
      </c>
      <c r="T171" s="1">
        <f>$M171+SUMPRODUCT(regions!BV171:CD171,regions!BV$193:CD$193)</f>
        <v>-13.801530629973044</v>
      </c>
      <c r="U171" s="1">
        <f>$M171+SUMPRODUCT(regions!CQ171:CV171,regions!CQ$193:CV$193)</f>
        <v>-11.726362401306645</v>
      </c>
      <c r="V171" s="1">
        <f>$M171+SUMPRODUCT(regions!CY171:DF171,regions!CY$193:DF$193)</f>
        <v>-13.345270428763026</v>
      </c>
      <c r="W171" s="1">
        <f>$M171+SUMPRODUCT(regions!DI171:DP171,regions!DI$193:DP$193)</f>
        <v>-9.7461704287630262</v>
      </c>
      <c r="X171" s="1">
        <f>$M171+SUMPRODUCT(regions!DR171:DW171,regions!DR$193:DW$193)</f>
        <v>-9.6231863563535853</v>
      </c>
      <c r="Y171" s="1">
        <f>$M171+SUMPRODUCT(regions!DZ171:EE171,regions!DZ$193:EE$193)</f>
        <v>-9.1221984233688556</v>
      </c>
      <c r="Z171" s="1">
        <f t="shared" si="324"/>
        <v>-11.966781767144075</v>
      </c>
      <c r="AF171" s="1">
        <f t="shared" si="383"/>
        <v>-2.1168479495887276</v>
      </c>
      <c r="AG171" s="1"/>
      <c r="AH171" s="1">
        <f t="shared" si="311"/>
        <v>0.2020516720945314</v>
      </c>
      <c r="AI171" s="1">
        <f t="shared" si="393"/>
        <v>0.18858156062156262</v>
      </c>
      <c r="AJ171" s="1">
        <f t="shared" si="393"/>
        <v>0.17511144914859383</v>
      </c>
      <c r="AK171" s="1">
        <f t="shared" si="393"/>
        <v>0.1481712262026563</v>
      </c>
      <c r="AL171" s="1">
        <f t="shared" si="393"/>
        <v>0.13470111472968754</v>
      </c>
      <c r="AM171" s="1">
        <f t="shared" si="393"/>
        <v>0.12123100325671879</v>
      </c>
      <c r="AN171" s="1">
        <f t="shared" si="393"/>
        <v>0.10776089178375002</v>
      </c>
      <c r="AO171" s="1">
        <f t="shared" si="393"/>
        <v>9.4290780310781266E-2</v>
      </c>
      <c r="AP171" s="1">
        <f t="shared" si="393"/>
        <v>8.0820668837812512E-2</v>
      </c>
      <c r="AQ171" s="1">
        <f t="shared" si="393"/>
        <v>6.7350557364843758E-2</v>
      </c>
      <c r="AR171" s="1">
        <f t="shared" si="393"/>
        <v>5.3880445891875003E-2</v>
      </c>
      <c r="AS171" s="1">
        <f t="shared" si="393"/>
        <v>4.0410334418906249E-2</v>
      </c>
      <c r="AT171" s="1">
        <f t="shared" si="393"/>
        <v>2.6940222945937491E-2</v>
      </c>
      <c r="AU171" s="1">
        <f t="shared" si="393"/>
        <v>1.3470111472968732E-2</v>
      </c>
      <c r="AV171" s="1">
        <f t="shared" si="393"/>
        <v>0</v>
      </c>
      <c r="AW171" s="1">
        <f t="shared" si="393"/>
        <v>-1.3470111472968758E-2</v>
      </c>
      <c r="AX171" s="1">
        <f t="shared" si="393"/>
        <v>0</v>
      </c>
      <c r="AY171" s="1">
        <f t="shared" si="393"/>
        <v>-4.0410334418906284E-2</v>
      </c>
      <c r="AZ171" s="1">
        <f t="shared" si="393"/>
        <v>-5.3880445891875031E-2</v>
      </c>
      <c r="BA171" s="1">
        <f t="shared" si="393"/>
        <v>-6.7350557364843786E-2</v>
      </c>
      <c r="BB171" s="1">
        <f t="shared" si="393"/>
        <v>-8.082066883781254E-2</v>
      </c>
      <c r="BC171" s="1">
        <f t="shared" si="393"/>
        <v>-9.4290780310781308E-2</v>
      </c>
      <c r="BD171" s="1"/>
      <c r="BE171">
        <f t="shared" ref="BE171" si="402">LN($D171)-LN($D171*(1+BA171/100))</f>
        <v>6.7373248041491252E-4</v>
      </c>
      <c r="BF171">
        <f t="shared" si="314"/>
        <v>8.0853346348330746E-4</v>
      </c>
      <c r="BG171">
        <f t="shared" si="314"/>
        <v>9.4335262030664779E-4</v>
      </c>
    </row>
    <row r="172" spans="1:59" x14ac:dyDescent="0.35">
      <c r="A172" t="str">
        <f>regions!A172</f>
        <v>Tonga</v>
      </c>
      <c r="B172" s="22">
        <f>regions!B172</f>
        <v>104098</v>
      </c>
      <c r="C172" s="22">
        <f>regions!C172</f>
        <v>268854242.96830958</v>
      </c>
      <c r="D172" s="10">
        <f>regions!D172</f>
        <v>2582.7032504784875</v>
      </c>
      <c r="E172" s="1">
        <f>regions!X172</f>
        <v>25.2</v>
      </c>
      <c r="I172" s="7">
        <f t="shared" si="354"/>
        <v>-11.408600394707118</v>
      </c>
      <c r="J172" s="1">
        <f t="shared" si="355"/>
        <v>-10.889435344961008</v>
      </c>
      <c r="K172" s="1">
        <f t="shared" si="381"/>
        <v>-5.9205473724823188</v>
      </c>
      <c r="L172" s="1">
        <f t="shared" si="355"/>
        <v>-11.02419765048241</v>
      </c>
      <c r="M172" s="1">
        <f t="shared" si="308"/>
        <v>-11.43066932220643</v>
      </c>
      <c r="N172" s="1">
        <f t="shared" ref="N172" si="403">M172+M$2</f>
        <v>-11.046226431759409</v>
      </c>
      <c r="O172" s="1">
        <f t="shared" si="310"/>
        <v>2.6356584205276152</v>
      </c>
      <c r="P172" s="1">
        <f t="shared" si="386"/>
        <v>-12.696177119788718</v>
      </c>
      <c r="Q172" s="1">
        <f t="shared" si="386"/>
        <v>-9.6708314976689032</v>
      </c>
      <c r="R172" s="1">
        <f t="shared" si="386"/>
        <v>-9.6293568432910224</v>
      </c>
      <c r="S172" s="1">
        <f>$M172+SUMPRODUCT(regions!BG172:BS172,regions!BG$193:BS$193)</f>
        <v>-5.9857189523338707</v>
      </c>
      <c r="T172" s="1">
        <f>$M172+SUMPRODUCT(regions!BV172:CD172,regions!BV$193:CD$193)</f>
        <v>-11.145418562688242</v>
      </c>
      <c r="U172" s="1">
        <f>$M172+SUMPRODUCT(regions!CQ172:CV172,regions!CQ$193:CV$193)</f>
        <v>-7.7101837739243475</v>
      </c>
      <c r="V172" s="1">
        <f>$M172+SUMPRODUCT(regions!CY172:DF172,regions!CY$193:DF$193)</f>
        <v>-11.29203192988663</v>
      </c>
      <c r="W172" s="1">
        <f>$M172+SUMPRODUCT(regions!DI172:DP172,regions!DI$193:DP$193)</f>
        <v>-5.7870319298866315</v>
      </c>
      <c r="X172" s="1">
        <f>$M172+SUMPRODUCT(regions!DR172:DW172,regions!DR$193:DW$193)</f>
        <v>-5.6070077289712881</v>
      </c>
      <c r="Y172" s="1">
        <f>$M172+SUMPRODUCT(regions!DZ172:EE172,regions!DZ$193:EE$193)</f>
        <v>-5.1060197959865583</v>
      </c>
      <c r="Z172" s="1">
        <f t="shared" si="324"/>
        <v>-7.9506031397617782</v>
      </c>
      <c r="AF172" s="1">
        <f t="shared" si="383"/>
        <v>1.8993306777935697</v>
      </c>
      <c r="AG172" s="1"/>
      <c r="AH172" s="1">
        <f t="shared" si="311"/>
        <v>-0.181289799006674</v>
      </c>
      <c r="AI172" s="1">
        <f t="shared" si="393"/>
        <v>-0.16920381240622906</v>
      </c>
      <c r="AJ172" s="1">
        <f t="shared" si="393"/>
        <v>-0.15711782580578409</v>
      </c>
      <c r="AK172" s="1">
        <f t="shared" si="393"/>
        <v>-0.13294585260489422</v>
      </c>
      <c r="AL172" s="1">
        <f t="shared" si="393"/>
        <v>-0.12085986600444928</v>
      </c>
      <c r="AM172" s="1">
        <f t="shared" si="393"/>
        <v>-0.10877387940400435</v>
      </c>
      <c r="AN172" s="1">
        <f t="shared" si="393"/>
        <v>-9.6687892803559425E-2</v>
      </c>
      <c r="AO172" s="1">
        <f t="shared" si="393"/>
        <v>-8.4601906203114488E-2</v>
      </c>
      <c r="AP172" s="1">
        <f t="shared" si="393"/>
        <v>-7.2515919602669565E-2</v>
      </c>
      <c r="AQ172" s="1">
        <f t="shared" si="393"/>
        <v>-6.0429933002224628E-2</v>
      </c>
      <c r="AR172" s="1">
        <f t="shared" si="393"/>
        <v>-4.8343946401779705E-2</v>
      </c>
      <c r="AS172" s="1">
        <f t="shared" si="393"/>
        <v>-3.6257959801334776E-2</v>
      </c>
      <c r="AT172" s="1">
        <f t="shared" si="393"/>
        <v>-2.4171973200889842E-2</v>
      </c>
      <c r="AU172" s="1">
        <f t="shared" si="393"/>
        <v>-1.2085986600444909E-2</v>
      </c>
      <c r="AV172" s="1">
        <f t="shared" si="393"/>
        <v>0</v>
      </c>
      <c r="AW172" s="1">
        <f t="shared" si="393"/>
        <v>1.2085986600444932E-2</v>
      </c>
      <c r="AX172" s="1">
        <f t="shared" si="393"/>
        <v>0</v>
      </c>
      <c r="AY172" s="1">
        <f t="shared" si="393"/>
        <v>3.6257959801334803E-2</v>
      </c>
      <c r="AZ172" s="1">
        <f t="shared" si="393"/>
        <v>4.8343946401779726E-2</v>
      </c>
      <c r="BA172" s="1">
        <f t="shared" si="393"/>
        <v>6.0429933002224656E-2</v>
      </c>
      <c r="BB172" s="1">
        <f t="shared" si="393"/>
        <v>7.2515919602669593E-2</v>
      </c>
      <c r="BC172" s="1">
        <f t="shared" si="393"/>
        <v>8.460190620311453E-2</v>
      </c>
      <c r="BD172" s="1"/>
      <c r="BE172">
        <f t="shared" ref="BE172" si="404">LN($D172)-LN($D172*(1+BA172/100))</f>
        <v>-6.0411681470817769E-4</v>
      </c>
      <c r="BF172">
        <f t="shared" si="314"/>
        <v>-7.2489639513761972E-4</v>
      </c>
      <c r="BG172">
        <f t="shared" si="314"/>
        <v>-8.4566138962216542E-4</v>
      </c>
    </row>
    <row r="173" spans="1:59" x14ac:dyDescent="0.35">
      <c r="A173" t="str">
        <f>regions!A173</f>
        <v>Trinidad and Tobago</v>
      </c>
      <c r="B173" s="22">
        <f>regions!B173</f>
        <v>1328095</v>
      </c>
      <c r="C173" s="22">
        <f>regions!C173</f>
        <v>18988955441.46624</v>
      </c>
      <c r="D173" s="10">
        <f>regions!D173</f>
        <v>14297.889414135465</v>
      </c>
      <c r="E173" s="1">
        <f>regions!X173</f>
        <v>25.7</v>
      </c>
      <c r="I173" s="7">
        <f t="shared" si="354"/>
        <v>-6.1056568101921442</v>
      </c>
      <c r="J173" s="1">
        <f t="shared" si="355"/>
        <v>-5.5864917604460347</v>
      </c>
      <c r="K173" s="1">
        <f t="shared" si="381"/>
        <v>7.0474958070945313</v>
      </c>
      <c r="L173" s="1">
        <f t="shared" si="355"/>
        <v>1.943845529094439</v>
      </c>
      <c r="M173" s="1">
        <f t="shared" si="308"/>
        <v>-8.779601431829791</v>
      </c>
      <c r="N173" s="1">
        <f t="shared" ref="N173" si="405">M173+M$2</f>
        <v>-8.3951585413827701</v>
      </c>
      <c r="O173" s="1">
        <f t="shared" si="310"/>
        <v>2.4934313476237802</v>
      </c>
      <c r="P173" s="1">
        <f t="shared" si="386"/>
        <v>-10.045109229412079</v>
      </c>
      <c r="Q173" s="1">
        <f t="shared" si="386"/>
        <v>-7.0197636072922638</v>
      </c>
      <c r="R173" s="1">
        <f t="shared" si="386"/>
        <v>-6.978288952914383</v>
      </c>
      <c r="S173" s="1">
        <f>$M173+SUMPRODUCT(regions!BG173:BS173,regions!BG$193:BS$193)</f>
        <v>-5.1125025160909505</v>
      </c>
      <c r="T173" s="1">
        <f>$M173+SUMPRODUCT(regions!BV173:CD173,regions!BV$193:CD$193)</f>
        <v>-4.6203803203335072</v>
      </c>
      <c r="U173" s="1">
        <f>$M173+SUMPRODUCT(regions!CQ173:CV173,regions!CQ$193:CV$193)</f>
        <v>-5.0591158835477081</v>
      </c>
      <c r="V173" s="1">
        <f>$M173+SUMPRODUCT(regions!CY173:DF173,regions!CY$193:DF$193)</f>
        <v>-4.6103803203335065</v>
      </c>
      <c r="W173" s="1">
        <f>$M173+SUMPRODUCT(regions!DI173:DP173,regions!DI$193:DP$193)</f>
        <v>-2.5712803203335071</v>
      </c>
      <c r="X173" s="1">
        <f>$M173+SUMPRODUCT(regions!DR173:DW173,regions!DR$193:DW$193)</f>
        <v>-2.9559398385946487</v>
      </c>
      <c r="Y173" s="1">
        <f>$M173+SUMPRODUCT(regions!DZ173:EE173,regions!DZ$193:EE$193)</f>
        <v>-2.4549519056099189</v>
      </c>
      <c r="Z173" s="1">
        <f t="shared" si="324"/>
        <v>-1.5</v>
      </c>
      <c r="AA173" t="str">
        <f>Maddison!A81</f>
        <v>Trinidad and Tobago</v>
      </c>
      <c r="AB173">
        <f>-Maddison!B81</f>
        <v>-1.5</v>
      </c>
      <c r="AC173" s="1">
        <f>N173-AB173</f>
        <v>-6.8951585413827701</v>
      </c>
      <c r="AF173" s="1">
        <f t="shared" si="383"/>
        <v>4.550398568170209</v>
      </c>
      <c r="AG173" s="1"/>
      <c r="AH173" s="1">
        <f t="shared" si="311"/>
        <v>-0.43433239481087021</v>
      </c>
      <c r="AI173" s="1">
        <f t="shared" si="393"/>
        <v>-0.4053769018234788</v>
      </c>
      <c r="AJ173" s="1">
        <f t="shared" si="393"/>
        <v>-0.37642140883608738</v>
      </c>
      <c r="AK173" s="1">
        <f t="shared" si="393"/>
        <v>-0.31851042286130471</v>
      </c>
      <c r="AL173" s="1">
        <f t="shared" si="393"/>
        <v>-0.28955492987391335</v>
      </c>
      <c r="AM173" s="1">
        <f t="shared" si="393"/>
        <v>-0.26059943688652198</v>
      </c>
      <c r="AN173" s="1">
        <f t="shared" si="393"/>
        <v>-0.23164394389913065</v>
      </c>
      <c r="AO173" s="1">
        <f t="shared" si="393"/>
        <v>-0.20268845091173929</v>
      </c>
      <c r="AP173" s="1">
        <f t="shared" si="393"/>
        <v>-0.17373295792434798</v>
      </c>
      <c r="AQ173" s="1">
        <f t="shared" si="393"/>
        <v>-0.14477746493695665</v>
      </c>
      <c r="AR173" s="1">
        <f t="shared" si="393"/>
        <v>-0.11582197194956531</v>
      </c>
      <c r="AS173" s="1">
        <f t="shared" si="393"/>
        <v>-8.6866478962173976E-2</v>
      </c>
      <c r="AT173" s="1">
        <f t="shared" si="393"/>
        <v>-5.7910985974782628E-2</v>
      </c>
      <c r="AU173" s="1">
        <f t="shared" si="393"/>
        <v>-2.8955492987391286E-2</v>
      </c>
      <c r="AV173" s="1">
        <f t="shared" si="393"/>
        <v>0</v>
      </c>
      <c r="AW173" s="1">
        <f t="shared" si="393"/>
        <v>2.8955492987391342E-2</v>
      </c>
      <c r="AX173" s="1">
        <f t="shared" si="393"/>
        <v>0</v>
      </c>
      <c r="AY173" s="1">
        <f t="shared" si="393"/>
        <v>8.6866478962174046E-2</v>
      </c>
      <c r="AZ173" s="1">
        <f t="shared" si="393"/>
        <v>0.11582197194956537</v>
      </c>
      <c r="BA173" s="1">
        <f t="shared" si="393"/>
        <v>0.1447774649369567</v>
      </c>
      <c r="BB173" s="1">
        <f t="shared" si="393"/>
        <v>0.17373295792434804</v>
      </c>
      <c r="BC173" s="1">
        <f t="shared" si="393"/>
        <v>0.2026884509117394</v>
      </c>
      <c r="BD173" s="1"/>
      <c r="BE173">
        <f t="shared" ref="BE173" si="406">LN($D173)-LN($D173*(1+BA173/100))</f>
        <v>-1.4467276340912605E-3</v>
      </c>
      <c r="BF173">
        <f t="shared" si="314"/>
        <v>-1.7358221678716035E-3</v>
      </c>
      <c r="BG173">
        <f t="shared" si="314"/>
        <v>-2.0248331501555583E-3</v>
      </c>
    </row>
    <row r="174" spans="1:59" x14ac:dyDescent="0.35">
      <c r="A174" t="str">
        <f>regions!A174</f>
        <v>Tunisia</v>
      </c>
      <c r="B174" s="22">
        <f>regions!B174</f>
        <v>10549100</v>
      </c>
      <c r="C174" s="22">
        <f>regions!C174</f>
        <v>40735443534.70594</v>
      </c>
      <c r="D174" s="10">
        <f>regions!D174</f>
        <v>3861.5088997834828</v>
      </c>
      <c r="E174" s="1">
        <f>regions!X174</f>
        <v>19.2</v>
      </c>
      <c r="I174" s="7">
        <f t="shared" si="354"/>
        <v>-7.4429264115262246</v>
      </c>
      <c r="J174" s="1">
        <f t="shared" si="355"/>
        <v>-6.923761361780115</v>
      </c>
      <c r="K174" s="1">
        <f t="shared" si="381"/>
        <v>-0.83866532641975855</v>
      </c>
      <c r="L174" s="1">
        <f t="shared" si="355"/>
        <v>-5.9423156044198508</v>
      </c>
      <c r="M174" s="1">
        <f t="shared" si="308"/>
        <v>-8.0640449173810858</v>
      </c>
      <c r="N174" s="1">
        <f t="shared" ref="N174" si="407">M174+M$2</f>
        <v>-7.6796020269340648</v>
      </c>
      <c r="O174" s="1">
        <f t="shared" si="310"/>
        <v>2.6723400575523129</v>
      </c>
      <c r="P174" s="1">
        <f t="shared" si="386"/>
        <v>-9.3295527149633735</v>
      </c>
      <c r="Q174" s="1">
        <f t="shared" si="386"/>
        <v>-6.3042070928435585</v>
      </c>
      <c r="R174" s="1">
        <f t="shared" si="386"/>
        <v>-6.2627324384656777</v>
      </c>
      <c r="S174" s="1">
        <f>$M174+SUMPRODUCT(regions!BG174:BS174,regions!BG$193:BS$193)</f>
        <v>-2.6190945475085261</v>
      </c>
      <c r="T174" s="1">
        <f>$M174+SUMPRODUCT(regions!BV174:CD174,regions!BV$193:CD$193)</f>
        <v>-6.4187275977654021</v>
      </c>
      <c r="U174" s="1">
        <f>$M174+SUMPRODUCT(regions!CQ174:CV174,regions!CQ$193:CV$193)</f>
        <v>-4.3435593690990029</v>
      </c>
      <c r="V174" s="1">
        <f>$M174+SUMPRODUCT(regions!CY174:DF174,regions!CY$193:DF$193)</f>
        <v>-5.9624673965553843</v>
      </c>
      <c r="W174" s="1">
        <f>$M174+SUMPRODUCT(regions!DI174:DP174,regions!DI$193:DP$193)</f>
        <v>-2.3633673965553843</v>
      </c>
      <c r="X174" s="1">
        <f>$M174+SUMPRODUCT(regions!DR174:DW174,regions!DR$193:DW$193)</f>
        <v>-2.2403833241459434</v>
      </c>
      <c r="Y174" s="1">
        <f>$M174+SUMPRODUCT(regions!DZ174:EE174,regions!DZ$193:EE$193)</f>
        <v>-1.7393953911612137</v>
      </c>
      <c r="Z174" s="1">
        <f t="shared" si="324"/>
        <v>-0.6</v>
      </c>
      <c r="AA174" t="str">
        <f>Maddison!A82</f>
        <v>Tunisia</v>
      </c>
      <c r="AB174">
        <f>-Maddison!B82</f>
        <v>-0.6</v>
      </c>
      <c r="AC174" s="1">
        <f>N174-AB174</f>
        <v>-7.0796020269340652</v>
      </c>
      <c r="AF174" s="1">
        <f t="shared" si="383"/>
        <v>5.2659550826189143</v>
      </c>
      <c r="AG174" s="1"/>
      <c r="AH174" s="1">
        <f t="shared" si="311"/>
        <v>-0.50263176900568907</v>
      </c>
      <c r="AI174" s="1">
        <f t="shared" si="393"/>
        <v>-0.46912298440530975</v>
      </c>
      <c r="AJ174" s="1">
        <f t="shared" si="393"/>
        <v>-0.43561419980493038</v>
      </c>
      <c r="AK174" s="1">
        <f t="shared" si="393"/>
        <v>-0.36859663060417186</v>
      </c>
      <c r="AL174" s="1">
        <f t="shared" si="393"/>
        <v>-0.3350878460037926</v>
      </c>
      <c r="AM174" s="1">
        <f t="shared" si="393"/>
        <v>-0.30157906140341328</v>
      </c>
      <c r="AN174" s="1">
        <f t="shared" si="393"/>
        <v>-0.26807027680303402</v>
      </c>
      <c r="AO174" s="1">
        <f t="shared" si="393"/>
        <v>-0.23456149220265476</v>
      </c>
      <c r="AP174" s="1">
        <f t="shared" si="393"/>
        <v>-0.20105270760227553</v>
      </c>
      <c r="AQ174" s="1">
        <f t="shared" si="393"/>
        <v>-0.16754392300189624</v>
      </c>
      <c r="AR174" s="1">
        <f t="shared" si="393"/>
        <v>-0.13403513840151701</v>
      </c>
      <c r="AS174" s="1">
        <f t="shared" si="393"/>
        <v>-0.10052635380113774</v>
      </c>
      <c r="AT174" s="1">
        <f t="shared" si="393"/>
        <v>-6.7017569200758478E-2</v>
      </c>
      <c r="AU174" s="1">
        <f t="shared" si="393"/>
        <v>-3.3508784600379204E-2</v>
      </c>
      <c r="AV174" s="1">
        <f t="shared" si="393"/>
        <v>0</v>
      </c>
      <c r="AW174" s="1">
        <f t="shared" si="393"/>
        <v>3.3508784600379267E-2</v>
      </c>
      <c r="AX174" s="1">
        <f t="shared" si="393"/>
        <v>0</v>
      </c>
      <c r="AY174" s="1">
        <f t="shared" si="393"/>
        <v>0.10052635380113782</v>
      </c>
      <c r="AZ174" s="1">
        <f t="shared" si="393"/>
        <v>0.13403513840151707</v>
      </c>
      <c r="BA174" s="1">
        <f t="shared" si="393"/>
        <v>0.16754392300189633</v>
      </c>
      <c r="BB174" s="1">
        <f t="shared" si="393"/>
        <v>0.20105270760227559</v>
      </c>
      <c r="BC174" s="1">
        <f t="shared" si="393"/>
        <v>0.23456149220265488</v>
      </c>
      <c r="BD174" s="1"/>
      <c r="BE174">
        <f t="shared" ref="BE174" si="408">LN($D174)-LN($D174*(1+BA174/100))</f>
        <v>-1.6740372474508547E-3</v>
      </c>
      <c r="BF174">
        <f t="shared" si="314"/>
        <v>-2.0085086713788058E-3</v>
      </c>
      <c r="BG174">
        <f t="shared" si="314"/>
        <v>-2.3428682615787011E-3</v>
      </c>
    </row>
    <row r="175" spans="1:59" x14ac:dyDescent="0.35">
      <c r="A175" t="str">
        <f>regions!A175</f>
        <v>Turkey</v>
      </c>
      <c r="B175" s="22">
        <f>regions!B175</f>
        <v>72137546</v>
      </c>
      <c r="C175" s="22">
        <f>regions!C175</f>
        <v>565091528615.37659</v>
      </c>
      <c r="D175" s="10">
        <f>regions!D175</f>
        <v>7833.5285846205052</v>
      </c>
      <c r="E175" s="1">
        <f>regions!X175</f>
        <v>11.1</v>
      </c>
      <c r="I175" s="7">
        <f t="shared" si="354"/>
        <v>-0.98173739504110014</v>
      </c>
      <c r="J175" s="1">
        <f t="shared" si="355"/>
        <v>-0.46257234529499036</v>
      </c>
      <c r="K175" s="1">
        <f t="shared" si="381"/>
        <v>8.6283058184396992</v>
      </c>
      <c r="L175" s="1">
        <f t="shared" si="355"/>
        <v>3.5246555404396069</v>
      </c>
      <c r="M175" s="1">
        <f t="shared" si="308"/>
        <v>-3.2429490987417058</v>
      </c>
      <c r="N175" s="1">
        <f t="shared" ref="N175" si="409">M175+M$2</f>
        <v>-2.8585062082946848</v>
      </c>
      <c r="O175" s="1">
        <f t="shared" si="310"/>
        <v>2.3138560642900536</v>
      </c>
      <c r="P175" s="1">
        <f t="shared" si="386"/>
        <v>-4.5084568963239935</v>
      </c>
      <c r="Q175" s="1">
        <f t="shared" si="386"/>
        <v>-1.4831112742041779</v>
      </c>
      <c r="R175" s="1">
        <f t="shared" si="386"/>
        <v>-1.441636619826298</v>
      </c>
      <c r="S175" s="1">
        <f>$M175+SUMPRODUCT(regions!BG175:BS175,regions!BG$193:BS$193)</f>
        <v>2.2020012711308539</v>
      </c>
      <c r="T175" s="1">
        <f>$M175+SUMPRODUCT(regions!BV175:CD175,regions!BV$193:CD$193)</f>
        <v>-0.75596960845815353</v>
      </c>
      <c r="U175" s="1">
        <f>$M175+SUMPRODUCT(regions!CQ175:CV175,regions!CQ$193:CV$193)</f>
        <v>0.47753644954037711</v>
      </c>
      <c r="V175" s="1">
        <f>$M175+SUMPRODUCT(regions!CY175:DF175,regions!CY$193:DF$193)</f>
        <v>-1.1413715779160043</v>
      </c>
      <c r="W175" s="1">
        <f>$M175+SUMPRODUCT(regions!DI175:DP175,regions!DI$193:DP$193)</f>
        <v>2.4577284220839957</v>
      </c>
      <c r="X175" s="1">
        <f>$M175+SUMPRODUCT(regions!DR175:DW175,regions!DR$193:DW$193)</f>
        <v>2.5807124944934365</v>
      </c>
      <c r="Y175" s="1">
        <f>$M175+SUMPRODUCT(regions!DZ175:EE175,regions!DZ$193:EE$193)</f>
        <v>3.0817004274781663</v>
      </c>
      <c r="Z175" s="1">
        <f t="shared" si="324"/>
        <v>0.2</v>
      </c>
      <c r="AA175" t="str">
        <f>Maddison!A83</f>
        <v>Turkey</v>
      </c>
      <c r="AB175">
        <f>-Maddison!B83</f>
        <v>0.2</v>
      </c>
      <c r="AC175" s="1">
        <f>N175-AB175</f>
        <v>-3.058506208294685</v>
      </c>
      <c r="AF175" s="1">
        <f t="shared" si="383"/>
        <v>10.087050901258294</v>
      </c>
      <c r="AG175" s="1"/>
      <c r="AH175" s="1">
        <f t="shared" si="311"/>
        <v>-0.96280202907245283</v>
      </c>
      <c r="AI175" s="1">
        <f t="shared" si="393"/>
        <v>-0.89861522713428921</v>
      </c>
      <c r="AJ175" s="1">
        <f t="shared" si="393"/>
        <v>-0.83442842519612559</v>
      </c>
      <c r="AK175" s="1">
        <f t="shared" si="393"/>
        <v>-0.70605482131979846</v>
      </c>
      <c r="AL175" s="1">
        <f t="shared" si="393"/>
        <v>-0.64186801938163496</v>
      </c>
      <c r="AM175" s="1">
        <f t="shared" si="393"/>
        <v>-0.57768121744347145</v>
      </c>
      <c r="AN175" s="1">
        <f t="shared" si="393"/>
        <v>-0.51349441550530794</v>
      </c>
      <c r="AO175" s="1">
        <f t="shared" si="393"/>
        <v>-0.44930761356714438</v>
      </c>
      <c r="AP175" s="1">
        <f t="shared" si="393"/>
        <v>-0.38512081162898093</v>
      </c>
      <c r="AQ175" s="1">
        <f t="shared" si="393"/>
        <v>-0.32093400969081742</v>
      </c>
      <c r="AR175" s="1">
        <f t="shared" si="393"/>
        <v>-0.25674720775265392</v>
      </c>
      <c r="AS175" s="1">
        <f t="shared" si="393"/>
        <v>-0.19256040581449044</v>
      </c>
      <c r="AT175" s="1">
        <f t="shared" si="393"/>
        <v>-0.1283736038763269</v>
      </c>
      <c r="AU175" s="1">
        <f t="shared" si="393"/>
        <v>-6.4186801938163396E-2</v>
      </c>
      <c r="AV175" s="1">
        <f t="shared" si="393"/>
        <v>0</v>
      </c>
      <c r="AW175" s="1">
        <f t="shared" si="393"/>
        <v>6.4186801938163521E-2</v>
      </c>
      <c r="AX175" s="1">
        <f t="shared" si="393"/>
        <v>0</v>
      </c>
      <c r="AY175" s="1">
        <f t="shared" si="393"/>
        <v>0.19256040581449058</v>
      </c>
      <c r="AZ175" s="1">
        <f t="shared" si="393"/>
        <v>0.25674720775265408</v>
      </c>
      <c r="BA175" s="1">
        <f t="shared" si="393"/>
        <v>0.32093400969081753</v>
      </c>
      <c r="BB175" s="1">
        <f t="shared" si="393"/>
        <v>0.3851208116289811</v>
      </c>
      <c r="BC175" s="1">
        <f t="shared" si="393"/>
        <v>0.4493076135671446</v>
      </c>
      <c r="BD175" s="1"/>
      <c r="BE175">
        <f t="shared" ref="BE175" si="410">LN($D175)-LN($D175*(1+BA175/100))</f>
        <v>-3.2042011571142837E-3</v>
      </c>
      <c r="BF175">
        <f t="shared" si="314"/>
        <v>-3.8438111996068614E-3</v>
      </c>
      <c r="BG175">
        <f t="shared" si="314"/>
        <v>-4.4830124025772022E-3</v>
      </c>
    </row>
    <row r="176" spans="1:59" x14ac:dyDescent="0.35">
      <c r="A176" t="str">
        <f>regions!A176</f>
        <v>Turkmenistan</v>
      </c>
      <c r="B176" s="22">
        <f>regions!B176</f>
        <v>5041995</v>
      </c>
      <c r="C176" s="22">
        <f>regions!C176</f>
        <v>13272686025.408352</v>
      </c>
      <c r="D176" s="10">
        <f>regions!D176</f>
        <v>2632.4274469546981</v>
      </c>
      <c r="E176" s="1">
        <f>regions!X176</f>
        <v>15.1</v>
      </c>
      <c r="I176" s="7">
        <f t="shared" si="354"/>
        <v>-6.0777798940118393</v>
      </c>
      <c r="J176" s="1">
        <f t="shared" si="355"/>
        <v>-5.5586148442657297</v>
      </c>
      <c r="K176" s="1">
        <f t="shared" si="381"/>
        <v>-1.2310831427311788</v>
      </c>
      <c r="L176" s="1">
        <f t="shared" si="355"/>
        <v>-6.3347334207312711</v>
      </c>
      <c r="M176" s="1">
        <f t="shared" si="308"/>
        <v>-6.8691012834094867</v>
      </c>
      <c r="N176" s="1">
        <f t="shared" ref="N176" si="411">M176+M$2</f>
        <v>-6.4846583929624657</v>
      </c>
      <c r="O176" s="1">
        <f t="shared" si="310"/>
        <v>2.5942528453213356</v>
      </c>
      <c r="P176" s="1">
        <f t="shared" si="386"/>
        <v>-8.1346090809917744</v>
      </c>
      <c r="Q176" s="1">
        <f t="shared" si="386"/>
        <v>-5.1092634588719585</v>
      </c>
      <c r="R176" s="1">
        <f t="shared" si="386"/>
        <v>-5.0677888044940786</v>
      </c>
      <c r="S176" s="1">
        <f>$M176+SUMPRODUCT(regions!BG176:BS176,regions!BG$193:BS$193)</f>
        <v>-1.424150913536927</v>
      </c>
      <c r="T176" s="1">
        <f>$M176+SUMPRODUCT(regions!BV176:CD176,regions!BV$193:CD$193)</f>
        <v>-6.6998551392569805</v>
      </c>
      <c r="U176" s="1">
        <f>$M176+SUMPRODUCT(regions!CQ176:CV176,regions!CQ$193:CV$193)</f>
        <v>-9.4519978971571419</v>
      </c>
      <c r="V176" s="1">
        <f>$M176+SUMPRODUCT(regions!CY176:DF176,regions!CY$193:DF$193)</f>
        <v>-6.9998551392569803</v>
      </c>
      <c r="W176" s="1">
        <f>$M176+SUMPRODUCT(regions!DI176:DP176,regions!DI$193:DP$193)</f>
        <v>-6.56935513925698</v>
      </c>
      <c r="X176" s="1">
        <f>$M176+SUMPRODUCT(regions!DR176:DW176,regions!DR$193:DW$193)</f>
        <v>-9.2949978971571419</v>
      </c>
      <c r="Y176" s="1">
        <f>$M176+SUMPRODUCT(regions!DZ176:EE176,regions!DZ$193:EE$193)</f>
        <v>-9.3949978971571433</v>
      </c>
      <c r="Z176" s="1">
        <f t="shared" si="324"/>
        <v>-3.3890351009648341</v>
      </c>
      <c r="AF176" s="1">
        <f t="shared" si="383"/>
        <v>6.4608987165905134</v>
      </c>
      <c r="AG176" s="1"/>
      <c r="AH176" s="1">
        <f t="shared" si="311"/>
        <v>-0.61668831206046337</v>
      </c>
      <c r="AI176" s="1">
        <f t="shared" si="393"/>
        <v>-0.57557575792309901</v>
      </c>
      <c r="AJ176" s="1">
        <f t="shared" si="393"/>
        <v>-0.53446320378573475</v>
      </c>
      <c r="AK176" s="1">
        <f t="shared" si="393"/>
        <v>-0.45223809551100624</v>
      </c>
      <c r="AL176" s="1">
        <f t="shared" si="393"/>
        <v>-0.41112554137364204</v>
      </c>
      <c r="AM176" s="1">
        <f t="shared" si="393"/>
        <v>-0.37001298723627785</v>
      </c>
      <c r="AN176" s="1">
        <f t="shared" si="393"/>
        <v>-0.32890043309891359</v>
      </c>
      <c r="AO176" s="1">
        <f t="shared" si="393"/>
        <v>-0.28778787896154939</v>
      </c>
      <c r="AP176" s="1">
        <f t="shared" si="393"/>
        <v>-0.24667532482418519</v>
      </c>
      <c r="AQ176" s="1">
        <f t="shared" si="393"/>
        <v>-0.20556277068682097</v>
      </c>
      <c r="AR176" s="1">
        <f t="shared" si="393"/>
        <v>-0.16445021654945677</v>
      </c>
      <c r="AS176" s="1">
        <f t="shared" si="393"/>
        <v>-0.12333766241209258</v>
      </c>
      <c r="AT176" s="1">
        <f t="shared" si="393"/>
        <v>-8.2225108274728356E-2</v>
      </c>
      <c r="AU176" s="1">
        <f t="shared" si="393"/>
        <v>-4.1112554137364136E-2</v>
      </c>
      <c r="AV176" s="1">
        <f t="shared" si="393"/>
        <v>0</v>
      </c>
      <c r="AW176" s="1">
        <f t="shared" si="393"/>
        <v>4.111255413736422E-2</v>
      </c>
      <c r="AX176" s="1">
        <f t="shared" si="393"/>
        <v>0</v>
      </c>
      <c r="AY176" s="1">
        <f t="shared" si="393"/>
        <v>0.12333766241209267</v>
      </c>
      <c r="AZ176" s="1">
        <f t="shared" si="393"/>
        <v>0.16445021654945688</v>
      </c>
      <c r="BA176" s="1">
        <f t="shared" si="393"/>
        <v>0.20556277068682108</v>
      </c>
      <c r="BB176" s="1">
        <f t="shared" si="393"/>
        <v>0.24667532482418528</v>
      </c>
      <c r="BC176" s="1">
        <f t="shared" si="393"/>
        <v>0.2877878789615495</v>
      </c>
      <c r="BD176" s="1"/>
      <c r="BE176">
        <f t="shared" ref="BE176" si="412">LN($D176)-LN($D176*(1+BA176/100))</f>
        <v>-2.0535177952005768E-3</v>
      </c>
      <c r="BF176">
        <f t="shared" si="314"/>
        <v>-2.4637158065017317E-3</v>
      </c>
      <c r="BG176">
        <f t="shared" si="314"/>
        <v>-2.8737456243845827E-3</v>
      </c>
    </row>
    <row r="177" spans="1:59" x14ac:dyDescent="0.35">
      <c r="A177" t="str">
        <f>regions!A177</f>
        <v>Tuvalu</v>
      </c>
      <c r="B177" s="22">
        <f>regions!B177</f>
        <v>9827</v>
      </c>
      <c r="C177" s="22">
        <f>regions!C177</f>
        <v>23813390.625238709</v>
      </c>
      <c r="D177" s="10">
        <f>regions!D177</f>
        <v>2423.2614862357495</v>
      </c>
      <c r="E177" s="1">
        <f>regions!X177</f>
        <v>28</v>
      </c>
      <c r="I177" s="7">
        <f t="shared" si="354"/>
        <v>-12.983014531345502</v>
      </c>
      <c r="J177" s="1">
        <f t="shared" si="355"/>
        <v>-12.463849481599391</v>
      </c>
      <c r="K177" s="1">
        <f t="shared" si="381"/>
        <v>-7.5050170688564686</v>
      </c>
      <c r="L177" s="1">
        <f t="shared" si="355"/>
        <v>-12.60866734685656</v>
      </c>
      <c r="M177" s="1">
        <f t="shared" si="308"/>
        <v>-12.79344651330838</v>
      </c>
      <c r="N177" s="1">
        <f t="shared" ref="N177" si="413">M177+M$2</f>
        <v>-12.409003622861359</v>
      </c>
      <c r="O177" s="1">
        <f t="shared" si="310"/>
        <v>3.096064451111721</v>
      </c>
      <c r="P177" s="1">
        <f t="shared" si="386"/>
        <v>-14.058954310890668</v>
      </c>
      <c r="Q177" s="1">
        <f t="shared" si="386"/>
        <v>-11.033608688770853</v>
      </c>
      <c r="R177" s="1">
        <f t="shared" si="386"/>
        <v>-10.992134034392972</v>
      </c>
      <c r="S177" s="1">
        <f>$M177+SUMPRODUCT(regions!BG177:BS177,regions!BG$193:BS$193)</f>
        <v>-4.0075080135083905</v>
      </c>
      <c r="T177" s="1">
        <f>$M177+SUMPRODUCT(regions!BV177:CD177,regions!BV$193:CD$193)</f>
        <v>-12.508195753790192</v>
      </c>
      <c r="U177" s="1">
        <f>$M177+SUMPRODUCT(regions!CQ177:CV177,regions!CQ$193:CV$193)</f>
        <v>-9.0729609650262972</v>
      </c>
      <c r="V177" s="1">
        <f>$M177+SUMPRODUCT(regions!CY177:DF177,regions!CY$193:DF$193)</f>
        <v>-12.654809120988579</v>
      </c>
      <c r="W177" s="1">
        <f>$M177+SUMPRODUCT(regions!DI177:DP177,regions!DI$193:DP$193)</f>
        <v>-7.1498091209885812</v>
      </c>
      <c r="X177" s="1">
        <f>$M177+SUMPRODUCT(regions!DR177:DW177,regions!DR$193:DW$193)</f>
        <v>-6.9697849200732378</v>
      </c>
      <c r="Y177" s="1">
        <f>$M177+SUMPRODUCT(regions!DZ177:EE177,regions!DZ$193:EE$193)</f>
        <v>-6.468796987088508</v>
      </c>
      <c r="Z177" s="1">
        <f t="shared" si="324"/>
        <v>-9.313380330863728</v>
      </c>
      <c r="AF177" s="1">
        <f t="shared" si="383"/>
        <v>0.53655348669161995</v>
      </c>
      <c r="AG177" s="1"/>
      <c r="AH177" s="1">
        <f t="shared" si="311"/>
        <v>-5.1213659051541932E-2</v>
      </c>
      <c r="AI177" s="1">
        <f t="shared" si="393"/>
        <v>-4.779941511477246E-2</v>
      </c>
      <c r="AJ177" s="1">
        <f t="shared" si="393"/>
        <v>-4.4385171178002988E-2</v>
      </c>
      <c r="AK177" s="1">
        <f t="shared" si="393"/>
        <v>-3.7556683304464065E-2</v>
      </c>
      <c r="AL177" s="1">
        <f t="shared" si="393"/>
        <v>-3.4142439367694608E-2</v>
      </c>
      <c r="AM177" s="1">
        <f t="shared" si="393"/>
        <v>-3.0728195430925143E-2</v>
      </c>
      <c r="AN177" s="1">
        <f t="shared" si="393"/>
        <v>-2.7313951494155681E-2</v>
      </c>
      <c r="AO177" s="1">
        <f t="shared" si="393"/>
        <v>-2.389970755738622E-2</v>
      </c>
      <c r="AP177" s="1">
        <f t="shared" si="393"/>
        <v>-2.0485463620616762E-2</v>
      </c>
      <c r="AQ177" s="1">
        <f t="shared" si="393"/>
        <v>-1.70712196838473E-2</v>
      </c>
      <c r="AR177" s="1">
        <f t="shared" si="393"/>
        <v>-1.3656975747077839E-2</v>
      </c>
      <c r="AS177" s="1">
        <f t="shared" si="393"/>
        <v>-1.0242731810308379E-2</v>
      </c>
      <c r="AT177" s="1">
        <f t="shared" si="393"/>
        <v>-6.8284878735389168E-3</v>
      </c>
      <c r="AU177" s="1">
        <f t="shared" si="393"/>
        <v>-3.4142439367694549E-3</v>
      </c>
      <c r="AV177" s="1">
        <f t="shared" si="393"/>
        <v>0</v>
      </c>
      <c r="AW177" s="1">
        <f t="shared" si="393"/>
        <v>3.4142439367694614E-3</v>
      </c>
      <c r="AX177" s="1">
        <f t="shared" si="393"/>
        <v>0</v>
      </c>
      <c r="AY177" s="1">
        <f t="shared" si="393"/>
        <v>1.0242731810308386E-2</v>
      </c>
      <c r="AZ177" s="1">
        <f t="shared" si="393"/>
        <v>1.3656975747077846E-2</v>
      </c>
      <c r="BA177" s="1">
        <f t="shared" si="393"/>
        <v>1.7071219683847307E-2</v>
      </c>
      <c r="BB177" s="1">
        <f t="shared" si="393"/>
        <v>2.0485463620616769E-2</v>
      </c>
      <c r="BC177" s="1">
        <f t="shared" si="393"/>
        <v>2.389970755738623E-2</v>
      </c>
      <c r="BD177" s="1"/>
      <c r="BE177">
        <f t="shared" ref="BE177" si="414">LN($D177)-LN($D177*(1+BA177/100))</f>
        <v>-1.7069762716914738E-4</v>
      </c>
      <c r="BF177">
        <f t="shared" si="314"/>
        <v>-2.0483365636003725E-4</v>
      </c>
      <c r="BG177">
        <f t="shared" si="314"/>
        <v>-2.3896852032212479E-4</v>
      </c>
    </row>
    <row r="178" spans="1:59" x14ac:dyDescent="0.35">
      <c r="A178" t="str">
        <f>regions!A178</f>
        <v>Uganda</v>
      </c>
      <c r="B178" s="22">
        <f>regions!B178</f>
        <v>33987213</v>
      </c>
      <c r="C178" s="22">
        <f>regions!C178</f>
        <v>13362034649.013441</v>
      </c>
      <c r="D178" s="10">
        <f>regions!D178</f>
        <v>393.14887775627386</v>
      </c>
      <c r="E178" s="1">
        <f>regions!X178</f>
        <v>22.8</v>
      </c>
      <c r="I178" s="7">
        <f t="shared" si="354"/>
        <v>-11.67075858861976</v>
      </c>
      <c r="J178" s="1">
        <f t="shared" si="355"/>
        <v>-11.15159353887365</v>
      </c>
      <c r="K178" s="1">
        <f t="shared" si="381"/>
        <v>-9.4554877280394685</v>
      </c>
      <c r="L178" s="1">
        <f t="shared" si="355"/>
        <v>-14.559138006039561</v>
      </c>
      <c r="M178" s="1">
        <f t="shared" si="308"/>
        <v>-13.517179369022774</v>
      </c>
      <c r="N178" s="1">
        <f t="shared" ref="N178" si="415">M178+M$2</f>
        <v>-13.132736478575753</v>
      </c>
      <c r="O178" s="1">
        <f t="shared" si="310"/>
        <v>2.9171998047435035</v>
      </c>
      <c r="P178" s="1">
        <f t="shared" si="386"/>
        <v>-14.782687166605061</v>
      </c>
      <c r="Q178" s="1">
        <f t="shared" si="386"/>
        <v>-11.757341544485246</v>
      </c>
      <c r="R178" s="1">
        <f t="shared" si="386"/>
        <v>-11.715866890107366</v>
      </c>
      <c r="S178" s="1">
        <f>$M178+SUMPRODUCT(regions!BG178:BS178,regions!BG$193:BS$193)</f>
        <v>-4.2620510625948249</v>
      </c>
      <c r="T178" s="1">
        <f>$M178+SUMPRODUCT(regions!BV178:CD178,regions!BV$193:CD$193)</f>
        <v>-11.87186204940709</v>
      </c>
      <c r="U178" s="1">
        <f>$M178+SUMPRODUCT(regions!CQ178:CV178,regions!CQ$193:CV$193)</f>
        <v>-9.7966938207406908</v>
      </c>
      <c r="V178" s="1">
        <f>$M178+SUMPRODUCT(regions!CY178:DF178,regions!CY$193:DF$193)</f>
        <v>-11.415601848197072</v>
      </c>
      <c r="W178" s="1">
        <f>$M178+SUMPRODUCT(regions!DI178:DP178,regions!DI$193:DP$193)</f>
        <v>-7.8165018481970723</v>
      </c>
      <c r="X178" s="1">
        <f>$M178+SUMPRODUCT(regions!DR178:DW178,regions!DR$193:DW$193)</f>
        <v>-7.6935177757876314</v>
      </c>
      <c r="Y178" s="1">
        <f>$M178+SUMPRODUCT(regions!DZ178:EE178,regions!DZ$193:EE$193)</f>
        <v>-7.1925298428029016</v>
      </c>
      <c r="Z178" s="1">
        <f t="shared" si="324"/>
        <v>-10.037113186578122</v>
      </c>
      <c r="AF178" s="1">
        <f t="shared" si="383"/>
        <v>-0.18717936902277366</v>
      </c>
      <c r="AG178" s="1"/>
      <c r="AH178" s="1">
        <f t="shared" si="311"/>
        <v>1.7866141259696336E-2</v>
      </c>
      <c r="AI178" s="1">
        <f t="shared" si="393"/>
        <v>1.6675065175716576E-2</v>
      </c>
      <c r="AJ178" s="1">
        <f t="shared" si="393"/>
        <v>1.5483989091736818E-2</v>
      </c>
      <c r="AK178" s="1">
        <f t="shared" si="393"/>
        <v>1.3101836923777307E-2</v>
      </c>
      <c r="AL178" s="1">
        <f t="shared" si="393"/>
        <v>1.191076083979755E-2</v>
      </c>
      <c r="AM178" s="1">
        <f t="shared" si="393"/>
        <v>1.0719684755817796E-2</v>
      </c>
      <c r="AN178" s="1">
        <f t="shared" si="393"/>
        <v>9.5286086718380392E-3</v>
      </c>
      <c r="AO178" s="1">
        <f t="shared" si="393"/>
        <v>8.3375325878582845E-3</v>
      </c>
      <c r="AP178" s="1">
        <f t="shared" si="393"/>
        <v>7.1464565038785299E-3</v>
      </c>
      <c r="AQ178" s="1">
        <f t="shared" si="393"/>
        <v>5.9553804198987743E-3</v>
      </c>
      <c r="AR178" s="1">
        <f t="shared" si="393"/>
        <v>4.7643043359190196E-3</v>
      </c>
      <c r="AS178" s="1">
        <f t="shared" si="393"/>
        <v>3.5732282519392641E-3</v>
      </c>
      <c r="AT178" s="1">
        <f t="shared" si="393"/>
        <v>2.3821521679595085E-3</v>
      </c>
      <c r="AU178" s="1">
        <f t="shared" si="393"/>
        <v>1.1910760839797532E-3</v>
      </c>
      <c r="AV178" s="1">
        <f t="shared" si="393"/>
        <v>0</v>
      </c>
      <c r="AW178" s="1">
        <f t="shared" si="393"/>
        <v>-1.1910760839797556E-3</v>
      </c>
      <c r="AX178" s="1">
        <f t="shared" si="393"/>
        <v>0</v>
      </c>
      <c r="AY178" s="1">
        <f t="shared" si="393"/>
        <v>-3.5732282519392667E-3</v>
      </c>
      <c r="AZ178" s="1">
        <f t="shared" si="393"/>
        <v>-4.7643043359190222E-3</v>
      </c>
      <c r="BA178" s="1">
        <f t="shared" si="393"/>
        <v>-5.9553804198987769E-3</v>
      </c>
      <c r="BB178" s="1">
        <f t="shared" si="393"/>
        <v>-7.1464565038785325E-3</v>
      </c>
      <c r="BC178" s="1">
        <f t="shared" si="393"/>
        <v>-8.337532587858288E-3</v>
      </c>
      <c r="BD178" s="1"/>
      <c r="BE178">
        <f t="shared" ref="BE178" si="416">LN($D178)-LN($D178*(1+BA178/100))</f>
        <v>5.9555577597514286E-5</v>
      </c>
      <c r="BF178">
        <f t="shared" si="314"/>
        <v>7.1467118752721603E-5</v>
      </c>
      <c r="BG178">
        <f t="shared" si="314"/>
        <v>8.3378801794431467E-5</v>
      </c>
    </row>
    <row r="179" spans="1:59" x14ac:dyDescent="0.35">
      <c r="A179" t="str">
        <f>regions!A179</f>
        <v>Ukraine</v>
      </c>
      <c r="B179" s="22">
        <f>regions!B179</f>
        <v>45870700</v>
      </c>
      <c r="C179" s="22">
        <f>regions!C179</f>
        <v>90577255847.674149</v>
      </c>
      <c r="D179" s="10">
        <f>regions!D179</f>
        <v>1974.6211818802449</v>
      </c>
      <c r="E179" s="1">
        <f>regions!X179</f>
        <v>8.3000000000000007</v>
      </c>
      <c r="I179" s="7">
        <f t="shared" si="354"/>
        <v>-2.9508165934503769</v>
      </c>
      <c r="J179" s="1">
        <f t="shared" si="355"/>
        <v>-2.4316515437042669</v>
      </c>
      <c r="K179" s="1">
        <f t="shared" si="381"/>
        <v>0.55732771279101989</v>
      </c>
      <c r="L179" s="1">
        <f t="shared" si="355"/>
        <v>-4.5463225652090724</v>
      </c>
      <c r="M179" s="1">
        <f t="shared" si="308"/>
        <v>-4.3026293804553131</v>
      </c>
      <c r="N179" s="1">
        <f t="shared" ref="N179" si="417">M179+M$2</f>
        <v>-3.9181864900082921</v>
      </c>
      <c r="O179" s="1">
        <f t="shared" si="310"/>
        <v>2.0112086293259952</v>
      </c>
      <c r="P179" s="1">
        <f t="shared" si="386"/>
        <v>-5.5681371780376008</v>
      </c>
      <c r="Q179" s="1">
        <f t="shared" si="386"/>
        <v>-2.5427915559177849</v>
      </c>
      <c r="R179" s="1">
        <f t="shared" si="386"/>
        <v>-2.501316901539905</v>
      </c>
      <c r="S179" s="1">
        <f>$M179+SUMPRODUCT(regions!BG179:BS179,regions!BG$193:BS$193)</f>
        <v>-3.1494122077652023</v>
      </c>
      <c r="T179" s="1">
        <f>$M179+SUMPRODUCT(regions!BV179:CD179,regions!BV$193:CD$193)</f>
        <v>-4.1333832363028069</v>
      </c>
      <c r="U179" s="1">
        <f>$M179+SUMPRODUCT(regions!CQ179:CV179,regions!CQ$193:CV$193)</f>
        <v>-6.8855259942029692</v>
      </c>
      <c r="V179" s="1">
        <f>$M179+SUMPRODUCT(regions!CY179:DF179,regions!CY$193:DF$193)</f>
        <v>-4.4333832363028067</v>
      </c>
      <c r="W179" s="1">
        <f>$M179+SUMPRODUCT(regions!DI179:DP179,regions!DI$193:DP$193)</f>
        <v>-4.0028832363028064</v>
      </c>
      <c r="X179" s="1">
        <f>$M179+SUMPRODUCT(regions!DR179:DW179,regions!DR$193:DW$193)</f>
        <v>-6.7285259942029692</v>
      </c>
      <c r="Y179" s="1">
        <f>$M179+SUMPRODUCT(regions!DZ179:EE179,regions!DZ$193:EE$193)</f>
        <v>-6.8285259942029697</v>
      </c>
      <c r="Z179" s="1">
        <f t="shared" si="324"/>
        <v>-0.82256319801066047</v>
      </c>
      <c r="AF179" s="1">
        <f t="shared" si="383"/>
        <v>9.027370619544687</v>
      </c>
      <c r="AG179" s="1"/>
      <c r="AH179" s="1">
        <f t="shared" si="311"/>
        <v>-0.86165627939901179</v>
      </c>
      <c r="AI179" s="1">
        <f t="shared" si="393"/>
        <v>-0.80421252743907756</v>
      </c>
      <c r="AJ179" s="1">
        <f t="shared" ref="AI179:BC190" si="418">$AF179*AJ$2</f>
        <v>-0.74676877547914333</v>
      </c>
      <c r="AK179" s="1">
        <f t="shared" si="418"/>
        <v>-0.63188127155927509</v>
      </c>
      <c r="AL179" s="1">
        <f t="shared" si="418"/>
        <v>-0.57443751959934097</v>
      </c>
      <c r="AM179" s="1">
        <f t="shared" si="418"/>
        <v>-0.51699376763940685</v>
      </c>
      <c r="AN179" s="1">
        <f t="shared" si="418"/>
        <v>-0.45955001567947273</v>
      </c>
      <c r="AO179" s="1">
        <f t="shared" si="418"/>
        <v>-0.40210626371953861</v>
      </c>
      <c r="AP179" s="1">
        <f t="shared" si="418"/>
        <v>-0.34466251175960455</v>
      </c>
      <c r="AQ179" s="1">
        <f t="shared" si="418"/>
        <v>-0.28721875979967043</v>
      </c>
      <c r="AR179" s="1">
        <f t="shared" si="418"/>
        <v>-0.22977500783973631</v>
      </c>
      <c r="AS179" s="1">
        <f t="shared" si="418"/>
        <v>-0.17233125587980225</v>
      </c>
      <c r="AT179" s="1">
        <f t="shared" si="418"/>
        <v>-0.11488750391986811</v>
      </c>
      <c r="AU179" s="1">
        <f t="shared" si="418"/>
        <v>-5.7443751959934002E-2</v>
      </c>
      <c r="AV179" s="1">
        <f t="shared" si="418"/>
        <v>0</v>
      </c>
      <c r="AW179" s="1">
        <f t="shared" si="418"/>
        <v>5.7443751959934113E-2</v>
      </c>
      <c r="AX179" s="1">
        <f t="shared" si="418"/>
        <v>0</v>
      </c>
      <c r="AY179" s="1">
        <f t="shared" si="418"/>
        <v>0.17233125587980236</v>
      </c>
      <c r="AZ179" s="1">
        <f t="shared" si="418"/>
        <v>0.22977500783973645</v>
      </c>
      <c r="BA179" s="1">
        <f t="shared" si="418"/>
        <v>0.28721875979967054</v>
      </c>
      <c r="BB179" s="1">
        <f t="shared" si="418"/>
        <v>0.34466251175960466</v>
      </c>
      <c r="BC179" s="1">
        <f t="shared" si="418"/>
        <v>0.40210626371953878</v>
      </c>
      <c r="BD179" s="1"/>
      <c r="BE179">
        <f t="shared" ref="BE179" si="419">LN($D179)-LN($D179*(1+BA179/100))</f>
        <v>-2.8680707482235945E-3</v>
      </c>
      <c r="BF179">
        <f t="shared" si="314"/>
        <v>-3.440699117807533E-3</v>
      </c>
      <c r="BG179">
        <f t="shared" si="314"/>
        <v>-4.0129997717928134E-3</v>
      </c>
    </row>
    <row r="180" spans="1:59" x14ac:dyDescent="0.35">
      <c r="A180" t="str">
        <f>regions!A180</f>
        <v>United Arab Emirates</v>
      </c>
      <c r="B180" s="22">
        <f>regions!B180</f>
        <v>8441537</v>
      </c>
      <c r="C180" s="22">
        <f>regions!C180</f>
        <v>204448097188.77359</v>
      </c>
      <c r="D180" s="10">
        <f>regions!D180</f>
        <v>24219.297645532275</v>
      </c>
      <c r="E180" s="1">
        <f>regions!X180</f>
        <v>27</v>
      </c>
      <c r="I180" s="7">
        <f t="shared" si="354"/>
        <v>-5.4657030472782573</v>
      </c>
      <c r="J180" s="1">
        <f t="shared" si="355"/>
        <v>-4.9465379975321477</v>
      </c>
      <c r="K180" s="1">
        <f t="shared" si="381"/>
        <v>6.1707932437594071</v>
      </c>
      <c r="L180" s="1">
        <f t="shared" si="355"/>
        <v>1.0671429657593148</v>
      </c>
      <c r="M180" s="1">
        <f t="shared" si="308"/>
        <v>-8.4770756401417522</v>
      </c>
      <c r="N180" s="1">
        <f t="shared" ref="N180" si="420">M180+M$2</f>
        <v>-8.0926327496947312</v>
      </c>
      <c r="O180" s="1">
        <f t="shared" si="310"/>
        <v>2.3788817405873068</v>
      </c>
      <c r="P180" s="1">
        <f t="shared" si="386"/>
        <v>-9.7425834377240399</v>
      </c>
      <c r="Q180" s="1">
        <f t="shared" si="386"/>
        <v>-6.7172378156042249</v>
      </c>
      <c r="R180" s="1">
        <f t="shared" si="386"/>
        <v>-6.6757631612263442</v>
      </c>
      <c r="S180" s="1">
        <f>$M180+SUMPRODUCT(regions!BG180:BS180,regions!BG$193:BS$193)</f>
        <v>-2.3818211197718702</v>
      </c>
      <c r="T180" s="1">
        <f>$M180+SUMPRODUCT(regions!BV180:CD180,regions!BV$193:CD$193)</f>
        <v>-5.9900961498581999</v>
      </c>
      <c r="U180" s="1">
        <f>$M180+SUMPRODUCT(regions!CQ180:CV180,regions!CQ$193:CV$193)</f>
        <v>-4.7565900918596693</v>
      </c>
      <c r="V180" s="1">
        <f>$M180+SUMPRODUCT(regions!CY180:DF180,regions!CY$193:DF$193)</f>
        <v>-6.3754981193160507</v>
      </c>
      <c r="W180" s="1">
        <f>$M180+SUMPRODUCT(regions!DI180:DP180,regions!DI$193:DP$193)</f>
        <v>-2.7763981193160507</v>
      </c>
      <c r="X180" s="1">
        <f>$M180+SUMPRODUCT(regions!DR180:DW180,regions!DR$193:DW$193)</f>
        <v>-2.6534140469066099</v>
      </c>
      <c r="Y180" s="1">
        <f>$M180+SUMPRODUCT(regions!DZ180:EE180,regions!DZ$193:EE$193)</f>
        <v>-2.1524261139218801</v>
      </c>
      <c r="Z180" s="1">
        <f t="shared" si="324"/>
        <v>-4.9970094576971</v>
      </c>
      <c r="AF180" s="1">
        <f t="shared" si="383"/>
        <v>4.8529243598582479</v>
      </c>
      <c r="AG180" s="1"/>
      <c r="AH180" s="1">
        <f t="shared" si="311"/>
        <v>-0.46320827230323613</v>
      </c>
      <c r="AI180" s="1">
        <f t="shared" si="418"/>
        <v>-0.43232772081635368</v>
      </c>
      <c r="AJ180" s="1">
        <f t="shared" si="418"/>
        <v>-0.40144716932947117</v>
      </c>
      <c r="AK180" s="1">
        <f t="shared" si="418"/>
        <v>-0.33968606635570636</v>
      </c>
      <c r="AL180" s="1">
        <f t="shared" si="418"/>
        <v>-0.30880551486882396</v>
      </c>
      <c r="AM180" s="1">
        <f t="shared" si="418"/>
        <v>-0.27792496338194156</v>
      </c>
      <c r="AN180" s="1">
        <f t="shared" si="418"/>
        <v>-0.24704441189505913</v>
      </c>
      <c r="AO180" s="1">
        <f t="shared" si="418"/>
        <v>-0.21616386040817673</v>
      </c>
      <c r="AP180" s="1">
        <f t="shared" si="418"/>
        <v>-0.18528330892129435</v>
      </c>
      <c r="AQ180" s="1">
        <f t="shared" si="418"/>
        <v>-0.15440275743441195</v>
      </c>
      <c r="AR180" s="1">
        <f t="shared" si="418"/>
        <v>-0.12352220594752955</v>
      </c>
      <c r="AS180" s="1">
        <f t="shared" si="418"/>
        <v>-9.2641654460647163E-2</v>
      </c>
      <c r="AT180" s="1">
        <f t="shared" si="418"/>
        <v>-6.1761102973764755E-2</v>
      </c>
      <c r="AU180" s="1">
        <f t="shared" si="418"/>
        <v>-3.0880551486882346E-2</v>
      </c>
      <c r="AV180" s="1">
        <f t="shared" si="418"/>
        <v>0</v>
      </c>
      <c r="AW180" s="1">
        <f t="shared" si="418"/>
        <v>3.0880551486882405E-2</v>
      </c>
      <c r="AX180" s="1">
        <f t="shared" si="418"/>
        <v>0</v>
      </c>
      <c r="AY180" s="1">
        <f t="shared" si="418"/>
        <v>9.2641654460647233E-2</v>
      </c>
      <c r="AZ180" s="1">
        <f t="shared" si="418"/>
        <v>0.12352220594752962</v>
      </c>
      <c r="BA180" s="1">
        <f t="shared" si="418"/>
        <v>0.15440275743441201</v>
      </c>
      <c r="BB180" s="1">
        <f t="shared" si="418"/>
        <v>0.18528330892129441</v>
      </c>
      <c r="BC180" s="1">
        <f t="shared" si="418"/>
        <v>0.21616386040817684</v>
      </c>
      <c r="BD180" s="1"/>
      <c r="BE180">
        <f t="shared" ref="BE180" si="421">LN($D180)-LN($D180*(1+BA180/100))</f>
        <v>-1.5428367893477457E-3</v>
      </c>
      <c r="BF180">
        <f t="shared" si="314"/>
        <v>-1.8511187112952854E-3</v>
      </c>
      <c r="BG180">
        <f t="shared" si="314"/>
        <v>-2.1593056247883879E-3</v>
      </c>
    </row>
    <row r="181" spans="1:59" x14ac:dyDescent="0.35">
      <c r="A181" t="str">
        <f>regions!A181</f>
        <v>United Kingdom</v>
      </c>
      <c r="B181" s="22">
        <f>regions!B181</f>
        <v>62271177</v>
      </c>
      <c r="C181" s="22">
        <f>regions!C181</f>
        <v>2360033739558.0132</v>
      </c>
      <c r="D181" s="10">
        <f>regions!D181</f>
        <v>37899.295520911917</v>
      </c>
      <c r="E181" s="1">
        <f>regions!X181</f>
        <v>8.4</v>
      </c>
      <c r="I181" s="7">
        <f t="shared" si="354"/>
        <v>1.0131717998556606</v>
      </c>
      <c r="J181" s="1">
        <f t="shared" si="355"/>
        <v>1.5323368496017704</v>
      </c>
      <c r="K181" s="1">
        <f t="shared" si="381"/>
        <v>5.4054827291377476</v>
      </c>
      <c r="L181" s="1">
        <f t="shared" si="355"/>
        <v>0.30183245113765533</v>
      </c>
      <c r="M181" s="1">
        <f t="shared" si="308"/>
        <v>0.61679827357780637</v>
      </c>
      <c r="N181" s="1">
        <f t="shared" ref="N181" si="422">M181+M$2</f>
        <v>1.0012411640248271</v>
      </c>
      <c r="O181" s="1">
        <f t="shared" si="310"/>
        <v>1.9940303239698423</v>
      </c>
      <c r="P181" s="1">
        <f t="shared" si="386"/>
        <v>-0.64870952400448156</v>
      </c>
      <c r="Q181" s="1">
        <f t="shared" si="386"/>
        <v>2.3766360981153341</v>
      </c>
      <c r="R181" s="1">
        <f t="shared" si="386"/>
        <v>2.4181107524932144</v>
      </c>
      <c r="S181" s="1">
        <f>$M181+SUMPRODUCT(regions!BG181:BS181,regions!BG$193:BS$193)</f>
        <v>-2.2142569664988065</v>
      </c>
      <c r="T181" s="1">
        <f>$M181+SUMPRODUCT(regions!BV181:CD181,regions!BV$193:CD$193)</f>
        <v>-0.61439067448971607</v>
      </c>
      <c r="U181" s="1">
        <f>$M181+SUMPRODUCT(regions!CQ181:CV181,regions!CQ$193:CV$193)</f>
        <v>-0.36411449223955805</v>
      </c>
      <c r="V181" s="1">
        <f>$M181+SUMPRODUCT(regions!CY181:DF181,regions!CY$193:DF$193)</f>
        <v>-0.48739670373157495</v>
      </c>
      <c r="W181" s="1">
        <f>$M181+SUMPRODUCT(regions!DI181:DP181,regions!DI$193:DP$193)</f>
        <v>-0.41739670373157511</v>
      </c>
      <c r="X181" s="1">
        <f>$M181+SUMPRODUCT(regions!DR181:DW181,regions!DR$193:DW$193)</f>
        <v>-0.58739670373157504</v>
      </c>
      <c r="Y181" s="1">
        <f>$M181+SUMPRODUCT(regions!DZ181:EE181,regions!DZ$193:EE$193)</f>
        <v>-0.78739670373157522</v>
      </c>
      <c r="Z181" s="1">
        <f t="shared" si="324"/>
        <v>4.7</v>
      </c>
      <c r="AA181" t="str">
        <f>Maddison!A84</f>
        <v>United Kingdom</v>
      </c>
      <c r="AB181">
        <f>-Maddison!B84</f>
        <v>4.7</v>
      </c>
      <c r="AC181" s="1">
        <f>N181-AB181</f>
        <v>-3.6987588359751733</v>
      </c>
      <c r="AF181" s="1">
        <f t="shared" si="383"/>
        <v>13.946798273577807</v>
      </c>
      <c r="AG181" s="1"/>
      <c r="AH181" s="1">
        <f t="shared" si="311"/>
        <v>-1.3312122451161457</v>
      </c>
      <c r="AI181" s="1">
        <f t="shared" si="418"/>
        <v>-1.2424647621084024</v>
      </c>
      <c r="AJ181" s="1">
        <f t="shared" si="418"/>
        <v>-1.1537172791006591</v>
      </c>
      <c r="AK181" s="1">
        <f t="shared" si="418"/>
        <v>-0.97622231308517315</v>
      </c>
      <c r="AL181" s="1">
        <f t="shared" si="418"/>
        <v>-0.88747483007743011</v>
      </c>
      <c r="AM181" s="1">
        <f t="shared" si="418"/>
        <v>-0.79872734706968707</v>
      </c>
      <c r="AN181" s="1">
        <f t="shared" si="418"/>
        <v>-0.70997986406194402</v>
      </c>
      <c r="AO181" s="1">
        <f t="shared" si="418"/>
        <v>-0.62123238105420098</v>
      </c>
      <c r="AP181" s="1">
        <f t="shared" si="418"/>
        <v>-0.53248489804645804</v>
      </c>
      <c r="AQ181" s="1">
        <f t="shared" si="418"/>
        <v>-0.44373741503871494</v>
      </c>
      <c r="AR181" s="1">
        <f t="shared" si="418"/>
        <v>-0.35498993203097196</v>
      </c>
      <c r="AS181" s="1">
        <f t="shared" si="418"/>
        <v>-0.26624244902322897</v>
      </c>
      <c r="AT181" s="1">
        <f t="shared" si="418"/>
        <v>-0.17749496601548589</v>
      </c>
      <c r="AU181" s="1">
        <f t="shared" si="418"/>
        <v>-8.8747483007742864E-2</v>
      </c>
      <c r="AV181" s="1">
        <f t="shared" si="418"/>
        <v>0</v>
      </c>
      <c r="AW181" s="1">
        <f t="shared" si="418"/>
        <v>8.874748300774303E-2</v>
      </c>
      <c r="AX181" s="1">
        <f t="shared" si="418"/>
        <v>0</v>
      </c>
      <c r="AY181" s="1">
        <f t="shared" si="418"/>
        <v>0.26624244902322913</v>
      </c>
      <c r="AZ181" s="1">
        <f t="shared" si="418"/>
        <v>0.35498993203097212</v>
      </c>
      <c r="BA181" s="1">
        <f t="shared" si="418"/>
        <v>0.44373741503871517</v>
      </c>
      <c r="BB181" s="1">
        <f t="shared" si="418"/>
        <v>0.53248489804645815</v>
      </c>
      <c r="BC181" s="1">
        <f t="shared" si="418"/>
        <v>0.6212323810542012</v>
      </c>
      <c r="BD181" s="1"/>
      <c r="BE181">
        <f t="shared" ref="BE181" si="423">LN($D181)-LN($D181*(1+BA181/100))</f>
        <v>-4.4275580335213505E-3</v>
      </c>
      <c r="BF181">
        <f t="shared" si="314"/>
        <v>-5.3107220989492276E-3</v>
      </c>
      <c r="BG181">
        <f t="shared" si="314"/>
        <v>-6.1931068738019235E-3</v>
      </c>
    </row>
    <row r="182" spans="1:59" x14ac:dyDescent="0.35">
      <c r="A182" t="str">
        <f>regions!A182</f>
        <v>United States</v>
      </c>
      <c r="B182" s="22">
        <f>regions!B182</f>
        <v>309326225</v>
      </c>
      <c r="C182" s="22">
        <f>regions!C182</f>
        <v>13595644353592.4</v>
      </c>
      <c r="D182" s="10">
        <f>regions!D182</f>
        <v>43952.446494287382</v>
      </c>
      <c r="E182" s="1">
        <f>regions!X182</f>
        <v>8.5</v>
      </c>
      <c r="I182" s="7">
        <f t="shared" si="354"/>
        <v>-2.3766964455431197</v>
      </c>
      <c r="J182" s="1">
        <f t="shared" si="355"/>
        <v>-1.8575313957970099</v>
      </c>
      <c r="K182" s="1">
        <f t="shared" si="381"/>
        <v>0.62301502776370965</v>
      </c>
      <c r="L182" s="1">
        <f t="shared" si="355"/>
        <v>-4.4806352502363822</v>
      </c>
      <c r="M182" s="1">
        <f t="shared" si="308"/>
        <v>0.82091787384705661</v>
      </c>
      <c r="N182" s="1">
        <f t="shared" ref="N182" si="424">M182+M$2</f>
        <v>1.2053607642940773</v>
      </c>
      <c r="O182" s="1">
        <f t="shared" si="310"/>
        <v>1.5667728915206394</v>
      </c>
      <c r="P182" s="1">
        <f t="shared" si="386"/>
        <v>-0.44458992373523132</v>
      </c>
      <c r="Q182" s="1">
        <f t="shared" si="386"/>
        <v>2.5807556983845843</v>
      </c>
      <c r="R182" s="1">
        <f t="shared" si="386"/>
        <v>2.6222303527624646</v>
      </c>
      <c r="S182" s="1">
        <f>$M182+SUMPRODUCT(regions!BG182:BS182,regions!BG$193:BS$193)</f>
        <v>-0.45000000000000018</v>
      </c>
      <c r="T182" s="1">
        <f>$M182+SUMPRODUCT(regions!BV182:CD182,regions!BV$193:CD$193)</f>
        <v>-1.9943317974730945</v>
      </c>
      <c r="U182" s="1">
        <f>$M182+SUMPRODUCT(regions!CQ182:CV182,regions!CQ$193:CV$193)</f>
        <v>-1.1020000000000003</v>
      </c>
      <c r="V182" s="1">
        <f>$M182+SUMPRODUCT(regions!CY182:DF182,regions!CY$193:DF$193)</f>
        <v>-1.56</v>
      </c>
      <c r="W182" s="1">
        <f>$M182+SUMPRODUCT(regions!DI182:DP182,regions!DI$193:DP$193)</f>
        <v>-0.30750000000000011</v>
      </c>
      <c r="X182" s="1">
        <f>$M182+SUMPRODUCT(regions!DR182:DW182,regions!DR$193:DW$193)</f>
        <v>-1.3000000000000003</v>
      </c>
      <c r="Y182" s="1">
        <f>$M182+SUMPRODUCT(regions!DZ182:EE182,regions!DZ$193:EE$193)</f>
        <v>-1.4</v>
      </c>
      <c r="Z182" s="1">
        <f t="shared" si="324"/>
        <v>0.3</v>
      </c>
      <c r="AA182" t="str">
        <f>Maddison!A85</f>
        <v>United States</v>
      </c>
      <c r="AB182">
        <f>-Maddison!B85</f>
        <v>0.3</v>
      </c>
      <c r="AC182" s="1">
        <f>N182-AB182</f>
        <v>0.9053607642940773</v>
      </c>
      <c r="AF182" s="1">
        <f t="shared" si="383"/>
        <v>14.150917873847057</v>
      </c>
      <c r="AG182" s="1"/>
      <c r="AH182" s="1">
        <f t="shared" si="311"/>
        <v>-1.3506953197269991</v>
      </c>
      <c r="AI182" s="1">
        <f t="shared" si="418"/>
        <v>-1.2606489650785324</v>
      </c>
      <c r="AJ182" s="1">
        <f t="shared" si="418"/>
        <v>-1.1706026104300655</v>
      </c>
      <c r="AK182" s="1">
        <f t="shared" si="418"/>
        <v>-0.99050990113313231</v>
      </c>
      <c r="AL182" s="1">
        <f t="shared" si="418"/>
        <v>-0.90046354648466576</v>
      </c>
      <c r="AM182" s="1">
        <f t="shared" si="418"/>
        <v>-0.81041719183619909</v>
      </c>
      <c r="AN182" s="1">
        <f t="shared" si="418"/>
        <v>-0.72037083718773254</v>
      </c>
      <c r="AO182" s="1">
        <f t="shared" si="418"/>
        <v>-0.63032448253926587</v>
      </c>
      <c r="AP182" s="1">
        <f t="shared" si="418"/>
        <v>-0.54027812789079932</v>
      </c>
      <c r="AQ182" s="1">
        <f t="shared" si="418"/>
        <v>-0.45023177324233277</v>
      </c>
      <c r="AR182" s="1">
        <f t="shared" si="418"/>
        <v>-0.36018541859386621</v>
      </c>
      <c r="AS182" s="1">
        <f t="shared" si="418"/>
        <v>-0.27013906394539966</v>
      </c>
      <c r="AT182" s="1">
        <f t="shared" si="418"/>
        <v>-0.18009270929693302</v>
      </c>
      <c r="AU182" s="1">
        <f t="shared" si="418"/>
        <v>-9.0046354648466428E-2</v>
      </c>
      <c r="AV182" s="1">
        <f t="shared" si="418"/>
        <v>0</v>
      </c>
      <c r="AW182" s="1">
        <f t="shared" si="418"/>
        <v>9.0046354648466595E-2</v>
      </c>
      <c r="AX182" s="1">
        <f t="shared" si="418"/>
        <v>0</v>
      </c>
      <c r="AY182" s="1">
        <f t="shared" si="418"/>
        <v>0.27013906394539983</v>
      </c>
      <c r="AZ182" s="1">
        <f t="shared" si="418"/>
        <v>0.36018541859386638</v>
      </c>
      <c r="BA182" s="1">
        <f t="shared" si="418"/>
        <v>0.45023177324233293</v>
      </c>
      <c r="BB182" s="1">
        <f t="shared" si="418"/>
        <v>0.54027812789079954</v>
      </c>
      <c r="BC182" s="1">
        <f t="shared" si="418"/>
        <v>0.63032448253926621</v>
      </c>
      <c r="BD182" s="1"/>
      <c r="BE182">
        <f t="shared" ref="BE182" si="425">LN($D182)-LN($D182*(1+BA182/100))</f>
        <v>-4.4922126195423573E-3</v>
      </c>
      <c r="BF182">
        <f t="shared" si="314"/>
        <v>-5.3882386131807181E-3</v>
      </c>
      <c r="BG182">
        <f t="shared" si="314"/>
        <v>-6.2834624629264368E-3</v>
      </c>
    </row>
    <row r="183" spans="1:59" x14ac:dyDescent="0.35">
      <c r="A183" t="str">
        <f>regions!A183</f>
        <v>Uruguay</v>
      </c>
      <c r="B183" s="22">
        <f>regions!B183</f>
        <v>3371982</v>
      </c>
      <c r="C183" s="22">
        <f>regions!C183</f>
        <v>22899299769.575714</v>
      </c>
      <c r="D183" s="10">
        <f>regions!D183</f>
        <v>6791.0504176996537</v>
      </c>
      <c r="E183" s="1">
        <f>regions!X183</f>
        <v>17.5</v>
      </c>
      <c r="I183" s="7">
        <f t="shared" si="354"/>
        <v>-4.871284773300034</v>
      </c>
      <c r="J183" s="1">
        <f t="shared" si="355"/>
        <v>-4.3521197235539244</v>
      </c>
      <c r="K183" s="1">
        <f t="shared" si="381"/>
        <v>4.4138376914135637</v>
      </c>
      <c r="L183" s="1">
        <f t="shared" si="355"/>
        <v>-0.68981258658652855</v>
      </c>
      <c r="M183" s="1">
        <f t="shared" si="308"/>
        <v>-6.3530907666187053</v>
      </c>
      <c r="N183" s="1">
        <f t="shared" ref="N183" si="426">M183+M$2</f>
        <v>-5.9686478761716844</v>
      </c>
      <c r="O183" s="1">
        <f t="shared" si="310"/>
        <v>2.5915692481151749</v>
      </c>
      <c r="P183" s="1">
        <f t="shared" si="386"/>
        <v>-7.6185985642009939</v>
      </c>
      <c r="Q183" s="1">
        <f t="shared" si="386"/>
        <v>-4.5932529420811772</v>
      </c>
      <c r="R183" s="1">
        <f t="shared" si="386"/>
        <v>-4.5517782877032973</v>
      </c>
      <c r="S183" s="1">
        <f>$M183+SUMPRODUCT(regions!BG183:BS183,regions!BG$193:BS$193)</f>
        <v>-0.90814039674614566</v>
      </c>
      <c r="T183" s="1">
        <f>$M183+SUMPRODUCT(regions!BV183:CD183,regions!BV$193:CD$193)</f>
        <v>-2.1938696551224215</v>
      </c>
      <c r="U183" s="1">
        <f>$M183+SUMPRODUCT(regions!CQ183:CV183,regions!CQ$193:CV$193)</f>
        <v>-2.6326052183366224</v>
      </c>
      <c r="V183" s="1">
        <f>$M183+SUMPRODUCT(regions!CY183:DF183,regions!CY$193:DF$193)</f>
        <v>-2.1838696551224208</v>
      </c>
      <c r="W183" s="1">
        <f>$M183+SUMPRODUCT(regions!DI183:DP183,regions!DI$193:DP$193)</f>
        <v>-0.14476965512242135</v>
      </c>
      <c r="X183" s="1">
        <f>$M183+SUMPRODUCT(regions!DR183:DW183,regions!DR$193:DW$193)</f>
        <v>-0.52942917338356299</v>
      </c>
      <c r="Y183" s="1">
        <f>$M183+SUMPRODUCT(regions!DZ183:EE183,regions!DZ$193:EE$193)</f>
        <v>-2.8441240398833223E-2</v>
      </c>
      <c r="Z183" s="1">
        <f t="shared" si="324"/>
        <v>1.4</v>
      </c>
      <c r="AA183" t="str">
        <f>Maddison!A86</f>
        <v>Uruguay</v>
      </c>
      <c r="AB183">
        <f>-Maddison!B86</f>
        <v>1.4</v>
      </c>
      <c r="AC183" s="1">
        <f>N183-AB183</f>
        <v>-7.3686478761716838</v>
      </c>
      <c r="AF183" s="1">
        <f t="shared" si="383"/>
        <v>6.9769092333812948</v>
      </c>
      <c r="AG183" s="1"/>
      <c r="AH183" s="1">
        <f t="shared" si="311"/>
        <v>-0.66594115884910343</v>
      </c>
      <c r="AI183" s="1">
        <f t="shared" si="418"/>
        <v>-0.62154508159249644</v>
      </c>
      <c r="AJ183" s="1">
        <f t="shared" si="418"/>
        <v>-0.57714900433588945</v>
      </c>
      <c r="AK183" s="1">
        <f t="shared" si="418"/>
        <v>-0.48835684982267569</v>
      </c>
      <c r="AL183" s="1">
        <f t="shared" si="418"/>
        <v>-0.44396077256606881</v>
      </c>
      <c r="AM183" s="1">
        <f t="shared" si="418"/>
        <v>-0.39956469530946187</v>
      </c>
      <c r="AN183" s="1">
        <f t="shared" si="418"/>
        <v>-0.35516861805285499</v>
      </c>
      <c r="AO183" s="1">
        <f t="shared" si="418"/>
        <v>-0.31077254079624811</v>
      </c>
      <c r="AP183" s="1">
        <f t="shared" si="418"/>
        <v>-0.26637646353964123</v>
      </c>
      <c r="AQ183" s="1">
        <f t="shared" si="418"/>
        <v>-0.22198038628303435</v>
      </c>
      <c r="AR183" s="1">
        <f t="shared" si="418"/>
        <v>-0.17758430902642747</v>
      </c>
      <c r="AS183" s="1">
        <f t="shared" si="418"/>
        <v>-0.13318823176982059</v>
      </c>
      <c r="AT183" s="1">
        <f t="shared" si="418"/>
        <v>-8.8792154513213706E-2</v>
      </c>
      <c r="AU183" s="1">
        <f t="shared" si="418"/>
        <v>-4.4396077256606811E-2</v>
      </c>
      <c r="AV183" s="1">
        <f t="shared" si="418"/>
        <v>0</v>
      </c>
      <c r="AW183" s="1">
        <f t="shared" si="418"/>
        <v>4.4396077256606895E-2</v>
      </c>
      <c r="AX183" s="1">
        <f t="shared" si="418"/>
        <v>0</v>
      </c>
      <c r="AY183" s="1">
        <f t="shared" si="418"/>
        <v>0.1331882317698207</v>
      </c>
      <c r="AZ183" s="1">
        <f t="shared" si="418"/>
        <v>0.17758430902642758</v>
      </c>
      <c r="BA183" s="1">
        <f t="shared" si="418"/>
        <v>0.22198038628303446</v>
      </c>
      <c r="BB183" s="1">
        <f t="shared" si="418"/>
        <v>0.26637646353964134</v>
      </c>
      <c r="BC183" s="1">
        <f t="shared" si="418"/>
        <v>0.31077254079624822</v>
      </c>
      <c r="BD183" s="1"/>
      <c r="BE183">
        <f t="shared" ref="BE183" si="427">LN($D183)-LN($D183*(1+BA183/100))</f>
        <v>-2.2173437382253525E-3</v>
      </c>
      <c r="BF183">
        <f t="shared" si="314"/>
        <v>-2.660223102193271E-3</v>
      </c>
      <c r="BG183">
        <f t="shared" si="314"/>
        <v>-3.1029064108540894E-3</v>
      </c>
    </row>
    <row r="184" spans="1:59" x14ac:dyDescent="0.35">
      <c r="A184" t="str">
        <f>regions!A184</f>
        <v>Uzbekistan</v>
      </c>
      <c r="B184" s="22">
        <f>regions!B184</f>
        <v>28562400</v>
      </c>
      <c r="C184" s="22">
        <f>regions!C184</f>
        <v>21491158366.324051</v>
      </c>
      <c r="D184" s="10">
        <f>regions!D184</f>
        <v>752.42831016735465</v>
      </c>
      <c r="E184" s="1">
        <f>regions!X184</f>
        <v>12.1</v>
      </c>
      <c r="I184" s="7">
        <f t="shared" si="354"/>
        <v>-5.7980060206167296</v>
      </c>
      <c r="J184" s="1">
        <f t="shared" si="355"/>
        <v>-5.2788409708706201</v>
      </c>
      <c r="K184" s="1">
        <f t="shared" si="381"/>
        <v>-3.7770009079842257</v>
      </c>
      <c r="L184" s="1">
        <f t="shared" si="355"/>
        <v>-8.880651185984318</v>
      </c>
      <c r="M184" s="1">
        <f t="shared" si="308"/>
        <v>-7.6279182908152876</v>
      </c>
      <c r="N184" s="1">
        <f t="shared" ref="N184" si="428">M184+M$2</f>
        <v>-7.2434754003682666</v>
      </c>
      <c r="O184" s="1">
        <f t="shared" si="310"/>
        <v>3.3374758260599884</v>
      </c>
      <c r="P184" s="1">
        <f t="shared" si="386"/>
        <v>-8.8934260883975753</v>
      </c>
      <c r="Q184" s="1">
        <f t="shared" si="386"/>
        <v>-5.8680804662777595</v>
      </c>
      <c r="R184" s="1">
        <f t="shared" si="386"/>
        <v>-5.8266058118998796</v>
      </c>
      <c r="S184" s="1">
        <f>$M184+SUMPRODUCT(regions!BG184:BS184,regions!BG$193:BS$193)</f>
        <v>1.158020208984702</v>
      </c>
      <c r="T184" s="1">
        <f>$M184+SUMPRODUCT(regions!BV184:CD184,regions!BV$193:CD$193)</f>
        <v>-7.4586721466627814</v>
      </c>
      <c r="U184" s="1">
        <f>$M184+SUMPRODUCT(regions!CQ184:CV184,regions!CQ$193:CV$193)</f>
        <v>-10.210814904562945</v>
      </c>
      <c r="V184" s="1">
        <f>$M184+SUMPRODUCT(regions!CY184:DF184,regions!CY$193:DF$193)</f>
        <v>-7.7586721466627813</v>
      </c>
      <c r="W184" s="1">
        <f>$M184+SUMPRODUCT(regions!DI184:DP184,regions!DI$193:DP$193)</f>
        <v>-7.3281721466627809</v>
      </c>
      <c r="X184" s="1">
        <f>$M184+SUMPRODUCT(regions!DR184:DW184,regions!DR$193:DW$193)</f>
        <v>-10.053814904562945</v>
      </c>
      <c r="Y184" s="1">
        <f>$M184+SUMPRODUCT(regions!DZ184:EE184,regions!DZ$193:EE$193)</f>
        <v>-10.153814904562944</v>
      </c>
      <c r="Z184" s="1">
        <f t="shared" si="324"/>
        <v>-4.1478521083706354</v>
      </c>
      <c r="AF184" s="1">
        <f t="shared" si="383"/>
        <v>5.7020817091847125</v>
      </c>
      <c r="AG184" s="1"/>
      <c r="AH184" s="1">
        <f t="shared" si="311"/>
        <v>-0.5442597537457774</v>
      </c>
      <c r="AI184" s="1">
        <f t="shared" si="418"/>
        <v>-0.50797577016272555</v>
      </c>
      <c r="AJ184" s="1">
        <f t="shared" si="418"/>
        <v>-0.47169178657967359</v>
      </c>
      <c r="AK184" s="1">
        <f t="shared" si="418"/>
        <v>-0.39912381941356995</v>
      </c>
      <c r="AL184" s="1">
        <f t="shared" si="418"/>
        <v>-0.3628398358305181</v>
      </c>
      <c r="AM184" s="1">
        <f t="shared" si="418"/>
        <v>-0.32655585224746631</v>
      </c>
      <c r="AN184" s="1">
        <f t="shared" si="418"/>
        <v>-0.29027186866441446</v>
      </c>
      <c r="AO184" s="1">
        <f t="shared" si="418"/>
        <v>-0.25398788508136261</v>
      </c>
      <c r="AP184" s="1">
        <f t="shared" si="418"/>
        <v>-0.21770390149831084</v>
      </c>
      <c r="AQ184" s="1">
        <f t="shared" si="418"/>
        <v>-0.18141991791525902</v>
      </c>
      <c r="AR184" s="1">
        <f t="shared" si="418"/>
        <v>-0.1451359343322072</v>
      </c>
      <c r="AS184" s="1">
        <f t="shared" si="418"/>
        <v>-0.10885195074915541</v>
      </c>
      <c r="AT184" s="1">
        <f t="shared" si="418"/>
        <v>-7.2567967166103572E-2</v>
      </c>
      <c r="AU184" s="1">
        <f t="shared" si="418"/>
        <v>-3.6283983583051752E-2</v>
      </c>
      <c r="AV184" s="1">
        <f t="shared" si="418"/>
        <v>0</v>
      </c>
      <c r="AW184" s="1">
        <f t="shared" si="418"/>
        <v>3.6283983583051821E-2</v>
      </c>
      <c r="AX184" s="1">
        <f t="shared" si="418"/>
        <v>0</v>
      </c>
      <c r="AY184" s="1">
        <f t="shared" si="418"/>
        <v>0.10885195074915548</v>
      </c>
      <c r="AZ184" s="1">
        <f t="shared" si="418"/>
        <v>0.14513593433220728</v>
      </c>
      <c r="BA184" s="1">
        <f t="shared" si="418"/>
        <v>0.1814199179152591</v>
      </c>
      <c r="BB184" s="1">
        <f t="shared" si="418"/>
        <v>0.21770390149831093</v>
      </c>
      <c r="BC184" s="1">
        <f t="shared" si="418"/>
        <v>0.25398788508136277</v>
      </c>
      <c r="BD184" s="1"/>
      <c r="BE184">
        <f t="shared" ref="BE184" si="429">LN($D184)-LN($D184*(1+BA184/100))</f>
        <v>-1.8125555074863797E-3</v>
      </c>
      <c r="BF184">
        <f t="shared" si="314"/>
        <v>-2.1746726992981635E-3</v>
      </c>
      <c r="BG184">
        <f t="shared" si="314"/>
        <v>-2.5366588097153198E-3</v>
      </c>
    </row>
    <row r="185" spans="1:59" x14ac:dyDescent="0.35">
      <c r="A185" t="str">
        <f>regions!A185</f>
        <v>Vanuatu</v>
      </c>
      <c r="B185" s="22">
        <f>regions!B185</f>
        <v>236299</v>
      </c>
      <c r="C185" s="22">
        <f>regions!C185</f>
        <v>503575271.44056231</v>
      </c>
      <c r="D185" s="10">
        <f>regions!D185</f>
        <v>2131.0935359039281</v>
      </c>
      <c r="E185" s="1">
        <f>regions!X185</f>
        <v>24</v>
      </c>
      <c r="I185" s="7">
        <f t="shared" si="354"/>
        <v>-11.080467761757784</v>
      </c>
      <c r="J185" s="1">
        <f t="shared" si="355"/>
        <v>-10.561302712011674</v>
      </c>
      <c r="K185" s="1">
        <f t="shared" si="381"/>
        <v>-6.2663102637500669</v>
      </c>
      <c r="L185" s="1">
        <f t="shared" si="355"/>
        <v>-11.36996054175016</v>
      </c>
      <c r="M185" s="1">
        <f t="shared" si="308"/>
        <v>-11.215446397504888</v>
      </c>
      <c r="N185" s="1">
        <f t="shared" ref="N185" si="430">M185+M$2</f>
        <v>-10.831003507057867</v>
      </c>
      <c r="O185" s="1">
        <f t="shared" si="310"/>
        <v>2.6356584205276152</v>
      </c>
      <c r="P185" s="1">
        <f t="shared" si="386"/>
        <v>-12.480954195087175</v>
      </c>
      <c r="Q185" s="1">
        <f t="shared" si="386"/>
        <v>-9.4556085729673605</v>
      </c>
      <c r="R185" s="1">
        <f t="shared" si="386"/>
        <v>-9.4141339185894797</v>
      </c>
      <c r="S185" s="1">
        <f>$M185+SUMPRODUCT(regions!BG185:BS185,regions!BG$193:BS$193)</f>
        <v>-5.7704960276323281</v>
      </c>
      <c r="T185" s="1">
        <f>$M185+SUMPRODUCT(regions!BV185:CD185,regions!BV$193:CD$193)</f>
        <v>-10.930195637986699</v>
      </c>
      <c r="U185" s="1">
        <f>$M185+SUMPRODUCT(regions!CQ185:CV185,regions!CQ$193:CV$193)</f>
        <v>-7.4949608492228048</v>
      </c>
      <c r="V185" s="1">
        <f>$M185+SUMPRODUCT(regions!CY185:DF185,regions!CY$193:DF$193)</f>
        <v>-11.076809005185087</v>
      </c>
      <c r="W185" s="1">
        <f>$M185+SUMPRODUCT(regions!DI185:DP185,regions!DI$193:DP$193)</f>
        <v>-5.5718090051850888</v>
      </c>
      <c r="X185" s="1">
        <f>$M185+SUMPRODUCT(regions!DR185:DW185,regions!DR$193:DW$193)</f>
        <v>-5.3917848042697454</v>
      </c>
      <c r="Y185" s="1">
        <f>$M185+SUMPRODUCT(regions!DZ185:EE185,regions!DZ$193:EE$193)</f>
        <v>-4.8907968712850156</v>
      </c>
      <c r="Z185" s="1">
        <f t="shared" si="324"/>
        <v>-7.7353802150602355</v>
      </c>
      <c r="AF185" s="1">
        <f t="shared" si="383"/>
        <v>2.1145536024951124</v>
      </c>
      <c r="AG185" s="1"/>
      <c r="AH185" s="1">
        <f t="shared" si="311"/>
        <v>-0.20183267825195511</v>
      </c>
      <c r="AI185" s="1">
        <f t="shared" si="418"/>
        <v>-0.18837716636849142</v>
      </c>
      <c r="AJ185" s="1">
        <f t="shared" si="418"/>
        <v>-0.17492165448502769</v>
      </c>
      <c r="AK185" s="1">
        <f t="shared" si="418"/>
        <v>-0.14801063071810036</v>
      </c>
      <c r="AL185" s="1">
        <f t="shared" si="418"/>
        <v>-0.13455511883463669</v>
      </c>
      <c r="AM185" s="1">
        <f t="shared" si="418"/>
        <v>-0.12109960695117301</v>
      </c>
      <c r="AN185" s="1">
        <f t="shared" si="418"/>
        <v>-0.10764409506770933</v>
      </c>
      <c r="AO185" s="1">
        <f t="shared" si="418"/>
        <v>-9.4188583184245653E-2</v>
      </c>
      <c r="AP185" s="1">
        <f t="shared" si="418"/>
        <v>-8.0733071300782E-2</v>
      </c>
      <c r="AQ185" s="1">
        <f t="shared" si="418"/>
        <v>-6.7277559417318319E-2</v>
      </c>
      <c r="AR185" s="1">
        <f t="shared" si="418"/>
        <v>-5.382204753385466E-2</v>
      </c>
      <c r="AS185" s="1">
        <f t="shared" si="418"/>
        <v>-4.0366535650390993E-2</v>
      </c>
      <c r="AT185" s="1">
        <f t="shared" si="418"/>
        <v>-2.6911023766927319E-2</v>
      </c>
      <c r="AU185" s="1">
        <f t="shared" si="418"/>
        <v>-1.3455511883463646E-2</v>
      </c>
      <c r="AV185" s="1">
        <f t="shared" si="418"/>
        <v>0</v>
      </c>
      <c r="AW185" s="1">
        <f t="shared" si="418"/>
        <v>1.3455511883463672E-2</v>
      </c>
      <c r="AX185" s="1">
        <f t="shared" si="418"/>
        <v>0</v>
      </c>
      <c r="AY185" s="1">
        <f t="shared" si="418"/>
        <v>4.0366535650391021E-2</v>
      </c>
      <c r="AZ185" s="1">
        <f t="shared" si="418"/>
        <v>5.3822047533854687E-2</v>
      </c>
      <c r="BA185" s="1">
        <f t="shared" si="418"/>
        <v>6.7277559417318361E-2</v>
      </c>
      <c r="BB185" s="1">
        <f t="shared" si="418"/>
        <v>8.0733071300782028E-2</v>
      </c>
      <c r="BC185" s="1">
        <f t="shared" si="418"/>
        <v>9.4188583184245708E-2</v>
      </c>
      <c r="BD185" s="1"/>
      <c r="BE185">
        <f t="shared" ref="BE185" si="431">LN($D185)-LN($D185*(1+BA185/100))</f>
        <v>-6.7254938212713E-4</v>
      </c>
      <c r="BF185">
        <f t="shared" si="314"/>
        <v>-8.0700499686248151E-4</v>
      </c>
      <c r="BG185">
        <f t="shared" si="314"/>
        <v>-9.4144253571659675E-4</v>
      </c>
    </row>
    <row r="186" spans="1:59" x14ac:dyDescent="0.35">
      <c r="A186" t="str">
        <f>regions!A186</f>
        <v>Venezuela</v>
      </c>
      <c r="B186" s="22">
        <f>regions!B186</f>
        <v>29043283</v>
      </c>
      <c r="C186" s="22">
        <f>regions!C186</f>
        <v>174552448164.40952</v>
      </c>
      <c r="D186" s="10">
        <f>regions!D186</f>
        <v>6010.0797889966334</v>
      </c>
      <c r="E186" s="1">
        <f>regions!X186</f>
        <v>25.3</v>
      </c>
      <c r="I186" s="7">
        <f t="shared" si="354"/>
        <v>-9.3841626939368048</v>
      </c>
      <c r="J186" s="1">
        <f t="shared" si="355"/>
        <v>-8.8649976441906944</v>
      </c>
      <c r="K186" s="1">
        <f t="shared" si="381"/>
        <v>-0.20775037111667949</v>
      </c>
      <c r="L186" s="1">
        <f t="shared" si="355"/>
        <v>-5.3114006491167718</v>
      </c>
      <c r="M186" s="1">
        <f t="shared" si="308"/>
        <v>-10.056408399559027</v>
      </c>
      <c r="N186" s="1">
        <f t="shared" ref="N186" si="432">M186+M$2</f>
        <v>-9.671965509112006</v>
      </c>
      <c r="O186" s="1">
        <f t="shared" si="310"/>
        <v>11.024832769749151</v>
      </c>
      <c r="P186" s="1">
        <f t="shared" si="386"/>
        <v>-11.321916197141315</v>
      </c>
      <c r="Q186" s="1">
        <f t="shared" si="386"/>
        <v>-8.2965705750214997</v>
      </c>
      <c r="R186" s="1">
        <f t="shared" si="386"/>
        <v>-8.255095920643619</v>
      </c>
      <c r="S186" s="1">
        <f>$M186+SUMPRODUCT(regions!BG186:BS186,regions!BG$193:BS$193)</f>
        <v>-4.6114580296864673</v>
      </c>
      <c r="T186" s="1">
        <f>$M186+SUMPRODUCT(regions!BV186:CD186,regions!BV$193:CD$193)</f>
        <v>-5.8971872880627432</v>
      </c>
      <c r="U186" s="1">
        <f>$M186+SUMPRODUCT(regions!CQ186:CV186,regions!CQ$193:CV$193)</f>
        <v>-6.3359228512769441</v>
      </c>
      <c r="V186" s="1">
        <f>$M186+SUMPRODUCT(regions!CY186:DF186,regions!CY$193:DF$193)</f>
        <v>-5.8871872880627425</v>
      </c>
      <c r="W186" s="1">
        <f>$M186+SUMPRODUCT(regions!DI186:DP186,regions!DI$193:DP$193)</f>
        <v>-3.848087288062743</v>
      </c>
      <c r="X186" s="1">
        <f>$M186+SUMPRODUCT(regions!DR186:DW186,regions!DR$193:DW$193)</f>
        <v>-4.2327468063238847</v>
      </c>
      <c r="Y186" s="1">
        <f>$M186+SUMPRODUCT(regions!DZ186:EE186,regions!DZ$193:EE$193)</f>
        <v>-3.7317588733391549</v>
      </c>
      <c r="Z186" s="1">
        <f t="shared" si="324"/>
        <v>-42</v>
      </c>
      <c r="AA186" t="str">
        <f>Maddison!A87</f>
        <v>Venezuela</v>
      </c>
      <c r="AB186">
        <f>-Maddison!B87</f>
        <v>-42</v>
      </c>
      <c r="AC186" s="1">
        <f>N186-AB186</f>
        <v>32.328034490887994</v>
      </c>
      <c r="AF186" s="1">
        <f t="shared" si="383"/>
        <v>3.2735916004409731</v>
      </c>
      <c r="AG186" s="1"/>
      <c r="AH186" s="1">
        <f t="shared" si="311"/>
        <v>-0.3124620531919729</v>
      </c>
      <c r="AI186" s="1">
        <f t="shared" si="418"/>
        <v>-0.29163124964584131</v>
      </c>
      <c r="AJ186" s="1">
        <f t="shared" si="418"/>
        <v>-0.27080044609970977</v>
      </c>
      <c r="AK186" s="1">
        <f t="shared" si="418"/>
        <v>-0.22913883900744669</v>
      </c>
      <c r="AL186" s="1">
        <f t="shared" si="418"/>
        <v>-0.20830803546131518</v>
      </c>
      <c r="AM186" s="1">
        <f t="shared" si="418"/>
        <v>-0.18747723191518365</v>
      </c>
      <c r="AN186" s="1">
        <f t="shared" si="418"/>
        <v>-0.16664642836905211</v>
      </c>
      <c r="AO186" s="1">
        <f t="shared" si="418"/>
        <v>-0.1458156248229206</v>
      </c>
      <c r="AP186" s="1">
        <f t="shared" si="418"/>
        <v>-0.12498482127678909</v>
      </c>
      <c r="AQ186" s="1">
        <f t="shared" si="418"/>
        <v>-0.10415401773065756</v>
      </c>
      <c r="AR186" s="1">
        <f t="shared" si="418"/>
        <v>-8.3323214184526054E-2</v>
      </c>
      <c r="AS186" s="1">
        <f t="shared" si="418"/>
        <v>-6.2492410638394537E-2</v>
      </c>
      <c r="AT186" s="1">
        <f t="shared" si="418"/>
        <v>-4.1661607092263006E-2</v>
      </c>
      <c r="AU186" s="1">
        <f t="shared" si="418"/>
        <v>-2.0830803546131482E-2</v>
      </c>
      <c r="AV186" s="1">
        <f t="shared" si="418"/>
        <v>0</v>
      </c>
      <c r="AW186" s="1">
        <f t="shared" si="418"/>
        <v>2.0830803546131524E-2</v>
      </c>
      <c r="AX186" s="1">
        <f t="shared" si="418"/>
        <v>0</v>
      </c>
      <c r="AY186" s="1">
        <f t="shared" si="418"/>
        <v>6.2492410638394578E-2</v>
      </c>
      <c r="AZ186" s="1">
        <f t="shared" si="418"/>
        <v>8.3323214184526095E-2</v>
      </c>
      <c r="BA186" s="1">
        <f t="shared" si="418"/>
        <v>0.10415401773065761</v>
      </c>
      <c r="BB186" s="1">
        <f t="shared" si="418"/>
        <v>0.12498482127678913</v>
      </c>
      <c r="BC186" s="1">
        <f t="shared" si="418"/>
        <v>0.14581562482292065</v>
      </c>
      <c r="BD186" s="1"/>
      <c r="BE186">
        <f t="shared" ref="BE186" si="433">LN($D186)-LN($D186*(1+BA186/100))</f>
        <v>-1.040998150664052E-3</v>
      </c>
      <c r="BF186">
        <f t="shared" si="314"/>
        <v>-1.2490678026857438E-3</v>
      </c>
      <c r="BG186">
        <f t="shared" si="314"/>
        <v>-1.4570941707319207E-3</v>
      </c>
    </row>
    <row r="187" spans="1:59" x14ac:dyDescent="0.35">
      <c r="A187" t="str">
        <f>regions!A187</f>
        <v>Vietnam</v>
      </c>
      <c r="B187" s="22">
        <f>regions!B187</f>
        <v>86932500</v>
      </c>
      <c r="C187" s="22">
        <f>regions!C187</f>
        <v>78282167937.76619</v>
      </c>
      <c r="D187" s="10">
        <f>regions!D187</f>
        <v>900.49369266691042</v>
      </c>
      <c r="E187" s="1">
        <f>regions!X187</f>
        <v>24.4</v>
      </c>
      <c r="I187" s="7">
        <f t="shared" si="354"/>
        <v>-12.144112998688454</v>
      </c>
      <c r="J187" s="1">
        <f t="shared" si="355"/>
        <v>-11.624947948942344</v>
      </c>
      <c r="K187" s="1">
        <f t="shared" si="381"/>
        <v>-9.0421549307380165</v>
      </c>
      <c r="L187" s="1">
        <f t="shared" si="355"/>
        <v>-14.145805208738109</v>
      </c>
      <c r="M187" s="1">
        <f t="shared" si="308"/>
        <v>-12.842246072573769</v>
      </c>
      <c r="N187" s="1">
        <f t="shared" ref="N187" si="434">M187+M$2</f>
        <v>-12.457803182126748</v>
      </c>
      <c r="O187" s="1">
        <f t="shared" si="310"/>
        <v>3.096064451111721</v>
      </c>
      <c r="P187" s="1">
        <f t="shared" si="386"/>
        <v>-14.107753870156056</v>
      </c>
      <c r="Q187" s="1">
        <f t="shared" si="386"/>
        <v>-11.082408248036241</v>
      </c>
      <c r="R187" s="1">
        <f t="shared" si="386"/>
        <v>-11.040933593658361</v>
      </c>
      <c r="S187" s="1">
        <f>$M187+SUMPRODUCT(regions!BG187:BS187,regions!BG$193:BS$193)</f>
        <v>-4.056307572773779</v>
      </c>
      <c r="T187" s="1">
        <f>$M187+SUMPRODUCT(regions!BV187:CD187,regions!BV$193:CD$193)</f>
        <v>-12.55699531305558</v>
      </c>
      <c r="U187" s="1">
        <f>$M187+SUMPRODUCT(regions!CQ187:CV187,regions!CQ$193:CV$193)</f>
        <v>-9.1217605242916857</v>
      </c>
      <c r="V187" s="1">
        <f>$M187+SUMPRODUCT(regions!CY187:DF187,regions!CY$193:DF$193)</f>
        <v>-12.703608680253968</v>
      </c>
      <c r="W187" s="1">
        <f>$M187+SUMPRODUCT(regions!DI187:DP187,regions!DI$193:DP$193)</f>
        <v>-7.1986086802539697</v>
      </c>
      <c r="X187" s="1">
        <f>$M187+SUMPRODUCT(regions!DR187:DW187,regions!DR$193:DW$193)</f>
        <v>-7.0185844793386263</v>
      </c>
      <c r="Y187" s="1">
        <f>$M187+SUMPRODUCT(regions!DZ187:EE187,regions!DZ$193:EE$193)</f>
        <v>-6.5175965463538965</v>
      </c>
      <c r="Z187" s="1">
        <f t="shared" si="324"/>
        <v>-9.3621798901291164</v>
      </c>
      <c r="AF187" s="1">
        <f t="shared" si="383"/>
        <v>0.48775392742623147</v>
      </c>
      <c r="AG187" s="1"/>
      <c r="AH187" s="1">
        <f t="shared" si="311"/>
        <v>-4.6555774885150301E-2</v>
      </c>
      <c r="AI187" s="1">
        <f t="shared" si="418"/>
        <v>-4.3452056559473602E-2</v>
      </c>
      <c r="AJ187" s="1">
        <f t="shared" si="418"/>
        <v>-4.034833823379691E-2</v>
      </c>
      <c r="AK187" s="1">
        <f t="shared" si="418"/>
        <v>-3.4140901582443539E-2</v>
      </c>
      <c r="AL187" s="1">
        <f t="shared" si="418"/>
        <v>-3.1037183256766854E-2</v>
      </c>
      <c r="AM187" s="1">
        <f t="shared" si="418"/>
        <v>-2.7933464931090165E-2</v>
      </c>
      <c r="AN187" s="1">
        <f t="shared" si="418"/>
        <v>-2.482974660541348E-2</v>
      </c>
      <c r="AO187" s="1">
        <f t="shared" si="418"/>
        <v>-2.1726028279736791E-2</v>
      </c>
      <c r="AP187" s="1">
        <f t="shared" si="418"/>
        <v>-1.8622309954060109E-2</v>
      </c>
      <c r="AQ187" s="1">
        <f t="shared" si="418"/>
        <v>-1.5518591628383423E-2</v>
      </c>
      <c r="AR187" s="1">
        <f t="shared" si="418"/>
        <v>-1.2414873302706738E-2</v>
      </c>
      <c r="AS187" s="1">
        <f t="shared" si="418"/>
        <v>-9.3111549770300527E-3</v>
      </c>
      <c r="AT187" s="1">
        <f t="shared" si="418"/>
        <v>-6.2074366513533664E-3</v>
      </c>
      <c r="AU187" s="1">
        <f t="shared" si="418"/>
        <v>-3.1037183256766802E-3</v>
      </c>
      <c r="AV187" s="1">
        <f t="shared" si="418"/>
        <v>0</v>
      </c>
      <c r="AW187" s="1">
        <f t="shared" si="418"/>
        <v>3.1037183256766862E-3</v>
      </c>
      <c r="AX187" s="1">
        <f t="shared" si="418"/>
        <v>0</v>
      </c>
      <c r="AY187" s="1">
        <f t="shared" si="418"/>
        <v>9.3111549770300596E-3</v>
      </c>
      <c r="AZ187" s="1">
        <f t="shared" si="418"/>
        <v>1.2414873302706745E-2</v>
      </c>
      <c r="BA187" s="1">
        <f t="shared" si="418"/>
        <v>1.5518591628383429E-2</v>
      </c>
      <c r="BB187" s="1">
        <f t="shared" si="418"/>
        <v>1.8622309954060116E-2</v>
      </c>
      <c r="BC187" s="1">
        <f t="shared" si="418"/>
        <v>2.1726028279736801E-2</v>
      </c>
      <c r="BD187" s="1"/>
      <c r="BE187">
        <f t="shared" ref="BE187" si="435">LN($D187)-LN($D187*(1+BA187/100))</f>
        <v>-1.5517387619468082E-4</v>
      </c>
      <c r="BF187">
        <f t="shared" si="314"/>
        <v>-1.8620576217109885E-4</v>
      </c>
      <c r="BG187">
        <f t="shared" si="314"/>
        <v>-2.1723668519957329E-4</v>
      </c>
    </row>
    <row r="188" spans="1:59" x14ac:dyDescent="0.35">
      <c r="A188" t="str">
        <f>regions!A188</f>
        <v>Yemen</v>
      </c>
      <c r="B188" s="22">
        <f>regions!B188</f>
        <v>22763008</v>
      </c>
      <c r="C188" s="22">
        <f>regions!C188</f>
        <v>19989098341.112953</v>
      </c>
      <c r="D188" s="10">
        <f>regions!D188</f>
        <v>878.13958248017809</v>
      </c>
      <c r="E188" s="1">
        <f>regions!X188</f>
        <v>23.8</v>
      </c>
      <c r="I188" s="7">
        <f t="shared" si="354"/>
        <v>-11.845330531760807</v>
      </c>
      <c r="J188" s="1">
        <f t="shared" si="355"/>
        <v>-11.326165482014696</v>
      </c>
      <c r="K188" s="1">
        <f t="shared" si="381"/>
        <v>-8.8186707667258233</v>
      </c>
      <c r="L188" s="1">
        <f t="shared" si="355"/>
        <v>-13.922321044725916</v>
      </c>
      <c r="M188" s="1">
        <f t="shared" si="308"/>
        <v>-12.615401722103517</v>
      </c>
      <c r="N188" s="1">
        <f t="shared" ref="N188" si="436">M188+M$2</f>
        <v>-12.230958831656496</v>
      </c>
      <c r="O188" s="1">
        <f t="shared" si="310"/>
        <v>2.7815255605332121</v>
      </c>
      <c r="P188" s="1">
        <f t="shared" si="386"/>
        <v>-13.880909519685805</v>
      </c>
      <c r="Q188" s="1">
        <f t="shared" si="386"/>
        <v>-10.85556389756599</v>
      </c>
      <c r="R188" s="1">
        <f t="shared" si="386"/>
        <v>-10.814089243188109</v>
      </c>
      <c r="S188" s="1">
        <f>$M188+SUMPRODUCT(regions!BG188:BS188,regions!BG$193:BS$193)</f>
        <v>-3.8294632223035272</v>
      </c>
      <c r="T188" s="1">
        <f>$M188+SUMPRODUCT(regions!BV188:CD188,regions!BV$193:CD$193)</f>
        <v>-10.128422231819965</v>
      </c>
      <c r="U188" s="1">
        <f>$M188+SUMPRODUCT(regions!CQ188:CV188,regions!CQ$193:CV$193)</f>
        <v>-8.894916173821434</v>
      </c>
      <c r="V188" s="1">
        <f>$M188+SUMPRODUCT(regions!CY188:DF188,regions!CY$193:DF$193)</f>
        <v>-10.513824201277815</v>
      </c>
      <c r="W188" s="1">
        <f>$M188+SUMPRODUCT(regions!DI188:DP188,regions!DI$193:DP$193)</f>
        <v>-6.9147242012778154</v>
      </c>
      <c r="X188" s="1">
        <f>$M188+SUMPRODUCT(regions!DR188:DW188,regions!DR$193:DW$193)</f>
        <v>-6.7917401288683745</v>
      </c>
      <c r="Y188" s="1">
        <f>$M188+SUMPRODUCT(regions!DZ188:EE188,regions!DZ$193:EE$193)</f>
        <v>-6.2907521958836448</v>
      </c>
      <c r="Z188" s="1">
        <f t="shared" si="324"/>
        <v>-9.1353355396588647</v>
      </c>
      <c r="AF188" s="1">
        <f t="shared" si="383"/>
        <v>0.71459827789648322</v>
      </c>
      <c r="AG188" s="1"/>
      <c r="AH188" s="1">
        <f t="shared" si="311"/>
        <v>-6.8207911178934266E-2</v>
      </c>
      <c r="AI188" s="1">
        <f t="shared" si="418"/>
        <v>-6.3660717100338646E-2</v>
      </c>
      <c r="AJ188" s="1">
        <f t="shared" si="418"/>
        <v>-5.9113523021743011E-2</v>
      </c>
      <c r="AK188" s="1">
        <f t="shared" si="418"/>
        <v>-5.0019134864551777E-2</v>
      </c>
      <c r="AL188" s="1">
        <f t="shared" si="418"/>
        <v>-4.5471940785956157E-2</v>
      </c>
      <c r="AM188" s="1">
        <f t="shared" si="418"/>
        <v>-4.0924746707360543E-2</v>
      </c>
      <c r="AN188" s="1">
        <f t="shared" si="418"/>
        <v>-3.6377552628764923E-2</v>
      </c>
      <c r="AO188" s="1">
        <f t="shared" si="418"/>
        <v>-3.1830358550169302E-2</v>
      </c>
      <c r="AP188" s="1">
        <f t="shared" si="418"/>
        <v>-2.7283164471573692E-2</v>
      </c>
      <c r="AQ188" s="1">
        <f t="shared" si="418"/>
        <v>-2.2735970392978075E-2</v>
      </c>
      <c r="AR188" s="1">
        <f t="shared" si="418"/>
        <v>-1.8188776314382458E-2</v>
      </c>
      <c r="AS188" s="1">
        <f t="shared" si="418"/>
        <v>-1.3641582235786844E-2</v>
      </c>
      <c r="AT188" s="1">
        <f t="shared" si="418"/>
        <v>-9.0943881571912254E-3</v>
      </c>
      <c r="AU188" s="1">
        <f t="shared" si="418"/>
        <v>-4.5471940785956084E-3</v>
      </c>
      <c r="AV188" s="1">
        <f t="shared" si="418"/>
        <v>0</v>
      </c>
      <c r="AW188" s="1">
        <f t="shared" si="418"/>
        <v>4.5471940785956171E-3</v>
      </c>
      <c r="AX188" s="1">
        <f t="shared" si="418"/>
        <v>0</v>
      </c>
      <c r="AY188" s="1">
        <f t="shared" si="418"/>
        <v>1.3641582235786853E-2</v>
      </c>
      <c r="AZ188" s="1">
        <f t="shared" si="418"/>
        <v>1.8188776314382468E-2</v>
      </c>
      <c r="BA188" s="1">
        <f t="shared" si="418"/>
        <v>2.2735970392978085E-2</v>
      </c>
      <c r="BB188" s="1">
        <f t="shared" si="418"/>
        <v>2.7283164471573702E-2</v>
      </c>
      <c r="BC188" s="1">
        <f t="shared" si="418"/>
        <v>3.1830358550169323E-2</v>
      </c>
      <c r="BD188" s="1"/>
      <c r="BE188">
        <f t="shared" ref="BE188" si="437">LN($D188)-LN($D188*(1+BA188/100))</f>
        <v>-2.2733386162965274E-4</v>
      </c>
      <c r="BF188">
        <f t="shared" si="314"/>
        <v>-2.7279443293082295E-4</v>
      </c>
      <c r="BG188">
        <f t="shared" si="314"/>
        <v>-3.1825293766285512E-4</v>
      </c>
    </row>
    <row r="189" spans="1:59" x14ac:dyDescent="0.35">
      <c r="A189" t="str">
        <f>regions!A189</f>
        <v>Zambia</v>
      </c>
      <c r="B189" s="22">
        <f>regions!B189</f>
        <v>13216985</v>
      </c>
      <c r="C189" s="22">
        <f>regions!C189</f>
        <v>9799629000.3266487</v>
      </c>
      <c r="D189" s="10">
        <f>regions!D189</f>
        <v>741.44209139426641</v>
      </c>
      <c r="E189" s="1">
        <f>regions!X189</f>
        <v>21.4</v>
      </c>
      <c r="I189" s="7">
        <f t="shared" si="354"/>
        <v>-10.684284825184843</v>
      </c>
      <c r="J189" s="1">
        <f t="shared" si="355"/>
        <v>-10.165119775438733</v>
      </c>
      <c r="K189" s="1">
        <f t="shared" si="381"/>
        <v>-8.0309622039337931</v>
      </c>
      <c r="L189" s="1">
        <f t="shared" si="355"/>
        <v>-13.134612481933885</v>
      </c>
      <c r="M189" s="1">
        <f t="shared" si="308"/>
        <v>-11.82338433052497</v>
      </c>
      <c r="N189" s="1">
        <f t="shared" ref="N189" si="438">M189+M$2</f>
        <v>-11.438941440077949</v>
      </c>
      <c r="O189" s="1">
        <f t="shared" si="310"/>
        <v>2.9497185084486501</v>
      </c>
      <c r="P189" s="1">
        <f t="shared" si="386"/>
        <v>-13.088892128107258</v>
      </c>
      <c r="Q189" s="1">
        <f t="shared" si="386"/>
        <v>-10.063546505987443</v>
      </c>
      <c r="R189" s="1">
        <f t="shared" si="386"/>
        <v>-10.022071851609562</v>
      </c>
      <c r="S189" s="1">
        <f>$M189+SUMPRODUCT(regions!BG189:BS189,regions!BG$193:BS$193)</f>
        <v>-2.5682560240970211</v>
      </c>
      <c r="T189" s="1">
        <f>$M189+SUMPRODUCT(regions!BV189:CD189,regions!BV$193:CD$193)</f>
        <v>-10.178067010909286</v>
      </c>
      <c r="U189" s="1">
        <f>$M189+SUMPRODUCT(regions!CQ189:CV189,regions!CQ$193:CV$193)</f>
        <v>-8.1028987822428871</v>
      </c>
      <c r="V189" s="1">
        <f>$M189+SUMPRODUCT(regions!CY189:DF189,regions!CY$193:DF$193)</f>
        <v>-9.7218068096992685</v>
      </c>
      <c r="W189" s="1">
        <f>$M189+SUMPRODUCT(regions!DI189:DP189,regions!DI$193:DP$193)</f>
        <v>-6.1227068096992685</v>
      </c>
      <c r="X189" s="1">
        <f>$M189+SUMPRODUCT(regions!DR189:DW189,regions!DR$193:DW$193)</f>
        <v>-5.9997227372898276</v>
      </c>
      <c r="Y189" s="1">
        <f>$M189+SUMPRODUCT(regions!DZ189:EE189,regions!DZ$193:EE$193)</f>
        <v>-5.4987348043050979</v>
      </c>
      <c r="Z189" s="1">
        <f t="shared" si="324"/>
        <v>-9.6</v>
      </c>
      <c r="AA189" t="str">
        <f>Maddison!A89</f>
        <v>Zambia</v>
      </c>
      <c r="AB189">
        <f>-Maddison!B89</f>
        <v>-9.6</v>
      </c>
      <c r="AC189" s="1">
        <f>N189-AB189</f>
        <v>-1.8389414400779494</v>
      </c>
      <c r="AF189" s="1">
        <f t="shared" si="383"/>
        <v>1.5066156694750301</v>
      </c>
      <c r="AG189" s="1"/>
      <c r="AH189" s="1">
        <f t="shared" si="311"/>
        <v>-0.14380542319083187</v>
      </c>
      <c r="AI189" s="1">
        <f t="shared" si="418"/>
        <v>-0.13421839497810972</v>
      </c>
      <c r="AJ189" s="1">
        <f t="shared" si="418"/>
        <v>-0.12463136676538758</v>
      </c>
      <c r="AK189" s="1">
        <f t="shared" si="418"/>
        <v>-0.10545731033994332</v>
      </c>
      <c r="AL189" s="1">
        <f t="shared" si="418"/>
        <v>-9.5870282127221207E-2</v>
      </c>
      <c r="AM189" s="1">
        <f t="shared" si="418"/>
        <v>-8.6283253914499078E-2</v>
      </c>
      <c r="AN189" s="1">
        <f t="shared" si="418"/>
        <v>-7.6696225701776949E-2</v>
      </c>
      <c r="AO189" s="1">
        <f t="shared" si="418"/>
        <v>-6.7109197489054834E-2</v>
      </c>
      <c r="AP189" s="1">
        <f t="shared" si="418"/>
        <v>-5.7522169276332719E-2</v>
      </c>
      <c r="AQ189" s="1">
        <f t="shared" si="418"/>
        <v>-4.793514106361059E-2</v>
      </c>
      <c r="AR189" s="1">
        <f t="shared" si="418"/>
        <v>-3.8348112850888474E-2</v>
      </c>
      <c r="AS189" s="1">
        <f t="shared" si="418"/>
        <v>-2.8761084638166352E-2</v>
      </c>
      <c r="AT189" s="1">
        <f t="shared" si="418"/>
        <v>-1.9174056425444227E-2</v>
      </c>
      <c r="AU189" s="1">
        <f t="shared" si="418"/>
        <v>-9.5870282127221047E-3</v>
      </c>
      <c r="AV189" s="1">
        <f t="shared" si="418"/>
        <v>0</v>
      </c>
      <c r="AW189" s="1">
        <f t="shared" si="418"/>
        <v>9.5870282127221238E-3</v>
      </c>
      <c r="AX189" s="1">
        <f t="shared" si="418"/>
        <v>0</v>
      </c>
      <c r="AY189" s="1">
        <f t="shared" si="418"/>
        <v>2.8761084638166373E-2</v>
      </c>
      <c r="AZ189" s="1">
        <f t="shared" si="418"/>
        <v>3.8348112850888495E-2</v>
      </c>
      <c r="BA189" s="1">
        <f t="shared" si="418"/>
        <v>4.793514106361061E-2</v>
      </c>
      <c r="BB189" s="1">
        <f t="shared" si="418"/>
        <v>5.7522169276332739E-2</v>
      </c>
      <c r="BC189" s="1">
        <f t="shared" si="418"/>
        <v>6.7109197489054861E-2</v>
      </c>
      <c r="BD189" s="1"/>
      <c r="BE189">
        <f t="shared" ref="BE189" si="439">LN($D189)-LN($D189*(1+BA189/100))</f>
        <v>-4.7923655844961388E-4</v>
      </c>
      <c r="BF189">
        <f t="shared" si="314"/>
        <v>-5.7505631618059994E-4</v>
      </c>
      <c r="BG189">
        <f t="shared" si="314"/>
        <v>-6.7086689336548488E-4</v>
      </c>
    </row>
    <row r="190" spans="1:59" x14ac:dyDescent="0.35">
      <c r="A190" t="str">
        <f>regions!A190</f>
        <v>Zimbabwe</v>
      </c>
      <c r="B190" s="22">
        <f>regions!B190</f>
        <v>13076978</v>
      </c>
      <c r="C190" s="22">
        <f>regions!C190</f>
        <v>5202304268.4389067</v>
      </c>
      <c r="D190" s="10">
        <f>regions!D190</f>
        <v>397.82159673579832</v>
      </c>
      <c r="E190" s="1">
        <f>regions!X190</f>
        <v>21</v>
      </c>
      <c r="I190" s="7">
        <f t="shared" si="354"/>
        <v>-10.723146736870369</v>
      </c>
      <c r="J190" s="1">
        <f t="shared" si="355"/>
        <v>-10.203981687124259</v>
      </c>
      <c r="K190" s="1">
        <f t="shared" si="381"/>
        <v>-8.6261851167191885</v>
      </c>
      <c r="L190" s="1">
        <f t="shared" si="355"/>
        <v>-13.729835394719281</v>
      </c>
      <c r="M190" s="1">
        <f t="shared" si="308"/>
        <v>-12.690084798188765</v>
      </c>
      <c r="N190" s="1">
        <f t="shared" ref="N190" si="440">M190+M$2</f>
        <v>-12.305641907741744</v>
      </c>
      <c r="O190" s="1">
        <f t="shared" si="310"/>
        <v>2.9240879015750769</v>
      </c>
      <c r="P190" s="1">
        <f t="shared" si="386"/>
        <v>-13.955592595771053</v>
      </c>
      <c r="Q190" s="1">
        <f t="shared" si="386"/>
        <v>-10.930246973651238</v>
      </c>
      <c r="R190" s="1">
        <f t="shared" si="386"/>
        <v>-10.888772319273357</v>
      </c>
      <c r="S190" s="1">
        <f>$M190+SUMPRODUCT(regions!BG190:BS190,regions!BG$193:BS$193)</f>
        <v>-3.4349564917608166</v>
      </c>
      <c r="T190" s="1">
        <f>$M190+SUMPRODUCT(regions!BV190:CD190,regions!BV$193:CD$193)</f>
        <v>-11.044767478573082</v>
      </c>
      <c r="U190" s="1">
        <f>$M190+SUMPRODUCT(regions!CQ190:CV190,regions!CQ$193:CV$193)</f>
        <v>-8.9695992499066826</v>
      </c>
      <c r="V190" s="1">
        <f>$M190+SUMPRODUCT(regions!CY190:DF190,regions!CY$193:DF$193)</f>
        <v>-10.588507277363064</v>
      </c>
      <c r="W190" s="1">
        <f>$M190+SUMPRODUCT(regions!DI190:DP190,regions!DI$193:DP$193)</f>
        <v>-6.989407277363064</v>
      </c>
      <c r="X190" s="1">
        <f>$M190+SUMPRODUCT(regions!DR190:DW190,regions!DR$193:DW$193)</f>
        <v>-6.8664232049536231</v>
      </c>
      <c r="Y190" s="1">
        <f>$M190+SUMPRODUCT(regions!DZ190:EE190,regions!DZ$193:EE$193)</f>
        <v>-6.3654352719688934</v>
      </c>
      <c r="Z190" s="1">
        <f t="shared" si="324"/>
        <v>-9.6999999999999993</v>
      </c>
      <c r="AA190" t="str">
        <f>Maddison!A90</f>
        <v>Zimbabwe</v>
      </c>
      <c r="AB190">
        <f>-Maddison!B90</f>
        <v>-9.6999999999999993</v>
      </c>
      <c r="AC190" s="1">
        <f>N190-AB190</f>
        <v>-2.6056419077417452</v>
      </c>
      <c r="AF190" s="1">
        <f t="shared" si="383"/>
        <v>0.63991520181123462</v>
      </c>
      <c r="AG190" s="1"/>
      <c r="AH190" s="1">
        <f t="shared" si="311"/>
        <v>-6.1079463241462274E-2</v>
      </c>
      <c r="AI190" s="1">
        <f t="shared" si="418"/>
        <v>-5.7007499025364776E-2</v>
      </c>
      <c r="AJ190" s="1">
        <f t="shared" si="418"/>
        <v>-5.2935534809267284E-2</v>
      </c>
      <c r="AK190" s="1">
        <f t="shared" si="418"/>
        <v>-4.4791606377072316E-2</v>
      </c>
      <c r="AL190" s="1">
        <f t="shared" si="418"/>
        <v>-4.0719642160974831E-2</v>
      </c>
      <c r="AM190" s="1">
        <f t="shared" si="418"/>
        <v>-3.6647677944877347E-2</v>
      </c>
      <c r="AN190" s="1">
        <f t="shared" si="418"/>
        <v>-3.2575713728779862E-2</v>
      </c>
      <c r="AO190" s="1">
        <f t="shared" si="418"/>
        <v>-2.8503749512682374E-2</v>
      </c>
      <c r="AP190" s="1">
        <f t="shared" si="418"/>
        <v>-2.4431785296584897E-2</v>
      </c>
      <c r="AQ190" s="1">
        <f t="shared" si="418"/>
        <v>-2.0359821080487412E-2</v>
      </c>
      <c r="AR190" s="1">
        <f t="shared" si="418"/>
        <v>-1.6287856864389928E-2</v>
      </c>
      <c r="AS190" s="1">
        <f t="shared" si="418"/>
        <v>-1.2215892648292445E-2</v>
      </c>
      <c r="AT190" s="1">
        <f t="shared" si="418"/>
        <v>-8.1439284321949603E-3</v>
      </c>
      <c r="AU190" s="1">
        <f t="shared" si="418"/>
        <v>-4.0719642160974767E-3</v>
      </c>
      <c r="AV190" s="1">
        <f t="shared" ref="AV190:BC190" si="441">$AF190*AV$2</f>
        <v>0</v>
      </c>
      <c r="AW190" s="1">
        <f t="shared" si="441"/>
        <v>4.0719642160974845E-3</v>
      </c>
      <c r="AX190" s="1">
        <f t="shared" si="441"/>
        <v>0</v>
      </c>
      <c r="AY190" s="1">
        <f t="shared" si="441"/>
        <v>1.2215892648292453E-2</v>
      </c>
      <c r="AZ190" s="1">
        <f t="shared" si="441"/>
        <v>1.6287856864389938E-2</v>
      </c>
      <c r="BA190" s="1">
        <f t="shared" si="441"/>
        <v>2.0359821080487419E-2</v>
      </c>
      <c r="BB190" s="1">
        <f t="shared" si="441"/>
        <v>2.4431785296584903E-2</v>
      </c>
      <c r="BC190" s="1">
        <f t="shared" si="441"/>
        <v>2.8503749512682388E-2</v>
      </c>
      <c r="BD190" s="1"/>
      <c r="BE190">
        <f t="shared" ref="BE190" si="442">LN($D190)-LN($D190*(1+BA190/100))</f>
        <v>-2.035774875022156E-4</v>
      </c>
      <c r="BF190">
        <f t="shared" si="314"/>
        <v>-2.4428801221976215E-4</v>
      </c>
      <c r="BG190">
        <f t="shared" si="314"/>
        <v>-2.8499687965766185E-4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6990-DE2D-47D8-8A5C-4ACAE2684D4F}">
  <dimension ref="A1:F189"/>
  <sheetViews>
    <sheetView workbookViewId="0">
      <selection sqref="A1:F189"/>
    </sheetView>
  </sheetViews>
  <sheetFormatPr defaultRowHeight="14.5" x14ac:dyDescent="0.35"/>
  <sheetData>
    <row r="1" spans="1:6" x14ac:dyDescent="0.35">
      <c r="A1" t="s">
        <v>675</v>
      </c>
      <c r="B1" t="s">
        <v>323</v>
      </c>
      <c r="C1" t="s">
        <v>98</v>
      </c>
      <c r="D1" t="s">
        <v>619</v>
      </c>
      <c r="E1" t="s">
        <v>618</v>
      </c>
      <c r="F1" t="s">
        <v>634</v>
      </c>
    </row>
    <row r="2" spans="1:6" x14ac:dyDescent="0.35">
      <c r="A2" t="s">
        <v>382</v>
      </c>
      <c r="B2">
        <v>28397812</v>
      </c>
      <c r="C2">
        <v>10243250245.699793</v>
      </c>
      <c r="D2">
        <v>360.70561512625665</v>
      </c>
      <c r="E2">
        <v>12.6</v>
      </c>
      <c r="F2">
        <v>-8.7030729959466857</v>
      </c>
    </row>
    <row r="3" spans="1:6" x14ac:dyDescent="0.35">
      <c r="A3" t="s">
        <v>272</v>
      </c>
      <c r="B3">
        <v>3150143</v>
      </c>
      <c r="C3">
        <v>10725150216.110325</v>
      </c>
      <c r="D3">
        <v>3404.6550318859572</v>
      </c>
      <c r="E3">
        <v>11.4</v>
      </c>
      <c r="F3">
        <v>-4.3931142467177722</v>
      </c>
    </row>
    <row r="4" spans="1:6" x14ac:dyDescent="0.35">
      <c r="A4" t="s">
        <v>273</v>
      </c>
      <c r="B4">
        <v>37062820</v>
      </c>
      <c r="C4">
        <v>116511760871.08984</v>
      </c>
      <c r="D4">
        <v>3143.6291375316246</v>
      </c>
      <c r="E4">
        <v>22.5</v>
      </c>
      <c r="F4">
        <v>-9.5051321960945998</v>
      </c>
    </row>
    <row r="5" spans="1:6" x14ac:dyDescent="0.35">
      <c r="A5" t="s">
        <v>383</v>
      </c>
      <c r="B5">
        <v>19549124</v>
      </c>
      <c r="C5">
        <v>50371160616.47271</v>
      </c>
      <c r="D5">
        <v>2576.6454096087737</v>
      </c>
      <c r="E5">
        <v>21.5</v>
      </c>
      <c r="F5">
        <v>-9.3908404652708111</v>
      </c>
    </row>
    <row r="6" spans="1:6" x14ac:dyDescent="0.35">
      <c r="A6" t="s">
        <v>384</v>
      </c>
      <c r="B6">
        <v>87233</v>
      </c>
      <c r="C6">
        <v>1012173532.2035601</v>
      </c>
      <c r="D6">
        <v>11603.103552595465</v>
      </c>
      <c r="E6">
        <v>26</v>
      </c>
      <c r="F6">
        <v>-8.8805928602644837</v>
      </c>
    </row>
    <row r="7" spans="1:6" x14ac:dyDescent="0.35">
      <c r="A7" t="s">
        <v>144</v>
      </c>
      <c r="B7">
        <v>40374224</v>
      </c>
      <c r="C7">
        <v>293697869622.22595</v>
      </c>
      <c r="D7">
        <v>7274.3904532313973</v>
      </c>
      <c r="E7">
        <v>14.8</v>
      </c>
      <c r="F7">
        <v>-4.6422624579257805</v>
      </c>
    </row>
    <row r="8" spans="1:6" x14ac:dyDescent="0.35">
      <c r="A8" t="s">
        <v>240</v>
      </c>
      <c r="B8">
        <v>2963496</v>
      </c>
      <c r="C8">
        <v>5918216827.4621973</v>
      </c>
      <c r="D8">
        <v>1997.0389119682286</v>
      </c>
      <c r="E8">
        <v>7.1</v>
      </c>
      <c r="F8">
        <v>-3.3610570562054134</v>
      </c>
    </row>
    <row r="9" spans="1:6" x14ac:dyDescent="0.35">
      <c r="A9" t="s">
        <v>145</v>
      </c>
      <c r="B9">
        <v>22065300</v>
      </c>
      <c r="C9">
        <v>797442264201.02002</v>
      </c>
      <c r="D9">
        <v>36140.105242213795</v>
      </c>
      <c r="E9">
        <v>21.6</v>
      </c>
      <c r="F9">
        <v>-4.9983956862366643</v>
      </c>
    </row>
    <row r="10" spans="1:6" x14ac:dyDescent="0.35">
      <c r="A10" t="s">
        <v>146</v>
      </c>
      <c r="B10">
        <v>8389771</v>
      </c>
      <c r="C10">
        <v>325550262356.948</v>
      </c>
      <c r="D10">
        <v>38803.235792365253</v>
      </c>
      <c r="E10">
        <v>6.3</v>
      </c>
      <c r="F10">
        <v>1.982628388478733</v>
      </c>
    </row>
    <row r="11" spans="1:6" x14ac:dyDescent="0.35">
      <c r="A11" t="s">
        <v>241</v>
      </c>
      <c r="B11">
        <v>9054332</v>
      </c>
      <c r="C11">
        <v>28310397706.794827</v>
      </c>
      <c r="D11">
        <v>3126.7240594662121</v>
      </c>
      <c r="E11">
        <v>11.9</v>
      </c>
      <c r="F11">
        <v>-4.7604312206829258</v>
      </c>
    </row>
    <row r="12" spans="1:6" x14ac:dyDescent="0.35">
      <c r="A12" t="s">
        <v>147</v>
      </c>
      <c r="B12">
        <v>360498</v>
      </c>
      <c r="C12">
        <v>7575468595.4633093</v>
      </c>
      <c r="D12">
        <v>21013.899093651864</v>
      </c>
      <c r="E12">
        <v>24.8</v>
      </c>
      <c r="F12">
        <v>-7.3445352685387952</v>
      </c>
    </row>
    <row r="13" spans="1:6" x14ac:dyDescent="0.35">
      <c r="A13" t="s">
        <v>385</v>
      </c>
      <c r="B13">
        <v>1251513</v>
      </c>
      <c r="C13">
        <v>20928102319.771168</v>
      </c>
      <c r="D13">
        <v>16722.241255001882</v>
      </c>
      <c r="E13">
        <v>27.1</v>
      </c>
      <c r="F13">
        <v>-8.75984629328706</v>
      </c>
    </row>
    <row r="14" spans="1:6" x14ac:dyDescent="0.35">
      <c r="A14" t="s">
        <v>148</v>
      </c>
      <c r="B14">
        <v>151125475</v>
      </c>
      <c r="C14">
        <v>81471733197.377762</v>
      </c>
      <c r="D14">
        <v>539.09993134762863</v>
      </c>
      <c r="E14">
        <v>25</v>
      </c>
      <c r="F14">
        <v>-13.588902625765336</v>
      </c>
    </row>
    <row r="15" spans="1:6" x14ac:dyDescent="0.35">
      <c r="A15" t="s">
        <v>149</v>
      </c>
      <c r="B15">
        <v>280396</v>
      </c>
      <c r="C15">
        <v>4033125824.922358</v>
      </c>
      <c r="D15">
        <v>14383.678172735552</v>
      </c>
      <c r="E15">
        <v>26</v>
      </c>
      <c r="F15">
        <v>-8.5196476386069477</v>
      </c>
    </row>
    <row r="16" spans="1:6" x14ac:dyDescent="0.35">
      <c r="A16" t="s">
        <v>242</v>
      </c>
      <c r="B16">
        <v>9490000</v>
      </c>
      <c r="C16">
        <v>42955347353.866852</v>
      </c>
      <c r="D16">
        <v>4526.3801215876556</v>
      </c>
      <c r="E16">
        <v>6.2</v>
      </c>
      <c r="F16">
        <v>-1.5825922782995818</v>
      </c>
    </row>
    <row r="17" spans="1:6" x14ac:dyDescent="0.35">
      <c r="A17" t="s">
        <v>150</v>
      </c>
      <c r="B17">
        <v>10895586</v>
      </c>
      <c r="C17">
        <v>400383139123.5824</v>
      </c>
      <c r="D17">
        <v>36747.279047091397</v>
      </c>
      <c r="E17">
        <v>9.6</v>
      </c>
      <c r="F17">
        <v>0.41121426930730531</v>
      </c>
    </row>
    <row r="18" spans="1:6" x14ac:dyDescent="0.35">
      <c r="A18" t="s">
        <v>386</v>
      </c>
      <c r="B18">
        <v>308595</v>
      </c>
      <c r="C18">
        <v>1277265951.2394526</v>
      </c>
      <c r="D18">
        <v>4138.971633498445</v>
      </c>
      <c r="E18">
        <v>25.3</v>
      </c>
      <c r="F18">
        <v>-10.298668154725755</v>
      </c>
    </row>
    <row r="19" spans="1:6" x14ac:dyDescent="0.35">
      <c r="A19" t="s">
        <v>151</v>
      </c>
      <c r="B19">
        <v>9509798</v>
      </c>
      <c r="C19">
        <v>5230812507.6709518</v>
      </c>
      <c r="D19">
        <v>550.04454433952765</v>
      </c>
      <c r="E19">
        <v>27.5</v>
      </c>
      <c r="F19">
        <v>-14.676303245086567</v>
      </c>
    </row>
    <row r="20" spans="1:6" x14ac:dyDescent="0.35">
      <c r="A20" t="s">
        <v>387</v>
      </c>
      <c r="B20">
        <v>65124</v>
      </c>
      <c r="C20">
        <v>4975071875.076025</v>
      </c>
      <c r="D20">
        <v>76393.831384374804</v>
      </c>
      <c r="E20">
        <v>21.3</v>
      </c>
      <c r="F20">
        <v>-3.6062201937020273</v>
      </c>
    </row>
    <row r="21" spans="1:6" x14ac:dyDescent="0.35">
      <c r="A21" t="s">
        <v>388</v>
      </c>
      <c r="B21">
        <v>716939</v>
      </c>
      <c r="C21">
        <v>1288216614.4579239</v>
      </c>
      <c r="D21">
        <v>1796.8287601287193</v>
      </c>
      <c r="E21">
        <v>7.4</v>
      </c>
      <c r="F21">
        <v>-3.6730985845785291</v>
      </c>
    </row>
    <row r="22" spans="1:6" x14ac:dyDescent="0.35">
      <c r="A22" t="s">
        <v>152</v>
      </c>
      <c r="B22">
        <v>10156601</v>
      </c>
      <c r="C22">
        <v>11954060130.08857</v>
      </c>
      <c r="D22">
        <v>1176.9744750324021</v>
      </c>
      <c r="E22">
        <v>21.5</v>
      </c>
      <c r="F22">
        <v>-10.707354195501219</v>
      </c>
    </row>
    <row r="23" spans="1:6" x14ac:dyDescent="0.35">
      <c r="A23" t="s">
        <v>274</v>
      </c>
      <c r="B23">
        <v>3845929</v>
      </c>
      <c r="C23">
        <v>12803068421.085346</v>
      </c>
      <c r="D23">
        <v>3328.9924023780331</v>
      </c>
      <c r="E23">
        <v>9.8000000000000007</v>
      </c>
      <c r="F23">
        <v>-3.7133263953766082</v>
      </c>
    </row>
    <row r="24" spans="1:6" x14ac:dyDescent="0.35">
      <c r="A24" t="s">
        <v>154</v>
      </c>
      <c r="B24">
        <v>1969341</v>
      </c>
      <c r="C24">
        <v>12116816308.861942</v>
      </c>
      <c r="D24">
        <v>6152.7263733715708</v>
      </c>
      <c r="E24">
        <v>21.5</v>
      </c>
      <c r="F24">
        <v>-7.9283739664116251</v>
      </c>
    </row>
    <row r="25" spans="1:6" x14ac:dyDescent="0.35">
      <c r="A25" t="s">
        <v>155</v>
      </c>
      <c r="B25">
        <v>195210154</v>
      </c>
      <c r="C25">
        <v>1096754010432.5254</v>
      </c>
      <c r="D25">
        <v>5618.3246002281494</v>
      </c>
      <c r="E25">
        <v>24.9</v>
      </c>
      <c r="F25">
        <v>-9.6058320557725416</v>
      </c>
    </row>
    <row r="26" spans="1:6" x14ac:dyDescent="0.35">
      <c r="A26" t="s">
        <v>389</v>
      </c>
      <c r="B26">
        <v>400569</v>
      </c>
      <c r="C26">
        <v>9849702194.2507877</v>
      </c>
      <c r="D26">
        <v>24589.277238754839</v>
      </c>
      <c r="E26">
        <v>26.9</v>
      </c>
      <c r="F26">
        <v>-8.0223127486970682</v>
      </c>
    </row>
    <row r="27" spans="1:6" x14ac:dyDescent="0.35">
      <c r="A27" t="s">
        <v>244</v>
      </c>
      <c r="B27">
        <v>7534289</v>
      </c>
      <c r="C27">
        <v>32991740544.129009</v>
      </c>
      <c r="D27">
        <v>4378.8790878779682</v>
      </c>
      <c r="E27">
        <v>10.5</v>
      </c>
      <c r="F27">
        <v>-3.5666696227187185</v>
      </c>
    </row>
    <row r="28" spans="1:6" x14ac:dyDescent="0.35">
      <c r="A28" t="s">
        <v>275</v>
      </c>
      <c r="B28">
        <v>15540284</v>
      </c>
      <c r="C28">
        <v>7105465610.4591045</v>
      </c>
      <c r="D28">
        <v>457.22881322240346</v>
      </c>
      <c r="E28">
        <v>28.2</v>
      </c>
      <c r="F28">
        <v>-15.300759383274706</v>
      </c>
    </row>
    <row r="29" spans="1:6" x14ac:dyDescent="0.35">
      <c r="A29" t="s">
        <v>390</v>
      </c>
      <c r="B29">
        <v>9232753</v>
      </c>
      <c r="C29">
        <v>1391766915.34813</v>
      </c>
      <c r="D29">
        <v>150.74235337478757</v>
      </c>
      <c r="E29">
        <v>19.7</v>
      </c>
      <c r="F29">
        <v>-13.35316229387262</v>
      </c>
    </row>
    <row r="30" spans="1:6" x14ac:dyDescent="0.35">
      <c r="A30" t="s">
        <v>391</v>
      </c>
      <c r="B30">
        <v>18976588</v>
      </c>
      <c r="C30">
        <v>18173099407.3027</v>
      </c>
      <c r="D30">
        <v>957.65895361709386</v>
      </c>
      <c r="E30">
        <v>26.3</v>
      </c>
      <c r="F30">
        <v>-13.206477882948194</v>
      </c>
    </row>
    <row r="31" spans="1:6" x14ac:dyDescent="0.35">
      <c r="A31" t="s">
        <v>392</v>
      </c>
      <c r="B31">
        <v>14364931</v>
      </c>
      <c r="C31">
        <v>8693197235.5684757</v>
      </c>
      <c r="D31">
        <v>605.16804679176505</v>
      </c>
      <c r="E31">
        <v>26.8</v>
      </c>
      <c r="F31">
        <v>-14.201903966227993</v>
      </c>
    </row>
    <row r="32" spans="1:6" x14ac:dyDescent="0.35">
      <c r="A32" t="s">
        <v>156</v>
      </c>
      <c r="B32">
        <v>20624343</v>
      </c>
      <c r="C32">
        <v>19209829592.645119</v>
      </c>
      <c r="D32">
        <v>931.41534703166633</v>
      </c>
      <c r="E32">
        <v>24.6</v>
      </c>
      <c r="F32">
        <v>-12.490769284347017</v>
      </c>
    </row>
    <row r="33" spans="1:6" x14ac:dyDescent="0.35">
      <c r="A33" t="s">
        <v>157</v>
      </c>
      <c r="B33">
        <v>34126547</v>
      </c>
      <c r="C33">
        <v>1240064039807.2598</v>
      </c>
      <c r="D33">
        <v>36337.22567382102</v>
      </c>
      <c r="E33">
        <v>-5.4</v>
      </c>
      <c r="F33">
        <v>7.1193798483696042</v>
      </c>
    </row>
    <row r="34" spans="1:6" x14ac:dyDescent="0.35">
      <c r="A34" t="s">
        <v>393</v>
      </c>
      <c r="B34">
        <v>487601</v>
      </c>
      <c r="C34">
        <v>1291490221.8474941</v>
      </c>
      <c r="D34">
        <v>2648.6619630548216</v>
      </c>
      <c r="E34">
        <v>23.3</v>
      </c>
      <c r="F34">
        <v>-10.151765744749229</v>
      </c>
    </row>
    <row r="35" spans="1:6" x14ac:dyDescent="0.35">
      <c r="A35" t="s">
        <v>394</v>
      </c>
      <c r="B35">
        <v>4349921</v>
      </c>
      <c r="C35">
        <v>1895403784.9660907</v>
      </c>
      <c r="D35">
        <v>435.73292134870741</v>
      </c>
      <c r="E35">
        <v>24.9</v>
      </c>
      <c r="F35">
        <v>-13.901724590260841</v>
      </c>
    </row>
    <row r="36" spans="1:6" x14ac:dyDescent="0.35">
      <c r="A36" t="s">
        <v>395</v>
      </c>
      <c r="B36">
        <v>11720781</v>
      </c>
      <c r="C36">
        <v>8425171572.2620554</v>
      </c>
      <c r="D36">
        <v>718.82339344639706</v>
      </c>
      <c r="E36">
        <v>26.5</v>
      </c>
      <c r="F36">
        <v>-13.778183435063328</v>
      </c>
    </row>
    <row r="37" spans="1:6" x14ac:dyDescent="0.35">
      <c r="A37" t="s">
        <v>158</v>
      </c>
      <c r="B37">
        <v>17150760</v>
      </c>
      <c r="C37">
        <v>147668421646.38379</v>
      </c>
      <c r="D37">
        <v>8610.0220425441075</v>
      </c>
      <c r="E37">
        <v>8.5</v>
      </c>
      <c r="F37">
        <v>-1.5336863416526028</v>
      </c>
    </row>
    <row r="38" spans="1:6" x14ac:dyDescent="0.35">
      <c r="A38" t="s">
        <v>91</v>
      </c>
      <c r="B38">
        <v>1337705000</v>
      </c>
      <c r="C38">
        <v>3839284159376.0742</v>
      </c>
      <c r="D38">
        <v>2870.0529334764196</v>
      </c>
      <c r="E38">
        <v>6.9</v>
      </c>
      <c r="F38">
        <v>-2.6620102076749639</v>
      </c>
    </row>
    <row r="39" spans="1:6" x14ac:dyDescent="0.35">
      <c r="A39" t="s">
        <v>159</v>
      </c>
      <c r="B39">
        <v>46444798</v>
      </c>
      <c r="C39">
        <v>182893446717.7428</v>
      </c>
      <c r="D39">
        <v>3937.8672013546661</v>
      </c>
      <c r="E39">
        <v>24.5</v>
      </c>
      <c r="F39">
        <v>-10.023581825762429</v>
      </c>
    </row>
    <row r="40" spans="1:6" x14ac:dyDescent="0.35">
      <c r="A40" t="s">
        <v>396</v>
      </c>
      <c r="B40">
        <v>683081</v>
      </c>
      <c r="C40">
        <v>413107576.03941357</v>
      </c>
      <c r="D40">
        <v>604.77099500559018</v>
      </c>
      <c r="E40">
        <v>25.6</v>
      </c>
      <c r="F40">
        <v>-13.664845116668387</v>
      </c>
    </row>
    <row r="41" spans="1:6" x14ac:dyDescent="0.35">
      <c r="A41" t="s">
        <v>397</v>
      </c>
      <c r="B41">
        <v>62191161</v>
      </c>
      <c r="C41">
        <v>15665220568.04055</v>
      </c>
      <c r="D41">
        <v>251.88821556234575</v>
      </c>
      <c r="E41">
        <v>24</v>
      </c>
      <c r="F41">
        <v>-14.41893255052087</v>
      </c>
    </row>
    <row r="42" spans="1:6" x14ac:dyDescent="0.35">
      <c r="A42" t="s">
        <v>398</v>
      </c>
      <c r="B42">
        <v>4111715</v>
      </c>
      <c r="C42">
        <v>7852666838.4847937</v>
      </c>
      <c r="D42">
        <v>1909.827611710635</v>
      </c>
      <c r="E42">
        <v>24.5</v>
      </c>
      <c r="F42">
        <v>-11.239425929203009</v>
      </c>
    </row>
    <row r="43" spans="1:6" x14ac:dyDescent="0.35">
      <c r="A43" t="s">
        <v>161</v>
      </c>
      <c r="B43">
        <v>4669685</v>
      </c>
      <c r="C43">
        <v>25017792422.605213</v>
      </c>
      <c r="D43">
        <v>5357.4903708933716</v>
      </c>
      <c r="E43">
        <v>24.8</v>
      </c>
      <c r="F43">
        <v>-9.6408588344027351</v>
      </c>
    </row>
    <row r="44" spans="1:6" x14ac:dyDescent="0.35">
      <c r="A44" t="s">
        <v>245</v>
      </c>
      <c r="B44">
        <v>4417800</v>
      </c>
      <c r="C44">
        <v>45872253522.123985</v>
      </c>
      <c r="D44">
        <v>10383.506161918598</v>
      </c>
      <c r="E44">
        <v>10.9</v>
      </c>
      <c r="F44">
        <v>-2.2953201162743531</v>
      </c>
    </row>
    <row r="45" spans="1:6" x14ac:dyDescent="0.35">
      <c r="A45" t="s">
        <v>399</v>
      </c>
      <c r="B45">
        <v>11281768</v>
      </c>
      <c r="C45">
        <v>55436887630.693001</v>
      </c>
      <c r="D45">
        <v>4913.8475131462556</v>
      </c>
      <c r="E45">
        <v>25.2</v>
      </c>
      <c r="F45">
        <v>-9.9654807128137435</v>
      </c>
    </row>
    <row r="46" spans="1:6" x14ac:dyDescent="0.35">
      <c r="A46" t="s">
        <v>276</v>
      </c>
      <c r="B46">
        <v>1103685</v>
      </c>
      <c r="C46">
        <v>19207097486.442326</v>
      </c>
      <c r="D46">
        <v>17402.698674388368</v>
      </c>
      <c r="E46">
        <v>18.399999999999999</v>
      </c>
      <c r="F46">
        <v>-4.7911584330318959</v>
      </c>
    </row>
    <row r="47" spans="1:6" x14ac:dyDescent="0.35">
      <c r="A47" t="s">
        <v>277</v>
      </c>
      <c r="B47">
        <v>10519792</v>
      </c>
      <c r="C47">
        <v>148480783612.59024</v>
      </c>
      <c r="D47">
        <v>14114.421997373165</v>
      </c>
      <c r="E47">
        <v>7.5</v>
      </c>
      <c r="F47">
        <v>-0.25474055381616112</v>
      </c>
    </row>
    <row r="48" spans="1:6" x14ac:dyDescent="0.35">
      <c r="A48" t="s">
        <v>162</v>
      </c>
      <c r="B48">
        <v>5547683</v>
      </c>
      <c r="C48">
        <v>256817427641.90231</v>
      </c>
      <c r="D48">
        <v>46292.736560813282</v>
      </c>
      <c r="E48">
        <v>7.5</v>
      </c>
      <c r="F48">
        <v>1.7409926539734693</v>
      </c>
    </row>
    <row r="49" spans="1:6" x14ac:dyDescent="0.35">
      <c r="A49" t="s">
        <v>400</v>
      </c>
      <c r="B49">
        <v>834036</v>
      </c>
      <c r="C49">
        <v>905664174.69392717</v>
      </c>
      <c r="D49">
        <v>1085.8813944409201</v>
      </c>
      <c r="E49">
        <v>28</v>
      </c>
      <c r="F49">
        <v>-13.757745746026977</v>
      </c>
    </row>
    <row r="50" spans="1:6" x14ac:dyDescent="0.35">
      <c r="A50" t="s">
        <v>163</v>
      </c>
      <c r="B50">
        <v>71167</v>
      </c>
      <c r="C50">
        <v>452332573.93279916</v>
      </c>
      <c r="D50">
        <v>6355.9314560512476</v>
      </c>
      <c r="E50">
        <v>22.3</v>
      </c>
      <c r="F50">
        <v>-8.2325530203447244</v>
      </c>
    </row>
    <row r="51" spans="1:6" x14ac:dyDescent="0.35">
      <c r="A51" t="s">
        <v>248</v>
      </c>
      <c r="B51">
        <v>10016797</v>
      </c>
      <c r="C51">
        <v>47848657632.10955</v>
      </c>
      <c r="D51">
        <v>4776.8421015330105</v>
      </c>
      <c r="E51">
        <v>24.5</v>
      </c>
      <c r="F51">
        <v>-9.6990653561815527</v>
      </c>
    </row>
    <row r="52" spans="1:6" x14ac:dyDescent="0.35">
      <c r="A52" t="s">
        <v>164</v>
      </c>
      <c r="B52">
        <v>15001072</v>
      </c>
      <c r="C52">
        <v>48764673104.869774</v>
      </c>
      <c r="D52">
        <v>3250.7458870185928</v>
      </c>
      <c r="E52">
        <v>21.8</v>
      </c>
      <c r="F52">
        <v>-9.1349065306859369</v>
      </c>
    </row>
    <row r="53" spans="1:6" x14ac:dyDescent="0.35">
      <c r="A53" t="s">
        <v>165</v>
      </c>
      <c r="B53">
        <v>78075705</v>
      </c>
      <c r="C53">
        <v>121036124473.08067</v>
      </c>
      <c r="D53">
        <v>1550.2405578416574</v>
      </c>
      <c r="E53">
        <v>22.1</v>
      </c>
      <c r="F53">
        <v>-10.51359934873541</v>
      </c>
    </row>
    <row r="54" spans="1:6" x14ac:dyDescent="0.35">
      <c r="A54" t="s">
        <v>166</v>
      </c>
      <c r="B54">
        <v>6218195</v>
      </c>
      <c r="C54">
        <v>18341273339.874924</v>
      </c>
      <c r="D54">
        <v>2949.613728722712</v>
      </c>
      <c r="E54">
        <v>24.4</v>
      </c>
      <c r="F54">
        <v>-10.464256967098899</v>
      </c>
    </row>
    <row r="55" spans="1:6" x14ac:dyDescent="0.35">
      <c r="A55" t="s">
        <v>401</v>
      </c>
      <c r="B55">
        <v>696167</v>
      </c>
      <c r="C55">
        <v>8071655046.0093536</v>
      </c>
      <c r="D55">
        <v>11594.42353057435</v>
      </c>
      <c r="E55">
        <v>24.5</v>
      </c>
      <c r="F55">
        <v>-8.2091482581266302</v>
      </c>
    </row>
    <row r="56" spans="1:6" x14ac:dyDescent="0.35">
      <c r="A56" t="s">
        <v>402</v>
      </c>
      <c r="B56">
        <v>5741159</v>
      </c>
      <c r="C56">
        <v>1056636372.397827</v>
      </c>
      <c r="D56">
        <v>184.04582983990289</v>
      </c>
      <c r="E56">
        <v>25.5</v>
      </c>
      <c r="F56">
        <v>-15.618885453700832</v>
      </c>
    </row>
    <row r="57" spans="1:6" x14ac:dyDescent="0.35">
      <c r="A57" t="s">
        <v>249</v>
      </c>
      <c r="B57">
        <v>1340161</v>
      </c>
      <c r="C57">
        <v>13897254466.99498</v>
      </c>
      <c r="D57">
        <v>10369.839494653985</v>
      </c>
      <c r="E57">
        <v>5.0999999999999996</v>
      </c>
      <c r="F57">
        <v>0.30358135143954423</v>
      </c>
    </row>
    <row r="58" spans="1:6" x14ac:dyDescent="0.35">
      <c r="A58" t="s">
        <v>167</v>
      </c>
      <c r="B58">
        <v>87095281</v>
      </c>
      <c r="C58">
        <v>20402844449.621059</v>
      </c>
      <c r="D58">
        <v>234.25889686975188</v>
      </c>
      <c r="E58">
        <v>22.2</v>
      </c>
      <c r="F58">
        <v>-13.73360366684371</v>
      </c>
    </row>
    <row r="59" spans="1:6" x14ac:dyDescent="0.35">
      <c r="A59" t="s">
        <v>403</v>
      </c>
      <c r="B59">
        <v>860559</v>
      </c>
      <c r="C59">
        <v>3032066121.2225323</v>
      </c>
      <c r="D59">
        <v>3523.3680912320156</v>
      </c>
      <c r="E59">
        <v>24.4</v>
      </c>
      <c r="F59">
        <v>-10.165611142544879</v>
      </c>
    </row>
    <row r="60" spans="1:6" x14ac:dyDescent="0.35">
      <c r="A60" t="s">
        <v>168</v>
      </c>
      <c r="B60">
        <v>5363352</v>
      </c>
      <c r="C60">
        <v>204154134528.24445</v>
      </c>
      <c r="D60">
        <v>38064.653322818347</v>
      </c>
      <c r="E60">
        <v>1.7</v>
      </c>
      <c r="F60">
        <v>4.0132917147457023</v>
      </c>
    </row>
    <row r="61" spans="1:6" x14ac:dyDescent="0.35">
      <c r="A61" t="s">
        <v>169</v>
      </c>
      <c r="B61">
        <v>65031235</v>
      </c>
      <c r="C61">
        <v>2204446339914.4404</v>
      </c>
      <c r="D61">
        <v>33898.26965325878</v>
      </c>
      <c r="E61">
        <v>10.7</v>
      </c>
      <c r="F61">
        <v>-0.21769383553694088</v>
      </c>
    </row>
    <row r="62" spans="1:6" x14ac:dyDescent="0.35">
      <c r="A62" t="s">
        <v>404</v>
      </c>
      <c r="B62">
        <v>1556222</v>
      </c>
      <c r="C62">
        <v>9684595588.4366875</v>
      </c>
      <c r="D62">
        <v>6223.1452764687092</v>
      </c>
      <c r="E62">
        <v>25</v>
      </c>
      <c r="F62">
        <v>-9.4788909177372247</v>
      </c>
    </row>
    <row r="63" spans="1:6" x14ac:dyDescent="0.35">
      <c r="A63" t="s">
        <v>405</v>
      </c>
      <c r="B63">
        <v>1680640</v>
      </c>
      <c r="C63">
        <v>784275580.67721629</v>
      </c>
      <c r="D63">
        <v>466.6529302392043</v>
      </c>
      <c r="E63">
        <v>27.5</v>
      </c>
      <c r="F63">
        <v>-14.952552407152282</v>
      </c>
    </row>
    <row r="64" spans="1:6" x14ac:dyDescent="0.35">
      <c r="A64" t="s">
        <v>250</v>
      </c>
      <c r="B64">
        <v>4452800</v>
      </c>
      <c r="C64">
        <v>8241335082.6298161</v>
      </c>
      <c r="D64">
        <v>1850.8208503929698</v>
      </c>
      <c r="E64">
        <v>5.8</v>
      </c>
      <c r="F64">
        <v>-2.9058056008680673</v>
      </c>
    </row>
    <row r="65" spans="1:6" x14ac:dyDescent="0.35">
      <c r="A65" t="s">
        <v>170</v>
      </c>
      <c r="B65">
        <v>81776930</v>
      </c>
      <c r="C65">
        <v>2954359050887.9268</v>
      </c>
      <c r="D65">
        <v>36127.047700224583</v>
      </c>
      <c r="E65">
        <v>8.4</v>
      </c>
      <c r="F65">
        <v>0.920774738526146</v>
      </c>
    </row>
    <row r="66" spans="1:6" x14ac:dyDescent="0.35">
      <c r="A66" t="s">
        <v>252</v>
      </c>
      <c r="B66">
        <v>24262901</v>
      </c>
      <c r="C66">
        <v>14804825656.667994</v>
      </c>
      <c r="D66">
        <v>610.18365679635724</v>
      </c>
      <c r="E66">
        <v>27.2</v>
      </c>
      <c r="F66">
        <v>-14.367423039160807</v>
      </c>
    </row>
    <row r="67" spans="1:6" x14ac:dyDescent="0.35">
      <c r="A67" t="s">
        <v>171</v>
      </c>
      <c r="B67">
        <v>11307502</v>
      </c>
      <c r="C67">
        <v>240951131470.42734</v>
      </c>
      <c r="D67">
        <v>21308.962091753539</v>
      </c>
      <c r="E67">
        <v>15.4</v>
      </c>
      <c r="F67">
        <v>-3.1055077927263417</v>
      </c>
    </row>
    <row r="68" spans="1:6" x14ac:dyDescent="0.35">
      <c r="A68" t="s">
        <v>172</v>
      </c>
      <c r="B68">
        <v>104677</v>
      </c>
      <c r="C68">
        <v>664521216.22512019</v>
      </c>
      <c r="D68">
        <v>6348.3020742390418</v>
      </c>
      <c r="E68">
        <v>26.6</v>
      </c>
      <c r="F68">
        <v>-10.162983482296305</v>
      </c>
    </row>
    <row r="69" spans="1:6" x14ac:dyDescent="0.35">
      <c r="A69" t="s">
        <v>173</v>
      </c>
      <c r="B69">
        <v>14341576</v>
      </c>
      <c r="C69">
        <v>32556756308.965832</v>
      </c>
      <c r="D69">
        <v>2270.0961392922113</v>
      </c>
      <c r="E69">
        <v>23.4</v>
      </c>
      <c r="F69">
        <v>-10.455755382647279</v>
      </c>
    </row>
    <row r="70" spans="1:6" x14ac:dyDescent="0.35">
      <c r="A70" t="s">
        <v>406</v>
      </c>
      <c r="B70">
        <v>10876033</v>
      </c>
      <c r="C70">
        <v>3267609254.7415366</v>
      </c>
      <c r="D70">
        <v>300.44127805988973</v>
      </c>
      <c r="E70">
        <v>25.7</v>
      </c>
      <c r="F70">
        <v>-14.885162707673272</v>
      </c>
    </row>
    <row r="71" spans="1:6" x14ac:dyDescent="0.35">
      <c r="A71" t="s">
        <v>407</v>
      </c>
      <c r="B71">
        <v>1586624</v>
      </c>
      <c r="C71">
        <v>654977405.69626474</v>
      </c>
      <c r="D71">
        <v>412.81198676955898</v>
      </c>
      <c r="E71">
        <v>26.7</v>
      </c>
      <c r="F71">
        <v>-14.799760898722798</v>
      </c>
    </row>
    <row r="72" spans="1:6" x14ac:dyDescent="0.35">
      <c r="A72" t="s">
        <v>408</v>
      </c>
      <c r="B72">
        <v>786126</v>
      </c>
      <c r="C72">
        <v>918902044.7624557</v>
      </c>
      <c r="D72">
        <v>1168.8991901583915</v>
      </c>
      <c r="E72">
        <v>25.9</v>
      </c>
      <c r="F72">
        <v>-12.692181135224542</v>
      </c>
    </row>
    <row r="73" spans="1:6" x14ac:dyDescent="0.35">
      <c r="A73" t="s">
        <v>409</v>
      </c>
      <c r="B73">
        <v>9896400</v>
      </c>
      <c r="C73">
        <v>4312557777.9740305</v>
      </c>
      <c r="D73">
        <v>435.77035871367673</v>
      </c>
      <c r="E73">
        <v>24.8</v>
      </c>
      <c r="F73">
        <v>-13.85673343593316</v>
      </c>
    </row>
    <row r="74" spans="1:6" x14ac:dyDescent="0.35">
      <c r="A74" t="s">
        <v>174</v>
      </c>
      <c r="B74">
        <v>7621204</v>
      </c>
      <c r="C74">
        <v>11546063422.563662</v>
      </c>
      <c r="D74">
        <v>1514.9920435883439</v>
      </c>
      <c r="E74">
        <v>23.5</v>
      </c>
      <c r="F74">
        <v>-11.180099261634762</v>
      </c>
    </row>
    <row r="75" spans="1:6" x14ac:dyDescent="0.35">
      <c r="A75" t="s">
        <v>175</v>
      </c>
      <c r="B75">
        <v>7024200</v>
      </c>
      <c r="C75">
        <v>220058248223.22446</v>
      </c>
      <c r="D75">
        <v>31328.585208738998</v>
      </c>
      <c r="E75">
        <v>22.7</v>
      </c>
      <c r="F75">
        <v>-5.7317658710928843</v>
      </c>
    </row>
    <row r="76" spans="1:6" x14ac:dyDescent="0.35">
      <c r="A76" t="s">
        <v>176</v>
      </c>
      <c r="B76">
        <v>10000023</v>
      </c>
      <c r="C76">
        <v>109264940823.83978</v>
      </c>
      <c r="D76">
        <v>10926.468951505391</v>
      </c>
      <c r="E76">
        <v>9.8000000000000007</v>
      </c>
      <c r="F76">
        <v>-1.716365703960083</v>
      </c>
    </row>
    <row r="77" spans="1:6" x14ac:dyDescent="0.35">
      <c r="A77" t="s">
        <v>177</v>
      </c>
      <c r="B77">
        <v>318041</v>
      </c>
      <c r="C77">
        <v>16388138908.052595</v>
      </c>
      <c r="D77">
        <v>51528.384416011126</v>
      </c>
      <c r="E77">
        <v>1.7</v>
      </c>
      <c r="F77">
        <v>4.5221377556782993</v>
      </c>
    </row>
    <row r="78" spans="1:6" x14ac:dyDescent="0.35">
      <c r="A78" t="s">
        <v>178</v>
      </c>
      <c r="B78">
        <v>1205624648</v>
      </c>
      <c r="C78">
        <v>1243675499465.8105</v>
      </c>
      <c r="D78">
        <v>1031.5611094455749</v>
      </c>
      <c r="E78">
        <v>23.7</v>
      </c>
      <c r="F78">
        <v>-11.915559551167451</v>
      </c>
    </row>
    <row r="79" spans="1:6" x14ac:dyDescent="0.35">
      <c r="A79" t="s">
        <v>179</v>
      </c>
      <c r="B79">
        <v>240676485</v>
      </c>
      <c r="C79">
        <v>377898889669.60541</v>
      </c>
      <c r="D79">
        <v>1570.1529365014842</v>
      </c>
      <c r="E79">
        <v>25.8</v>
      </c>
      <c r="F79">
        <v>-12.151486581566218</v>
      </c>
    </row>
    <row r="80" spans="1:6" x14ac:dyDescent="0.35">
      <c r="A80" t="s">
        <v>180</v>
      </c>
      <c r="B80">
        <v>74462314</v>
      </c>
      <c r="C80">
        <v>242702371179.19858</v>
      </c>
      <c r="D80">
        <v>3259.3987232145187</v>
      </c>
      <c r="E80">
        <v>17.2</v>
      </c>
      <c r="F80">
        <v>-7.0674872890517078</v>
      </c>
    </row>
    <row r="81" spans="1:6" x14ac:dyDescent="0.35">
      <c r="A81" t="s">
        <v>278</v>
      </c>
      <c r="B81">
        <v>30962380</v>
      </c>
      <c r="C81">
        <v>67270649065.243828</v>
      </c>
      <c r="D81">
        <v>2172.6575626694016</v>
      </c>
      <c r="E81">
        <v>21.4</v>
      </c>
      <c r="F81">
        <v>-9.6325320120075659</v>
      </c>
    </row>
    <row r="82" spans="1:6" x14ac:dyDescent="0.35">
      <c r="A82" t="s">
        <v>181</v>
      </c>
      <c r="B82">
        <v>4474356</v>
      </c>
      <c r="C82">
        <v>203306959563.6236</v>
      </c>
      <c r="D82">
        <v>45438.261855700264</v>
      </c>
      <c r="E82">
        <v>9.3000000000000007</v>
      </c>
      <c r="F82">
        <v>0.90244701960256246</v>
      </c>
    </row>
    <row r="83" spans="1:6" x14ac:dyDescent="0.35">
      <c r="A83" t="s">
        <v>182</v>
      </c>
      <c r="B83">
        <v>7623600</v>
      </c>
      <c r="C83">
        <v>169010664818.13025</v>
      </c>
      <c r="D83">
        <v>22169.403538765182</v>
      </c>
      <c r="E83">
        <v>19.2</v>
      </c>
      <c r="F83">
        <v>-4.7431744420982316</v>
      </c>
    </row>
    <row r="84" spans="1:6" x14ac:dyDescent="0.35">
      <c r="A84" t="s">
        <v>183</v>
      </c>
      <c r="B84">
        <v>60483385</v>
      </c>
      <c r="C84">
        <v>1763885790470.2776</v>
      </c>
      <c r="D84">
        <v>29163.146051932734</v>
      </c>
      <c r="E84">
        <v>13.4</v>
      </c>
      <c r="F84">
        <v>-1.681358773798568</v>
      </c>
    </row>
    <row r="85" spans="1:6" x14ac:dyDescent="0.35">
      <c r="A85" t="s">
        <v>90</v>
      </c>
      <c r="B85">
        <v>127450459</v>
      </c>
      <c r="C85">
        <v>4648468621132.7568</v>
      </c>
      <c r="D85">
        <v>36472.749157637452</v>
      </c>
      <c r="E85">
        <v>11.1</v>
      </c>
      <c r="F85">
        <v>-0.27408728953932582</v>
      </c>
    </row>
    <row r="86" spans="1:6" x14ac:dyDescent="0.35">
      <c r="A86" t="s">
        <v>279</v>
      </c>
      <c r="B86">
        <v>6046000</v>
      </c>
      <c r="C86">
        <v>17034536275.580128</v>
      </c>
      <c r="D86">
        <v>2817.4886330764352</v>
      </c>
      <c r="E86">
        <v>18.3</v>
      </c>
      <c r="F86">
        <v>-7.8056033179697639</v>
      </c>
    </row>
    <row r="87" spans="1:6" x14ac:dyDescent="0.35">
      <c r="A87" t="s">
        <v>410</v>
      </c>
      <c r="B87">
        <v>16323287</v>
      </c>
      <c r="C87">
        <v>77245319067.247726</v>
      </c>
      <c r="D87">
        <v>4732.2159481266071</v>
      </c>
      <c r="E87">
        <v>6.4</v>
      </c>
      <c r="F87">
        <v>-1.5975651739027252</v>
      </c>
    </row>
    <row r="88" spans="1:6" x14ac:dyDescent="0.35">
      <c r="A88" t="s">
        <v>186</v>
      </c>
      <c r="B88">
        <v>40909194</v>
      </c>
      <c r="C88">
        <v>23525253225.790203</v>
      </c>
      <c r="D88">
        <v>575.06029636736923</v>
      </c>
      <c r="E88">
        <v>24.7</v>
      </c>
      <c r="F88">
        <v>-13.345864440265016</v>
      </c>
    </row>
    <row r="89" spans="1:6" x14ac:dyDescent="0.35">
      <c r="A89" t="s">
        <v>411</v>
      </c>
      <c r="B89">
        <v>97743</v>
      </c>
      <c r="C89">
        <v>110681568.59474988</v>
      </c>
      <c r="D89">
        <v>1132.3733525137338</v>
      </c>
      <c r="E89">
        <v>28.2</v>
      </c>
      <c r="F89">
        <v>-13.776998659200967</v>
      </c>
    </row>
    <row r="90" spans="1:6" x14ac:dyDescent="0.35">
      <c r="A90" t="s">
        <v>412</v>
      </c>
      <c r="B90">
        <v>1775680</v>
      </c>
      <c r="C90">
        <v>4776327556.26161</v>
      </c>
      <c r="D90">
        <v>2689.8582831712979</v>
      </c>
      <c r="E90">
        <v>9.9</v>
      </c>
      <c r="F90">
        <v>-4.116362323892214</v>
      </c>
    </row>
    <row r="91" spans="1:6" x14ac:dyDescent="0.35">
      <c r="A91" t="s">
        <v>413</v>
      </c>
      <c r="B91">
        <v>2991580</v>
      </c>
      <c r="C91">
        <v>85606896366.229919</v>
      </c>
      <c r="D91">
        <v>28615.94754819524</v>
      </c>
      <c r="E91">
        <v>25.3</v>
      </c>
      <c r="F91">
        <v>-7.0499538758567653</v>
      </c>
    </row>
    <row r="92" spans="1:6" x14ac:dyDescent="0.35">
      <c r="A92" t="s">
        <v>280</v>
      </c>
      <c r="B92">
        <v>5447900</v>
      </c>
      <c r="C92">
        <v>3055806771.435782</v>
      </c>
      <c r="D92">
        <v>560.91462241153135</v>
      </c>
      <c r="E92">
        <v>1.6</v>
      </c>
      <c r="F92">
        <v>-3.0281012745048352</v>
      </c>
    </row>
    <row r="93" spans="1:6" x14ac:dyDescent="0.35">
      <c r="A93" t="s">
        <v>414</v>
      </c>
      <c r="B93">
        <v>6395713</v>
      </c>
      <c r="C93">
        <v>4021824831.5087829</v>
      </c>
      <c r="D93">
        <v>628.83134867195929</v>
      </c>
      <c r="E93">
        <v>22.7</v>
      </c>
      <c r="F93">
        <v>-12.298737499323876</v>
      </c>
    </row>
    <row r="94" spans="1:6" x14ac:dyDescent="0.35">
      <c r="A94" t="s">
        <v>254</v>
      </c>
      <c r="B94">
        <v>2239008</v>
      </c>
      <c r="C94">
        <v>15502642580.339478</v>
      </c>
      <c r="D94">
        <v>6923.8888741529627</v>
      </c>
      <c r="E94">
        <v>5.6</v>
      </c>
      <c r="F94">
        <v>-0.5993297194336995</v>
      </c>
    </row>
    <row r="95" spans="1:6" x14ac:dyDescent="0.35">
      <c r="A95" t="s">
        <v>415</v>
      </c>
      <c r="B95">
        <v>4341092</v>
      </c>
      <c r="C95">
        <v>30751708803.782261</v>
      </c>
      <c r="D95">
        <v>7083.864798023691</v>
      </c>
      <c r="E95">
        <v>16.399999999999999</v>
      </c>
      <c r="F95">
        <v>-5.4044046846804097</v>
      </c>
    </row>
    <row r="96" spans="1:6" x14ac:dyDescent="0.35">
      <c r="A96" t="s">
        <v>416</v>
      </c>
      <c r="B96">
        <v>2008921</v>
      </c>
      <c r="C96">
        <v>1749548111.1919663</v>
      </c>
      <c r="D96">
        <v>870.88945319002903</v>
      </c>
      <c r="E96">
        <v>11.8</v>
      </c>
      <c r="F96">
        <v>-6.8632726284289669</v>
      </c>
    </row>
    <row r="97" spans="1:6" x14ac:dyDescent="0.35">
      <c r="A97" t="s">
        <v>417</v>
      </c>
      <c r="B97">
        <v>3957990</v>
      </c>
      <c r="C97">
        <v>960255604.18450153</v>
      </c>
      <c r="D97">
        <v>242.61193287110416</v>
      </c>
      <c r="E97">
        <v>25.3</v>
      </c>
      <c r="F97">
        <v>-15.064986155293662</v>
      </c>
    </row>
    <row r="98" spans="1:6" x14ac:dyDescent="0.35">
      <c r="A98" t="s">
        <v>418</v>
      </c>
      <c r="B98">
        <v>6040612</v>
      </c>
      <c r="C98">
        <v>54963979226.010597</v>
      </c>
      <c r="D98">
        <v>9099.0746013832031</v>
      </c>
      <c r="E98">
        <v>21.8</v>
      </c>
      <c r="F98">
        <v>-7.4054861327745289</v>
      </c>
    </row>
    <row r="99" spans="1:6" x14ac:dyDescent="0.35">
      <c r="A99" t="s">
        <v>255</v>
      </c>
      <c r="B99">
        <v>3286820</v>
      </c>
      <c r="C99">
        <v>27346902406.20084</v>
      </c>
      <c r="D99">
        <v>8320.1703793334709</v>
      </c>
      <c r="E99">
        <v>6.2</v>
      </c>
      <c r="F99">
        <v>-0.55974729759385444</v>
      </c>
    </row>
    <row r="100" spans="1:6" x14ac:dyDescent="0.35">
      <c r="A100" t="s">
        <v>187</v>
      </c>
      <c r="B100">
        <v>506953</v>
      </c>
      <c r="C100">
        <v>40696164751.529617</v>
      </c>
      <c r="D100">
        <v>80276.011290059658</v>
      </c>
      <c r="E100">
        <v>8.6999999999999993</v>
      </c>
      <c r="F100">
        <v>2.1277627439860156</v>
      </c>
    </row>
    <row r="101" spans="1:6" x14ac:dyDescent="0.35">
      <c r="A101" t="s">
        <v>419</v>
      </c>
      <c r="B101">
        <v>534626</v>
      </c>
      <c r="C101">
        <v>20684154508.54776</v>
      </c>
      <c r="D101">
        <v>38689.01719809317</v>
      </c>
      <c r="E101">
        <v>22.8</v>
      </c>
      <c r="F101">
        <v>-5.4220466579446445</v>
      </c>
    </row>
    <row r="102" spans="1:6" x14ac:dyDescent="0.35">
      <c r="A102" t="s">
        <v>420</v>
      </c>
      <c r="B102">
        <v>2102216</v>
      </c>
      <c r="C102">
        <v>7140636379.2323322</v>
      </c>
      <c r="D102">
        <v>3396.7186907683758</v>
      </c>
      <c r="E102">
        <v>9.8000000000000007</v>
      </c>
      <c r="F102">
        <v>-3.6794866327325675</v>
      </c>
    </row>
    <row r="103" spans="1:6" x14ac:dyDescent="0.35">
      <c r="A103" t="s">
        <v>188</v>
      </c>
      <c r="B103">
        <v>21079532</v>
      </c>
      <c r="C103">
        <v>5759450979.3430977</v>
      </c>
      <c r="D103">
        <v>273.22480306218836</v>
      </c>
      <c r="E103">
        <v>22.6</v>
      </c>
      <c r="F103">
        <v>-13.654460297523732</v>
      </c>
    </row>
    <row r="104" spans="1:6" x14ac:dyDescent="0.35">
      <c r="A104" t="s">
        <v>189</v>
      </c>
      <c r="B104">
        <v>15013694</v>
      </c>
      <c r="C104">
        <v>3290262502.0248256</v>
      </c>
      <c r="D104">
        <v>219.15076343135976</v>
      </c>
      <c r="E104">
        <v>21.9</v>
      </c>
      <c r="F104">
        <v>-13.711077810397862</v>
      </c>
    </row>
    <row r="105" spans="1:6" x14ac:dyDescent="0.35">
      <c r="A105" t="s">
        <v>190</v>
      </c>
      <c r="B105">
        <v>28275835</v>
      </c>
      <c r="C105">
        <v>178672208075.05682</v>
      </c>
      <c r="D105">
        <v>6318.9012128220729</v>
      </c>
      <c r="E105">
        <v>25.4</v>
      </c>
      <c r="F105">
        <v>-9.6326215060885261</v>
      </c>
    </row>
    <row r="106" spans="1:6" x14ac:dyDescent="0.35">
      <c r="A106" t="s">
        <v>421</v>
      </c>
      <c r="B106">
        <v>325694</v>
      </c>
      <c r="C106">
        <v>1518834121.3135984</v>
      </c>
      <c r="D106">
        <v>4663.3776529920669</v>
      </c>
      <c r="E106">
        <v>27.6</v>
      </c>
      <c r="F106">
        <v>-11.129707860432106</v>
      </c>
    </row>
    <row r="107" spans="1:6" x14ac:dyDescent="0.35">
      <c r="A107" t="s">
        <v>191</v>
      </c>
      <c r="B107">
        <v>13985961</v>
      </c>
      <c r="C107">
        <v>6971653980.9015436</v>
      </c>
      <c r="D107">
        <v>498.47514810755899</v>
      </c>
      <c r="E107">
        <v>28.2</v>
      </c>
      <c r="F107">
        <v>-15.155640008780717</v>
      </c>
    </row>
    <row r="108" spans="1:6" x14ac:dyDescent="0.35">
      <c r="A108" t="s">
        <v>422</v>
      </c>
      <c r="B108">
        <v>415995</v>
      </c>
      <c r="C108">
        <v>6652772997.1789989</v>
      </c>
      <c r="D108">
        <v>15992.434998447094</v>
      </c>
      <c r="E108">
        <v>19.2</v>
      </c>
      <c r="F108">
        <v>-5.2919265275797631</v>
      </c>
    </row>
    <row r="109" spans="1:6" x14ac:dyDescent="0.35">
      <c r="A109" t="s">
        <v>423</v>
      </c>
      <c r="B109">
        <v>52428</v>
      </c>
      <c r="C109">
        <v>147320121.96961504</v>
      </c>
      <c r="D109">
        <v>2809.9512086979294</v>
      </c>
      <c r="E109">
        <v>27.4</v>
      </c>
      <c r="F109">
        <v>-11.891163085992337</v>
      </c>
    </row>
    <row r="110" spans="1:6" x14ac:dyDescent="0.35">
      <c r="A110" t="s">
        <v>424</v>
      </c>
      <c r="B110">
        <v>3609420</v>
      </c>
      <c r="C110">
        <v>2814034804.5275235</v>
      </c>
      <c r="D110">
        <v>779.63628630847154</v>
      </c>
      <c r="E110">
        <v>27.6</v>
      </c>
      <c r="F110">
        <v>-14.135045336745158</v>
      </c>
    </row>
    <row r="111" spans="1:6" x14ac:dyDescent="0.35">
      <c r="A111" t="s">
        <v>192</v>
      </c>
      <c r="B111">
        <v>1280924</v>
      </c>
      <c r="C111">
        <v>7826157631.8455935</v>
      </c>
      <c r="D111">
        <v>6109.775155938677</v>
      </c>
      <c r="E111">
        <v>22.4</v>
      </c>
      <c r="F111">
        <v>-8.3437655804663287</v>
      </c>
    </row>
    <row r="112" spans="1:6" x14ac:dyDescent="0.35">
      <c r="A112" t="s">
        <v>193</v>
      </c>
      <c r="B112">
        <v>117886404</v>
      </c>
      <c r="C112">
        <v>953067840505.29358</v>
      </c>
      <c r="D112">
        <v>8084.6290001796442</v>
      </c>
      <c r="E112">
        <v>21</v>
      </c>
      <c r="F112">
        <v>-7.2453261840391772</v>
      </c>
    </row>
    <row r="113" spans="1:6" x14ac:dyDescent="0.35">
      <c r="A113" t="s">
        <v>425</v>
      </c>
      <c r="B113">
        <v>103619</v>
      </c>
      <c r="C113">
        <v>246418335.62772667</v>
      </c>
      <c r="D113">
        <v>2378.1192216459017</v>
      </c>
      <c r="E113">
        <v>27.6</v>
      </c>
      <c r="F113">
        <v>-12.261211800953582</v>
      </c>
    </row>
    <row r="114" spans="1:6" x14ac:dyDescent="0.35">
      <c r="A114" t="s">
        <v>257</v>
      </c>
      <c r="B114">
        <v>3562062</v>
      </c>
      <c r="C114">
        <v>3501430331.6016059</v>
      </c>
      <c r="D114">
        <v>982.97849155955339</v>
      </c>
      <c r="E114">
        <v>9.4</v>
      </c>
      <c r="F114">
        <v>-5.5835227238719867</v>
      </c>
    </row>
    <row r="115" spans="1:6" x14ac:dyDescent="0.35">
      <c r="A115" t="s">
        <v>426</v>
      </c>
      <c r="B115">
        <v>2712738</v>
      </c>
      <c r="C115">
        <v>3453733409.7557302</v>
      </c>
      <c r="D115">
        <v>1273.1540641800757</v>
      </c>
      <c r="E115">
        <v>-0.7</v>
      </c>
      <c r="F115">
        <v>-0.61938377208077866</v>
      </c>
    </row>
    <row r="116" spans="1:6" x14ac:dyDescent="0.35">
      <c r="A116" t="s">
        <v>258</v>
      </c>
      <c r="B116">
        <v>620078</v>
      </c>
      <c r="C116">
        <v>2803866144.4280138</v>
      </c>
      <c r="D116">
        <v>4521.7958779831151</v>
      </c>
      <c r="E116">
        <v>9.9</v>
      </c>
      <c r="F116">
        <v>-3.2436264297544204</v>
      </c>
    </row>
    <row r="117" spans="1:6" x14ac:dyDescent="0.35">
      <c r="A117" t="s">
        <v>194</v>
      </c>
      <c r="B117">
        <v>31642360</v>
      </c>
      <c r="C117">
        <v>75523499823.662308</v>
      </c>
      <c r="D117">
        <v>2386.7846716762692</v>
      </c>
      <c r="E117">
        <v>17.100000000000001</v>
      </c>
      <c r="F117">
        <v>-7.5461865373593024</v>
      </c>
    </row>
    <row r="118" spans="1:6" x14ac:dyDescent="0.35">
      <c r="A118" t="s">
        <v>427</v>
      </c>
      <c r="B118">
        <v>23967265</v>
      </c>
      <c r="C118">
        <v>9127794918.9110737</v>
      </c>
      <c r="D118">
        <v>380.84424396822391</v>
      </c>
      <c r="E118">
        <v>23.8</v>
      </c>
      <c r="F118">
        <v>-13.634631596011777</v>
      </c>
    </row>
    <row r="119" spans="1:6" x14ac:dyDescent="0.35">
      <c r="A119" t="s">
        <v>428</v>
      </c>
      <c r="B119">
        <v>2178967</v>
      </c>
      <c r="C119">
        <v>8936748666.272974</v>
      </c>
      <c r="D119">
        <v>4101.3694407822486</v>
      </c>
      <c r="E119">
        <v>19.899999999999999</v>
      </c>
      <c r="F119">
        <v>-7.8922752760072878</v>
      </c>
    </row>
    <row r="120" spans="1:6" x14ac:dyDescent="0.35">
      <c r="A120" t="s">
        <v>195</v>
      </c>
      <c r="B120">
        <v>26846016</v>
      </c>
      <c r="C120">
        <v>10103288981.142262</v>
      </c>
      <c r="D120">
        <v>376.34220962776232</v>
      </c>
      <c r="E120">
        <v>8.1</v>
      </c>
      <c r="F120">
        <v>-6.6136644175398871</v>
      </c>
    </row>
    <row r="121" spans="1:6" x14ac:dyDescent="0.35">
      <c r="A121" t="s">
        <v>196</v>
      </c>
      <c r="B121">
        <v>16615394</v>
      </c>
      <c r="C121">
        <v>683063473113.4657</v>
      </c>
      <c r="D121">
        <v>41110.27840287541</v>
      </c>
      <c r="E121">
        <v>9.1999999999999993</v>
      </c>
      <c r="F121">
        <v>0.77911093265522857</v>
      </c>
    </row>
    <row r="122" spans="1:6" x14ac:dyDescent="0.35">
      <c r="A122" t="s">
        <v>197</v>
      </c>
      <c r="B122">
        <v>4367800</v>
      </c>
      <c r="C122">
        <v>120042479359.5708</v>
      </c>
      <c r="D122">
        <v>27483.511003152802</v>
      </c>
      <c r="E122">
        <v>10.5</v>
      </c>
      <c r="F122">
        <v>-0.48047090122230451</v>
      </c>
    </row>
    <row r="123" spans="1:6" x14ac:dyDescent="0.35">
      <c r="A123" t="s">
        <v>429</v>
      </c>
      <c r="B123">
        <v>5822209</v>
      </c>
      <c r="C123">
        <v>7163269747.9907646</v>
      </c>
      <c r="D123">
        <v>1230.3353843860234</v>
      </c>
      <c r="E123">
        <v>24.8</v>
      </c>
      <c r="F123">
        <v>-12.112798653911412</v>
      </c>
    </row>
    <row r="124" spans="1:6" x14ac:dyDescent="0.35">
      <c r="A124" t="s">
        <v>430</v>
      </c>
      <c r="B124">
        <v>15893746</v>
      </c>
      <c r="C124">
        <v>4381636014.6785507</v>
      </c>
      <c r="D124">
        <v>275.68302744227515</v>
      </c>
      <c r="E124">
        <v>27.1</v>
      </c>
      <c r="F124">
        <v>-15.657516919216095</v>
      </c>
    </row>
    <row r="125" spans="1:6" x14ac:dyDescent="0.35">
      <c r="A125" t="s">
        <v>198</v>
      </c>
      <c r="B125">
        <v>159707780</v>
      </c>
      <c r="C125">
        <v>159017874554.81158</v>
      </c>
      <c r="D125">
        <v>995.6802013953959</v>
      </c>
      <c r="E125">
        <v>26.8</v>
      </c>
      <c r="F125">
        <v>-13.365293903275786</v>
      </c>
    </row>
    <row r="126" spans="1:6" x14ac:dyDescent="0.35">
      <c r="A126" t="s">
        <v>199</v>
      </c>
      <c r="B126">
        <v>4889252</v>
      </c>
      <c r="C126">
        <v>315796662786.18549</v>
      </c>
      <c r="D126">
        <v>64589.974659965468</v>
      </c>
      <c r="E126">
        <v>1.5</v>
      </c>
      <c r="F126">
        <v>4.99143514915382</v>
      </c>
    </row>
    <row r="127" spans="1:6" x14ac:dyDescent="0.35">
      <c r="A127" t="s">
        <v>431</v>
      </c>
      <c r="B127">
        <v>2802768</v>
      </c>
      <c r="C127">
        <v>41935096066.201286</v>
      </c>
      <c r="D127">
        <v>14962.028989271066</v>
      </c>
      <c r="E127">
        <v>25.6</v>
      </c>
      <c r="F127">
        <v>-8.2740240611426206</v>
      </c>
    </row>
    <row r="128" spans="1:6" x14ac:dyDescent="0.35">
      <c r="A128" t="s">
        <v>200</v>
      </c>
      <c r="B128">
        <v>173149306</v>
      </c>
      <c r="C128">
        <v>129517496849.86209</v>
      </c>
      <c r="D128">
        <v>748.01048783794772</v>
      </c>
      <c r="E128">
        <v>20.2</v>
      </c>
      <c r="F128">
        <v>-10.885960493579331</v>
      </c>
    </row>
    <row r="129" spans="1:6" x14ac:dyDescent="0.35">
      <c r="A129" t="s">
        <v>432</v>
      </c>
      <c r="B129">
        <v>20470</v>
      </c>
      <c r="C129">
        <v>180183623.83524305</v>
      </c>
      <c r="D129">
        <v>8802.3265185756245</v>
      </c>
      <c r="E129">
        <v>27.6</v>
      </c>
      <c r="F129">
        <v>-10.062310671943058</v>
      </c>
    </row>
    <row r="130" spans="1:6" x14ac:dyDescent="0.35">
      <c r="A130" t="s">
        <v>433</v>
      </c>
      <c r="B130">
        <v>3811102</v>
      </c>
      <c r="C130">
        <v>4836140076.078743</v>
      </c>
      <c r="D130">
        <v>1268.9610711229307</v>
      </c>
      <c r="E130">
        <v>19.2</v>
      </c>
      <c r="F130">
        <v>-9.5494396913349853</v>
      </c>
    </row>
    <row r="131" spans="1:6" x14ac:dyDescent="0.35">
      <c r="A131" t="s">
        <v>201</v>
      </c>
      <c r="B131">
        <v>3678128</v>
      </c>
      <c r="C131">
        <v>22603329668.360188</v>
      </c>
      <c r="D131">
        <v>6145.3352543359524</v>
      </c>
      <c r="E131">
        <v>25.4</v>
      </c>
      <c r="F131">
        <v>-9.6794187747020963</v>
      </c>
    </row>
    <row r="132" spans="1:6" x14ac:dyDescent="0.35">
      <c r="A132" t="s">
        <v>434</v>
      </c>
      <c r="B132">
        <v>6858945</v>
      </c>
      <c r="C132">
        <v>6553203635.5810919</v>
      </c>
      <c r="D132">
        <v>955.42443270518891</v>
      </c>
      <c r="E132">
        <v>25.2</v>
      </c>
      <c r="F132">
        <v>-12.717088124706027</v>
      </c>
    </row>
    <row r="133" spans="1:6" x14ac:dyDescent="0.35">
      <c r="A133" t="s">
        <v>202</v>
      </c>
      <c r="B133">
        <v>6459721</v>
      </c>
      <c r="C133">
        <v>11148152913.231319</v>
      </c>
      <c r="D133">
        <v>1725.7948003065951</v>
      </c>
      <c r="E133">
        <v>23.5</v>
      </c>
      <c r="F133">
        <v>-10.961205684912507</v>
      </c>
    </row>
    <row r="134" spans="1:6" x14ac:dyDescent="0.35">
      <c r="A134" t="s">
        <v>203</v>
      </c>
      <c r="B134">
        <v>29262830</v>
      </c>
      <c r="C134">
        <v>103487662932.25778</v>
      </c>
      <c r="D134">
        <v>3536.4885396339923</v>
      </c>
      <c r="E134">
        <v>19.600000000000001</v>
      </c>
      <c r="F134">
        <v>-8.0067195352715625</v>
      </c>
    </row>
    <row r="135" spans="1:6" x14ac:dyDescent="0.35">
      <c r="A135" t="s">
        <v>204</v>
      </c>
      <c r="B135">
        <v>93444322</v>
      </c>
      <c r="C135">
        <v>131131009140.35426</v>
      </c>
      <c r="D135">
        <v>1403.3063361554944</v>
      </c>
      <c r="E135">
        <v>25.8</v>
      </c>
      <c r="F135">
        <v>-12.340244574527738</v>
      </c>
    </row>
    <row r="136" spans="1:6" x14ac:dyDescent="0.35">
      <c r="A136" t="s">
        <v>205</v>
      </c>
      <c r="B136">
        <v>38183683</v>
      </c>
      <c r="C136">
        <v>383205737633.98334</v>
      </c>
      <c r="D136">
        <v>10035.850591834826</v>
      </c>
      <c r="E136">
        <v>7.8</v>
      </c>
      <c r="F136">
        <v>-0.96228863270174059</v>
      </c>
    </row>
    <row r="137" spans="1:6" x14ac:dyDescent="0.35">
      <c r="A137" t="s">
        <v>206</v>
      </c>
      <c r="B137">
        <v>10637346</v>
      </c>
      <c r="C137">
        <v>197164604092.98117</v>
      </c>
      <c r="D137">
        <v>18535.131234142536</v>
      </c>
      <c r="E137">
        <v>15.1</v>
      </c>
      <c r="F137">
        <v>-3.2052891815665472</v>
      </c>
    </row>
    <row r="138" spans="1:6" x14ac:dyDescent="0.35">
      <c r="A138" t="s">
        <v>260</v>
      </c>
      <c r="B138">
        <v>3721208</v>
      </c>
      <c r="C138">
        <v>77337254437.921829</v>
      </c>
      <c r="D138">
        <v>20782.83569150712</v>
      </c>
      <c r="E138">
        <v>25.2</v>
      </c>
      <c r="F138">
        <v>-7.5424999481446822</v>
      </c>
    </row>
    <row r="139" spans="1:6" x14ac:dyDescent="0.35">
      <c r="A139" t="s">
        <v>435</v>
      </c>
      <c r="B139">
        <v>1749713</v>
      </c>
      <c r="C139">
        <v>101932972130.43025</v>
      </c>
      <c r="D139">
        <v>58256.966788513462</v>
      </c>
      <c r="E139">
        <v>27.2</v>
      </c>
      <c r="F139">
        <v>-6.7075825970332179</v>
      </c>
    </row>
    <row r="140" spans="1:6" x14ac:dyDescent="0.35">
      <c r="A140" t="s">
        <v>207</v>
      </c>
      <c r="B140">
        <v>21438001</v>
      </c>
      <c r="C140">
        <v>114088972368.88327</v>
      </c>
      <c r="D140">
        <v>5321.8101990424975</v>
      </c>
      <c r="E140">
        <v>8.8000000000000007</v>
      </c>
      <c r="F140">
        <v>-2.4765982372129791</v>
      </c>
    </row>
    <row r="141" spans="1:6" x14ac:dyDescent="0.35">
      <c r="A141" t="s">
        <v>261</v>
      </c>
      <c r="B141">
        <v>142389000</v>
      </c>
      <c r="C141">
        <v>909241662711.50525</v>
      </c>
      <c r="D141">
        <v>6385.6173068952321</v>
      </c>
      <c r="E141">
        <v>-5.0999999999999996</v>
      </c>
      <c r="F141">
        <v>4.0632994560838567</v>
      </c>
    </row>
    <row r="142" spans="1:6" x14ac:dyDescent="0.35">
      <c r="A142" t="s">
        <v>208</v>
      </c>
      <c r="B142">
        <v>10836732</v>
      </c>
      <c r="C142">
        <v>3785756661.0048919</v>
      </c>
      <c r="D142">
        <v>349.34486347036096</v>
      </c>
      <c r="E142">
        <v>17.899999999999999</v>
      </c>
      <c r="F142">
        <v>-11.13372443964094</v>
      </c>
    </row>
    <row r="143" spans="1:6" x14ac:dyDescent="0.35">
      <c r="A143" t="s">
        <v>436</v>
      </c>
      <c r="B143">
        <v>178228</v>
      </c>
      <c r="C143">
        <v>167926229.92155305</v>
      </c>
      <c r="D143">
        <v>942.19892453235764</v>
      </c>
      <c r="E143">
        <v>23.7</v>
      </c>
      <c r="F143">
        <v>-12.067806990402406</v>
      </c>
    </row>
    <row r="144" spans="1:6" x14ac:dyDescent="0.35">
      <c r="A144" t="s">
        <v>437</v>
      </c>
      <c r="B144">
        <v>52352</v>
      </c>
      <c r="C144">
        <v>554642952.86511683</v>
      </c>
      <c r="D144">
        <v>10594.494056867299</v>
      </c>
      <c r="E144">
        <v>24.4</v>
      </c>
      <c r="F144">
        <v>-8.31583928690352</v>
      </c>
    </row>
    <row r="145" spans="1:6" x14ac:dyDescent="0.35">
      <c r="A145" t="s">
        <v>209</v>
      </c>
      <c r="B145">
        <v>177397</v>
      </c>
      <c r="C145">
        <v>1083804878.6319301</v>
      </c>
      <c r="D145">
        <v>6109.4882023480113</v>
      </c>
      <c r="E145">
        <v>25.5</v>
      </c>
      <c r="F145">
        <v>-9.7340952955823266</v>
      </c>
    </row>
    <row r="146" spans="1:6" x14ac:dyDescent="0.35">
      <c r="A146" t="s">
        <v>438</v>
      </c>
      <c r="B146">
        <v>109316</v>
      </c>
      <c r="C146">
        <v>589844929.93824661</v>
      </c>
      <c r="D146">
        <v>5395.7785679886438</v>
      </c>
      <c r="E146">
        <v>26.7</v>
      </c>
      <c r="F146">
        <v>-10.480982838725796</v>
      </c>
    </row>
    <row r="147" spans="1:6" x14ac:dyDescent="0.35">
      <c r="A147" t="s">
        <v>439</v>
      </c>
      <c r="B147">
        <v>186029</v>
      </c>
      <c r="C147">
        <v>426326498.14749146</v>
      </c>
      <c r="D147">
        <v>2291.7206357476061</v>
      </c>
      <c r="E147">
        <v>26.7</v>
      </c>
      <c r="F147">
        <v>-11.919770178661656</v>
      </c>
    </row>
    <row r="148" spans="1:6" x14ac:dyDescent="0.35">
      <c r="A148" t="s">
        <v>281</v>
      </c>
      <c r="B148">
        <v>27258387</v>
      </c>
      <c r="C148">
        <v>435991918415.44006</v>
      </c>
      <c r="D148">
        <v>15994.78055746439</v>
      </c>
      <c r="E148">
        <v>24.6</v>
      </c>
      <c r="F148">
        <v>-7.7134073146516613</v>
      </c>
    </row>
    <row r="149" spans="1:6" x14ac:dyDescent="0.35">
      <c r="A149" t="s">
        <v>210</v>
      </c>
      <c r="B149">
        <v>12950564</v>
      </c>
      <c r="C149">
        <v>10366034228.236326</v>
      </c>
      <c r="D149">
        <v>800.43110309607573</v>
      </c>
      <c r="E149">
        <v>27.8</v>
      </c>
      <c r="F149">
        <v>-14.18051085281258</v>
      </c>
    </row>
    <row r="150" spans="1:6" x14ac:dyDescent="0.35">
      <c r="A150" t="s">
        <v>262</v>
      </c>
      <c r="B150">
        <v>7291436</v>
      </c>
      <c r="C150">
        <v>27876766882.558659</v>
      </c>
      <c r="D150">
        <v>3823.2204030260514</v>
      </c>
      <c r="E150">
        <v>9.9</v>
      </c>
      <c r="F150">
        <v>-3.5255927664646807</v>
      </c>
    </row>
    <row r="151" spans="1:6" x14ac:dyDescent="0.35">
      <c r="A151" t="s">
        <v>440</v>
      </c>
      <c r="B151">
        <v>89770</v>
      </c>
      <c r="C151">
        <v>1135149255.7550099</v>
      </c>
      <c r="D151">
        <v>12645.084724908209</v>
      </c>
      <c r="E151">
        <v>27.1</v>
      </c>
      <c r="F151">
        <v>-9.2294163708325847</v>
      </c>
    </row>
    <row r="152" spans="1:6" x14ac:dyDescent="0.35">
      <c r="A152" t="s">
        <v>211</v>
      </c>
      <c r="B152">
        <v>5751976</v>
      </c>
      <c r="C152">
        <v>2130751272.7919905</v>
      </c>
      <c r="D152">
        <v>370.43813687539563</v>
      </c>
      <c r="E152">
        <v>26</v>
      </c>
      <c r="F152">
        <v>-14.667809774615094</v>
      </c>
    </row>
    <row r="153" spans="1:6" x14ac:dyDescent="0.35">
      <c r="A153" t="s">
        <v>233</v>
      </c>
      <c r="B153">
        <v>5076700</v>
      </c>
      <c r="C153">
        <v>176457991287.06442</v>
      </c>
      <c r="D153">
        <v>34758.404334915285</v>
      </c>
      <c r="E153">
        <v>26.4</v>
      </c>
      <c r="F153">
        <v>-7.2165397016166111</v>
      </c>
    </row>
    <row r="154" spans="1:6" x14ac:dyDescent="0.35">
      <c r="A154" t="s">
        <v>263</v>
      </c>
      <c r="B154">
        <v>5430099</v>
      </c>
      <c r="C154">
        <v>76899962691.20755</v>
      </c>
      <c r="D154">
        <v>14161.797545718329</v>
      </c>
      <c r="E154">
        <v>6.8</v>
      </c>
      <c r="F154">
        <v>6.4817285717646778E-2</v>
      </c>
    </row>
    <row r="155" spans="1:6" x14ac:dyDescent="0.35">
      <c r="A155" t="s">
        <v>264</v>
      </c>
      <c r="B155">
        <v>2048583</v>
      </c>
      <c r="C155">
        <v>39034227961.239731</v>
      </c>
      <c r="D155">
        <v>19054.257484924816</v>
      </c>
      <c r="E155">
        <v>8.9</v>
      </c>
      <c r="F155">
        <v>-0.3783757293056913</v>
      </c>
    </row>
    <row r="156" spans="1:6" x14ac:dyDescent="0.35">
      <c r="A156" t="s">
        <v>441</v>
      </c>
      <c r="B156">
        <v>526447</v>
      </c>
      <c r="C156">
        <v>522614190.24701446</v>
      </c>
      <c r="D156">
        <v>992.71947650383504</v>
      </c>
      <c r="E156">
        <v>25.6</v>
      </c>
      <c r="F156">
        <v>-12.832135968586941</v>
      </c>
    </row>
    <row r="157" spans="1:6" x14ac:dyDescent="0.35">
      <c r="A157" t="s">
        <v>265</v>
      </c>
      <c r="B157">
        <v>49991300</v>
      </c>
      <c r="C157">
        <v>289811738503.83063</v>
      </c>
      <c r="D157">
        <v>5797.2434904439497</v>
      </c>
      <c r="E157">
        <v>17.8</v>
      </c>
      <c r="F157">
        <v>-6.3690362874757147</v>
      </c>
    </row>
    <row r="158" spans="1:6" x14ac:dyDescent="0.35">
      <c r="A158" t="s">
        <v>212</v>
      </c>
      <c r="B158">
        <v>49410000</v>
      </c>
      <c r="C158">
        <v>1098690046553.521</v>
      </c>
      <c r="D158">
        <v>22236.187948867053</v>
      </c>
      <c r="E158">
        <v>11.5</v>
      </c>
      <c r="F158">
        <v>-1.2849168876504946</v>
      </c>
    </row>
    <row r="159" spans="1:6" x14ac:dyDescent="0.35">
      <c r="A159" t="s">
        <v>213</v>
      </c>
      <c r="B159">
        <v>46070971</v>
      </c>
      <c r="C159">
        <v>1179232117935.5505</v>
      </c>
      <c r="D159">
        <v>25595.990106992766</v>
      </c>
      <c r="E159">
        <v>13.3</v>
      </c>
      <c r="F159">
        <v>-1.8557291201012858</v>
      </c>
    </row>
    <row r="160" spans="1:6" x14ac:dyDescent="0.35">
      <c r="A160" t="s">
        <v>214</v>
      </c>
      <c r="B160">
        <v>20653000</v>
      </c>
      <c r="C160">
        <v>33253082140.166439</v>
      </c>
      <c r="D160">
        <v>1610.0848370777339</v>
      </c>
      <c r="E160">
        <v>26.9</v>
      </c>
      <c r="F160">
        <v>-12.602604847983459</v>
      </c>
    </row>
    <row r="161" spans="1:6" x14ac:dyDescent="0.35">
      <c r="A161" t="s">
        <v>442</v>
      </c>
      <c r="B161">
        <v>35652002</v>
      </c>
      <c r="C161">
        <v>35822262376.238686</v>
      </c>
      <c r="D161">
        <v>1004.7756189466916</v>
      </c>
      <c r="E161">
        <v>26.8</v>
      </c>
      <c r="F161">
        <v>-13.350015068646627</v>
      </c>
    </row>
    <row r="162" spans="1:6" x14ac:dyDescent="0.35">
      <c r="A162" t="s">
        <v>215</v>
      </c>
      <c r="B162">
        <v>524960</v>
      </c>
      <c r="C162">
        <v>2188868338.2963519</v>
      </c>
      <c r="D162">
        <v>4169.5907084279788</v>
      </c>
      <c r="E162">
        <v>25.7</v>
      </c>
      <c r="F162">
        <v>-10.465671332876834</v>
      </c>
    </row>
    <row r="163" spans="1:6" x14ac:dyDescent="0.35">
      <c r="A163" t="s">
        <v>216</v>
      </c>
      <c r="B163">
        <v>1193148</v>
      </c>
      <c r="C163">
        <v>2917342648.1127834</v>
      </c>
      <c r="D163">
        <v>2445.0802818366064</v>
      </c>
      <c r="E163">
        <v>21.4</v>
      </c>
      <c r="F163">
        <v>-9.434054087292111</v>
      </c>
    </row>
    <row r="164" spans="1:6" x14ac:dyDescent="0.35">
      <c r="A164" t="s">
        <v>217</v>
      </c>
      <c r="B164">
        <v>9378126</v>
      </c>
      <c r="C164">
        <v>401624584927.2937</v>
      </c>
      <c r="D164">
        <v>42825.675932195161</v>
      </c>
      <c r="E164">
        <v>2.1</v>
      </c>
      <c r="F164">
        <v>4.0319201371826292</v>
      </c>
    </row>
    <row r="165" spans="1:6" x14ac:dyDescent="0.35">
      <c r="A165" t="s">
        <v>218</v>
      </c>
      <c r="B165">
        <v>7824909</v>
      </c>
      <c r="C165">
        <v>427575024211.02106</v>
      </c>
      <c r="D165">
        <v>54642.81108074497</v>
      </c>
      <c r="E165">
        <v>5.5</v>
      </c>
      <c r="F165">
        <v>2.9165622303446499</v>
      </c>
    </row>
    <row r="166" spans="1:6" x14ac:dyDescent="0.35">
      <c r="A166" t="s">
        <v>443</v>
      </c>
      <c r="B166">
        <v>7627326</v>
      </c>
      <c r="C166">
        <v>3181403840.3997879</v>
      </c>
      <c r="D166">
        <v>417.10605268475319</v>
      </c>
      <c r="E166">
        <v>2</v>
      </c>
      <c r="F166">
        <v>-3.7052140471306885</v>
      </c>
    </row>
    <row r="167" spans="1:6" x14ac:dyDescent="0.35">
      <c r="A167" t="s">
        <v>220</v>
      </c>
      <c r="B167">
        <v>44973330</v>
      </c>
      <c r="C167">
        <v>19720449298.896339</v>
      </c>
      <c r="D167">
        <v>438.4920862852793</v>
      </c>
      <c r="E167">
        <v>22.3</v>
      </c>
      <c r="F167">
        <v>-12.725101843574613</v>
      </c>
    </row>
    <row r="168" spans="1:6" x14ac:dyDescent="0.35">
      <c r="A168" t="s">
        <v>221</v>
      </c>
      <c r="B168">
        <v>66402316</v>
      </c>
      <c r="C168">
        <v>210090542914.01364</v>
      </c>
      <c r="D168">
        <v>3163.9038450709104</v>
      </c>
      <c r="E168">
        <v>26.3</v>
      </c>
      <c r="F168">
        <v>-11.198508945505274</v>
      </c>
    </row>
    <row r="169" spans="1:6" x14ac:dyDescent="0.35">
      <c r="A169" t="s">
        <v>444</v>
      </c>
      <c r="B169">
        <v>1142502</v>
      </c>
      <c r="C169">
        <v>732847298.62475431</v>
      </c>
      <c r="D169">
        <v>641.4407139985351</v>
      </c>
      <c r="E169">
        <v>25.8</v>
      </c>
      <c r="F169">
        <v>-13.655629968853178</v>
      </c>
    </row>
    <row r="170" spans="1:6" x14ac:dyDescent="0.35">
      <c r="A170" t="s">
        <v>445</v>
      </c>
      <c r="B170">
        <v>6306014</v>
      </c>
      <c r="C170">
        <v>2477349486.2692142</v>
      </c>
      <c r="D170">
        <v>392.85505650149429</v>
      </c>
      <c r="E170">
        <v>27.1</v>
      </c>
      <c r="F170">
        <v>-15.062405059141707</v>
      </c>
    </row>
    <row r="171" spans="1:6" x14ac:dyDescent="0.35">
      <c r="A171" t="s">
        <v>446</v>
      </c>
      <c r="B171">
        <v>104098</v>
      </c>
      <c r="C171">
        <v>268854242.96830958</v>
      </c>
      <c r="D171">
        <v>2582.7032504784875</v>
      </c>
      <c r="E171">
        <v>25.2</v>
      </c>
      <c r="F171">
        <v>-11.046226431759409</v>
      </c>
    </row>
    <row r="172" spans="1:6" x14ac:dyDescent="0.35">
      <c r="A172" t="s">
        <v>222</v>
      </c>
      <c r="B172">
        <v>1328095</v>
      </c>
      <c r="C172">
        <v>18988955441.46624</v>
      </c>
      <c r="D172">
        <v>14297.889414135465</v>
      </c>
      <c r="E172">
        <v>25.7</v>
      </c>
      <c r="F172">
        <v>-8.3951585413827701</v>
      </c>
    </row>
    <row r="173" spans="1:6" x14ac:dyDescent="0.35">
      <c r="A173" t="s">
        <v>223</v>
      </c>
      <c r="B173">
        <v>10549100</v>
      </c>
      <c r="C173">
        <v>40735443534.70594</v>
      </c>
      <c r="D173">
        <v>3861.5088997834828</v>
      </c>
      <c r="E173">
        <v>19.2</v>
      </c>
      <c r="F173">
        <v>-7.6796020269340648</v>
      </c>
    </row>
    <row r="174" spans="1:6" x14ac:dyDescent="0.35">
      <c r="A174" t="s">
        <v>224</v>
      </c>
      <c r="B174">
        <v>72137546</v>
      </c>
      <c r="C174">
        <v>565091528615.37659</v>
      </c>
      <c r="D174">
        <v>7833.5285846205052</v>
      </c>
      <c r="E174">
        <v>11.1</v>
      </c>
      <c r="F174">
        <v>-2.8585062082946848</v>
      </c>
    </row>
    <row r="175" spans="1:6" x14ac:dyDescent="0.35">
      <c r="A175" t="s">
        <v>447</v>
      </c>
      <c r="B175">
        <v>5041995</v>
      </c>
      <c r="C175">
        <v>13272686025.408352</v>
      </c>
      <c r="D175">
        <v>2632.4274469546981</v>
      </c>
      <c r="E175">
        <v>15.1</v>
      </c>
      <c r="F175">
        <v>-6.4846583929624657</v>
      </c>
    </row>
    <row r="176" spans="1:6" x14ac:dyDescent="0.35">
      <c r="A176" t="s">
        <v>448</v>
      </c>
      <c r="B176">
        <v>9827</v>
      </c>
      <c r="C176">
        <v>23813390.625238709</v>
      </c>
      <c r="D176">
        <v>2423.2614862357495</v>
      </c>
      <c r="E176">
        <v>28</v>
      </c>
      <c r="F176">
        <v>-12.409003622861359</v>
      </c>
    </row>
    <row r="177" spans="1:6" x14ac:dyDescent="0.35">
      <c r="A177" t="s">
        <v>282</v>
      </c>
      <c r="B177">
        <v>33987213</v>
      </c>
      <c r="C177">
        <v>13362034649.013441</v>
      </c>
      <c r="D177">
        <v>393.14887775627386</v>
      </c>
      <c r="E177">
        <v>22.8</v>
      </c>
      <c r="F177">
        <v>-13.132736478575753</v>
      </c>
    </row>
    <row r="178" spans="1:6" x14ac:dyDescent="0.35">
      <c r="A178" t="s">
        <v>266</v>
      </c>
      <c r="B178">
        <v>45870700</v>
      </c>
      <c r="C178">
        <v>90577255847.674149</v>
      </c>
      <c r="D178">
        <v>1974.6211818802449</v>
      </c>
      <c r="E178">
        <v>8.3000000000000007</v>
      </c>
      <c r="F178">
        <v>-3.9181864900082921</v>
      </c>
    </row>
    <row r="179" spans="1:6" x14ac:dyDescent="0.35">
      <c r="A179" t="s">
        <v>449</v>
      </c>
      <c r="B179">
        <v>8441537</v>
      </c>
      <c r="C179">
        <v>204448097188.77359</v>
      </c>
      <c r="D179">
        <v>24219.297645532275</v>
      </c>
      <c r="E179">
        <v>27</v>
      </c>
      <c r="F179">
        <v>-8.0926327496947312</v>
      </c>
    </row>
    <row r="180" spans="1:6" x14ac:dyDescent="0.35">
      <c r="A180" t="s">
        <v>225</v>
      </c>
      <c r="B180">
        <v>62271177</v>
      </c>
      <c r="C180">
        <v>2360033739558.0132</v>
      </c>
      <c r="D180">
        <v>37899.295520911917</v>
      </c>
      <c r="E180">
        <v>8.4</v>
      </c>
      <c r="F180">
        <v>1.0012411640248271</v>
      </c>
    </row>
    <row r="181" spans="1:6" x14ac:dyDescent="0.35">
      <c r="A181" t="s">
        <v>226</v>
      </c>
      <c r="B181">
        <v>309326225</v>
      </c>
      <c r="C181">
        <v>13595644353592.4</v>
      </c>
      <c r="D181">
        <v>43952.446494287382</v>
      </c>
      <c r="E181">
        <v>8.5</v>
      </c>
      <c r="F181">
        <v>1.2053607642940773</v>
      </c>
    </row>
    <row r="182" spans="1:6" x14ac:dyDescent="0.35">
      <c r="A182" t="s">
        <v>227</v>
      </c>
      <c r="B182">
        <v>3371982</v>
      </c>
      <c r="C182">
        <v>22899299769.575714</v>
      </c>
      <c r="D182">
        <v>6791.0504176996537</v>
      </c>
      <c r="E182">
        <v>17.5</v>
      </c>
      <c r="F182">
        <v>-5.9686478761716844</v>
      </c>
    </row>
    <row r="183" spans="1:6" x14ac:dyDescent="0.35">
      <c r="A183" t="s">
        <v>450</v>
      </c>
      <c r="B183">
        <v>28562400</v>
      </c>
      <c r="C183">
        <v>21491158366.324051</v>
      </c>
      <c r="D183">
        <v>752.42831016735465</v>
      </c>
      <c r="E183">
        <v>12.1</v>
      </c>
      <c r="F183">
        <v>-7.2434754003682666</v>
      </c>
    </row>
    <row r="184" spans="1:6" x14ac:dyDescent="0.35">
      <c r="A184" t="s">
        <v>451</v>
      </c>
      <c r="B184">
        <v>236299</v>
      </c>
      <c r="C184">
        <v>503575271.44056231</v>
      </c>
      <c r="D184">
        <v>2131.0935359039281</v>
      </c>
      <c r="E184">
        <v>24</v>
      </c>
      <c r="F184">
        <v>-10.831003507057867</v>
      </c>
    </row>
    <row r="185" spans="1:6" x14ac:dyDescent="0.35">
      <c r="A185" t="s">
        <v>228</v>
      </c>
      <c r="B185">
        <v>29043283</v>
      </c>
      <c r="C185">
        <v>174552448164.40952</v>
      </c>
      <c r="D185">
        <v>6010.0797889966334</v>
      </c>
      <c r="E185">
        <v>25.3</v>
      </c>
      <c r="F185">
        <v>-9.671965509112006</v>
      </c>
    </row>
    <row r="186" spans="1:6" x14ac:dyDescent="0.35">
      <c r="A186" t="s">
        <v>452</v>
      </c>
      <c r="B186">
        <v>86932500</v>
      </c>
      <c r="C186">
        <v>78282167937.76619</v>
      </c>
      <c r="D186">
        <v>900.49369266691042</v>
      </c>
      <c r="E186">
        <v>24.4</v>
      </c>
      <c r="F186">
        <v>-12.457803182126748</v>
      </c>
    </row>
    <row r="187" spans="1:6" x14ac:dyDescent="0.35">
      <c r="A187" t="s">
        <v>453</v>
      </c>
      <c r="B187">
        <v>22763008</v>
      </c>
      <c r="C187">
        <v>19989098341.112953</v>
      </c>
      <c r="D187">
        <v>878.13958248017809</v>
      </c>
      <c r="E187">
        <v>23.8</v>
      </c>
      <c r="F187">
        <v>-12.230958831656496</v>
      </c>
    </row>
    <row r="188" spans="1:6" x14ac:dyDescent="0.35">
      <c r="A188" t="s">
        <v>230</v>
      </c>
      <c r="B188">
        <v>13216985</v>
      </c>
      <c r="C188">
        <v>9799629000.3266487</v>
      </c>
      <c r="D188">
        <v>741.44209139426641</v>
      </c>
      <c r="E188">
        <v>21.4</v>
      </c>
      <c r="F188">
        <v>-11.438941440077949</v>
      </c>
    </row>
    <row r="189" spans="1:6" x14ac:dyDescent="0.35">
      <c r="A189" t="s">
        <v>231</v>
      </c>
      <c r="B189">
        <v>13076978</v>
      </c>
      <c r="C189">
        <v>5202304268.4389067</v>
      </c>
      <c r="D189">
        <v>397.82159673579832</v>
      </c>
      <c r="E189">
        <v>21</v>
      </c>
      <c r="F189">
        <v>-12.305641907741744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5" x14ac:dyDescent="0.35"/>
  <sheetData>
    <row r="1" spans="1:1" x14ac:dyDescent="0.35">
      <c r="A1" t="s"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4</vt:i4>
      </vt:variant>
    </vt:vector>
  </HeadingPairs>
  <TitlesOfParts>
    <vt:vector size="27" baseType="lpstr">
      <vt:lpstr>readme</vt:lpstr>
      <vt:lpstr>Table1</vt:lpstr>
      <vt:lpstr>graph</vt:lpstr>
      <vt:lpstr>regressions</vt:lpstr>
      <vt:lpstr>regressions2</vt:lpstr>
      <vt:lpstr>regions</vt:lpstr>
      <vt:lpstr>country</vt:lpstr>
      <vt:lpstr>Sheet1</vt:lpstr>
      <vt:lpstr>Mendelsohn</vt:lpstr>
      <vt:lpstr>Roson</vt:lpstr>
      <vt:lpstr>Bosello</vt:lpstr>
      <vt:lpstr>NordhausBoyer</vt:lpstr>
      <vt:lpstr>Tol1995</vt:lpstr>
      <vt:lpstr>Tol2002</vt:lpstr>
      <vt:lpstr>NordhausYang</vt:lpstr>
      <vt:lpstr>PlambeckHope</vt:lpstr>
      <vt:lpstr>Hope</vt:lpstr>
      <vt:lpstr>Maddison</vt:lpstr>
      <vt:lpstr>RehdanzMaddison</vt:lpstr>
      <vt:lpstr>MaddisonRehdanz</vt:lpstr>
      <vt:lpstr>Fankhauser</vt:lpstr>
      <vt:lpstr>Berz</vt:lpstr>
      <vt:lpstr>dArge</vt:lpstr>
      <vt:lpstr>Fig1</vt:lpstr>
      <vt:lpstr>Chart1</vt:lpstr>
      <vt:lpstr>Fig2-ImpvInc</vt:lpstr>
      <vt:lpstr>Fig2-ImpvTemp</vt:lpstr>
    </vt:vector>
  </TitlesOfParts>
  <Company>University of Sussex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Bence Kiss-Dobronyi</cp:lastModifiedBy>
  <dcterms:created xsi:type="dcterms:W3CDTF">2014-02-07T12:09:11Z</dcterms:created>
  <dcterms:modified xsi:type="dcterms:W3CDTF">2020-02-19T22:30:51Z</dcterms:modified>
</cp:coreProperties>
</file>