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"/>
    </mc:Choice>
  </mc:AlternateContent>
  <xr:revisionPtr revIDLastSave="0" documentId="13_ncr:1_{B173BAF9-FA8D-4E86-A027-3ED0F8E1832D}" xr6:coauthVersionLast="45" xr6:coauthVersionMax="45" xr10:uidLastSave="{00000000-0000-0000-0000-000000000000}"/>
  <bookViews>
    <workbookView xWindow="-108" yWindow="-108" windowWidth="23256" windowHeight="12576" firstSheet="2" activeTab="6" xr2:uid="{A2FD5629-A0EA-4112-83BA-ABBDAFC5F503}"/>
  </bookViews>
  <sheets>
    <sheet name="Balance Sheet" sheetId="1" r:id="rId1"/>
    <sheet name="Income Statement" sheetId="6" r:id="rId2"/>
    <sheet name="Cash Flows" sheetId="5" r:id="rId3"/>
    <sheet name="Ratios" sheetId="2" r:id="rId4"/>
    <sheet name="Common Size Balance Sheet" sheetId="3" r:id="rId5"/>
    <sheet name="Common Size Income Statement" sheetId="4" r:id="rId6"/>
    <sheet name="Common Size Cash Flow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B53" i="2"/>
  <c r="B52" i="2"/>
  <c r="C52" i="2"/>
  <c r="D52" i="2"/>
  <c r="B50" i="2"/>
  <c r="D51" i="2"/>
  <c r="C51" i="2"/>
  <c r="B51" i="2"/>
  <c r="D50" i="2"/>
  <c r="C50" i="2"/>
  <c r="C46" i="2"/>
  <c r="D46" i="2"/>
  <c r="B46" i="2"/>
  <c r="D45" i="2"/>
  <c r="D27" i="2"/>
  <c r="D44" i="2" s="1"/>
  <c r="C45" i="2"/>
  <c r="C27" i="2"/>
  <c r="B45" i="2"/>
  <c r="B27" i="2"/>
  <c r="D37" i="2"/>
  <c r="B37" i="2"/>
  <c r="C44" i="2"/>
  <c r="B44" i="2"/>
  <c r="C43" i="2"/>
  <c r="D43" i="2"/>
  <c r="B43" i="2"/>
  <c r="C42" i="2"/>
  <c r="D42" i="2"/>
  <c r="B42" i="2"/>
  <c r="C41" i="2"/>
  <c r="D41" i="2"/>
  <c r="B41" i="2"/>
  <c r="C37" i="2"/>
  <c r="D36" i="2"/>
  <c r="C36" i="2"/>
  <c r="B36" i="2"/>
  <c r="D35" i="2"/>
  <c r="C35" i="2"/>
  <c r="B35" i="2"/>
  <c r="C33" i="2"/>
  <c r="D33" i="2"/>
  <c r="B33" i="2"/>
  <c r="C32" i="2"/>
  <c r="D32" i="2"/>
  <c r="B32" i="2"/>
  <c r="C31" i="2"/>
  <c r="D31" i="2"/>
  <c r="B31" i="2"/>
  <c r="C30" i="2"/>
  <c r="D30" i="2"/>
  <c r="B30" i="2"/>
  <c r="C8" i="2"/>
  <c r="D8" i="2"/>
  <c r="B8" i="2"/>
  <c r="D26" i="2"/>
  <c r="C26" i="2"/>
  <c r="B26" i="2"/>
  <c r="D25" i="2"/>
  <c r="C25" i="2"/>
  <c r="B25" i="2"/>
  <c r="C24" i="2"/>
  <c r="D24" i="2"/>
  <c r="B24" i="2"/>
  <c r="D23" i="2"/>
  <c r="C23" i="2"/>
  <c r="B23" i="2"/>
  <c r="C22" i="2"/>
  <c r="D22" i="2"/>
  <c r="B22" i="2"/>
  <c r="D21" i="2"/>
  <c r="C21" i="2"/>
  <c r="B21" i="2"/>
  <c r="C20" i="2"/>
  <c r="D20" i="2"/>
  <c r="B20" i="2"/>
  <c r="D19" i="2"/>
  <c r="C19" i="2"/>
  <c r="B19" i="2"/>
  <c r="C7" i="2"/>
  <c r="D7" i="2"/>
  <c r="B7" i="2"/>
  <c r="B5" i="2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C2" i="8"/>
  <c r="D2" i="8"/>
  <c r="B2" i="8"/>
  <c r="C71" i="4"/>
  <c r="D71" i="4"/>
  <c r="C69" i="4"/>
  <c r="D69" i="4"/>
  <c r="B66" i="4"/>
  <c r="C66" i="4"/>
  <c r="D66" i="4"/>
  <c r="B67" i="4"/>
  <c r="C67" i="4"/>
  <c r="D67" i="4"/>
  <c r="C65" i="4"/>
  <c r="D65" i="4"/>
  <c r="B63" i="4"/>
  <c r="C63" i="4"/>
  <c r="D63" i="4"/>
  <c r="C62" i="4"/>
  <c r="D62" i="4"/>
  <c r="C59" i="4"/>
  <c r="D59" i="4"/>
  <c r="B57" i="4"/>
  <c r="C57" i="4"/>
  <c r="D57" i="4"/>
  <c r="C56" i="4"/>
  <c r="D56" i="4"/>
  <c r="B53" i="4"/>
  <c r="C53" i="4"/>
  <c r="D53" i="4"/>
  <c r="B54" i="4"/>
  <c r="C54" i="4"/>
  <c r="D54" i="4"/>
  <c r="C52" i="4"/>
  <c r="D52" i="4"/>
  <c r="B50" i="4"/>
  <c r="C50" i="4"/>
  <c r="D50" i="4"/>
  <c r="C49" i="4"/>
  <c r="D49" i="4"/>
  <c r="C47" i="4"/>
  <c r="D47" i="4"/>
  <c r="C38" i="4"/>
  <c r="D38" i="4"/>
  <c r="B36" i="4"/>
  <c r="C36" i="4"/>
  <c r="D36" i="4"/>
  <c r="C35" i="4"/>
  <c r="D35" i="4"/>
  <c r="C33" i="4"/>
  <c r="D33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24" i="4"/>
  <c r="C24" i="4"/>
  <c r="B21" i="4"/>
  <c r="C21" i="4"/>
  <c r="D21" i="4"/>
  <c r="B22" i="4"/>
  <c r="C22" i="4"/>
  <c r="D22" i="4"/>
  <c r="C20" i="4"/>
  <c r="D20" i="4"/>
  <c r="C18" i="4"/>
  <c r="D18" i="4"/>
  <c r="B15" i="4"/>
  <c r="C15" i="4"/>
  <c r="D15" i="4"/>
  <c r="B16" i="4"/>
  <c r="C16" i="4"/>
  <c r="D16" i="4"/>
  <c r="C14" i="4"/>
  <c r="D14" i="4"/>
  <c r="C12" i="4"/>
  <c r="D12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C5" i="4"/>
  <c r="D5" i="4"/>
  <c r="C3" i="4"/>
  <c r="D3" i="4"/>
  <c r="C2" i="4"/>
  <c r="D2" i="4"/>
  <c r="B49" i="4"/>
  <c r="B52" i="4"/>
  <c r="B56" i="4"/>
  <c r="B59" i="4"/>
  <c r="B62" i="4"/>
  <c r="B65" i="4"/>
  <c r="B69" i="4"/>
  <c r="B71" i="4"/>
  <c r="B47" i="4"/>
  <c r="B3" i="4"/>
  <c r="B12" i="4"/>
  <c r="B14" i="4"/>
  <c r="B18" i="4"/>
  <c r="B20" i="4"/>
  <c r="B24" i="4"/>
  <c r="B25" i="4"/>
  <c r="B26" i="4"/>
  <c r="B27" i="4"/>
  <c r="B28" i="4"/>
  <c r="B29" i="4"/>
  <c r="B30" i="4"/>
  <c r="B31" i="4"/>
  <c r="B33" i="4"/>
  <c r="B35" i="4"/>
  <c r="B38" i="4"/>
  <c r="B5" i="4"/>
  <c r="B2" i="4"/>
  <c r="C61" i="3" l="1"/>
  <c r="D61" i="3"/>
  <c r="B61" i="3"/>
  <c r="C83" i="3"/>
  <c r="D83" i="3"/>
  <c r="C84" i="3"/>
  <c r="D84" i="3"/>
  <c r="B84" i="3"/>
  <c r="B83" i="3"/>
  <c r="B81" i="3"/>
  <c r="C81" i="3"/>
  <c r="D81" i="3"/>
  <c r="C80" i="3"/>
  <c r="D80" i="3"/>
  <c r="B80" i="3"/>
  <c r="B77" i="3"/>
  <c r="C77" i="3"/>
  <c r="D77" i="3"/>
  <c r="B78" i="3"/>
  <c r="C78" i="3"/>
  <c r="D78" i="3"/>
  <c r="C76" i="3"/>
  <c r="D76" i="3"/>
  <c r="B76" i="3"/>
  <c r="C74" i="3"/>
  <c r="D74" i="3"/>
  <c r="B74" i="3"/>
  <c r="C72" i="3"/>
  <c r="D72" i="3"/>
  <c r="B72" i="3"/>
  <c r="C70" i="3"/>
  <c r="D70" i="3"/>
  <c r="B70" i="3"/>
  <c r="C68" i="3"/>
  <c r="D68" i="3"/>
  <c r="B68" i="3"/>
  <c r="C63" i="3"/>
  <c r="D63" i="3"/>
  <c r="B63" i="3"/>
  <c r="B59" i="3"/>
  <c r="C59" i="3"/>
  <c r="D59" i="3"/>
  <c r="C58" i="3"/>
  <c r="D58" i="3"/>
  <c r="B58" i="3"/>
  <c r="C53" i="3"/>
  <c r="D53" i="3"/>
  <c r="C54" i="3"/>
  <c r="D54" i="3"/>
  <c r="C55" i="3"/>
  <c r="D55" i="3"/>
  <c r="B54" i="3"/>
  <c r="B55" i="3"/>
  <c r="B53" i="3"/>
  <c r="C48" i="3"/>
  <c r="D48" i="3"/>
  <c r="B48" i="3"/>
  <c r="C46" i="3"/>
  <c r="D46" i="3"/>
  <c r="B46" i="3"/>
  <c r="C43" i="3"/>
  <c r="D43" i="3"/>
  <c r="C44" i="3"/>
  <c r="D44" i="3"/>
  <c r="B44" i="3"/>
  <c r="B43" i="3"/>
  <c r="B40" i="3"/>
  <c r="C40" i="3"/>
  <c r="D40" i="3"/>
  <c r="B41" i="3"/>
  <c r="C41" i="3"/>
  <c r="D41" i="3"/>
  <c r="C39" i="3"/>
  <c r="D39" i="3"/>
  <c r="B39" i="3"/>
  <c r="C37" i="3"/>
  <c r="D37" i="3"/>
  <c r="B37" i="3"/>
  <c r="C35" i="3"/>
  <c r="D35" i="3"/>
  <c r="B35" i="3"/>
  <c r="B33" i="3"/>
  <c r="C33" i="3"/>
  <c r="D33" i="3"/>
  <c r="C32" i="3"/>
  <c r="D32" i="3"/>
  <c r="B32" i="3"/>
  <c r="C6" i="3"/>
  <c r="D6" i="3"/>
  <c r="C5" i="3"/>
  <c r="D5" i="3"/>
  <c r="C4" i="3"/>
  <c r="D4" i="3"/>
  <c r="C10" i="3"/>
  <c r="D10" i="3"/>
  <c r="C9" i="3"/>
  <c r="D9" i="3"/>
  <c r="C8" i="3"/>
  <c r="D8" i="3"/>
  <c r="C13" i="3"/>
  <c r="D13" i="3"/>
  <c r="C12" i="3"/>
  <c r="D12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B16" i="3"/>
  <c r="B17" i="3"/>
  <c r="B18" i="3"/>
  <c r="B19" i="3"/>
  <c r="B20" i="3"/>
  <c r="B21" i="3"/>
  <c r="B22" i="3"/>
  <c r="C27" i="3"/>
  <c r="D27" i="3"/>
  <c r="C28" i="3"/>
  <c r="D28" i="3"/>
  <c r="C29" i="3"/>
  <c r="D29" i="3"/>
  <c r="C30" i="3"/>
  <c r="D30" i="3"/>
  <c r="B28" i="3"/>
  <c r="B29" i="3"/>
  <c r="B30" i="3"/>
  <c r="B27" i="3"/>
  <c r="B15" i="3"/>
  <c r="B13" i="3"/>
  <c r="B12" i="3"/>
  <c r="B9" i="3"/>
  <c r="B10" i="3"/>
  <c r="B8" i="3"/>
  <c r="B4" i="3"/>
  <c r="B6" i="3"/>
  <c r="B5" i="3"/>
  <c r="C3" i="3"/>
  <c r="D3" i="3"/>
  <c r="B3" i="3"/>
  <c r="C13" i="2" l="1"/>
  <c r="D13" i="2"/>
  <c r="B13" i="2"/>
  <c r="C12" i="2"/>
  <c r="D12" i="2"/>
  <c r="B12" i="2"/>
  <c r="C11" i="2"/>
  <c r="D11" i="2"/>
  <c r="B11" i="2"/>
  <c r="C4" i="2"/>
  <c r="D4" i="2"/>
  <c r="B4" i="2"/>
  <c r="B6" i="2"/>
  <c r="C5" i="2"/>
  <c r="D5" i="2"/>
  <c r="D6" i="2"/>
  <c r="C6" i="2"/>
</calcChain>
</file>

<file path=xl/sharedStrings.xml><?xml version="1.0" encoding="utf-8"?>
<sst xmlns="http://schemas.openxmlformats.org/spreadsheetml/2006/main" count="315" uniqueCount="176">
  <si>
    <t>Total Assets</t>
  </si>
  <si>
    <t>Current Assets</t>
  </si>
  <si>
    <t>Cash and Cash Equivalents</t>
  </si>
  <si>
    <t>Other Short Term Investments</t>
  </si>
  <si>
    <t>Accounts Receivable</t>
  </si>
  <si>
    <t>Gross Accounts Receivable</t>
  </si>
  <si>
    <t>Allowance for Doubtful AR</t>
  </si>
  <si>
    <t>Inventory</t>
  </si>
  <si>
    <t>Prepaid Assets</t>
  </si>
  <si>
    <t>Non-Current Assets</t>
  </si>
  <si>
    <t>Net PPE</t>
  </si>
  <si>
    <t>Goodwill</t>
  </si>
  <si>
    <t>Other Intangible Assets</t>
  </si>
  <si>
    <t>Long-Term Equity Investments</t>
  </si>
  <si>
    <t>Deferred Taxes Assets</t>
  </si>
  <si>
    <t>Other Non-Current Assets</t>
  </si>
  <si>
    <t>Total Liabilities (net miniority interests)</t>
  </si>
  <si>
    <t>Current Liabilities</t>
  </si>
  <si>
    <t>Account Payables</t>
  </si>
  <si>
    <t>Accrued Expenses</t>
  </si>
  <si>
    <t>Current Debt</t>
  </si>
  <si>
    <t>Current Capital Lease Obligations</t>
  </si>
  <si>
    <t>Current Deferred Revenue</t>
  </si>
  <si>
    <t>Other Current Liabilities</t>
  </si>
  <si>
    <t>Non-Current Liabilities (net minority interests)</t>
  </si>
  <si>
    <t>Long-Term Debt</t>
  </si>
  <si>
    <t>Long-Term Capital Lease Obligation</t>
  </si>
  <si>
    <t>Non-Current Deferred Taxes Liabilities</t>
  </si>
  <si>
    <t>Non-Current Deferred Revenue</t>
  </si>
  <si>
    <t>Pension and Post-Retirement Benefit Plans</t>
  </si>
  <si>
    <t>Other Non-Current Liabilities</t>
  </si>
  <si>
    <t>Total Equity (gross minority interests)</t>
  </si>
  <si>
    <t>Stockholders' Equity</t>
  </si>
  <si>
    <t>Preferred Stock</t>
  </si>
  <si>
    <t>Common Stock</t>
  </si>
  <si>
    <t>Retained Earnings</t>
  </si>
  <si>
    <t>Additional Paid-In Capital</t>
  </si>
  <si>
    <t>Treasury Stock</t>
  </si>
  <si>
    <t>G/L Not Affecting Retained Earnings</t>
  </si>
  <si>
    <t>Total Capitalization</t>
  </si>
  <si>
    <t>Common Stock Equity</t>
  </si>
  <si>
    <t>Capital Lease Obligations</t>
  </si>
  <si>
    <t>Net Tangible Assets</t>
  </si>
  <si>
    <t>Investing Capital</t>
  </si>
  <si>
    <t>Operating Capital</t>
  </si>
  <si>
    <t>Tangible Book Value</t>
  </si>
  <si>
    <t>Total Debt</t>
  </si>
  <si>
    <t>Net Debt</t>
  </si>
  <si>
    <t>Shares Issued</t>
  </si>
  <si>
    <t>Ordinary Shares Number</t>
  </si>
  <si>
    <t>United Airlines</t>
  </si>
  <si>
    <t>Non-Current Note Receivables</t>
  </si>
  <si>
    <t>Liquidity Ratios</t>
  </si>
  <si>
    <t>Current Ratio</t>
  </si>
  <si>
    <t>Quick Ratio</t>
  </si>
  <si>
    <t>Cash Ratio</t>
  </si>
  <si>
    <t>Solvency Ratios</t>
  </si>
  <si>
    <t>Debt-to-Assets Ratio</t>
  </si>
  <si>
    <t>Equity Ratio</t>
  </si>
  <si>
    <t>Debt-to-Equity Ratio</t>
  </si>
  <si>
    <t>United Airlines Balance Sheet</t>
  </si>
  <si>
    <t>Tax Effect of Unusual Items</t>
  </si>
  <si>
    <t>Normalized EBITDA</t>
  </si>
  <si>
    <t>Total Unusual Items</t>
  </si>
  <si>
    <t>Total Unusual Items Excluding Goodwill</t>
  </si>
  <si>
    <t>Net Income from Cont. Operations (net minority interests)</t>
  </si>
  <si>
    <t>Reconciled Depreciation</t>
  </si>
  <si>
    <t>Reconciled COGS</t>
  </si>
  <si>
    <t>EBIT</t>
  </si>
  <si>
    <t>Normalized Income</t>
  </si>
  <si>
    <t>Net Income from Cont. and Discontinuing Operation</t>
  </si>
  <si>
    <t>Net Interest Income</t>
  </si>
  <si>
    <t>Interest Expense</t>
  </si>
  <si>
    <t>Interest Income</t>
  </si>
  <si>
    <t>Total Expenses</t>
  </si>
  <si>
    <t>Rent Expense Supplemental</t>
  </si>
  <si>
    <t>Total Operating Income as Reported</t>
  </si>
  <si>
    <t>Diluted Average Shares</t>
  </si>
  <si>
    <t>Basic Average Shares</t>
  </si>
  <si>
    <t>Diluted EPS</t>
  </si>
  <si>
    <t>Basic EPS</t>
  </si>
  <si>
    <t>Average Dilution Earnings</t>
  </si>
  <si>
    <t>Net Income</t>
  </si>
  <si>
    <t>Tax Provision</t>
  </si>
  <si>
    <t>Pretax Income</t>
  </si>
  <si>
    <t>Other Non-Operating Income Expenses</t>
  </si>
  <si>
    <t>G/L on Sale of PPE</t>
  </si>
  <si>
    <t>Other Special Charges</t>
  </si>
  <si>
    <t>Write Off</t>
  </si>
  <si>
    <t>Impairment of Capital Assets</t>
  </si>
  <si>
    <t>Restructuring and Mergers Acquisition</t>
  </si>
  <si>
    <t>Special Income Charges</t>
  </si>
  <si>
    <t>G/L on Sale of Securities</t>
  </si>
  <si>
    <t>Other Income Expense</t>
  </si>
  <si>
    <t>Non-Operating Interest Expense</t>
  </si>
  <si>
    <t>Non-Operating Interest Income</t>
  </si>
  <si>
    <t xml:space="preserve">Net Non-Operating Interest </t>
  </si>
  <si>
    <t>Operating Income</t>
  </si>
  <si>
    <t>Other Operating Expense</t>
  </si>
  <si>
    <t>Selling General and Admin</t>
  </si>
  <si>
    <t>Operating Expense</t>
  </si>
  <si>
    <t>Gross Profit</t>
  </si>
  <si>
    <t>Other COGS</t>
  </si>
  <si>
    <t>DDA</t>
  </si>
  <si>
    <t>Rent and Landing Fees</t>
  </si>
  <si>
    <t>Maintenance and Repairs</t>
  </si>
  <si>
    <t>Fuel</t>
  </si>
  <si>
    <t>Cost of Goods and Services</t>
  </si>
  <si>
    <t>Operating Revenue</t>
  </si>
  <si>
    <t>Total Revenue</t>
  </si>
  <si>
    <t>Operating Cash Flow</t>
  </si>
  <si>
    <t>Net Income from Cont. Operations</t>
  </si>
  <si>
    <t>G/L on Investment Securities</t>
  </si>
  <si>
    <t>Depreciation Amortization</t>
  </si>
  <si>
    <t>Deferred Income Tax</t>
  </si>
  <si>
    <t>Other Non-Cash Items</t>
  </si>
  <si>
    <t>Change in Working Capital</t>
  </si>
  <si>
    <t>Change in Receivables</t>
  </si>
  <si>
    <t>Change in Payables</t>
  </si>
  <si>
    <t>Change in Other Current Assets</t>
  </si>
  <si>
    <t>Change in Other Current Liabilities</t>
  </si>
  <si>
    <t>Change in Other Current Working Capital</t>
  </si>
  <si>
    <t>Investing Cash Flow</t>
  </si>
  <si>
    <t>Capital Expenditure Reported</t>
  </si>
  <si>
    <t>Net PPE Purchase/Sale</t>
  </si>
  <si>
    <t>Net Business Purchase/Sale</t>
  </si>
  <si>
    <t>Net Investment Purchase/Sale</t>
  </si>
  <si>
    <t>Net Other Investing Changes</t>
  </si>
  <si>
    <t>Financing Cash Flow</t>
  </si>
  <si>
    <t>Net Long Term Debt Issuance</t>
  </si>
  <si>
    <t>Long Term Debt Issuance</t>
  </si>
  <si>
    <t>Long Term Debt Payment</t>
  </si>
  <si>
    <t>Net Common Stock Issuance</t>
  </si>
  <si>
    <t>Stock Option Excercised</t>
  </si>
  <si>
    <t>Net Other Financing Charges</t>
  </si>
  <si>
    <t>End Cash Position</t>
  </si>
  <si>
    <t>Changes in Cash</t>
  </si>
  <si>
    <t>Beginning Cash Position</t>
  </si>
  <si>
    <t>Income Tax Paid</t>
  </si>
  <si>
    <t>Interest Paid</t>
  </si>
  <si>
    <t>Capital Expenditure</t>
  </si>
  <si>
    <t>Issuance of Debt</t>
  </si>
  <si>
    <t>Repayment of Debt</t>
  </si>
  <si>
    <t>Repurcahse of Capital Stock</t>
  </si>
  <si>
    <t>Free Cash Flow</t>
  </si>
  <si>
    <t>Cash Flow Statement</t>
  </si>
  <si>
    <t>Cash Flows Statement</t>
  </si>
  <si>
    <t>Defensive Interval Ratio</t>
  </si>
  <si>
    <t>Activity Ratios</t>
  </si>
  <si>
    <t>Inventory Turnover</t>
  </si>
  <si>
    <t>Days Inventory on Hand</t>
  </si>
  <si>
    <t>Receivables Turnover</t>
  </si>
  <si>
    <t>Days Sales Outstanding</t>
  </si>
  <si>
    <t>Payables Turnover</t>
  </si>
  <si>
    <t>Days of Payables</t>
  </si>
  <si>
    <t>Working Capital Turnover</t>
  </si>
  <si>
    <t>Fixed Asset Turnover</t>
  </si>
  <si>
    <t>Total Asset Turnover</t>
  </si>
  <si>
    <t>Cash Conversion Cycle</t>
  </si>
  <si>
    <t>Profitability Ratios</t>
  </si>
  <si>
    <t>Gross Profit Margin</t>
  </si>
  <si>
    <t>Operating Profit Margin</t>
  </si>
  <si>
    <t>Pretax Margin</t>
  </si>
  <si>
    <t>Net Profit Margin</t>
  </si>
  <si>
    <t>Operating ROA</t>
  </si>
  <si>
    <t>ROA</t>
  </si>
  <si>
    <t>ROE</t>
  </si>
  <si>
    <t>Dupont Analysis</t>
  </si>
  <si>
    <t>Tax Burden</t>
  </si>
  <si>
    <t>Interest Burden</t>
  </si>
  <si>
    <t>EBIT Margin</t>
  </si>
  <si>
    <t>Leverage</t>
  </si>
  <si>
    <t>Valuation Ratios</t>
  </si>
  <si>
    <t>P/E</t>
  </si>
  <si>
    <t>P/B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</si>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</sst>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06EF-9BD9-4A3E-AD34-6487E2635E06}">
  <dimension ref="A1:D84"/>
  <sheetViews>
    <sheetView topLeftCell="A29" workbookViewId="0">
      <selection activeCell="C12" sqref="C12"/>
    </sheetView>
  </sheetViews>
  <sheetFormatPr defaultRowHeight="14.4" x14ac:dyDescent="0.3"/>
  <cols>
    <col min="1" max="1" width="22.33203125" customWidth="1"/>
    <col min="2" max="2" width="16.88671875" customWidth="1"/>
    <col min="3" max="3" width="17.21875" customWidth="1"/>
    <col min="4" max="4" width="20" customWidth="1"/>
  </cols>
  <sheetData>
    <row r="1" spans="1:4" x14ac:dyDescent="0.3">
      <c r="A1" t="s">
        <v>60</v>
      </c>
    </row>
    <row r="2" spans="1:4" x14ac:dyDescent="0.3">
      <c r="B2" s="1">
        <v>2019</v>
      </c>
      <c r="C2" s="1">
        <v>2018</v>
      </c>
      <c r="D2" s="1">
        <v>2017</v>
      </c>
    </row>
    <row r="3" spans="1:4" x14ac:dyDescent="0.3">
      <c r="A3" s="1" t="s">
        <v>0</v>
      </c>
      <c r="B3">
        <v>52611000</v>
      </c>
      <c r="C3">
        <v>44792000</v>
      </c>
      <c r="D3">
        <v>42326000</v>
      </c>
    </row>
    <row r="4" spans="1:4" x14ac:dyDescent="0.3">
      <c r="A4" s="1" t="s">
        <v>1</v>
      </c>
      <c r="B4">
        <v>8194000</v>
      </c>
      <c r="C4">
        <v>7194000</v>
      </c>
      <c r="D4">
        <v>7113000</v>
      </c>
    </row>
    <row r="5" spans="1:4" x14ac:dyDescent="0.3">
      <c r="A5" t="s">
        <v>2</v>
      </c>
      <c r="B5">
        <v>2762000</v>
      </c>
      <c r="C5">
        <v>1694000</v>
      </c>
      <c r="D5">
        <v>1482000</v>
      </c>
    </row>
    <row r="6" spans="1:4" x14ac:dyDescent="0.3">
      <c r="A6" t="s">
        <v>3</v>
      </c>
      <c r="B6">
        <v>2182000</v>
      </c>
      <c r="C6">
        <v>2256000</v>
      </c>
      <c r="D6">
        <v>2316000</v>
      </c>
    </row>
    <row r="8" spans="1:4" x14ac:dyDescent="0.3">
      <c r="A8" t="s">
        <v>4</v>
      </c>
      <c r="B8">
        <v>1364000</v>
      </c>
      <c r="C8">
        <v>1346000</v>
      </c>
      <c r="D8">
        <v>1340000</v>
      </c>
    </row>
    <row r="9" spans="1:4" x14ac:dyDescent="0.3">
      <c r="A9" t="s">
        <v>5</v>
      </c>
      <c r="B9">
        <v>1373000</v>
      </c>
      <c r="C9">
        <v>1354000</v>
      </c>
      <c r="D9">
        <v>1347000</v>
      </c>
    </row>
    <row r="10" spans="1:4" x14ac:dyDescent="0.3">
      <c r="A10" t="s">
        <v>6</v>
      </c>
      <c r="B10">
        <v>-9000</v>
      </c>
      <c r="C10">
        <v>-8000</v>
      </c>
      <c r="D10">
        <v>-7000</v>
      </c>
    </row>
    <row r="12" spans="1:4" x14ac:dyDescent="0.3">
      <c r="A12" t="s">
        <v>7</v>
      </c>
      <c r="B12">
        <v>1072000</v>
      </c>
      <c r="C12">
        <v>985000</v>
      </c>
      <c r="D12">
        <v>924000</v>
      </c>
    </row>
    <row r="13" spans="1:4" x14ac:dyDescent="0.3">
      <c r="A13" t="s">
        <v>8</v>
      </c>
      <c r="B13">
        <v>814000</v>
      </c>
      <c r="C13">
        <v>913000</v>
      </c>
      <c r="D13">
        <v>1051000</v>
      </c>
    </row>
    <row r="15" spans="1:4" x14ac:dyDescent="0.3">
      <c r="A15" s="1" t="s">
        <v>9</v>
      </c>
      <c r="B15">
        <v>44417000</v>
      </c>
      <c r="C15">
        <v>37598000</v>
      </c>
      <c r="D15">
        <v>35213000</v>
      </c>
    </row>
    <row r="16" spans="1:4" x14ac:dyDescent="0.3">
      <c r="A16" t="s">
        <v>10</v>
      </c>
      <c r="B16">
        <v>34928000</v>
      </c>
      <c r="C16">
        <v>28329000</v>
      </c>
      <c r="D16">
        <v>26208000</v>
      </c>
    </row>
    <row r="17" spans="1:4" x14ac:dyDescent="0.3">
      <c r="A17" t="s">
        <v>11</v>
      </c>
      <c r="B17">
        <v>5069000</v>
      </c>
      <c r="C17">
        <v>5069000</v>
      </c>
      <c r="D17">
        <v>5059000</v>
      </c>
    </row>
    <row r="18" spans="1:4" x14ac:dyDescent="0.3">
      <c r="A18" t="s">
        <v>12</v>
      </c>
      <c r="B18">
        <v>2463000</v>
      </c>
      <c r="C18">
        <v>2613000</v>
      </c>
      <c r="D18">
        <v>3003000</v>
      </c>
    </row>
    <row r="19" spans="1:4" x14ac:dyDescent="0.3">
      <c r="A19" t="s">
        <v>13</v>
      </c>
      <c r="B19">
        <v>1180000</v>
      </c>
      <c r="C19">
        <v>966000</v>
      </c>
      <c r="D19">
        <v>852000</v>
      </c>
    </row>
    <row r="20" spans="1:4" x14ac:dyDescent="0.3">
      <c r="A20" t="s">
        <v>51</v>
      </c>
      <c r="B20">
        <v>671000</v>
      </c>
      <c r="C20">
        <v>516000</v>
      </c>
      <c r="D20">
        <v>0</v>
      </c>
    </row>
    <row r="21" spans="1:4" x14ac:dyDescent="0.3">
      <c r="A21" t="s">
        <v>14</v>
      </c>
      <c r="B21">
        <v>0</v>
      </c>
      <c r="C21">
        <v>0</v>
      </c>
      <c r="D21">
        <v>0</v>
      </c>
    </row>
    <row r="22" spans="1:4" x14ac:dyDescent="0.3">
      <c r="A22" t="s">
        <v>15</v>
      </c>
      <c r="B22">
        <v>106000</v>
      </c>
      <c r="C22">
        <v>105000</v>
      </c>
      <c r="D22">
        <v>91000</v>
      </c>
    </row>
    <row r="27" spans="1:4" x14ac:dyDescent="0.3">
      <c r="A27" s="1" t="s">
        <v>16</v>
      </c>
      <c r="B27">
        <v>41080000</v>
      </c>
      <c r="C27">
        <v>34797000</v>
      </c>
      <c r="D27">
        <v>33520000</v>
      </c>
    </row>
    <row r="28" spans="1:4" x14ac:dyDescent="0.3">
      <c r="A28" s="1" t="s">
        <v>17</v>
      </c>
      <c r="B28">
        <v>14938000</v>
      </c>
      <c r="C28">
        <v>13212000</v>
      </c>
      <c r="D28">
        <v>12676000</v>
      </c>
    </row>
    <row r="29" spans="1:4" x14ac:dyDescent="0.3">
      <c r="A29" t="s">
        <v>18</v>
      </c>
      <c r="B29">
        <v>2703000</v>
      </c>
      <c r="C29">
        <v>2363000</v>
      </c>
      <c r="D29">
        <v>2196000</v>
      </c>
    </row>
    <row r="30" spans="1:4" x14ac:dyDescent="0.3">
      <c r="A30" t="s">
        <v>19</v>
      </c>
      <c r="B30">
        <v>2271000</v>
      </c>
      <c r="C30">
        <v>2184000</v>
      </c>
      <c r="D30">
        <v>2166000</v>
      </c>
    </row>
    <row r="32" spans="1:4" x14ac:dyDescent="0.3">
      <c r="A32" t="s">
        <v>20</v>
      </c>
      <c r="B32">
        <v>1407000</v>
      </c>
      <c r="C32">
        <v>1230000</v>
      </c>
      <c r="D32">
        <v>1565000</v>
      </c>
    </row>
    <row r="33" spans="1:4" x14ac:dyDescent="0.3">
      <c r="A33" t="s">
        <v>21</v>
      </c>
      <c r="B33">
        <v>732000</v>
      </c>
      <c r="C33">
        <v>149000</v>
      </c>
      <c r="D33">
        <v>128000</v>
      </c>
    </row>
    <row r="35" spans="1:4" x14ac:dyDescent="0.3">
      <c r="A35" t="s">
        <v>22</v>
      </c>
      <c r="B35">
        <v>7259000</v>
      </c>
      <c r="C35">
        <v>6667000</v>
      </c>
      <c r="D35">
        <v>6052000</v>
      </c>
    </row>
    <row r="37" spans="1:4" x14ac:dyDescent="0.3">
      <c r="A37" t="s">
        <v>23</v>
      </c>
      <c r="B37">
        <v>566000</v>
      </c>
      <c r="C37">
        <v>619000</v>
      </c>
      <c r="D37">
        <v>569000</v>
      </c>
    </row>
    <row r="39" spans="1:4" x14ac:dyDescent="0.3">
      <c r="A39" s="1" t="s">
        <v>24</v>
      </c>
      <c r="B39">
        <v>26142000</v>
      </c>
      <c r="C39">
        <v>21585000</v>
      </c>
      <c r="D39">
        <v>20844000</v>
      </c>
    </row>
    <row r="40" spans="1:4" x14ac:dyDescent="0.3">
      <c r="A40" t="s">
        <v>25</v>
      </c>
      <c r="B40">
        <v>13145000</v>
      </c>
      <c r="C40">
        <v>12215000</v>
      </c>
      <c r="D40">
        <v>11703000</v>
      </c>
    </row>
    <row r="41" spans="1:4" x14ac:dyDescent="0.3">
      <c r="A41" t="s">
        <v>26</v>
      </c>
      <c r="B41">
        <v>5166000</v>
      </c>
      <c r="C41">
        <v>1134000</v>
      </c>
      <c r="D41">
        <v>996000</v>
      </c>
    </row>
    <row r="43" spans="1:4" x14ac:dyDescent="0.3">
      <c r="A43" t="s">
        <v>27</v>
      </c>
      <c r="B43">
        <v>1736000</v>
      </c>
      <c r="C43">
        <v>814000</v>
      </c>
      <c r="D43">
        <v>225000</v>
      </c>
    </row>
    <row r="44" spans="1:4" x14ac:dyDescent="0.3">
      <c r="A44" t="s">
        <v>28</v>
      </c>
      <c r="B44">
        <v>2836000</v>
      </c>
      <c r="C44">
        <v>2719000</v>
      </c>
      <c r="D44">
        <v>2565000</v>
      </c>
    </row>
    <row r="46" spans="1:4" x14ac:dyDescent="0.3">
      <c r="A46" t="s">
        <v>29</v>
      </c>
      <c r="B46">
        <v>2235000</v>
      </c>
      <c r="C46">
        <v>2871000</v>
      </c>
      <c r="D46">
        <v>3523000</v>
      </c>
    </row>
    <row r="48" spans="1:4" x14ac:dyDescent="0.3">
      <c r="A48" t="s">
        <v>30</v>
      </c>
      <c r="B48">
        <v>1024000</v>
      </c>
      <c r="C48">
        <v>1832000</v>
      </c>
      <c r="D48">
        <v>1832000</v>
      </c>
    </row>
    <row r="53" spans="1:4" x14ac:dyDescent="0.3">
      <c r="A53" s="1" t="s">
        <v>31</v>
      </c>
      <c r="B53">
        <v>11531000</v>
      </c>
      <c r="C53">
        <v>9995000</v>
      </c>
      <c r="D53">
        <v>8806000</v>
      </c>
    </row>
    <row r="54" spans="1:4" x14ac:dyDescent="0.3">
      <c r="A54" s="1" t="s">
        <v>32</v>
      </c>
      <c r="B54">
        <v>11531000</v>
      </c>
      <c r="C54">
        <v>9995000</v>
      </c>
      <c r="D54">
        <v>8806000</v>
      </c>
    </row>
    <row r="55" spans="1:4" x14ac:dyDescent="0.3">
      <c r="A55" t="s">
        <v>33</v>
      </c>
      <c r="B55">
        <v>0</v>
      </c>
      <c r="C55">
        <v>0</v>
      </c>
      <c r="D55">
        <v>0</v>
      </c>
    </row>
    <row r="56" spans="1:4" x14ac:dyDescent="0.3">
      <c r="A56" t="s">
        <v>34</v>
      </c>
      <c r="B56">
        <v>3000</v>
      </c>
      <c r="C56">
        <v>3000</v>
      </c>
      <c r="D56">
        <v>3000</v>
      </c>
    </row>
    <row r="58" spans="1:4" x14ac:dyDescent="0.3">
      <c r="A58" t="s">
        <v>35</v>
      </c>
      <c r="B58">
        <v>9716000</v>
      </c>
      <c r="C58">
        <v>6668000</v>
      </c>
      <c r="D58">
        <v>4621000</v>
      </c>
    </row>
    <row r="59" spans="1:4" x14ac:dyDescent="0.3">
      <c r="A59" t="s">
        <v>36</v>
      </c>
      <c r="B59">
        <v>6129000</v>
      </c>
      <c r="C59">
        <v>6120000</v>
      </c>
      <c r="D59">
        <v>6098000</v>
      </c>
    </row>
    <row r="61" spans="1:4" x14ac:dyDescent="0.3">
      <c r="A61" t="s">
        <v>37</v>
      </c>
      <c r="B61">
        <v>3599000</v>
      </c>
      <c r="C61">
        <v>1993000</v>
      </c>
      <c r="D61">
        <v>769000</v>
      </c>
    </row>
    <row r="63" spans="1:4" x14ac:dyDescent="0.3">
      <c r="A63" t="s">
        <v>38</v>
      </c>
      <c r="B63">
        <v>-718000</v>
      </c>
      <c r="C63">
        <v>-803000</v>
      </c>
      <c r="D63">
        <v>-1147000</v>
      </c>
    </row>
    <row r="68" spans="1:4" x14ac:dyDescent="0.3">
      <c r="A68" s="2" t="s">
        <v>39</v>
      </c>
      <c r="B68">
        <v>24676000</v>
      </c>
      <c r="C68">
        <v>22210000</v>
      </c>
      <c r="D68">
        <v>20509000</v>
      </c>
    </row>
    <row r="70" spans="1:4" x14ac:dyDescent="0.3">
      <c r="A70" t="s">
        <v>40</v>
      </c>
      <c r="B70">
        <v>11531000</v>
      </c>
      <c r="C70">
        <v>9995000</v>
      </c>
      <c r="D70">
        <v>8806000</v>
      </c>
    </row>
    <row r="72" spans="1:4" x14ac:dyDescent="0.3">
      <c r="A72" t="s">
        <v>41</v>
      </c>
      <c r="B72">
        <v>5898000</v>
      </c>
      <c r="C72">
        <v>1283000</v>
      </c>
      <c r="D72">
        <v>1124000</v>
      </c>
    </row>
    <row r="74" spans="1:4" x14ac:dyDescent="0.3">
      <c r="A74" t="s">
        <v>42</v>
      </c>
      <c r="B74">
        <v>3999000</v>
      </c>
      <c r="C74">
        <v>2313000</v>
      </c>
      <c r="D74">
        <v>744000</v>
      </c>
    </row>
    <row r="76" spans="1:4" x14ac:dyDescent="0.3">
      <c r="A76" t="s">
        <v>44</v>
      </c>
      <c r="B76">
        <v>-6744000</v>
      </c>
      <c r="C76">
        <v>-6018000</v>
      </c>
      <c r="D76">
        <v>-5563000</v>
      </c>
    </row>
    <row r="77" spans="1:4" x14ac:dyDescent="0.3">
      <c r="A77" t="s">
        <v>43</v>
      </c>
      <c r="B77">
        <v>26083000</v>
      </c>
      <c r="C77">
        <v>23440000</v>
      </c>
      <c r="D77">
        <v>22074000</v>
      </c>
    </row>
    <row r="78" spans="1:4" x14ac:dyDescent="0.3">
      <c r="A78" t="s">
        <v>45</v>
      </c>
      <c r="B78">
        <v>3999000</v>
      </c>
      <c r="C78">
        <v>2313000</v>
      </c>
      <c r="D78">
        <v>2313000</v>
      </c>
    </row>
    <row r="80" spans="1:4" x14ac:dyDescent="0.3">
      <c r="A80" s="1" t="s">
        <v>46</v>
      </c>
      <c r="B80">
        <v>20450000</v>
      </c>
      <c r="C80">
        <v>14728000</v>
      </c>
      <c r="D80">
        <v>14392000</v>
      </c>
    </row>
    <row r="81" spans="1:4" x14ac:dyDescent="0.3">
      <c r="A81" s="1" t="s">
        <v>47</v>
      </c>
      <c r="B81">
        <v>11790000</v>
      </c>
      <c r="C81">
        <v>11751000</v>
      </c>
      <c r="D81">
        <v>11786000</v>
      </c>
    </row>
    <row r="83" spans="1:4" x14ac:dyDescent="0.3">
      <c r="A83" t="s">
        <v>48</v>
      </c>
      <c r="B83">
        <v>251216</v>
      </c>
      <c r="C83">
        <v>269915</v>
      </c>
      <c r="D83">
        <v>286973</v>
      </c>
    </row>
    <row r="84" spans="1:4" x14ac:dyDescent="0.3">
      <c r="A84" t="s">
        <v>49</v>
      </c>
      <c r="B84">
        <v>251216</v>
      </c>
      <c r="C84">
        <v>269915</v>
      </c>
      <c r="D84">
        <v>286973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B3D1-3687-4EEE-8834-3F2A044B96AB}">
  <dimension ref="A1:D71"/>
  <sheetViews>
    <sheetView topLeftCell="A33" workbookViewId="0">
      <selection activeCell="B45" sqref="B45"/>
    </sheetView>
  </sheetViews>
  <sheetFormatPr defaultRowHeight="14.4" x14ac:dyDescent="0.3"/>
  <cols>
    <col min="1" max="1" width="20.77734375" customWidth="1"/>
  </cols>
  <sheetData>
    <row r="1" spans="1:4" x14ac:dyDescent="0.3">
      <c r="B1" s="1">
        <v>2019</v>
      </c>
      <c r="C1" s="1">
        <v>2018</v>
      </c>
      <c r="D1" s="1">
        <v>2017</v>
      </c>
    </row>
    <row r="2" spans="1:4" x14ac:dyDescent="0.3">
      <c r="A2" s="1" t="s">
        <v>109</v>
      </c>
      <c r="B2">
        <v>43259000</v>
      </c>
      <c r="C2">
        <v>41303000</v>
      </c>
      <c r="D2">
        <v>37736000</v>
      </c>
    </row>
    <row r="3" spans="1:4" x14ac:dyDescent="0.3">
      <c r="A3" t="s">
        <v>108</v>
      </c>
      <c r="B3">
        <v>40804000</v>
      </c>
      <c r="C3">
        <v>38943000</v>
      </c>
      <c r="D3">
        <v>33439000</v>
      </c>
    </row>
    <row r="5" spans="1:4" x14ac:dyDescent="0.3">
      <c r="A5" t="s">
        <v>107</v>
      </c>
      <c r="B5">
        <v>30786000</v>
      </c>
      <c r="C5">
        <v>30165000</v>
      </c>
      <c r="D5">
        <v>27056000</v>
      </c>
    </row>
    <row r="6" spans="1:4" x14ac:dyDescent="0.3">
      <c r="A6" t="s">
        <v>106</v>
      </c>
      <c r="B6">
        <v>8953000</v>
      </c>
      <c r="C6">
        <v>9307000</v>
      </c>
      <c r="D6">
        <v>6913000</v>
      </c>
    </row>
    <row r="7" spans="1:4" x14ac:dyDescent="0.3">
      <c r="A7" t="s">
        <v>105</v>
      </c>
      <c r="B7">
        <v>1794000</v>
      </c>
      <c r="C7">
        <v>1767000</v>
      </c>
      <c r="D7">
        <v>1856000</v>
      </c>
    </row>
    <row r="8" spans="1:4" x14ac:dyDescent="0.3">
      <c r="A8" t="s">
        <v>104</v>
      </c>
      <c r="B8">
        <v>2831000</v>
      </c>
      <c r="C8">
        <v>2792000</v>
      </c>
      <c r="D8">
        <v>2861000</v>
      </c>
    </row>
    <row r="9" spans="1:4" x14ac:dyDescent="0.3">
      <c r="A9" t="s">
        <v>103</v>
      </c>
      <c r="B9">
        <v>2288000</v>
      </c>
      <c r="C9">
        <v>2240000</v>
      </c>
      <c r="D9">
        <v>2149000</v>
      </c>
    </row>
    <row r="10" spans="1:4" x14ac:dyDescent="0.3">
      <c r="A10" t="s">
        <v>102</v>
      </c>
      <c r="B10">
        <v>14920000</v>
      </c>
      <c r="C10">
        <v>14059000</v>
      </c>
      <c r="D10">
        <v>13277000</v>
      </c>
    </row>
    <row r="12" spans="1:4" x14ac:dyDescent="0.3">
      <c r="A12" t="s">
        <v>101</v>
      </c>
      <c r="B12">
        <v>12473000</v>
      </c>
      <c r="C12">
        <v>11138000</v>
      </c>
      <c r="D12">
        <v>10680000</v>
      </c>
    </row>
    <row r="14" spans="1:4" x14ac:dyDescent="0.3">
      <c r="A14" t="s">
        <v>100</v>
      </c>
      <c r="B14">
        <v>7926000</v>
      </c>
      <c r="C14">
        <v>7359000</v>
      </c>
      <c r="D14">
        <v>7006000</v>
      </c>
    </row>
    <row r="15" spans="1:4" x14ac:dyDescent="0.3">
      <c r="A15" t="s">
        <v>99</v>
      </c>
      <c r="B15">
        <v>1651000</v>
      </c>
      <c r="C15">
        <v>1558000</v>
      </c>
      <c r="D15">
        <v>1349000</v>
      </c>
    </row>
    <row r="16" spans="1:4" x14ac:dyDescent="0.3">
      <c r="A16" t="s">
        <v>98</v>
      </c>
      <c r="B16">
        <v>6275000</v>
      </c>
      <c r="C16">
        <v>5801000</v>
      </c>
      <c r="D16">
        <v>5657000</v>
      </c>
    </row>
    <row r="18" spans="1:4" x14ac:dyDescent="0.3">
      <c r="A18" t="s">
        <v>97</v>
      </c>
      <c r="B18">
        <v>4547000</v>
      </c>
      <c r="C18">
        <v>3779000</v>
      </c>
      <c r="D18">
        <v>3674000</v>
      </c>
    </row>
    <row r="20" spans="1:4" x14ac:dyDescent="0.3">
      <c r="A20" t="s">
        <v>96</v>
      </c>
      <c r="B20">
        <v>-513000</v>
      </c>
      <c r="C20">
        <v>-558000</v>
      </c>
      <c r="D20">
        <v>-502000</v>
      </c>
    </row>
    <row r="21" spans="1:4" x14ac:dyDescent="0.3">
      <c r="A21" t="s">
        <v>95</v>
      </c>
      <c r="B21">
        <v>133000</v>
      </c>
      <c r="C21">
        <v>101000</v>
      </c>
      <c r="D21">
        <v>57000</v>
      </c>
    </row>
    <row r="22" spans="1:4" x14ac:dyDescent="0.3">
      <c r="A22" t="s">
        <v>94</v>
      </c>
      <c r="B22">
        <v>646000</v>
      </c>
      <c r="C22">
        <v>659000</v>
      </c>
      <c r="D22">
        <v>559000</v>
      </c>
    </row>
    <row r="24" spans="1:4" x14ac:dyDescent="0.3">
      <c r="A24" t="s">
        <v>93</v>
      </c>
      <c r="B24">
        <v>-120000</v>
      </c>
      <c r="C24">
        <v>-563000</v>
      </c>
      <c r="D24">
        <v>-173000</v>
      </c>
    </row>
    <row r="25" spans="1:4" x14ac:dyDescent="0.3">
      <c r="A25" t="s">
        <v>92</v>
      </c>
      <c r="B25">
        <v>153000</v>
      </c>
      <c r="C25">
        <v>0</v>
      </c>
      <c r="D25">
        <v>0</v>
      </c>
    </row>
    <row r="26" spans="1:4" x14ac:dyDescent="0.3">
      <c r="A26" t="s">
        <v>91</v>
      </c>
      <c r="B26">
        <v>-246000</v>
      </c>
      <c r="C26">
        <v>-487000</v>
      </c>
      <c r="D26">
        <v>-176000</v>
      </c>
    </row>
    <row r="27" spans="1:4" x14ac:dyDescent="0.3">
      <c r="A27" t="s">
        <v>90</v>
      </c>
      <c r="B27">
        <v>0</v>
      </c>
      <c r="C27">
        <v>64000</v>
      </c>
      <c r="D27">
        <v>0</v>
      </c>
    </row>
    <row r="28" spans="1:4" x14ac:dyDescent="0.3">
      <c r="A28" t="s">
        <v>89</v>
      </c>
      <c r="B28">
        <v>171000</v>
      </c>
      <c r="C28">
        <v>377000</v>
      </c>
      <c r="D28">
        <v>25000</v>
      </c>
    </row>
    <row r="29" spans="1:4" x14ac:dyDescent="0.3">
      <c r="A29" t="s">
        <v>88</v>
      </c>
      <c r="B29">
        <v>171000</v>
      </c>
      <c r="C29">
        <v>377000</v>
      </c>
      <c r="D29">
        <v>25000</v>
      </c>
    </row>
    <row r="30" spans="1:4" x14ac:dyDescent="0.3">
      <c r="A30" t="s">
        <v>87</v>
      </c>
      <c r="B30">
        <v>16000</v>
      </c>
      <c r="C30">
        <v>41000</v>
      </c>
      <c r="D30">
        <v>116000</v>
      </c>
    </row>
    <row r="31" spans="1:4" x14ac:dyDescent="0.3">
      <c r="A31" t="s">
        <v>86</v>
      </c>
      <c r="B31">
        <v>-59000</v>
      </c>
      <c r="C31">
        <v>-5000</v>
      </c>
      <c r="D31">
        <v>-35000</v>
      </c>
    </row>
    <row r="33" spans="1:4" x14ac:dyDescent="0.3">
      <c r="A33" t="s">
        <v>85</v>
      </c>
      <c r="B33">
        <v>-27000</v>
      </c>
      <c r="C33">
        <v>-76000</v>
      </c>
      <c r="D33">
        <v>3000</v>
      </c>
    </row>
    <row r="35" spans="1:4" x14ac:dyDescent="0.3">
      <c r="A35" t="s">
        <v>84</v>
      </c>
      <c r="B35">
        <v>3914000</v>
      </c>
      <c r="C35">
        <v>2658000</v>
      </c>
      <c r="D35">
        <v>2999000</v>
      </c>
    </row>
    <row r="36" spans="1:4" x14ac:dyDescent="0.3">
      <c r="A36" t="s">
        <v>83</v>
      </c>
      <c r="B36">
        <v>905000</v>
      </c>
      <c r="C36">
        <v>529000</v>
      </c>
      <c r="D36">
        <v>868000</v>
      </c>
    </row>
    <row r="38" spans="1:4" x14ac:dyDescent="0.3">
      <c r="A38" s="1" t="s">
        <v>82</v>
      </c>
      <c r="B38">
        <v>3009000</v>
      </c>
      <c r="C38">
        <v>2129000</v>
      </c>
      <c r="D38">
        <v>2131000</v>
      </c>
    </row>
    <row r="40" spans="1:4" x14ac:dyDescent="0.3">
      <c r="A40" t="s">
        <v>81</v>
      </c>
      <c r="B40">
        <v>0</v>
      </c>
      <c r="C40">
        <v>0</v>
      </c>
      <c r="D40">
        <v>0</v>
      </c>
    </row>
    <row r="42" spans="1:4" x14ac:dyDescent="0.3">
      <c r="A42" t="s">
        <v>80</v>
      </c>
      <c r="B42">
        <v>1.2E-2</v>
      </c>
      <c r="C42">
        <v>7.9000000000000008E-3</v>
      </c>
      <c r="D42">
        <v>7.4000000000000003E-3</v>
      </c>
    </row>
    <row r="43" spans="1:4" x14ac:dyDescent="0.3">
      <c r="A43" t="s">
        <v>79</v>
      </c>
      <c r="B43">
        <v>1.1599999999999999E-2</v>
      </c>
      <c r="C43">
        <v>7.7000000000000002E-3</v>
      </c>
      <c r="D43">
        <v>7.0000000000000001E-3</v>
      </c>
    </row>
    <row r="44" spans="1:4" x14ac:dyDescent="0.3">
      <c r="A44" t="s">
        <v>78</v>
      </c>
      <c r="B44">
        <v>251216</v>
      </c>
      <c r="C44">
        <v>269915</v>
      </c>
      <c r="D44">
        <v>286973</v>
      </c>
    </row>
    <row r="45" spans="1:4" x14ac:dyDescent="0.3">
      <c r="A45" t="s">
        <v>77</v>
      </c>
      <c r="B45">
        <v>259900</v>
      </c>
      <c r="C45">
        <v>276700</v>
      </c>
      <c r="D45">
        <v>303600</v>
      </c>
    </row>
    <row r="47" spans="1:4" x14ac:dyDescent="0.3">
      <c r="A47" t="s">
        <v>76</v>
      </c>
      <c r="B47">
        <v>4301000</v>
      </c>
      <c r="C47">
        <v>3292000</v>
      </c>
      <c r="D47">
        <v>3498000</v>
      </c>
    </row>
    <row r="49" spans="1:4" x14ac:dyDescent="0.3">
      <c r="A49" t="s">
        <v>75</v>
      </c>
      <c r="B49">
        <v>2831000</v>
      </c>
      <c r="C49">
        <v>2792000</v>
      </c>
      <c r="D49">
        <v>2861000</v>
      </c>
    </row>
    <row r="50" spans="1:4" x14ac:dyDescent="0.3">
      <c r="A50" t="s">
        <v>74</v>
      </c>
      <c r="B50">
        <v>38712000</v>
      </c>
      <c r="C50">
        <v>37524000</v>
      </c>
      <c r="D50">
        <v>34062000</v>
      </c>
    </row>
    <row r="52" spans="1:4" x14ac:dyDescent="0.3">
      <c r="A52" t="s">
        <v>73</v>
      </c>
      <c r="B52">
        <v>133000</v>
      </c>
      <c r="C52">
        <v>101000</v>
      </c>
      <c r="D52">
        <v>57000</v>
      </c>
    </row>
    <row r="53" spans="1:4" x14ac:dyDescent="0.3">
      <c r="A53" t="s">
        <v>72</v>
      </c>
      <c r="B53">
        <v>646000</v>
      </c>
      <c r="C53">
        <v>659000</v>
      </c>
      <c r="D53">
        <v>559000</v>
      </c>
    </row>
    <row r="54" spans="1:4" x14ac:dyDescent="0.3">
      <c r="A54" t="s">
        <v>71</v>
      </c>
      <c r="B54">
        <v>-513000</v>
      </c>
      <c r="C54">
        <v>-558000</v>
      </c>
      <c r="D54">
        <v>-502000</v>
      </c>
    </row>
    <row r="56" spans="1:4" x14ac:dyDescent="0.3">
      <c r="A56" t="s">
        <v>70</v>
      </c>
      <c r="B56">
        <v>3009000</v>
      </c>
      <c r="C56">
        <v>2129000</v>
      </c>
      <c r="D56">
        <v>2131000</v>
      </c>
    </row>
    <row r="57" spans="1:4" x14ac:dyDescent="0.3">
      <c r="A57" t="s">
        <v>69</v>
      </c>
      <c r="B57">
        <v>3080496</v>
      </c>
      <c r="C57">
        <v>2519076</v>
      </c>
      <c r="D57">
        <v>2256060</v>
      </c>
    </row>
    <row r="59" spans="1:4" x14ac:dyDescent="0.3">
      <c r="A59" s="1" t="s">
        <v>68</v>
      </c>
      <c r="B59">
        <v>4560000</v>
      </c>
      <c r="C59">
        <v>3317000</v>
      </c>
      <c r="D59">
        <v>3558000</v>
      </c>
    </row>
    <row r="60" spans="1:4" x14ac:dyDescent="0.3">
      <c r="A60" s="1"/>
    </row>
    <row r="62" spans="1:4" x14ac:dyDescent="0.3">
      <c r="A62" t="s">
        <v>67</v>
      </c>
      <c r="B62">
        <v>30786000</v>
      </c>
      <c r="C62">
        <v>30165000</v>
      </c>
      <c r="D62">
        <v>27056000</v>
      </c>
    </row>
    <row r="63" spans="1:4" x14ac:dyDescent="0.3">
      <c r="A63" t="s">
        <v>66</v>
      </c>
      <c r="B63">
        <v>2288000</v>
      </c>
      <c r="C63">
        <v>2240000</v>
      </c>
      <c r="D63">
        <v>2149000</v>
      </c>
    </row>
    <row r="65" spans="1:4" x14ac:dyDescent="0.3">
      <c r="A65" t="s">
        <v>65</v>
      </c>
      <c r="B65">
        <v>3009000</v>
      </c>
      <c r="C65">
        <v>2129000</v>
      </c>
      <c r="D65">
        <v>2131000</v>
      </c>
    </row>
    <row r="66" spans="1:4" x14ac:dyDescent="0.3">
      <c r="A66" t="s">
        <v>64</v>
      </c>
      <c r="B66">
        <v>-93000</v>
      </c>
      <c r="C66">
        <v>-487000</v>
      </c>
      <c r="D66">
        <v>-176000</v>
      </c>
    </row>
    <row r="67" spans="1:4" x14ac:dyDescent="0.3">
      <c r="A67" t="s">
        <v>63</v>
      </c>
      <c r="B67">
        <v>-93000</v>
      </c>
      <c r="C67">
        <v>-487000</v>
      </c>
      <c r="D67">
        <v>-176000</v>
      </c>
    </row>
    <row r="69" spans="1:4" x14ac:dyDescent="0.3">
      <c r="A69" t="s">
        <v>62</v>
      </c>
      <c r="B69">
        <v>6941000</v>
      </c>
      <c r="C69">
        <v>6044000</v>
      </c>
      <c r="D69">
        <v>5883000</v>
      </c>
    </row>
    <row r="71" spans="1:4" x14ac:dyDescent="0.3">
      <c r="A71" t="s">
        <v>61</v>
      </c>
      <c r="B71">
        <v>-21504</v>
      </c>
      <c r="C71">
        <v>-96924</v>
      </c>
      <c r="D71">
        <v>-50940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D1B6-CCE6-4B55-8301-57F3273CD6A4}">
  <dimension ref="A1:D39"/>
  <sheetViews>
    <sheetView workbookViewId="0">
      <selection activeCell="A35" sqref="A35"/>
    </sheetView>
  </sheetViews>
  <sheetFormatPr defaultRowHeight="14.4" x14ac:dyDescent="0.3"/>
  <cols>
    <col min="1" max="1" width="21.21875" customWidth="1"/>
  </cols>
  <sheetData>
    <row r="1" spans="1:4" x14ac:dyDescent="0.3">
      <c r="A1" t="s">
        <v>146</v>
      </c>
      <c r="B1" s="1">
        <v>2019</v>
      </c>
      <c r="C1" s="1">
        <v>2018</v>
      </c>
      <c r="D1" s="1">
        <v>2017</v>
      </c>
    </row>
    <row r="2" spans="1:4" x14ac:dyDescent="0.3">
      <c r="A2" s="1" t="s">
        <v>110</v>
      </c>
      <c r="B2">
        <v>6909000</v>
      </c>
      <c r="C2">
        <v>6181000</v>
      </c>
      <c r="D2">
        <v>3413000</v>
      </c>
    </row>
    <row r="3" spans="1:4" x14ac:dyDescent="0.3">
      <c r="A3" t="s">
        <v>111</v>
      </c>
      <c r="B3">
        <v>3009000</v>
      </c>
      <c r="C3">
        <v>2129000</v>
      </c>
      <c r="D3">
        <v>2131000</v>
      </c>
    </row>
    <row r="4" spans="1:4" x14ac:dyDescent="0.3">
      <c r="A4" t="s">
        <v>112</v>
      </c>
      <c r="B4">
        <v>-153000</v>
      </c>
      <c r="C4">
        <v>0</v>
      </c>
      <c r="D4">
        <v>0</v>
      </c>
    </row>
    <row r="5" spans="1:4" x14ac:dyDescent="0.3">
      <c r="A5" t="s">
        <v>113</v>
      </c>
      <c r="B5">
        <v>2288000</v>
      </c>
      <c r="C5">
        <v>2240000</v>
      </c>
      <c r="D5">
        <v>2149000</v>
      </c>
    </row>
    <row r="6" spans="1:4" x14ac:dyDescent="0.3">
      <c r="A6" t="s">
        <v>114</v>
      </c>
      <c r="B6">
        <v>882000</v>
      </c>
      <c r="C6">
        <v>515000</v>
      </c>
      <c r="D6">
        <v>945000</v>
      </c>
    </row>
    <row r="7" spans="1:4" x14ac:dyDescent="0.3">
      <c r="A7" t="s">
        <v>115</v>
      </c>
      <c r="B7">
        <v>360000</v>
      </c>
      <c r="C7">
        <v>586000</v>
      </c>
      <c r="D7">
        <v>177000</v>
      </c>
    </row>
    <row r="8" spans="1:4" x14ac:dyDescent="0.3">
      <c r="A8" t="s">
        <v>116</v>
      </c>
      <c r="B8">
        <v>523000</v>
      </c>
      <c r="C8">
        <v>711000</v>
      </c>
      <c r="D8">
        <v>-1989000</v>
      </c>
    </row>
    <row r="9" spans="1:4" x14ac:dyDescent="0.3">
      <c r="A9" t="s">
        <v>117</v>
      </c>
      <c r="B9">
        <v>44000</v>
      </c>
      <c r="C9">
        <v>-29000</v>
      </c>
      <c r="D9">
        <v>-183000</v>
      </c>
    </row>
    <row r="10" spans="1:4" x14ac:dyDescent="0.3">
      <c r="A10" t="s">
        <v>118</v>
      </c>
      <c r="B10">
        <v>324000</v>
      </c>
      <c r="C10">
        <v>130000</v>
      </c>
      <c r="D10">
        <v>66000</v>
      </c>
    </row>
    <row r="11" spans="1:4" x14ac:dyDescent="0.3">
      <c r="A11" t="s">
        <v>119</v>
      </c>
      <c r="B11">
        <v>-252000</v>
      </c>
      <c r="C11">
        <v>29000</v>
      </c>
      <c r="D11">
        <v>-533000</v>
      </c>
    </row>
    <row r="12" spans="1:4" x14ac:dyDescent="0.3">
      <c r="A12" t="s">
        <v>120</v>
      </c>
      <c r="B12">
        <v>-302000</v>
      </c>
      <c r="C12">
        <v>-82000</v>
      </c>
      <c r="D12">
        <v>-478000</v>
      </c>
    </row>
    <row r="13" spans="1:4" x14ac:dyDescent="0.3">
      <c r="A13" t="s">
        <v>121</v>
      </c>
      <c r="B13">
        <v>709000</v>
      </c>
      <c r="C13">
        <v>663000</v>
      </c>
      <c r="D13">
        <v>-861000</v>
      </c>
    </row>
    <row r="15" spans="1:4" x14ac:dyDescent="0.3">
      <c r="A15" s="1" t="s">
        <v>122</v>
      </c>
      <c r="B15">
        <v>-4560000</v>
      </c>
      <c r="C15">
        <v>-4563000</v>
      </c>
      <c r="D15">
        <v>-3930000</v>
      </c>
    </row>
    <row r="16" spans="1:4" x14ac:dyDescent="0.3">
      <c r="A16" t="s">
        <v>123</v>
      </c>
      <c r="B16">
        <v>-4528000</v>
      </c>
      <c r="C16">
        <v>-4177000</v>
      </c>
      <c r="D16">
        <v>-3998000</v>
      </c>
    </row>
    <row r="17" spans="1:4" x14ac:dyDescent="0.3">
      <c r="A17" t="s">
        <v>124</v>
      </c>
      <c r="B17">
        <v>0</v>
      </c>
      <c r="C17">
        <v>0</v>
      </c>
      <c r="D17">
        <v>12000</v>
      </c>
    </row>
    <row r="18" spans="1:4" x14ac:dyDescent="0.3">
      <c r="A18" t="s">
        <v>125</v>
      </c>
      <c r="B18">
        <v>-36000</v>
      </c>
      <c r="C18">
        <v>-139000</v>
      </c>
      <c r="D18">
        <v>0</v>
      </c>
    </row>
    <row r="19" spans="1:4" x14ac:dyDescent="0.3">
      <c r="A19" t="s">
        <v>126</v>
      </c>
      <c r="B19">
        <v>99000</v>
      </c>
      <c r="C19">
        <v>64000</v>
      </c>
      <c r="D19">
        <v>-64000</v>
      </c>
    </row>
    <row r="20" spans="1:4" x14ac:dyDescent="0.3">
      <c r="A20" t="s">
        <v>127</v>
      </c>
      <c r="B20">
        <v>-95000</v>
      </c>
      <c r="C20">
        <v>-311000</v>
      </c>
      <c r="D20">
        <v>120000</v>
      </c>
    </row>
    <row r="22" spans="1:4" x14ac:dyDescent="0.3">
      <c r="A22" s="1" t="s">
        <v>128</v>
      </c>
      <c r="B22">
        <v>-1280000</v>
      </c>
      <c r="C22">
        <v>-1410000</v>
      </c>
      <c r="D22">
        <v>-195000</v>
      </c>
    </row>
    <row r="23" spans="1:4" x14ac:dyDescent="0.3">
      <c r="A23" t="s">
        <v>129</v>
      </c>
      <c r="B23">
        <v>456000</v>
      </c>
      <c r="C23">
        <v>-121000</v>
      </c>
      <c r="D23">
        <v>1740000</v>
      </c>
    </row>
    <row r="24" spans="1:4" x14ac:dyDescent="0.3">
      <c r="A24" t="s">
        <v>130</v>
      </c>
      <c r="B24">
        <v>1847000</v>
      </c>
      <c r="C24">
        <v>1740000</v>
      </c>
      <c r="D24">
        <v>2765000</v>
      </c>
    </row>
    <row r="25" spans="1:4" x14ac:dyDescent="0.3">
      <c r="A25" t="s">
        <v>131</v>
      </c>
      <c r="B25">
        <v>-1391000</v>
      </c>
      <c r="C25">
        <v>-1861000</v>
      </c>
      <c r="D25">
        <v>-1025000</v>
      </c>
    </row>
    <row r="26" spans="1:4" x14ac:dyDescent="0.3">
      <c r="A26" t="s">
        <v>132</v>
      </c>
      <c r="B26">
        <v>-1645000</v>
      </c>
      <c r="C26">
        <v>-1235000</v>
      </c>
      <c r="D26">
        <v>-1844000</v>
      </c>
    </row>
    <row r="27" spans="1:4" x14ac:dyDescent="0.3">
      <c r="A27" t="s">
        <v>133</v>
      </c>
      <c r="B27">
        <v>0</v>
      </c>
      <c r="C27">
        <v>0</v>
      </c>
      <c r="D27">
        <v>2000</v>
      </c>
    </row>
    <row r="28" spans="1:4" x14ac:dyDescent="0.3">
      <c r="A28" t="s">
        <v>134</v>
      </c>
      <c r="B28">
        <v>-91000</v>
      </c>
      <c r="C28">
        <v>-54000</v>
      </c>
      <c r="D28">
        <v>-93000</v>
      </c>
    </row>
    <row r="30" spans="1:4" x14ac:dyDescent="0.3">
      <c r="A30" t="s">
        <v>135</v>
      </c>
      <c r="B30">
        <v>2868000</v>
      </c>
      <c r="C30">
        <v>1799000</v>
      </c>
      <c r="D30">
        <v>1591000</v>
      </c>
    </row>
    <row r="31" spans="1:4" x14ac:dyDescent="0.3">
      <c r="A31" t="s">
        <v>136</v>
      </c>
      <c r="B31">
        <v>1069000</v>
      </c>
      <c r="C31">
        <v>208000</v>
      </c>
      <c r="D31">
        <v>-712000</v>
      </c>
    </row>
    <row r="32" spans="1:4" x14ac:dyDescent="0.3">
      <c r="A32" t="s">
        <v>137</v>
      </c>
      <c r="B32">
        <v>1799000</v>
      </c>
      <c r="C32">
        <v>1591000</v>
      </c>
      <c r="D32">
        <v>2303000</v>
      </c>
    </row>
    <row r="33" spans="1:4" x14ac:dyDescent="0.3">
      <c r="A33" t="s">
        <v>138</v>
      </c>
      <c r="B33">
        <v>29000</v>
      </c>
      <c r="C33">
        <v>19000</v>
      </c>
      <c r="D33">
        <v>20000</v>
      </c>
    </row>
    <row r="34" spans="1:4" x14ac:dyDescent="0.3">
      <c r="A34" t="s">
        <v>139</v>
      </c>
      <c r="B34">
        <v>648000</v>
      </c>
      <c r="C34">
        <v>651000</v>
      </c>
      <c r="D34">
        <v>571000</v>
      </c>
    </row>
    <row r="35" spans="1:4" x14ac:dyDescent="0.3">
      <c r="A35" s="1" t="s">
        <v>140</v>
      </c>
      <c r="B35">
        <v>-4528000</v>
      </c>
      <c r="C35">
        <v>-4177000</v>
      </c>
      <c r="D35">
        <v>-3998000</v>
      </c>
    </row>
    <row r="36" spans="1:4" x14ac:dyDescent="0.3">
      <c r="A36" t="s">
        <v>141</v>
      </c>
      <c r="B36">
        <v>1847000</v>
      </c>
      <c r="C36">
        <v>1740000</v>
      </c>
      <c r="D36">
        <v>2765000</v>
      </c>
    </row>
    <row r="37" spans="1:4" x14ac:dyDescent="0.3">
      <c r="A37" t="s">
        <v>142</v>
      </c>
      <c r="B37">
        <v>-1391000</v>
      </c>
      <c r="C37">
        <v>-1861000</v>
      </c>
      <c r="D37">
        <v>-1025000</v>
      </c>
    </row>
    <row r="38" spans="1:4" x14ac:dyDescent="0.3">
      <c r="A38" t="s">
        <v>143</v>
      </c>
      <c r="B38">
        <v>-1645000</v>
      </c>
      <c r="C38">
        <v>-1235000</v>
      </c>
      <c r="D38">
        <v>-1844000</v>
      </c>
    </row>
    <row r="39" spans="1:4" x14ac:dyDescent="0.3">
      <c r="A39" s="1" t="s">
        <v>144</v>
      </c>
      <c r="B39">
        <v>2381000</v>
      </c>
      <c r="C39">
        <v>2004000</v>
      </c>
      <c r="D39">
        <v>-585000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CF07-41E3-4258-8449-131B952111BC}">
  <dimension ref="A1:D53"/>
  <sheetViews>
    <sheetView workbookViewId="0">
      <selection activeCell="A2" sqref="A2"/>
    </sheetView>
  </sheetViews>
  <sheetFormatPr defaultRowHeight="14.4" x14ac:dyDescent="0.3"/>
  <cols>
    <col min="1" max="1" width="20.44140625" customWidth="1"/>
    <col min="2" max="2" width="12" bestFit="1" customWidth="1"/>
  </cols>
  <sheetData>
    <row r="1" spans="1:4" x14ac:dyDescent="0.3">
      <c r="A1" t="s">
        <v>175</v>
      </c>
    </row>
    <row r="2" spans="1:4" x14ac:dyDescent="0.3">
      <c r="B2" s="1">
        <v>2019</v>
      </c>
      <c r="C2" s="1">
        <v>2018</v>
      </c>
      <c r="D2" s="1">
        <v>2017</v>
      </c>
    </row>
    <row r="3" spans="1:4" x14ac:dyDescent="0.3">
      <c r="A3" s="1" t="s">
        <v>52</v>
      </c>
    </row>
    <row r="4" spans="1:4" x14ac:dyDescent="0.3">
      <c r="A4" t="s">
        <v>53</v>
      </c>
      <c r="B4">
        <f>SUM('Balance Sheet'!B5, 'Balance Sheet'!B6, 'Balance Sheet'!B8, 'Balance Sheet'!B12)/'Balance Sheet'!B28</f>
        <v>0.49404204043379302</v>
      </c>
      <c r="C4">
        <f>SUM('Balance Sheet'!C5, 'Balance Sheet'!C6, 'Balance Sheet'!C8, 'Balance Sheet'!C12)/'Balance Sheet'!C28</f>
        <v>0.47540115046927034</v>
      </c>
      <c r="D4">
        <f>SUM('Balance Sheet'!D5, 'Balance Sheet'!D6, 'Balance Sheet'!D8, 'Balance Sheet'!D12)/'Balance Sheet'!D28</f>
        <v>0.4782265698958662</v>
      </c>
    </row>
    <row r="5" spans="1:4" x14ac:dyDescent="0.3">
      <c r="A5" t="s">
        <v>54</v>
      </c>
      <c r="B5">
        <f>SUM('Balance Sheet'!B5, 'Balance Sheet'!B6, 'Balance Sheet'!B8)/'Balance Sheet'!B28</f>
        <v>0.42227875217565941</v>
      </c>
      <c r="C5">
        <f>SUM('Balance Sheet'!C5, 'Balance Sheet'!C6, 'Balance Sheet'!C8)/'Balance Sheet'!C28</f>
        <v>0.40084771419921283</v>
      </c>
      <c r="D5">
        <f>SUM('Balance Sheet'!D5, 'Balance Sheet'!D6, 'Balance Sheet'!D8)/'Balance Sheet'!D28</f>
        <v>0.40533291259072263</v>
      </c>
    </row>
    <row r="6" spans="1:4" x14ac:dyDescent="0.3">
      <c r="A6" t="s">
        <v>55</v>
      </c>
      <c r="B6">
        <f xml:space="preserve"> SUM('Balance Sheet'!B5, 'Balance Sheet'!B6)/ 'Balance Sheet'!B28</f>
        <v>0.33096800107109386</v>
      </c>
      <c r="C6">
        <f xml:space="preserve"> SUM('Balance Sheet'!C5, 'Balance Sheet'!C6)/ 'Balance Sheet'!C28</f>
        <v>0.29897063275809871</v>
      </c>
      <c r="D6">
        <f xml:space="preserve"> SUM('Balance Sheet'!D5, 'Balance Sheet'!D6)/ 'Balance Sheet'!D28</f>
        <v>0.29962133165036287</v>
      </c>
    </row>
    <row r="7" spans="1:4" x14ac:dyDescent="0.3">
      <c r="A7" t="s">
        <v>147</v>
      </c>
      <c r="B7">
        <f>SUM('Balance Sheet'!B5, 'Balance Sheet'!B6, 'Balance Sheet'!B8)/ (('Income Statement'!B$14)/365)</f>
        <v>290.48952813525108</v>
      </c>
      <c r="C7">
        <f>SUM('Balance Sheet'!C5, 'Balance Sheet'!C6, 'Balance Sheet'!C8)/ (('Income Statement'!C$14)/365)</f>
        <v>262.67699415681477</v>
      </c>
      <c r="D7">
        <f>SUM('Balance Sheet'!D5, 'Balance Sheet'!D6, 'Balance Sheet'!D8)/ (('Income Statement'!D$14)/365)</f>
        <v>267.68055952041107</v>
      </c>
    </row>
    <row r="8" spans="1:4" x14ac:dyDescent="0.3">
      <c r="A8" t="s">
        <v>158</v>
      </c>
      <c r="B8">
        <f>B20+B22-B24</f>
        <v>-6.31990062215446</v>
      </c>
      <c r="C8">
        <f t="shared" ref="C8:D8" si="0">C20+C22-C24</f>
        <v>-4.108723013227312</v>
      </c>
      <c r="D8">
        <f t="shared" si="0"/>
        <v>-3.9859023696829112</v>
      </c>
    </row>
    <row r="10" spans="1:4" x14ac:dyDescent="0.3">
      <c r="A10" s="1" t="s">
        <v>56</v>
      </c>
    </row>
    <row r="11" spans="1:4" x14ac:dyDescent="0.3">
      <c r="A11" t="s">
        <v>57</v>
      </c>
      <c r="B11">
        <f>'Balance Sheet'!B80/'Balance Sheet'!B3</f>
        <v>0.38870198247514776</v>
      </c>
      <c r="C11">
        <f>'Balance Sheet'!C80/'Balance Sheet'!C3</f>
        <v>0.32880871584211468</v>
      </c>
      <c r="D11">
        <f>'Balance Sheet'!D80/'Balance Sheet'!D3</f>
        <v>0.34002740632235506</v>
      </c>
    </row>
    <row r="12" spans="1:4" x14ac:dyDescent="0.3">
      <c r="A12" t="s">
        <v>58</v>
      </c>
      <c r="B12">
        <f>'Balance Sheet'!B54/'Balance Sheet'!B3</f>
        <v>0.2191746973066469</v>
      </c>
      <c r="C12">
        <f>'Balance Sheet'!C54/'Balance Sheet'!C3</f>
        <v>0.22314252545097338</v>
      </c>
      <c r="D12">
        <f>'Balance Sheet'!D54/'Balance Sheet'!D3</f>
        <v>0.20805178849879508</v>
      </c>
    </row>
    <row r="13" spans="1:4" x14ac:dyDescent="0.3">
      <c r="A13" t="s">
        <v>59</v>
      </c>
      <c r="B13">
        <f>'Balance Sheet'!B27/'Balance Sheet'!B54</f>
        <v>3.5625704622322436</v>
      </c>
      <c r="C13">
        <f>'Balance Sheet'!C27/'Balance Sheet'!C54</f>
        <v>3.48144072036018</v>
      </c>
      <c r="D13">
        <f>'Balance Sheet'!D27/'Balance Sheet'!D54</f>
        <v>3.8064955712014537</v>
      </c>
    </row>
    <row r="18" spans="1:4" x14ac:dyDescent="0.3">
      <c r="A18" s="1" t="s">
        <v>148</v>
      </c>
    </row>
    <row r="19" spans="1:4" x14ac:dyDescent="0.3">
      <c r="A19" t="s">
        <v>149</v>
      </c>
      <c r="B19">
        <f>'Income Statement'!B5/ (('Balance Sheet'!B12+'Balance Sheet'!C12)/2)</f>
        <v>29.932912007778317</v>
      </c>
      <c r="C19">
        <f>'Income Statement'!C5/ (('Balance Sheet'!C12+'Balance Sheet'!D12)/2)</f>
        <v>31.602933473022524</v>
      </c>
      <c r="D19">
        <f>'Income Statement'!D5/ (('Balance Sheet'!D12+873000)/2)</f>
        <v>30.112409571508071</v>
      </c>
    </row>
    <row r="20" spans="1:4" x14ac:dyDescent="0.3">
      <c r="A20" t="s">
        <v>150</v>
      </c>
      <c r="B20">
        <f>365/B19</f>
        <v>12.193935555122458</v>
      </c>
      <c r="C20">
        <f t="shared" ref="C20:D20" si="1">365/C19</f>
        <v>11.549560749212663</v>
      </c>
      <c r="D20">
        <f t="shared" si="1"/>
        <v>12.12124852158486</v>
      </c>
    </row>
    <row r="21" spans="1:4" x14ac:dyDescent="0.3">
      <c r="A21" t="s">
        <v>151</v>
      </c>
      <c r="B21">
        <f>'Income Statement'!B2/(('Balance Sheet'!B8+'Balance Sheet'!C8)/2)</f>
        <v>31.925461254612546</v>
      </c>
      <c r="C21">
        <f>'Income Statement'!C2/(('Balance Sheet'!C8+'Balance Sheet'!D8)/2)</f>
        <v>30.754281459419211</v>
      </c>
      <c r="D21">
        <f>'Income Statement'!D2/(('Balance Sheet'!D8+1176000)/2)</f>
        <v>29.996820349761528</v>
      </c>
    </row>
    <row r="22" spans="1:4" x14ac:dyDescent="0.3">
      <c r="A22" t="s">
        <v>152</v>
      </c>
      <c r="B22">
        <f>365/B21</f>
        <v>11.43288101897871</v>
      </c>
      <c r="C22">
        <f t="shared" ref="C22:D22" si="2">365/C21</f>
        <v>11.868266227634797</v>
      </c>
      <c r="D22">
        <f t="shared" si="2"/>
        <v>12.167956328174686</v>
      </c>
    </row>
    <row r="23" spans="1:4" x14ac:dyDescent="0.3">
      <c r="A23" t="s">
        <v>153</v>
      </c>
      <c r="B23">
        <f>('Balance Sheet'!B12 - 'Balance Sheet'!C12 + 'Income Statement'!B5)/ (('Balance Sheet'!B29+'Balance Sheet'!C29)/2)</f>
        <v>12.188314251875246</v>
      </c>
      <c r="C23">
        <f>('Balance Sheet'!C12 - 'Balance Sheet'!D12 + 'Income Statement'!C5)/ (('Balance Sheet'!C29+'Balance Sheet'!D29)/2)</f>
        <v>13.25992542224172</v>
      </c>
      <c r="D23">
        <f>('Balance Sheet'!D12 - 'Balance Sheet'!E12 + 'Income Statement'!D5)/ (('Balance Sheet'!D29+2139000)/2)</f>
        <v>12.908881199538639</v>
      </c>
    </row>
    <row r="24" spans="1:4" x14ac:dyDescent="0.3">
      <c r="A24" t="s">
        <v>154</v>
      </c>
      <c r="B24">
        <f>365/B23</f>
        <v>29.94671719625563</v>
      </c>
      <c r="C24">
        <f t="shared" ref="C24:D24" si="3">365/C23</f>
        <v>27.52654999007477</v>
      </c>
      <c r="D24">
        <f t="shared" si="3"/>
        <v>28.275107219442457</v>
      </c>
    </row>
    <row r="25" spans="1:4" x14ac:dyDescent="0.3">
      <c r="A25" t="s">
        <v>155</v>
      </c>
      <c r="B25">
        <f>'Income Statement'!B2/((('Balance Sheet'!B4+'Balance Sheet'!C4)-('Balance Sheet'!B28+'Balance Sheet'!C28))/2)</f>
        <v>-6.7793449302617148</v>
      </c>
      <c r="C25">
        <f>'Income Statement'!C2/((('Balance Sheet'!C4+'Balance Sheet'!D4)-('Balance Sheet'!C28+'Balance Sheet'!D28))/2)</f>
        <v>-7.1328900785769793</v>
      </c>
      <c r="D25">
        <f>'Income Statement'!D2/((('Balance Sheet'!D4+7309000)-('Balance Sheet'!D28+12286000))/2)</f>
        <v>-7.1605313092979124</v>
      </c>
    </row>
    <row r="26" spans="1:4" x14ac:dyDescent="0.3">
      <c r="A26" t="s">
        <v>156</v>
      </c>
      <c r="B26">
        <f>'Income Statement'!B2/((('Balance Sheet'!B3-'Balance Sheet'!B4-'Balance Sheet'!B17-'Balance Sheet'!B18)+('Balance Sheet'!C3-'Balance Sheet'!C4-'Balance Sheet'!C17-'Balance Sheet'!C18))/2)</f>
        <v>1.2951602520920344</v>
      </c>
      <c r="C26">
        <f>'Income Statement'!C2/((('Balance Sheet'!C3-'Balance Sheet'!C4-'Balance Sheet'!C17-'Balance Sheet'!C18)+('Balance Sheet'!D3-'Balance Sheet'!D4-'Balance Sheet'!D17-'Balance Sheet'!D18))/2)</f>
        <v>1.4475265915502831</v>
      </c>
      <c r="D26">
        <f>'Income Statement'!D2/((('Balance Sheet'!D3-'Balance Sheet'!D4-'Balance Sheet'!D17-'Balance Sheet'!D18)+(40140000-7309000-8155000))/2)</f>
        <v>1.4562293785092713</v>
      </c>
    </row>
    <row r="27" spans="1:4" x14ac:dyDescent="0.3">
      <c r="A27" t="s">
        <v>157</v>
      </c>
      <c r="B27">
        <f>('Income Statement'!B2)/(('Balance Sheet'!B3+'Balance Sheet'!C3)/2)</f>
        <v>0.88824779524244635</v>
      </c>
      <c r="C27">
        <f>('Income Statement'!C2)/(('Balance Sheet'!C3+'Balance Sheet'!D3)/2)</f>
        <v>0.94820817741454122</v>
      </c>
      <c r="D27">
        <f>('Income Statement'!D2)/(('Balance Sheet'!D3+40140000)/2)</f>
        <v>0.91518929013169059</v>
      </c>
    </row>
    <row r="29" spans="1:4" x14ac:dyDescent="0.3">
      <c r="A29" s="1" t="s">
        <v>159</v>
      </c>
    </row>
    <row r="30" spans="1:4" x14ac:dyDescent="0.3">
      <c r="A30" t="s">
        <v>160</v>
      </c>
      <c r="B30">
        <f>'Income Statement'!B12/'Income Statement'!B2</f>
        <v>0.28833306363993622</v>
      </c>
      <c r="C30">
        <f>'Income Statement'!C12/'Income Statement'!C2</f>
        <v>0.26966564172094037</v>
      </c>
      <c r="D30">
        <f>'Income Statement'!D12/'Income Statement'!D2</f>
        <v>0.28301886792452829</v>
      </c>
    </row>
    <row r="31" spans="1:4" x14ac:dyDescent="0.3">
      <c r="A31" t="s">
        <v>161</v>
      </c>
      <c r="B31">
        <f>'Income Statement'!B18/'Income Statement'!B2</f>
        <v>0.10511107515199149</v>
      </c>
      <c r="C31">
        <f>'Income Statement'!C18/'Income Statement'!C2</f>
        <v>9.1494564559475106E-2</v>
      </c>
      <c r="D31">
        <f>'Income Statement'!D18/'Income Statement'!D2</f>
        <v>9.7360610557557764E-2</v>
      </c>
    </row>
    <row r="32" spans="1:4" x14ac:dyDescent="0.3">
      <c r="A32" t="s">
        <v>162</v>
      </c>
      <c r="B32">
        <f>'Income Statement'!B35/'Income Statement'!B2</f>
        <v>9.0478281976004993E-2</v>
      </c>
      <c r="C32">
        <f>'Income Statement'!C35/'Income Statement'!C2</f>
        <v>6.4353678909522316E-2</v>
      </c>
      <c r="D32">
        <f>'Income Statement'!D35/'Income Statement'!D2</f>
        <v>7.947318210727157E-2</v>
      </c>
    </row>
    <row r="33" spans="1:4" x14ac:dyDescent="0.3">
      <c r="A33" t="s">
        <v>163</v>
      </c>
      <c r="B33">
        <f>'Income Statement'!B38/'Income Statement'!B2</f>
        <v>6.9557779883954785E-2</v>
      </c>
      <c r="C33">
        <f>'Income Statement'!C38/'Income Statement'!C2</f>
        <v>5.1545892550177955E-2</v>
      </c>
      <c r="D33">
        <f>'Income Statement'!D38/'Income Statement'!D2</f>
        <v>5.647127411490354E-2</v>
      </c>
    </row>
    <row r="35" spans="1:4" x14ac:dyDescent="0.3">
      <c r="A35" t="s">
        <v>164</v>
      </c>
      <c r="B35">
        <f>'Income Statement'!B18/(('Balance Sheet'!B3+'Balance Sheet'!C3)/2)</f>
        <v>9.3364680759319529E-2</v>
      </c>
      <c r="C35">
        <f>'Income Statement'!C18/(('Balance Sheet'!C3+'Balance Sheet'!D3)/2)</f>
        <v>8.6755894304276951E-2</v>
      </c>
      <c r="D35">
        <f>'Income Statement'!D18/(('Balance Sheet'!D3+40140000)/2)</f>
        <v>8.9103388062959282E-2</v>
      </c>
    </row>
    <row r="36" spans="1:4" x14ac:dyDescent="0.3">
      <c r="A36" t="s">
        <v>165</v>
      </c>
      <c r="B36">
        <f>'Income Statement'!B38/(('Balance Sheet'!B3+'Balance Sheet'!C3)/2)</f>
        <v>6.178454462388222E-2</v>
      </c>
      <c r="C36">
        <f>'Income Statement'!C38/(('Balance Sheet'!C3+'Balance Sheet'!D3)/2)</f>
        <v>4.8876236828210011E-2</v>
      </c>
      <c r="D36">
        <f>'Income Statement'!D38/(('Balance Sheet'!D3+40140000)/2)</f>
        <v>5.168190527005069E-2</v>
      </c>
    </row>
    <row r="37" spans="1:4" x14ac:dyDescent="0.3">
      <c r="A37" t="s">
        <v>166</v>
      </c>
      <c r="B37">
        <f>'Income Statement'!B38/(('Balance Sheet'!B53+'Balance Sheet'!C53)/2)</f>
        <v>0.27956889343119951</v>
      </c>
      <c r="C37">
        <f>'Income Statement'!C38/(('Balance Sheet'!C53+'Balance Sheet'!D53)/2)</f>
        <v>0.22647731503643423</v>
      </c>
      <c r="D37">
        <f>'Income Statement'!D38/(('Balance Sheet'!D53+8659000)/2)</f>
        <v>0.24403091898081877</v>
      </c>
    </row>
    <row r="40" spans="1:4" x14ac:dyDescent="0.3">
      <c r="A40" s="1" t="s">
        <v>167</v>
      </c>
    </row>
    <row r="41" spans="1:4" x14ac:dyDescent="0.3">
      <c r="A41" t="s">
        <v>168</v>
      </c>
      <c r="B41">
        <f>'Income Statement'!B38/'Income Statement'!B35</f>
        <v>0.76877874297393967</v>
      </c>
      <c r="C41">
        <f>'Income Statement'!C38/'Income Statement'!C35</f>
        <v>0.80097817908201652</v>
      </c>
      <c r="D41">
        <f>'Income Statement'!D38/'Income Statement'!D35</f>
        <v>0.71057019006335442</v>
      </c>
    </row>
    <row r="42" spans="1:4" x14ac:dyDescent="0.3">
      <c r="A42" t="s">
        <v>169</v>
      </c>
      <c r="B42">
        <f>'Income Statement'!B35/'Income Statement'!B59</f>
        <v>0.85833333333333328</v>
      </c>
      <c r="C42">
        <f>'Income Statement'!C35/'Income Statement'!C59</f>
        <v>0.80132649984926141</v>
      </c>
      <c r="D42">
        <f>'Income Statement'!D35/'Income Statement'!D59</f>
        <v>0.84288926363125349</v>
      </c>
    </row>
    <row r="43" spans="1:4" x14ac:dyDescent="0.3">
      <c r="A43" t="s">
        <v>170</v>
      </c>
      <c r="B43">
        <f>'Income Statement'!B59/'Income Statement'!B2</f>
        <v>0.1054115906516563</v>
      </c>
      <c r="C43">
        <f>'Income Statement'!C59/'Income Statement'!C2</f>
        <v>8.0308936396871894E-2</v>
      </c>
      <c r="D43">
        <f>'Income Statement'!D59/'Income Statement'!D2</f>
        <v>9.4286622853508584E-2</v>
      </c>
    </row>
    <row r="44" spans="1:4" x14ac:dyDescent="0.3">
      <c r="A44" t="s">
        <v>157</v>
      </c>
      <c r="B44">
        <f>B27</f>
        <v>0.88824779524244635</v>
      </c>
      <c r="C44">
        <f t="shared" ref="C44:D44" si="4">C27</f>
        <v>0.94820817741454122</v>
      </c>
      <c r="D44">
        <f t="shared" si="4"/>
        <v>0.91518929013169059</v>
      </c>
    </row>
    <row r="45" spans="1:4" x14ac:dyDescent="0.3">
      <c r="A45" t="s">
        <v>171</v>
      </c>
      <c r="B45">
        <f>(('Balance Sheet'!B3+'Balance Sheet'!C3)/2)/(('Balance Sheet'!B53+'Balance Sheet'!C53)/2)</f>
        <v>4.5249001207841681</v>
      </c>
      <c r="C45">
        <f>(('Balance Sheet'!C3+'Balance Sheet'!D3)/2)/(('Balance Sheet'!C53+'Balance Sheet'!D53)/2)</f>
        <v>4.633689697356524</v>
      </c>
      <c r="D45">
        <f>(('Balance Sheet'!D3+40140000)/2)/(('Balance Sheet'!D53+8659000)/2)</f>
        <v>4.7217864300028625</v>
      </c>
    </row>
    <row r="46" spans="1:4" x14ac:dyDescent="0.3">
      <c r="A46" t="s">
        <v>166</v>
      </c>
      <c r="B46">
        <f>B41*B42*B43*B44*B45</f>
        <v>0.27956889343119945</v>
      </c>
      <c r="C46">
        <f t="shared" ref="C46:D46" si="5">C41*C42*C43*C44*C45</f>
        <v>0.22647731503643423</v>
      </c>
      <c r="D46">
        <f t="shared" si="5"/>
        <v>0.24403091898081872</v>
      </c>
    </row>
    <row r="49" spans="1:4" x14ac:dyDescent="0.3">
      <c r="A49" s="1" t="s">
        <v>172</v>
      </c>
    </row>
    <row r="50" spans="1:4" x14ac:dyDescent="0.3">
      <c r="A50" t="s">
        <v>173</v>
      </c>
      <c r="B50">
        <f>86.8254/('Income Statement'!B38/'Balance Sheet'!B84)</f>
        <v>7.2488965391824527</v>
      </c>
      <c r="C50">
        <f>77.2565/('Income Statement'!C38/'Balance Sheet'!C84)</f>
        <v>9.7945928593236271</v>
      </c>
      <c r="D50">
        <f>69.1707/('Income Statement'!D38/'Balance Sheet'!D84)</f>
        <v>9.314933501220084</v>
      </c>
    </row>
    <row r="51" spans="1:4" x14ac:dyDescent="0.3">
      <c r="A51" t="s">
        <v>174</v>
      </c>
      <c r="B51">
        <f>86.8254/('Balance Sheet'!B54/'Balance Sheet'!B84)</f>
        <v>1.8915904679906341</v>
      </c>
      <c r="C51">
        <f>77.2565/('Balance Sheet'!C54/'Balance Sheet'!C84)</f>
        <v>2.086311975737869</v>
      </c>
      <c r="D51">
        <f>69.1707/('Balance Sheet'!D54/'Balance Sheet'!D84)</f>
        <v>2.2541589020099928</v>
      </c>
    </row>
    <row r="52" spans="1:4" x14ac:dyDescent="0.3">
      <c r="A52" t="s">
        <v>80</v>
      </c>
      <c r="B52">
        <f>('Income Statement'!B38/'Balance Sheet'!B84)</f>
        <v>11.977740271320299</v>
      </c>
      <c r="C52">
        <f>('Income Statement'!C38/'Balance Sheet'!C84)</f>
        <v>7.887668340032973</v>
      </c>
      <c r="D52">
        <f>('Income Statement'!D38/'Balance Sheet'!D84)</f>
        <v>7.4257857010938313</v>
      </c>
    </row>
    <row r="53" spans="1:4" x14ac:dyDescent="0.3">
      <c r="A53" t="s">
        <v>79</v>
      </c>
      <c r="B53">
        <f>'Income Statement'!B38/'Income Statement'!B45</f>
        <v>11.577529819161215</v>
      </c>
      <c r="C53">
        <f>'Income Statement'!C38/'Income Statement'!C45</f>
        <v>7.6942537043729669</v>
      </c>
      <c r="D53">
        <f>'Income Statement'!D38/'Income Statement'!D45</f>
        <v>7.0191040843214756</v>
      </c>
    </row>
  </sheetData>
  <pageMargins left="0.7" right="0.7" top="0.75" bottom="0.75" header="0.3" footer="0.3"/>
  <ignoredErrors>
    <ignoredError sqref="B21:D21 B23:D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27EB-B7A8-4027-BF8D-99612852D692}">
  <dimension ref="A1:D84"/>
  <sheetViews>
    <sheetView workbookViewId="0">
      <selection activeCell="B61" sqref="B61:D61"/>
    </sheetView>
  </sheetViews>
  <sheetFormatPr defaultRowHeight="14.4" x14ac:dyDescent="0.3"/>
  <cols>
    <col min="1" max="1" width="22.33203125" customWidth="1"/>
  </cols>
  <sheetData>
    <row r="1" spans="1:4" x14ac:dyDescent="0.3">
      <c r="A1" t="s">
        <v>50</v>
      </c>
    </row>
    <row r="2" spans="1:4" x14ac:dyDescent="0.3">
      <c r="B2">
        <v>2019</v>
      </c>
      <c r="C2">
        <v>2018</v>
      </c>
      <c r="D2">
        <v>2017</v>
      </c>
    </row>
    <row r="3" spans="1:4" x14ac:dyDescent="0.3">
      <c r="A3" s="1" t="s">
        <v>0</v>
      </c>
      <c r="B3">
        <f xml:space="preserve"> 'Balance Sheet'!B3/'Balance Sheet'!B3</f>
        <v>1</v>
      </c>
      <c r="C3">
        <f xml:space="preserve"> 'Balance Sheet'!C3/'Balance Sheet'!C3</f>
        <v>1</v>
      </c>
      <c r="D3">
        <f xml:space="preserve"> 'Balance Sheet'!D3/'Balance Sheet'!D3</f>
        <v>1</v>
      </c>
    </row>
    <row r="4" spans="1:4" x14ac:dyDescent="0.3">
      <c r="A4" s="1" t="s">
        <v>1</v>
      </c>
      <c r="B4">
        <f xml:space="preserve"> 'Balance Sheet'!B4/'Balance Sheet'!B$3</f>
        <v>0.15574689703674136</v>
      </c>
      <c r="C4">
        <f xml:space="preserve"> 'Balance Sheet'!C4/'Balance Sheet'!C$3</f>
        <v>0.16060903732809431</v>
      </c>
      <c r="D4">
        <f xml:space="preserve"> 'Balance Sheet'!D4/'Balance Sheet'!D$3</f>
        <v>0.16805273354439351</v>
      </c>
    </row>
    <row r="5" spans="1:4" x14ac:dyDescent="0.3">
      <c r="A5" t="s">
        <v>2</v>
      </c>
      <c r="B5">
        <f xml:space="preserve"> 'Balance Sheet'!B5/'Balance Sheet'!B$3</f>
        <v>5.2498526924027296E-2</v>
      </c>
      <c r="C5">
        <f xml:space="preserve"> 'Balance Sheet'!C5/'Balance Sheet'!C$3</f>
        <v>3.7819253438113952E-2</v>
      </c>
      <c r="D5">
        <f xml:space="preserve"> 'Balance Sheet'!D5/'Balance Sheet'!D$3</f>
        <v>3.5013939422577141E-2</v>
      </c>
    </row>
    <row r="6" spans="1:4" x14ac:dyDescent="0.3">
      <c r="A6" t="s">
        <v>3</v>
      </c>
      <c r="B6">
        <f xml:space="preserve"> 'Balance Sheet'!B6/'Balance Sheet'!B$3</f>
        <v>4.1474216418619682E-2</v>
      </c>
      <c r="C6">
        <f xml:space="preserve"> 'Balance Sheet'!C6/'Balance Sheet'!C$3</f>
        <v>5.0366136810144665E-2</v>
      </c>
      <c r="D6">
        <f xml:space="preserve"> 'Balance Sheet'!D6/'Balance Sheet'!D$3</f>
        <v>5.4718140150262252E-2</v>
      </c>
    </row>
    <row r="8" spans="1:4" x14ac:dyDescent="0.3">
      <c r="A8" t="s">
        <v>4</v>
      </c>
      <c r="B8">
        <f xml:space="preserve"> 'Balance Sheet'!B8/'Balance Sheet'!B$3</f>
        <v>2.5926137119613769E-2</v>
      </c>
      <c r="C8">
        <f xml:space="preserve"> 'Balance Sheet'!C8/'Balance Sheet'!C$3</f>
        <v>3.00500089301661E-2</v>
      </c>
      <c r="D8">
        <f xml:space="preserve"> 'Balance Sheet'!D8/'Balance Sheet'!D$3</f>
        <v>3.1659027548079192E-2</v>
      </c>
    </row>
    <row r="9" spans="1:4" x14ac:dyDescent="0.3">
      <c r="A9" t="s">
        <v>5</v>
      </c>
      <c r="B9">
        <f xml:space="preserve"> 'Balance Sheet'!B9/'Balance Sheet'!B$3</f>
        <v>2.6097204006766645E-2</v>
      </c>
      <c r="C9">
        <f xml:space="preserve"> 'Balance Sheet'!C9/'Balance Sheet'!C$3</f>
        <v>3.0228612252187891E-2</v>
      </c>
      <c r="D9">
        <f xml:space="preserve"> 'Balance Sheet'!D9/'Balance Sheet'!D$3</f>
        <v>3.1824410527807968E-2</v>
      </c>
    </row>
    <row r="10" spans="1:4" x14ac:dyDescent="0.3">
      <c r="A10" t="s">
        <v>6</v>
      </c>
      <c r="B10">
        <f xml:space="preserve"> 'Balance Sheet'!B10/'Balance Sheet'!B$3</f>
        <v>-1.7106688715287679E-4</v>
      </c>
      <c r="C10">
        <f xml:space="preserve"> 'Balance Sheet'!C10/'Balance Sheet'!C$3</f>
        <v>-1.786033220217896E-4</v>
      </c>
      <c r="D10">
        <f xml:space="preserve"> 'Balance Sheet'!D10/'Balance Sheet'!D$3</f>
        <v>-1.653829797287719E-4</v>
      </c>
    </row>
    <row r="12" spans="1:4" x14ac:dyDescent="0.3">
      <c r="A12" t="s">
        <v>7</v>
      </c>
      <c r="B12">
        <f xml:space="preserve"> 'Balance Sheet'!B12/'Balance Sheet'!B$3</f>
        <v>2.0375967003098211E-2</v>
      </c>
      <c r="C12">
        <f xml:space="preserve"> 'Balance Sheet'!C12/'Balance Sheet'!C$3</f>
        <v>2.1990534023932844E-2</v>
      </c>
      <c r="D12">
        <f xml:space="preserve"> 'Balance Sheet'!D12/'Balance Sheet'!D$3</f>
        <v>2.1830553324197893E-2</v>
      </c>
    </row>
    <row r="13" spans="1:4" x14ac:dyDescent="0.3">
      <c r="A13" t="s">
        <v>8</v>
      </c>
      <c r="B13">
        <f xml:space="preserve"> 'Balance Sheet'!B13/'Balance Sheet'!B$3</f>
        <v>1.547204957138241E-2</v>
      </c>
      <c r="C13">
        <f xml:space="preserve"> 'Balance Sheet'!C13/'Balance Sheet'!C$3</f>
        <v>2.038310412573674E-2</v>
      </c>
      <c r="D13">
        <f xml:space="preserve"> 'Balance Sheet'!D13/'Balance Sheet'!D$3</f>
        <v>2.483107309927704E-2</v>
      </c>
    </row>
    <row r="15" spans="1:4" x14ac:dyDescent="0.3">
      <c r="A15" s="1" t="s">
        <v>9</v>
      </c>
      <c r="B15">
        <f xml:space="preserve"> 'Balance Sheet'!B15/'Balance Sheet'!B$3</f>
        <v>0.84425310296325862</v>
      </c>
      <c r="C15">
        <f xml:space="preserve"> 'Balance Sheet'!C15/'Balance Sheet'!C$3</f>
        <v>0.83939096267190572</v>
      </c>
      <c r="D15">
        <f xml:space="preserve"> 'Balance Sheet'!D15/'Balance Sheet'!D$3</f>
        <v>0.83194726645560646</v>
      </c>
    </row>
    <row r="16" spans="1:4" x14ac:dyDescent="0.3">
      <c r="A16" t="s">
        <v>10</v>
      </c>
      <c r="B16">
        <f xml:space="preserve"> 'Balance Sheet'!B16/'Balance Sheet'!B$3</f>
        <v>0.66389158160840889</v>
      </c>
      <c r="C16">
        <f xml:space="preserve"> 'Balance Sheet'!C16/'Balance Sheet'!C$3</f>
        <v>0.63245668869440974</v>
      </c>
      <c r="D16">
        <f xml:space="preserve"> 'Balance Sheet'!D16/'Balance Sheet'!D$3</f>
        <v>0.61919387610452203</v>
      </c>
    </row>
    <row r="17" spans="1:4" x14ac:dyDescent="0.3">
      <c r="A17" t="s">
        <v>11</v>
      </c>
      <c r="B17">
        <f xml:space="preserve"> 'Balance Sheet'!B17/'Balance Sheet'!B$3</f>
        <v>9.6348672330881374E-2</v>
      </c>
      <c r="C17">
        <f xml:space="preserve"> 'Balance Sheet'!C17/'Balance Sheet'!C$3</f>
        <v>0.11316752991605644</v>
      </c>
      <c r="D17">
        <f xml:space="preserve"> 'Balance Sheet'!D17/'Balance Sheet'!D$3</f>
        <v>0.11952464206397959</v>
      </c>
    </row>
    <row r="18" spans="1:4" x14ac:dyDescent="0.3">
      <c r="A18" t="s">
        <v>12</v>
      </c>
      <c r="B18">
        <f xml:space="preserve"> 'Balance Sheet'!B18/'Balance Sheet'!B$3</f>
        <v>4.6815304784170612E-2</v>
      </c>
      <c r="C18">
        <f xml:space="preserve"> 'Balance Sheet'!C18/'Balance Sheet'!C$3</f>
        <v>5.8336310055367033E-2</v>
      </c>
      <c r="D18">
        <f xml:space="preserve"> 'Balance Sheet'!D18/'Balance Sheet'!D$3</f>
        <v>7.0949298303643146E-2</v>
      </c>
    </row>
    <row r="19" spans="1:4" x14ac:dyDescent="0.3">
      <c r="A19" t="s">
        <v>13</v>
      </c>
      <c r="B19">
        <f xml:space="preserve"> 'Balance Sheet'!B19/'Balance Sheet'!B$3</f>
        <v>2.2428769648932732E-2</v>
      </c>
      <c r="C19">
        <f xml:space="preserve"> 'Balance Sheet'!C19/'Balance Sheet'!C$3</f>
        <v>2.1566351134131096E-2</v>
      </c>
      <c r="D19">
        <f xml:space="preserve"> 'Balance Sheet'!D19/'Balance Sheet'!D$3</f>
        <v>2.0129471246987666E-2</v>
      </c>
    </row>
    <row r="20" spans="1:4" x14ac:dyDescent="0.3">
      <c r="A20" t="s">
        <v>51</v>
      </c>
      <c r="B20">
        <f xml:space="preserve"> 'Balance Sheet'!B20/'Balance Sheet'!B$3</f>
        <v>1.2753986808842257E-2</v>
      </c>
      <c r="C20">
        <f xml:space="preserve"> 'Balance Sheet'!C20/'Balance Sheet'!C$3</f>
        <v>1.151991427040543E-2</v>
      </c>
      <c r="D20">
        <f xml:space="preserve"> 'Balance Sheet'!D20/'Balance Sheet'!D$3</f>
        <v>0</v>
      </c>
    </row>
    <row r="21" spans="1:4" x14ac:dyDescent="0.3">
      <c r="A21" t="s">
        <v>14</v>
      </c>
      <c r="B21">
        <f xml:space="preserve"> 'Balance Sheet'!B21/'Balance Sheet'!B$3</f>
        <v>0</v>
      </c>
      <c r="C21">
        <f xml:space="preserve"> 'Balance Sheet'!C21/'Balance Sheet'!C$3</f>
        <v>0</v>
      </c>
      <c r="D21">
        <f xml:space="preserve"> 'Balance Sheet'!D21/'Balance Sheet'!D$3</f>
        <v>0</v>
      </c>
    </row>
    <row r="22" spans="1:4" x14ac:dyDescent="0.3">
      <c r="A22" t="s">
        <v>15</v>
      </c>
      <c r="B22">
        <f xml:space="preserve"> 'Balance Sheet'!B22/'Balance Sheet'!B$3</f>
        <v>2.0147877820227708E-3</v>
      </c>
      <c r="C22">
        <f xml:space="preserve"> 'Balance Sheet'!C22/'Balance Sheet'!C$3</f>
        <v>2.3441686015359888E-3</v>
      </c>
      <c r="D22">
        <f xml:space="preserve"> 'Balance Sheet'!D22/'Balance Sheet'!D$3</f>
        <v>2.1499787364740348E-3</v>
      </c>
    </row>
    <row r="27" spans="1:4" x14ac:dyDescent="0.3">
      <c r="A27" s="1" t="s">
        <v>16</v>
      </c>
      <c r="B27">
        <f>'Balance Sheet'!B27/'Balance Sheet'!B$27</f>
        <v>1</v>
      </c>
      <c r="C27">
        <f>'Balance Sheet'!C27/'Balance Sheet'!C$27</f>
        <v>1</v>
      </c>
      <c r="D27">
        <f>'Balance Sheet'!D27/'Balance Sheet'!D$27</f>
        <v>1</v>
      </c>
    </row>
    <row r="28" spans="1:4" x14ac:dyDescent="0.3">
      <c r="A28" s="1" t="s">
        <v>17</v>
      </c>
      <c r="B28">
        <f>'Balance Sheet'!B28/'Balance Sheet'!B$27</f>
        <v>0.36363193768257057</v>
      </c>
      <c r="C28">
        <f>'Balance Sheet'!C28/'Balance Sheet'!C$27</f>
        <v>0.37968790412966635</v>
      </c>
      <c r="D28">
        <f>'Balance Sheet'!D28/'Balance Sheet'!D$27</f>
        <v>0.37816229116945105</v>
      </c>
    </row>
    <row r="29" spans="1:4" x14ac:dyDescent="0.3">
      <c r="A29" t="s">
        <v>18</v>
      </c>
      <c r="B29">
        <f>'Balance Sheet'!B29/'Balance Sheet'!B$27</f>
        <v>6.5798442064264856E-2</v>
      </c>
      <c r="C29">
        <f>'Balance Sheet'!C29/'Balance Sheet'!C$27</f>
        <v>6.7908153001695545E-2</v>
      </c>
      <c r="D29">
        <f>'Balance Sheet'!D29/'Balance Sheet'!D$27</f>
        <v>6.5513126491646784E-2</v>
      </c>
    </row>
    <row r="30" spans="1:4" x14ac:dyDescent="0.3">
      <c r="A30" t="s">
        <v>19</v>
      </c>
      <c r="B30">
        <f>'Balance Sheet'!B30/'Balance Sheet'!B$27</f>
        <v>5.5282375851996107E-2</v>
      </c>
      <c r="C30">
        <f>'Balance Sheet'!C30/'Balance Sheet'!C$27</f>
        <v>6.2764031382015695E-2</v>
      </c>
      <c r="D30">
        <f>'Balance Sheet'!D30/'Balance Sheet'!D$27</f>
        <v>6.4618138424821003E-2</v>
      </c>
    </row>
    <row r="32" spans="1:4" x14ac:dyDescent="0.3">
      <c r="A32" t="s">
        <v>20</v>
      </c>
      <c r="B32">
        <f>'Balance Sheet'!B32/'Balance Sheet'!B$27</f>
        <v>3.4250243427458617E-2</v>
      </c>
      <c r="C32">
        <f>'Balance Sheet'!C32/'Balance Sheet'!C$27</f>
        <v>3.534787481679455E-2</v>
      </c>
      <c r="D32">
        <f>'Balance Sheet'!D32/'Balance Sheet'!D$27</f>
        <v>4.6688544152744628E-2</v>
      </c>
    </row>
    <row r="33" spans="1:4" x14ac:dyDescent="0.3">
      <c r="A33" t="s">
        <v>21</v>
      </c>
      <c r="B33">
        <f>'Balance Sheet'!B33/'Balance Sheet'!B$27</f>
        <v>1.7818889970788704E-2</v>
      </c>
      <c r="C33">
        <f>'Balance Sheet'!C33/'Balance Sheet'!C$27</f>
        <v>4.2819783314653566E-3</v>
      </c>
      <c r="D33">
        <f>'Balance Sheet'!D33/'Balance Sheet'!D$27</f>
        <v>3.8186157517899762E-3</v>
      </c>
    </row>
    <row r="35" spans="1:4" x14ac:dyDescent="0.3">
      <c r="A35" t="s">
        <v>22</v>
      </c>
      <c r="B35">
        <f>'Balance Sheet'!B35/'Balance Sheet'!B$27</f>
        <v>0.17670399221032132</v>
      </c>
      <c r="C35">
        <f>'Balance Sheet'!C35/'Balance Sheet'!C$27</f>
        <v>0.19159697675086934</v>
      </c>
      <c r="D35">
        <f>'Balance Sheet'!D35/'Balance Sheet'!D$27</f>
        <v>0.18054892601431982</v>
      </c>
    </row>
    <row r="37" spans="1:4" x14ac:dyDescent="0.3">
      <c r="A37" t="s">
        <v>23</v>
      </c>
      <c r="B37">
        <f>'Balance Sheet'!B37/'Balance Sheet'!B$27</f>
        <v>1.3777994157740994E-2</v>
      </c>
      <c r="C37">
        <f>'Balance Sheet'!C37/'Balance Sheet'!C$27</f>
        <v>1.7788889846825875E-2</v>
      </c>
      <c r="D37">
        <f>'Balance Sheet'!D37/'Balance Sheet'!D$27</f>
        <v>1.6974940334128878E-2</v>
      </c>
    </row>
    <row r="39" spans="1:4" x14ac:dyDescent="0.3">
      <c r="A39" s="1" t="s">
        <v>24</v>
      </c>
      <c r="B39">
        <f>'Balance Sheet'!B39/'Balance Sheet'!B$27</f>
        <v>0.63636806231742937</v>
      </c>
      <c r="C39">
        <f>'Balance Sheet'!C39/'Balance Sheet'!C$27</f>
        <v>0.62031209587033365</v>
      </c>
      <c r="D39">
        <f>'Balance Sheet'!D39/'Balance Sheet'!D$27</f>
        <v>0.6218377088305489</v>
      </c>
    </row>
    <row r="40" spans="1:4" x14ac:dyDescent="0.3">
      <c r="A40" t="s">
        <v>25</v>
      </c>
      <c r="B40">
        <f>'Balance Sheet'!B40/'Balance Sheet'!B$27</f>
        <v>0.31998539435248297</v>
      </c>
      <c r="C40">
        <f>'Balance Sheet'!C40/'Balance Sheet'!C$27</f>
        <v>0.35103600885133773</v>
      </c>
      <c r="D40">
        <f>'Balance Sheet'!D40/'Balance Sheet'!D$27</f>
        <v>0.34913484486873508</v>
      </c>
    </row>
    <row r="41" spans="1:4" x14ac:dyDescent="0.3">
      <c r="A41" t="s">
        <v>26</v>
      </c>
      <c r="B41">
        <f>'Balance Sheet'!B41/'Balance Sheet'!B$27</f>
        <v>0.12575462512171373</v>
      </c>
      <c r="C41">
        <f>'Balance Sheet'!C41/'Balance Sheet'!C$27</f>
        <v>3.2589016294508145E-2</v>
      </c>
      <c r="D41">
        <f>'Balance Sheet'!D41/'Balance Sheet'!D$27</f>
        <v>2.9713603818615753E-2</v>
      </c>
    </row>
    <row r="43" spans="1:4" x14ac:dyDescent="0.3">
      <c r="A43" t="s">
        <v>27</v>
      </c>
      <c r="B43">
        <f>'Balance Sheet'!B43/'Balance Sheet'!B$27</f>
        <v>4.2259006815968843E-2</v>
      </c>
      <c r="C43">
        <f>'Balance Sheet'!C43/'Balance Sheet'!C$27</f>
        <v>2.3392821220220135E-2</v>
      </c>
      <c r="D43">
        <f>'Balance Sheet'!D43/'Balance Sheet'!D$27</f>
        <v>6.7124105011933171E-3</v>
      </c>
    </row>
    <row r="44" spans="1:4" x14ac:dyDescent="0.3">
      <c r="A44" t="s">
        <v>28</v>
      </c>
      <c r="B44">
        <f>'Balance Sheet'!B44/'Balance Sheet'!B$27</f>
        <v>6.9036027263875366E-2</v>
      </c>
      <c r="C44">
        <f>'Balance Sheet'!C44/'Balance Sheet'!C$27</f>
        <v>7.813892002184096E-2</v>
      </c>
      <c r="D44">
        <f>'Balance Sheet'!D44/'Balance Sheet'!D$27</f>
        <v>7.6521479713603818E-2</v>
      </c>
    </row>
    <row r="46" spans="1:4" x14ac:dyDescent="0.3">
      <c r="A46" t="s">
        <v>29</v>
      </c>
      <c r="B46">
        <f>'Balance Sheet'!B46/'Balance Sheet'!B$27</f>
        <v>5.4406037000973712E-2</v>
      </c>
      <c r="C46">
        <f>'Balance Sheet'!C46/'Balance Sheet'!C$27</f>
        <v>8.2507112682127765E-2</v>
      </c>
      <c r="D46">
        <f>'Balance Sheet'!D46/'Balance Sheet'!D$27</f>
        <v>0.10510143198090692</v>
      </c>
    </row>
    <row r="48" spans="1:4" x14ac:dyDescent="0.3">
      <c r="A48" t="s">
        <v>30</v>
      </c>
      <c r="B48">
        <f>'Balance Sheet'!B48/'Balance Sheet'!B$27</f>
        <v>2.4926971762414801E-2</v>
      </c>
      <c r="C48">
        <f>'Balance Sheet'!C48/'Balance Sheet'!C$27</f>
        <v>5.2648216800298873E-2</v>
      </c>
      <c r="D48">
        <f>'Balance Sheet'!D48/'Balance Sheet'!D$27</f>
        <v>5.4653937947494034E-2</v>
      </c>
    </row>
    <row r="53" spans="1:4" x14ac:dyDescent="0.3">
      <c r="A53" s="1" t="s">
        <v>31</v>
      </c>
      <c r="B53">
        <f>'Balance Sheet'!B53/'Balance Sheet'!B$53</f>
        <v>1</v>
      </c>
      <c r="C53">
        <f>'Balance Sheet'!C53/'Balance Sheet'!C$53</f>
        <v>1</v>
      </c>
      <c r="D53">
        <f>'Balance Sheet'!D53/'Balance Sheet'!D$53</f>
        <v>1</v>
      </c>
    </row>
    <row r="54" spans="1:4" x14ac:dyDescent="0.3">
      <c r="A54" s="1" t="s">
        <v>32</v>
      </c>
      <c r="B54">
        <f>'Balance Sheet'!B54/'Balance Sheet'!B$53</f>
        <v>1</v>
      </c>
      <c r="C54">
        <f>'Balance Sheet'!C54/'Balance Sheet'!C$53</f>
        <v>1</v>
      </c>
      <c r="D54">
        <f>'Balance Sheet'!D54/'Balance Sheet'!D$53</f>
        <v>1</v>
      </c>
    </row>
    <row r="55" spans="1:4" x14ac:dyDescent="0.3">
      <c r="A55" t="s">
        <v>33</v>
      </c>
      <c r="B55">
        <f>'Balance Sheet'!B55/'Balance Sheet'!B$53</f>
        <v>0</v>
      </c>
      <c r="C55">
        <f>'Balance Sheet'!C55/'Balance Sheet'!C$53</f>
        <v>0</v>
      </c>
      <c r="D55">
        <f>'Balance Sheet'!D55/'Balance Sheet'!D$53</f>
        <v>0</v>
      </c>
    </row>
    <row r="56" spans="1:4" x14ac:dyDescent="0.3">
      <c r="A56" t="s">
        <v>34</v>
      </c>
    </row>
    <row r="58" spans="1:4" x14ac:dyDescent="0.3">
      <c r="A58" t="s">
        <v>35</v>
      </c>
      <c r="B58">
        <f>'Balance Sheet'!B58/'Balance Sheet'!B$53</f>
        <v>0.84259821351140407</v>
      </c>
      <c r="C58">
        <f>'Balance Sheet'!C58/'Balance Sheet'!C$53</f>
        <v>0.66713356678339164</v>
      </c>
      <c r="D58">
        <f>'Balance Sheet'!D58/'Balance Sheet'!D$53</f>
        <v>0.52475584828526001</v>
      </c>
    </row>
    <row r="59" spans="1:4" x14ac:dyDescent="0.3">
      <c r="A59" t="s">
        <v>36</v>
      </c>
      <c r="B59">
        <f>'Balance Sheet'!B59/'Balance Sheet'!B$53</f>
        <v>0.53152371867140746</v>
      </c>
      <c r="C59">
        <f>'Balance Sheet'!C59/'Balance Sheet'!C$53</f>
        <v>0.61230615307653824</v>
      </c>
      <c r="D59">
        <f>'Balance Sheet'!D59/'Balance Sheet'!D$53</f>
        <v>0.69248239836475134</v>
      </c>
    </row>
    <row r="61" spans="1:4" x14ac:dyDescent="0.3">
      <c r="A61" t="s">
        <v>37</v>
      </c>
      <c r="B61">
        <f>'Balance Sheet'!B61/'Balance Sheet'!B$53</f>
        <v>0.31211516780851617</v>
      </c>
      <c r="C61">
        <f>'Balance Sheet'!C61/'Balance Sheet'!C$53</f>
        <v>0.19939969984992495</v>
      </c>
      <c r="D61">
        <f>'Balance Sheet'!D61/'Balance Sheet'!D$53</f>
        <v>8.732682262094027E-2</v>
      </c>
    </row>
    <row r="63" spans="1:4" x14ac:dyDescent="0.3">
      <c r="A63" t="s">
        <v>38</v>
      </c>
      <c r="B63">
        <f>'Balance Sheet'!B63/'Balance Sheet'!B$53</f>
        <v>-6.226693261642529E-2</v>
      </c>
      <c r="C63">
        <f>'Balance Sheet'!C63/'Balance Sheet'!C$53</f>
        <v>-8.0340170085042517E-2</v>
      </c>
      <c r="D63">
        <f>'Balance Sheet'!D63/'Balance Sheet'!D$53</f>
        <v>-0.13025210084033614</v>
      </c>
    </row>
    <row r="68" spans="1:4" x14ac:dyDescent="0.3">
      <c r="A68" s="2" t="s">
        <v>39</v>
      </c>
      <c r="B68">
        <f>'Balance Sheet'!B68/'Balance Sheet'!B$53</f>
        <v>2.139970514265892</v>
      </c>
      <c r="C68">
        <f>'Balance Sheet'!C68/'Balance Sheet'!C$53</f>
        <v>2.2221110555277637</v>
      </c>
      <c r="D68">
        <f>'Balance Sheet'!D68/'Balance Sheet'!D$53</f>
        <v>2.3289802407449467</v>
      </c>
    </row>
    <row r="70" spans="1:4" x14ac:dyDescent="0.3">
      <c r="A70" t="s">
        <v>40</v>
      </c>
      <c r="B70">
        <f>'Balance Sheet'!B70/'Balance Sheet'!B$53</f>
        <v>1</v>
      </c>
      <c r="C70">
        <f>'Balance Sheet'!C70/'Balance Sheet'!C$53</f>
        <v>1</v>
      </c>
      <c r="D70">
        <f>'Balance Sheet'!D70/'Balance Sheet'!D$53</f>
        <v>1</v>
      </c>
    </row>
    <row r="72" spans="1:4" x14ac:dyDescent="0.3">
      <c r="A72" t="s">
        <v>41</v>
      </c>
      <c r="B72">
        <f>'Balance Sheet'!B72/'Balance Sheet'!B$27</f>
        <v>0.14357351509250244</v>
      </c>
      <c r="C72">
        <f>'Balance Sheet'!C72/'Balance Sheet'!C$27</f>
        <v>3.6870994625973506E-2</v>
      </c>
      <c r="D72">
        <f>'Balance Sheet'!D72/'Balance Sheet'!D$27</f>
        <v>3.3532219570405725E-2</v>
      </c>
    </row>
    <row r="74" spans="1:4" x14ac:dyDescent="0.3">
      <c r="A74" t="s">
        <v>42</v>
      </c>
      <c r="B74">
        <f>'Balance Sheet'!B74/'Balance Sheet'!B$3</f>
        <v>7.601072019159491E-2</v>
      </c>
      <c r="C74">
        <f>'Balance Sheet'!C74/'Balance Sheet'!C$3</f>
        <v>5.1638685479549917E-2</v>
      </c>
      <c r="D74">
        <f>'Balance Sheet'!D74/'Balance Sheet'!D$3</f>
        <v>1.757784813117233E-2</v>
      </c>
    </row>
    <row r="76" spans="1:4" x14ac:dyDescent="0.3">
      <c r="A76" t="s">
        <v>44</v>
      </c>
      <c r="B76">
        <f>'Balance Sheet'!B76/'Balance Sheet'!B$3</f>
        <v>-0.12818612077322233</v>
      </c>
      <c r="C76">
        <f>'Balance Sheet'!C76/'Balance Sheet'!C$3</f>
        <v>-0.13435434899089124</v>
      </c>
      <c r="D76">
        <f>'Balance Sheet'!D76/'Balance Sheet'!D$3</f>
        <v>-0.13143221660445117</v>
      </c>
    </row>
    <row r="77" spans="1:4" x14ac:dyDescent="0.3">
      <c r="A77" t="s">
        <v>43</v>
      </c>
      <c r="B77">
        <f>'Balance Sheet'!B77/'Balance Sheet'!B$3</f>
        <v>0.49577084640094277</v>
      </c>
      <c r="C77">
        <f>'Balance Sheet'!C77/'Balance Sheet'!C$3</f>
        <v>0.52330773352384352</v>
      </c>
      <c r="D77">
        <f>'Balance Sheet'!D77/'Balance Sheet'!D$3</f>
        <v>0.52152341350470155</v>
      </c>
    </row>
    <row r="78" spans="1:4" x14ac:dyDescent="0.3">
      <c r="A78" t="s">
        <v>45</v>
      </c>
      <c r="B78">
        <f>'Balance Sheet'!B78/'Balance Sheet'!B$3</f>
        <v>7.601072019159491E-2</v>
      </c>
      <c r="C78">
        <f>'Balance Sheet'!C78/'Balance Sheet'!C$3</f>
        <v>5.1638685479549917E-2</v>
      </c>
      <c r="D78">
        <f>'Balance Sheet'!D78/'Balance Sheet'!D$3</f>
        <v>5.4647261730378489E-2</v>
      </c>
    </row>
    <row r="80" spans="1:4" x14ac:dyDescent="0.3">
      <c r="A80" s="1" t="s">
        <v>46</v>
      </c>
      <c r="B80">
        <f>'Balance Sheet'!B80/'Balance Sheet'!B$27</f>
        <v>0.49780915287244404</v>
      </c>
      <c r="C80">
        <f>'Balance Sheet'!C80/'Balance Sheet'!C$27</f>
        <v>0.4232548782941058</v>
      </c>
      <c r="D80">
        <f>'Balance Sheet'!D80/'Balance Sheet'!D$27</f>
        <v>0.42935560859188543</v>
      </c>
    </row>
    <row r="81" spans="1:4" x14ac:dyDescent="0.3">
      <c r="A81" s="1" t="s">
        <v>47</v>
      </c>
      <c r="B81">
        <f>'Balance Sheet'!B81/'Balance Sheet'!B$27</f>
        <v>0.28700097370983446</v>
      </c>
      <c r="C81">
        <f>'Balance Sheet'!C81/'Balance Sheet'!C$27</f>
        <v>0.33770152599362013</v>
      </c>
      <c r="D81">
        <f>'Balance Sheet'!D81/'Balance Sheet'!D$27</f>
        <v>0.35161097852028639</v>
      </c>
    </row>
    <row r="83" spans="1:4" x14ac:dyDescent="0.3">
      <c r="A83" t="s">
        <v>48</v>
      </c>
      <c r="B83">
        <f>'Balance Sheet'!B83</f>
        <v>251216</v>
      </c>
      <c r="C83">
        <f>'Balance Sheet'!C83</f>
        <v>269915</v>
      </c>
      <c r="D83">
        <f>'Balance Sheet'!D83</f>
        <v>286973</v>
      </c>
    </row>
    <row r="84" spans="1:4" x14ac:dyDescent="0.3">
      <c r="A84" t="s">
        <v>49</v>
      </c>
      <c r="B84">
        <f>'Balance Sheet'!B84</f>
        <v>251216</v>
      </c>
      <c r="C84">
        <f>'Balance Sheet'!C84</f>
        <v>269915</v>
      </c>
      <c r="D84">
        <f>'Balance Sheet'!D84</f>
        <v>286973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E6A3-FEA0-4AC0-99A5-9FD67DD2849B}">
  <dimension ref="A1:D71"/>
  <sheetViews>
    <sheetView workbookViewId="0">
      <selection activeCell="F62" sqref="F62"/>
    </sheetView>
  </sheetViews>
  <sheetFormatPr defaultRowHeight="14.4" x14ac:dyDescent="0.3"/>
  <cols>
    <col min="1" max="1" width="20.77734375" customWidth="1"/>
  </cols>
  <sheetData>
    <row r="1" spans="1:4" x14ac:dyDescent="0.3">
      <c r="B1" s="1">
        <v>2019</v>
      </c>
      <c r="C1" s="1">
        <v>2018</v>
      </c>
      <c r="D1" s="1">
        <v>2017</v>
      </c>
    </row>
    <row r="2" spans="1:4" x14ac:dyDescent="0.3">
      <c r="A2" s="1" t="s">
        <v>109</v>
      </c>
      <c r="B2">
        <f xml:space="preserve"> 'Income Statement'!B2/ 'Income Statement'!B$2</f>
        <v>1</v>
      </c>
      <c r="C2">
        <f xml:space="preserve"> 'Income Statement'!C2/ 'Income Statement'!C$2</f>
        <v>1</v>
      </c>
      <c r="D2">
        <f xml:space="preserve"> 'Income Statement'!D2/ 'Income Statement'!D$2</f>
        <v>1</v>
      </c>
    </row>
    <row r="3" spans="1:4" x14ac:dyDescent="0.3">
      <c r="A3" t="s">
        <v>108</v>
      </c>
      <c r="B3">
        <f xml:space="preserve"> 'Income Statement'!B3/ 'Income Statement'!B$2</f>
        <v>0.94324880371714559</v>
      </c>
      <c r="C3">
        <f xml:space="preserve"> 'Income Statement'!C3/ 'Income Statement'!C$2</f>
        <v>0.94286129336852043</v>
      </c>
      <c r="D3">
        <f xml:space="preserve"> 'Income Statement'!D3/ 'Income Statement'!D$2</f>
        <v>0.88612995548017803</v>
      </c>
    </row>
    <row r="5" spans="1:4" x14ac:dyDescent="0.3">
      <c r="A5" t="s">
        <v>107</v>
      </c>
      <c r="B5">
        <f xml:space="preserve"> 'Income Statement'!B5/ 'Income Statement'!B$2</f>
        <v>0.71166693636006384</v>
      </c>
      <c r="C5">
        <f xml:space="preserve"> 'Income Statement'!C5/ 'Income Statement'!C$2</f>
        <v>0.73033435827905968</v>
      </c>
      <c r="D5">
        <f xml:space="preserve"> 'Income Statement'!D5/ 'Income Statement'!D$2</f>
        <v>0.71698113207547165</v>
      </c>
    </row>
    <row r="6" spans="1:4" x14ac:dyDescent="0.3">
      <c r="A6" t="s">
        <v>106</v>
      </c>
      <c r="B6">
        <f xml:space="preserve"> 'Income Statement'!B6/ 'Income Statement'!B$2</f>
        <v>0.20696271296146468</v>
      </c>
      <c r="C6">
        <f xml:space="preserve"> 'Income Statement'!C6/ 'Income Statement'!C$2</f>
        <v>0.22533472144880518</v>
      </c>
      <c r="D6">
        <f xml:space="preserve"> 'Income Statement'!D6/ 'Income Statement'!D$2</f>
        <v>0.18319376722493111</v>
      </c>
    </row>
    <row r="7" spans="1:4" x14ac:dyDescent="0.3">
      <c r="A7" t="s">
        <v>105</v>
      </c>
      <c r="B7">
        <f xml:space="preserve"> 'Income Statement'!B7/ 'Income Statement'!B$2</f>
        <v>4.1471138953743727E-2</v>
      </c>
      <c r="C7">
        <f xml:space="preserve"> 'Income Statement'!C7/ 'Income Statement'!C$2</f>
        <v>4.2781396024501851E-2</v>
      </c>
      <c r="D7">
        <f xml:space="preserve"> 'Income Statement'!D7/ 'Income Statement'!D$2</f>
        <v>4.9183803264786941E-2</v>
      </c>
    </row>
    <row r="8" spans="1:4" x14ac:dyDescent="0.3">
      <c r="A8" t="s">
        <v>104</v>
      </c>
      <c r="B8">
        <f xml:space="preserve"> 'Income Statement'!B8/ 'Income Statement'!B$2</f>
        <v>6.5443029196236624E-2</v>
      </c>
      <c r="C8">
        <f xml:space="preserve"> 'Income Statement'!C8/ 'Income Statement'!C$2</f>
        <v>6.7597995303004629E-2</v>
      </c>
      <c r="D8">
        <f xml:space="preserve"> 'Income Statement'!D8/ 'Income Statement'!D$2</f>
        <v>7.5816196735213059E-2</v>
      </c>
    </row>
    <row r="9" spans="1:4" x14ac:dyDescent="0.3">
      <c r="A9" t="s">
        <v>103</v>
      </c>
      <c r="B9">
        <f xml:space="preserve"> 'Income Statement'!B9/ 'Income Statement'!B$2</f>
        <v>5.2890727941006493E-2</v>
      </c>
      <c r="C9">
        <f xml:space="preserve"> 'Income Statement'!C9/ 'Income Statement'!C$2</f>
        <v>5.4233348667167031E-2</v>
      </c>
      <c r="D9">
        <f xml:space="preserve"> 'Income Statement'!D9/ 'Income Statement'!D$2</f>
        <v>5.694827220691117E-2</v>
      </c>
    </row>
    <row r="10" spans="1:4" x14ac:dyDescent="0.3">
      <c r="A10" t="s">
        <v>102</v>
      </c>
      <c r="B10">
        <f xml:space="preserve"> 'Income Statement'!B10/ 'Income Statement'!B$2</f>
        <v>0.3448993273076123</v>
      </c>
      <c r="C10">
        <f xml:space="preserve"> 'Income Statement'!C10/ 'Income Statement'!C$2</f>
        <v>0.34038689683558093</v>
      </c>
      <c r="D10">
        <f xml:space="preserve"> 'Income Statement'!D10/ 'Income Statement'!D$2</f>
        <v>0.35183909264362945</v>
      </c>
    </row>
    <row r="12" spans="1:4" x14ac:dyDescent="0.3">
      <c r="A12" t="s">
        <v>101</v>
      </c>
      <c r="B12">
        <f xml:space="preserve"> 'Income Statement'!B12/ 'Income Statement'!B$2</f>
        <v>0.28833306363993622</v>
      </c>
      <c r="C12">
        <f xml:space="preserve"> 'Income Statement'!C12/ 'Income Statement'!C$2</f>
        <v>0.26966564172094037</v>
      </c>
      <c r="D12">
        <f xml:space="preserve"> 'Income Statement'!D12/ 'Income Statement'!D$2</f>
        <v>0.28301886792452829</v>
      </c>
    </row>
    <row r="14" spans="1:4" x14ac:dyDescent="0.3">
      <c r="A14" t="s">
        <v>100</v>
      </c>
      <c r="B14">
        <f xml:space="preserve"> 'Income Statement'!B14/ 'Income Statement'!B$2</f>
        <v>0.18322198848794471</v>
      </c>
      <c r="C14">
        <f xml:space="preserve"> 'Income Statement'!C14/ 'Income Statement'!C$2</f>
        <v>0.17817107716146527</v>
      </c>
      <c r="D14">
        <f xml:space="preserve"> 'Income Statement'!D14/ 'Income Statement'!D$2</f>
        <v>0.18565825736697053</v>
      </c>
    </row>
    <row r="15" spans="1:4" x14ac:dyDescent="0.3">
      <c r="A15" t="s">
        <v>99</v>
      </c>
      <c r="B15">
        <f xml:space="preserve"> 'Income Statement'!B15/ 'Income Statement'!B$2</f>
        <v>3.8165468457430823E-2</v>
      </c>
      <c r="C15">
        <f xml:space="preserve"> 'Income Statement'!C15/ 'Income Statement'!C$2</f>
        <v>3.7721230903324215E-2</v>
      </c>
      <c r="D15">
        <f xml:space="preserve"> 'Income Statement'!D15/ 'Income Statement'!D$2</f>
        <v>3.5748357006571974E-2</v>
      </c>
    </row>
    <row r="16" spans="1:4" x14ac:dyDescent="0.3">
      <c r="A16" t="s">
        <v>98</v>
      </c>
      <c r="B16">
        <f xml:space="preserve"> 'Income Statement'!B16/ 'Income Statement'!B$2</f>
        <v>0.14505652003051389</v>
      </c>
      <c r="C16">
        <f xml:space="preserve"> 'Income Statement'!C16/ 'Income Statement'!C$2</f>
        <v>0.14044984625814105</v>
      </c>
      <c r="D16">
        <f xml:space="preserve"> 'Income Statement'!D16/ 'Income Statement'!D$2</f>
        <v>0.14990990036039856</v>
      </c>
    </row>
    <row r="18" spans="1:4" x14ac:dyDescent="0.3">
      <c r="A18" t="s">
        <v>97</v>
      </c>
      <c r="B18">
        <f xml:space="preserve"> 'Income Statement'!B18/ 'Income Statement'!B$2</f>
        <v>0.10511107515199149</v>
      </c>
      <c r="C18">
        <f xml:space="preserve"> 'Income Statement'!C18/ 'Income Statement'!C$2</f>
        <v>9.1494564559475106E-2</v>
      </c>
      <c r="D18">
        <f xml:space="preserve"> 'Income Statement'!D18/ 'Income Statement'!D$2</f>
        <v>9.7360610557557764E-2</v>
      </c>
    </row>
    <row r="20" spans="1:4" x14ac:dyDescent="0.3">
      <c r="A20" t="s">
        <v>96</v>
      </c>
      <c r="B20">
        <f xml:space="preserve"> 'Income Statement'!B20/ 'Income Statement'!B$2</f>
        <v>-1.1858803948311333E-2</v>
      </c>
      <c r="C20">
        <f xml:space="preserve"> 'Income Statement'!C20/ 'Income Statement'!C$2</f>
        <v>-1.3509914534053216E-2</v>
      </c>
      <c r="D20">
        <f xml:space="preserve"> 'Income Statement'!D20/ 'Income Statement'!D$2</f>
        <v>-1.3302946788212847E-2</v>
      </c>
    </row>
    <row r="21" spans="1:4" x14ac:dyDescent="0.3">
      <c r="A21" t="s">
        <v>95</v>
      </c>
      <c r="B21">
        <f xml:space="preserve"> 'Income Statement'!B21/ 'Income Statement'!B$2</f>
        <v>3.0745047273399756E-3</v>
      </c>
      <c r="C21">
        <f xml:space="preserve"> 'Income Statement'!C21/ 'Income Statement'!C$2</f>
        <v>2.4453429532963708E-3</v>
      </c>
      <c r="D21">
        <f xml:space="preserve"> 'Income Statement'!D21/ 'Income Statement'!D$2</f>
        <v>1.5104939580241679E-3</v>
      </c>
    </row>
    <row r="22" spans="1:4" x14ac:dyDescent="0.3">
      <c r="A22" t="s">
        <v>94</v>
      </c>
      <c r="B22">
        <f xml:space="preserve"> 'Income Statement'!B22/ 'Income Statement'!B$2</f>
        <v>1.493330867565131E-2</v>
      </c>
      <c r="C22">
        <f xml:space="preserve"> 'Income Statement'!C22/ 'Income Statement'!C$2</f>
        <v>1.5955257487349588E-2</v>
      </c>
      <c r="D22">
        <f xml:space="preserve"> 'Income Statement'!D22/ 'Income Statement'!D$2</f>
        <v>1.4813440746237016E-2</v>
      </c>
    </row>
    <row r="24" spans="1:4" x14ac:dyDescent="0.3">
      <c r="A24" t="s">
        <v>93</v>
      </c>
      <c r="B24">
        <f xml:space="preserve"> 'Income Statement'!B24/ 'Income Statement'!B$2</f>
        <v>-2.7739892276751658E-3</v>
      </c>
      <c r="C24">
        <f xml:space="preserve"> 'Income Statement'!C24/ 'Income Statement'!C$2</f>
        <v>-1.3630971115899572E-2</v>
      </c>
      <c r="D24">
        <f xml:space="preserve"> 'Income Statement'!D24/ 'Income Statement'!D$2</f>
        <v>-4.5844816620733515E-3</v>
      </c>
    </row>
    <row r="25" spans="1:4" x14ac:dyDescent="0.3">
      <c r="A25" t="s">
        <v>92</v>
      </c>
      <c r="B25">
        <f xml:space="preserve"> 'Income Statement'!B25/ 'Income Statement'!B$2</f>
        <v>3.5368362652858365E-3</v>
      </c>
      <c r="C25">
        <f xml:space="preserve"> 'Income Statement'!C25/ 'Income Statement'!C$2</f>
        <v>0</v>
      </c>
      <c r="D25">
        <f xml:space="preserve"> 'Income Statement'!D25/ 'Income Statement'!D$2</f>
        <v>0</v>
      </c>
    </row>
    <row r="26" spans="1:4" x14ac:dyDescent="0.3">
      <c r="A26" t="s">
        <v>91</v>
      </c>
      <c r="B26">
        <f xml:space="preserve"> 'Income Statement'!B26/ 'Income Statement'!B$2</f>
        <v>-5.6866779167340899E-3</v>
      </c>
      <c r="C26">
        <f xml:space="preserve"> 'Income Statement'!C26/ 'Income Statement'!C$2</f>
        <v>-1.1790911071834975E-2</v>
      </c>
      <c r="D26">
        <f xml:space="preserve"> 'Income Statement'!D26/ 'Income Statement'!D$2</f>
        <v>-4.663981344074624E-3</v>
      </c>
    </row>
    <row r="27" spans="1:4" x14ac:dyDescent="0.3">
      <c r="A27" t="s">
        <v>90</v>
      </c>
      <c r="B27">
        <f xml:space="preserve"> 'Income Statement'!B27/ 'Income Statement'!B$2</f>
        <v>0</v>
      </c>
      <c r="C27">
        <f xml:space="preserve"> 'Income Statement'!C27/ 'Income Statement'!C$2</f>
        <v>1.5495242476333438E-3</v>
      </c>
      <c r="D27">
        <f xml:space="preserve"> 'Income Statement'!D27/ 'Income Statement'!D$2</f>
        <v>0</v>
      </c>
    </row>
    <row r="28" spans="1:4" x14ac:dyDescent="0.3">
      <c r="A28" t="s">
        <v>89</v>
      </c>
      <c r="B28">
        <f xml:space="preserve"> 'Income Statement'!B28/ 'Income Statement'!B$2</f>
        <v>3.9529346494371117E-3</v>
      </c>
      <c r="C28">
        <f xml:space="preserve"> 'Income Statement'!C28/ 'Income Statement'!C$2</f>
        <v>9.1276662712151662E-3</v>
      </c>
      <c r="D28">
        <f xml:space="preserve"> 'Income Statement'!D28/ 'Income Statement'!D$2</f>
        <v>6.6249735001059999E-4</v>
      </c>
    </row>
    <row r="29" spans="1:4" x14ac:dyDescent="0.3">
      <c r="A29" t="s">
        <v>88</v>
      </c>
      <c r="B29">
        <f xml:space="preserve"> 'Income Statement'!B29/ 'Income Statement'!B$2</f>
        <v>3.9529346494371117E-3</v>
      </c>
      <c r="C29">
        <f xml:space="preserve"> 'Income Statement'!C29/ 'Income Statement'!C$2</f>
        <v>9.1276662712151662E-3</v>
      </c>
      <c r="D29">
        <f xml:space="preserve"> 'Income Statement'!D29/ 'Income Statement'!D$2</f>
        <v>6.6249735001059999E-4</v>
      </c>
    </row>
    <row r="30" spans="1:4" x14ac:dyDescent="0.3">
      <c r="A30" t="s">
        <v>87</v>
      </c>
      <c r="B30">
        <f xml:space="preserve"> 'Income Statement'!B30/ 'Income Statement'!B$2</f>
        <v>3.6986523035668879E-4</v>
      </c>
      <c r="C30">
        <f xml:space="preserve"> 'Income Statement'!C30/ 'Income Statement'!C$2</f>
        <v>9.9266397114011078E-4</v>
      </c>
      <c r="D30">
        <f xml:space="preserve"> 'Income Statement'!D30/ 'Income Statement'!D$2</f>
        <v>3.0739877040491838E-3</v>
      </c>
    </row>
    <row r="31" spans="1:4" x14ac:dyDescent="0.3">
      <c r="A31" t="s">
        <v>86</v>
      </c>
      <c r="B31">
        <f xml:space="preserve"> 'Income Statement'!B31/ 'Income Statement'!B$2</f>
        <v>-1.3638780369402898E-3</v>
      </c>
      <c r="C31">
        <f xml:space="preserve"> 'Income Statement'!C31/ 'Income Statement'!C$2</f>
        <v>-1.2105658184635499E-4</v>
      </c>
      <c r="D31">
        <f xml:space="preserve"> 'Income Statement'!D31/ 'Income Statement'!D$2</f>
        <v>-9.2749629001483993E-4</v>
      </c>
    </row>
    <row r="33" spans="1:4" x14ac:dyDescent="0.3">
      <c r="A33" t="s">
        <v>85</v>
      </c>
      <c r="B33">
        <f xml:space="preserve"> 'Income Statement'!B33/ 'Income Statement'!B$2</f>
        <v>-6.2414757622691235E-4</v>
      </c>
      <c r="C33">
        <f xml:space="preserve"> 'Income Statement'!C33/ 'Income Statement'!C$2</f>
        <v>-1.8400600440645959E-3</v>
      </c>
      <c r="D33">
        <f xml:space="preserve"> 'Income Statement'!D33/ 'Income Statement'!D$2</f>
        <v>7.9499682001271991E-5</v>
      </c>
    </row>
    <row r="35" spans="1:4" x14ac:dyDescent="0.3">
      <c r="A35" t="s">
        <v>84</v>
      </c>
      <c r="B35">
        <f xml:space="preserve"> 'Income Statement'!B35/ 'Income Statement'!B$2</f>
        <v>9.0478281976004993E-2</v>
      </c>
      <c r="C35">
        <f xml:space="preserve"> 'Income Statement'!C35/ 'Income Statement'!C$2</f>
        <v>6.4353678909522316E-2</v>
      </c>
      <c r="D35">
        <f xml:space="preserve"> 'Income Statement'!D35/ 'Income Statement'!D$2</f>
        <v>7.947318210727157E-2</v>
      </c>
    </row>
    <row r="36" spans="1:4" x14ac:dyDescent="0.3">
      <c r="A36" t="s">
        <v>83</v>
      </c>
      <c r="B36">
        <f xml:space="preserve"> 'Income Statement'!B36/ 'Income Statement'!B$2</f>
        <v>2.0920502092050208E-2</v>
      </c>
      <c r="C36">
        <f xml:space="preserve"> 'Income Statement'!C36/ 'Income Statement'!C$2</f>
        <v>1.2807786359344358E-2</v>
      </c>
      <c r="D36">
        <f xml:space="preserve"> 'Income Statement'!D36/ 'Income Statement'!D$2</f>
        <v>2.300190799236803E-2</v>
      </c>
    </row>
    <row r="38" spans="1:4" x14ac:dyDescent="0.3">
      <c r="A38" s="1" t="s">
        <v>82</v>
      </c>
      <c r="B38">
        <f xml:space="preserve"> 'Income Statement'!B38/ 'Income Statement'!B$2</f>
        <v>6.9557779883954785E-2</v>
      </c>
      <c r="C38">
        <f xml:space="preserve"> 'Income Statement'!C38/ 'Income Statement'!C$2</f>
        <v>5.1545892550177955E-2</v>
      </c>
      <c r="D38">
        <f xml:space="preserve"> 'Income Statement'!D38/ 'Income Statement'!D$2</f>
        <v>5.647127411490354E-2</v>
      </c>
    </row>
    <row r="40" spans="1:4" x14ac:dyDescent="0.3">
      <c r="A40" t="s">
        <v>81</v>
      </c>
      <c r="B40">
        <v>0</v>
      </c>
      <c r="C40">
        <v>0</v>
      </c>
      <c r="D40">
        <v>0</v>
      </c>
    </row>
    <row r="42" spans="1:4" x14ac:dyDescent="0.3">
      <c r="A42" t="s">
        <v>80</v>
      </c>
      <c r="B42">
        <v>1.2E-2</v>
      </c>
      <c r="C42">
        <v>7.9000000000000008E-3</v>
      </c>
      <c r="D42">
        <v>7.4000000000000003E-3</v>
      </c>
    </row>
    <row r="43" spans="1:4" x14ac:dyDescent="0.3">
      <c r="A43" t="s">
        <v>79</v>
      </c>
      <c r="B43">
        <v>1.1599999999999999E-2</v>
      </c>
      <c r="C43">
        <v>7.7000000000000002E-3</v>
      </c>
      <c r="D43">
        <v>7.0000000000000001E-3</v>
      </c>
    </row>
    <row r="44" spans="1:4" x14ac:dyDescent="0.3">
      <c r="A44" t="s">
        <v>78</v>
      </c>
      <c r="B44">
        <v>251216</v>
      </c>
      <c r="C44">
        <v>269915</v>
      </c>
      <c r="D44">
        <v>286973</v>
      </c>
    </row>
    <row r="45" spans="1:4" x14ac:dyDescent="0.3">
      <c r="A45" t="s">
        <v>77</v>
      </c>
      <c r="B45">
        <v>259900</v>
      </c>
      <c r="C45">
        <v>276700</v>
      </c>
      <c r="D45">
        <v>303600</v>
      </c>
    </row>
    <row r="47" spans="1:4" x14ac:dyDescent="0.3">
      <c r="A47" t="s">
        <v>76</v>
      </c>
      <c r="B47">
        <f xml:space="preserve"> 'Income Statement'!B47/ 'Income Statement'!B$2</f>
        <v>9.9424397235257408E-2</v>
      </c>
      <c r="C47">
        <f xml:space="preserve"> 'Income Statement'!C47/ 'Income Statement'!C$2</f>
        <v>7.9703653487640122E-2</v>
      </c>
      <c r="D47">
        <f xml:space="preserve"> 'Income Statement'!D47/ 'Income Statement'!D$2</f>
        <v>9.269662921348315E-2</v>
      </c>
    </row>
    <row r="49" spans="1:4" x14ac:dyDescent="0.3">
      <c r="A49" t="s">
        <v>75</v>
      </c>
      <c r="B49">
        <f xml:space="preserve"> 'Income Statement'!B49/ 'Income Statement'!B$2</f>
        <v>6.5443029196236624E-2</v>
      </c>
      <c r="C49">
        <f xml:space="preserve"> 'Income Statement'!C49/ 'Income Statement'!C$2</f>
        <v>6.7597995303004629E-2</v>
      </c>
      <c r="D49">
        <f xml:space="preserve"> 'Income Statement'!D49/ 'Income Statement'!D$2</f>
        <v>7.5816196735213059E-2</v>
      </c>
    </row>
    <row r="50" spans="1:4" x14ac:dyDescent="0.3">
      <c r="A50" t="s">
        <v>74</v>
      </c>
      <c r="B50">
        <f xml:space="preserve"> 'Income Statement'!B50/ 'Income Statement'!B$2</f>
        <v>0.89488892484800853</v>
      </c>
      <c r="C50">
        <f xml:space="preserve"> 'Income Statement'!C50/ 'Income Statement'!C$2</f>
        <v>0.90850543544052487</v>
      </c>
      <c r="D50">
        <f xml:space="preserve"> 'Income Statement'!D50/ 'Income Statement'!D$2</f>
        <v>0.90263938944244226</v>
      </c>
    </row>
    <row r="52" spans="1:4" x14ac:dyDescent="0.3">
      <c r="A52" t="s">
        <v>73</v>
      </c>
      <c r="B52">
        <f xml:space="preserve"> 'Income Statement'!B52/ 'Income Statement'!B$2</f>
        <v>3.0745047273399756E-3</v>
      </c>
      <c r="C52">
        <f xml:space="preserve"> 'Income Statement'!C52/ 'Income Statement'!C$2</f>
        <v>2.4453429532963708E-3</v>
      </c>
      <c r="D52">
        <f xml:space="preserve"> 'Income Statement'!D52/ 'Income Statement'!D$2</f>
        <v>1.5104939580241679E-3</v>
      </c>
    </row>
    <row r="53" spans="1:4" x14ac:dyDescent="0.3">
      <c r="A53" t="s">
        <v>72</v>
      </c>
      <c r="B53">
        <f xml:space="preserve"> 'Income Statement'!B53/ 'Income Statement'!B$2</f>
        <v>1.493330867565131E-2</v>
      </c>
      <c r="C53">
        <f xml:space="preserve"> 'Income Statement'!C53/ 'Income Statement'!C$2</f>
        <v>1.5955257487349588E-2</v>
      </c>
      <c r="D53">
        <f xml:space="preserve"> 'Income Statement'!D53/ 'Income Statement'!D$2</f>
        <v>1.4813440746237016E-2</v>
      </c>
    </row>
    <row r="54" spans="1:4" x14ac:dyDescent="0.3">
      <c r="A54" t="s">
        <v>71</v>
      </c>
      <c r="B54">
        <f xml:space="preserve"> 'Income Statement'!B54/ 'Income Statement'!B$2</f>
        <v>-1.1858803948311333E-2</v>
      </c>
      <c r="C54">
        <f xml:space="preserve"> 'Income Statement'!C54/ 'Income Statement'!C$2</f>
        <v>-1.3509914534053216E-2</v>
      </c>
      <c r="D54">
        <f xml:space="preserve"> 'Income Statement'!D54/ 'Income Statement'!D$2</f>
        <v>-1.3302946788212847E-2</v>
      </c>
    </row>
    <row r="56" spans="1:4" x14ac:dyDescent="0.3">
      <c r="A56" t="s">
        <v>70</v>
      </c>
      <c r="B56">
        <f xml:space="preserve"> 'Income Statement'!B56/ 'Income Statement'!B$2</f>
        <v>6.9557779883954785E-2</v>
      </c>
      <c r="C56">
        <f xml:space="preserve"> 'Income Statement'!C56/ 'Income Statement'!C$2</f>
        <v>5.1545892550177955E-2</v>
      </c>
      <c r="D56">
        <f xml:space="preserve"> 'Income Statement'!D56/ 'Income Statement'!D$2</f>
        <v>5.647127411490354E-2</v>
      </c>
    </row>
    <row r="57" spans="1:4" x14ac:dyDescent="0.3">
      <c r="A57" t="s">
        <v>69</v>
      </c>
      <c r="B57">
        <f xml:space="preserve"> 'Income Statement'!B57/ 'Income Statement'!B$2</f>
        <v>7.1210522665803647E-2</v>
      </c>
      <c r="C57">
        <f xml:space="preserve"> 'Income Statement'!C57/ 'Income Statement'!C$2</f>
        <v>6.0990145994237709E-2</v>
      </c>
      <c r="D57">
        <f xml:space="preserve"> 'Income Statement'!D57/ 'Income Statement'!D$2</f>
        <v>5.9785350858596563E-2</v>
      </c>
    </row>
    <row r="59" spans="1:4" x14ac:dyDescent="0.3">
      <c r="A59" s="1" t="s">
        <v>68</v>
      </c>
      <c r="B59">
        <f xml:space="preserve"> 'Income Statement'!B59/ 'Income Statement'!B$2</f>
        <v>0.1054115906516563</v>
      </c>
      <c r="C59">
        <f xml:space="preserve"> 'Income Statement'!C59/ 'Income Statement'!C$2</f>
        <v>8.0308936396871894E-2</v>
      </c>
      <c r="D59">
        <f xml:space="preserve"> 'Income Statement'!D59/ 'Income Statement'!D$2</f>
        <v>9.4286622853508584E-2</v>
      </c>
    </row>
    <row r="60" spans="1:4" x14ac:dyDescent="0.3">
      <c r="A60" s="1"/>
    </row>
    <row r="62" spans="1:4" x14ac:dyDescent="0.3">
      <c r="A62" t="s">
        <v>67</v>
      </c>
      <c r="B62">
        <f xml:space="preserve"> 'Income Statement'!B62/ 'Income Statement'!B$2</f>
        <v>0.71166693636006384</v>
      </c>
      <c r="C62">
        <f xml:space="preserve"> 'Income Statement'!C62/ 'Income Statement'!C$2</f>
        <v>0.73033435827905968</v>
      </c>
      <c r="D62">
        <f xml:space="preserve"> 'Income Statement'!D62/ 'Income Statement'!D$2</f>
        <v>0.71698113207547165</v>
      </c>
    </row>
    <row r="63" spans="1:4" x14ac:dyDescent="0.3">
      <c r="A63" t="s">
        <v>66</v>
      </c>
      <c r="B63">
        <f xml:space="preserve"> 'Income Statement'!B63/ 'Income Statement'!B$2</f>
        <v>5.2890727941006493E-2</v>
      </c>
      <c r="C63">
        <f xml:space="preserve"> 'Income Statement'!C63/ 'Income Statement'!C$2</f>
        <v>5.4233348667167031E-2</v>
      </c>
      <c r="D63">
        <f xml:space="preserve"> 'Income Statement'!D63/ 'Income Statement'!D$2</f>
        <v>5.694827220691117E-2</v>
      </c>
    </row>
    <row r="65" spans="1:4" x14ac:dyDescent="0.3">
      <c r="A65" t="s">
        <v>65</v>
      </c>
      <c r="B65">
        <f xml:space="preserve"> 'Income Statement'!B65/ 'Income Statement'!B$2</f>
        <v>6.9557779883954785E-2</v>
      </c>
      <c r="C65">
        <f xml:space="preserve"> 'Income Statement'!C65/ 'Income Statement'!C$2</f>
        <v>5.1545892550177955E-2</v>
      </c>
      <c r="D65">
        <f xml:space="preserve"> 'Income Statement'!D65/ 'Income Statement'!D$2</f>
        <v>5.647127411490354E-2</v>
      </c>
    </row>
    <row r="66" spans="1:4" x14ac:dyDescent="0.3">
      <c r="A66" t="s">
        <v>64</v>
      </c>
      <c r="B66">
        <f xml:space="preserve"> 'Income Statement'!B66/ 'Income Statement'!B$2</f>
        <v>-2.1498416514482534E-3</v>
      </c>
      <c r="C66">
        <f xml:space="preserve"> 'Income Statement'!C66/ 'Income Statement'!C$2</f>
        <v>-1.1790911071834975E-2</v>
      </c>
      <c r="D66">
        <f xml:space="preserve"> 'Income Statement'!D66/ 'Income Statement'!D$2</f>
        <v>-4.663981344074624E-3</v>
      </c>
    </row>
    <row r="67" spans="1:4" x14ac:dyDescent="0.3">
      <c r="A67" t="s">
        <v>63</v>
      </c>
      <c r="B67">
        <f xml:space="preserve"> 'Income Statement'!B67/ 'Income Statement'!B$2</f>
        <v>-2.1498416514482534E-3</v>
      </c>
      <c r="C67">
        <f xml:space="preserve"> 'Income Statement'!C67/ 'Income Statement'!C$2</f>
        <v>-1.1790911071834975E-2</v>
      </c>
      <c r="D67">
        <f xml:space="preserve"> 'Income Statement'!D67/ 'Income Statement'!D$2</f>
        <v>-4.663981344074624E-3</v>
      </c>
    </row>
    <row r="69" spans="1:4" x14ac:dyDescent="0.3">
      <c r="A69" t="s">
        <v>62</v>
      </c>
      <c r="B69">
        <f xml:space="preserve"> 'Income Statement'!B69/ 'Income Statement'!B$2</f>
        <v>0.16045216024411105</v>
      </c>
      <c r="C69">
        <f xml:space="preserve"> 'Income Statement'!C69/ 'Income Statement'!C$2</f>
        <v>0.14633319613587389</v>
      </c>
      <c r="D69">
        <f xml:space="preserve"> 'Income Statement'!D69/ 'Income Statement'!D$2</f>
        <v>0.15589887640449437</v>
      </c>
    </row>
    <row r="71" spans="1:4" x14ac:dyDescent="0.3">
      <c r="A71" t="s">
        <v>61</v>
      </c>
      <c r="B71">
        <f xml:space="preserve"> 'Income Statement'!B71/ 'Income Statement'!B$2</f>
        <v>-4.9709886959938975E-4</v>
      </c>
      <c r="C71">
        <f xml:space="preserve"> 'Income Statement'!C71/ 'Income Statement'!C$2</f>
        <v>-2.3466576277752223E-3</v>
      </c>
      <c r="D71">
        <f xml:space="preserve"> 'Income Statement'!D71/ 'Income Statement'!D$2</f>
        <v>-1.3499046003815985E-3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529C-0652-477F-A537-1DE717F5849F}">
  <dimension ref="A1:D39"/>
  <sheetViews>
    <sheetView tabSelected="1" workbookViewId="0">
      <selection activeCell="F36" sqref="F36"/>
    </sheetView>
  </sheetViews>
  <sheetFormatPr defaultRowHeight="14.4" x14ac:dyDescent="0.3"/>
  <cols>
    <col min="1" max="1" width="21.21875" customWidth="1"/>
  </cols>
  <sheetData>
    <row r="1" spans="1:4" x14ac:dyDescent="0.3">
      <c r="A1" t="s">
        <v>145</v>
      </c>
      <c r="B1" s="1">
        <v>2019</v>
      </c>
      <c r="C1" s="1">
        <v>2018</v>
      </c>
      <c r="D1" s="1">
        <v>2017</v>
      </c>
    </row>
    <row r="2" spans="1:4" x14ac:dyDescent="0.3">
      <c r="A2" s="1" t="s">
        <v>110</v>
      </c>
      <c r="B2">
        <f>'Cash Flows'!B2/ 'Income Statement'!B$3</f>
        <v>0.16932163513381041</v>
      </c>
      <c r="C2">
        <f>'Cash Flows'!C2/ 'Income Statement'!C$3</f>
        <v>0.15871915363479958</v>
      </c>
      <c r="D2">
        <f>'Cash Flows'!D2/ 'Income Statement'!D$3</f>
        <v>0.10206644935554293</v>
      </c>
    </row>
    <row r="3" spans="1:4" x14ac:dyDescent="0.3">
      <c r="A3" t="s">
        <v>111</v>
      </c>
      <c r="B3">
        <f>'Cash Flows'!B3/ 'Income Statement'!B$3</f>
        <v>7.374277031663562E-2</v>
      </c>
      <c r="C3">
        <f>'Cash Flows'!C3/ 'Income Statement'!C$3</f>
        <v>5.4669645379143879E-2</v>
      </c>
      <c r="D3">
        <f>'Cash Flows'!D3/ 'Income Statement'!D$3</f>
        <v>6.3727982296121297E-2</v>
      </c>
    </row>
    <row r="4" spans="1:4" x14ac:dyDescent="0.3">
      <c r="A4" t="s">
        <v>112</v>
      </c>
      <c r="B4">
        <f>'Cash Flows'!B4/ 'Income Statement'!B$3</f>
        <v>-3.7496323889814726E-3</v>
      </c>
      <c r="C4">
        <f>'Cash Flows'!C4/ 'Income Statement'!C$3</f>
        <v>0</v>
      </c>
      <c r="D4">
        <f>'Cash Flows'!D4/ 'Income Statement'!D$3</f>
        <v>0</v>
      </c>
    </row>
    <row r="5" spans="1:4" x14ac:dyDescent="0.3">
      <c r="A5" t="s">
        <v>113</v>
      </c>
      <c r="B5">
        <f>'Cash Flows'!B5/ 'Income Statement'!B$3</f>
        <v>5.6072934026075875E-2</v>
      </c>
      <c r="C5">
        <f>'Cash Flows'!C5/ 'Income Statement'!C$3</f>
        <v>5.7519965077164059E-2</v>
      </c>
      <c r="D5">
        <f>'Cash Flows'!D5/ 'Income Statement'!D$3</f>
        <v>6.4266275905379949E-2</v>
      </c>
    </row>
    <row r="6" spans="1:4" x14ac:dyDescent="0.3">
      <c r="A6" t="s">
        <v>114</v>
      </c>
      <c r="B6">
        <f>'Cash Flows'!B6/ 'Income Statement'!B$3</f>
        <v>2.1615527889422604E-2</v>
      </c>
      <c r="C6">
        <f>'Cash Flows'!C6/ 'Income Statement'!C$3</f>
        <v>1.3224456256580129E-2</v>
      </c>
      <c r="D6">
        <f>'Cash Flows'!D6/ 'Income Statement'!D$3</f>
        <v>2.8260414486079129E-2</v>
      </c>
    </row>
    <row r="7" spans="1:4" x14ac:dyDescent="0.3">
      <c r="A7" t="s">
        <v>115</v>
      </c>
      <c r="B7">
        <f>'Cash Flows'!B7/ 'Income Statement'!B$3</f>
        <v>8.8226644446622888E-3</v>
      </c>
      <c r="C7">
        <f>'Cash Flows'!C7/ 'Income Statement'!C$3</f>
        <v>1.5047633721079527E-2</v>
      </c>
      <c r="D7">
        <f>'Cash Flows'!D7/ 'Income Statement'!D$3</f>
        <v>5.2932204910433921E-3</v>
      </c>
    </row>
    <row r="8" spans="1:4" x14ac:dyDescent="0.3">
      <c r="A8" t="s">
        <v>116</v>
      </c>
      <c r="B8">
        <f>'Cash Flows'!B8/ 'Income Statement'!B$3</f>
        <v>1.281737084599549E-2</v>
      </c>
      <c r="C8">
        <f>'Cash Flows'!C8/ 'Income Statement'!C$3</f>
        <v>1.8257453200831986E-2</v>
      </c>
      <c r="D8">
        <f>'Cash Flows'!D8/ 'Income Statement'!D$3</f>
        <v>-5.9481443823080835E-2</v>
      </c>
    </row>
    <row r="9" spans="1:4" x14ac:dyDescent="0.3">
      <c r="A9" t="s">
        <v>117</v>
      </c>
      <c r="B9">
        <f>'Cash Flows'!B9/ 'Income Statement'!B$3</f>
        <v>1.078325654347613E-3</v>
      </c>
      <c r="C9">
        <f>'Cash Flows'!C9/ 'Income Statement'!C$3</f>
        <v>-7.4467811930257046E-4</v>
      </c>
      <c r="D9">
        <f>'Cash Flows'!D9/ 'Income Statement'!D$3</f>
        <v>-5.4726516941296091E-3</v>
      </c>
    </row>
    <row r="10" spans="1:4" x14ac:dyDescent="0.3">
      <c r="A10" t="s">
        <v>118</v>
      </c>
      <c r="B10">
        <f>'Cash Flows'!B10/ 'Income Statement'!B$3</f>
        <v>7.9403980001960597E-3</v>
      </c>
      <c r="C10">
        <f>'Cash Flows'!C10/ 'Income Statement'!C$3</f>
        <v>3.3382122589425572E-3</v>
      </c>
      <c r="D10">
        <f>'Cash Flows'!D10/ 'Income Statement'!D$3</f>
        <v>1.9737432339483837E-3</v>
      </c>
    </row>
    <row r="11" spans="1:4" x14ac:dyDescent="0.3">
      <c r="A11" t="s">
        <v>119</v>
      </c>
      <c r="B11">
        <f>'Cash Flows'!B11/ 'Income Statement'!B$3</f>
        <v>-6.1758651112636016E-3</v>
      </c>
      <c r="C11">
        <f>'Cash Flows'!C11/ 'Income Statement'!C$3</f>
        <v>7.4467811930257046E-4</v>
      </c>
      <c r="D11">
        <f>'Cash Flows'!D11/ 'Income Statement'!D$3</f>
        <v>-1.5939471874158916E-2</v>
      </c>
    </row>
    <row r="12" spans="1:4" x14ac:dyDescent="0.3">
      <c r="A12" t="s">
        <v>120</v>
      </c>
      <c r="B12">
        <f>'Cash Flows'!B12/ 'Income Statement'!B$3</f>
        <v>-7.4012351730222527E-3</v>
      </c>
      <c r="C12">
        <f>'Cash Flows'!C12/ 'Income Statement'!C$3</f>
        <v>-2.105641578717613E-3</v>
      </c>
      <c r="D12">
        <f>'Cash Flows'!D12/ 'Income Statement'!D$3</f>
        <v>-1.4294685845868597E-2</v>
      </c>
    </row>
    <row r="13" spans="1:4" x14ac:dyDescent="0.3">
      <c r="A13" t="s">
        <v>121</v>
      </c>
      <c r="B13">
        <f>'Cash Flows'!B13/ 'Income Statement'!B$3</f>
        <v>1.7375747475737672E-2</v>
      </c>
      <c r="C13">
        <f>'Cash Flows'!C13/ 'Income Statement'!C$3</f>
        <v>1.7024882520607042E-2</v>
      </c>
      <c r="D13">
        <f>'Cash Flows'!D13/ 'Income Statement'!D$3</f>
        <v>-2.5748377642872095E-2</v>
      </c>
    </row>
    <row r="15" spans="1:4" x14ac:dyDescent="0.3">
      <c r="A15" s="1" t="s">
        <v>122</v>
      </c>
      <c r="B15">
        <f>'Cash Flows'!B15/ 'Income Statement'!B$3</f>
        <v>-0.11175374963238899</v>
      </c>
      <c r="C15">
        <f>'Cash Flows'!C15/ 'Income Statement'!C$3</f>
        <v>-0.11717125028888375</v>
      </c>
      <c r="D15">
        <f>'Cash Flows'!D15/ 'Income Statement'!D$3</f>
        <v>-0.11752743802147193</v>
      </c>
    </row>
    <row r="16" spans="1:4" x14ac:dyDescent="0.3">
      <c r="A16" t="s">
        <v>123</v>
      </c>
      <c r="B16">
        <f>'Cash Flows'!B16/ 'Income Statement'!B$3</f>
        <v>-0.11096951279286345</v>
      </c>
      <c r="C16">
        <f>'Cash Flows'!C16/ 'Income Statement'!C$3</f>
        <v>-0.10725932773540817</v>
      </c>
      <c r="D16">
        <f>'Cash Flows'!D16/ 'Income Statement'!D$3</f>
        <v>-0.11956099165644905</v>
      </c>
    </row>
    <row r="17" spans="1:4" x14ac:dyDescent="0.3">
      <c r="A17" t="s">
        <v>124</v>
      </c>
      <c r="B17">
        <f>'Cash Flows'!B17/ 'Income Statement'!B$3</f>
        <v>0</v>
      </c>
      <c r="C17">
        <f>'Cash Flows'!C17/ 'Income Statement'!C$3</f>
        <v>0</v>
      </c>
      <c r="D17">
        <f>'Cash Flows'!D17/ 'Income Statement'!D$3</f>
        <v>3.5886240617243341E-4</v>
      </c>
    </row>
    <row r="18" spans="1:4" x14ac:dyDescent="0.3">
      <c r="A18" t="s">
        <v>125</v>
      </c>
      <c r="B18">
        <f>'Cash Flows'!B18/ 'Income Statement'!B$3</f>
        <v>-8.8226644446622884E-4</v>
      </c>
      <c r="C18">
        <f>'Cash Flows'!C18/ 'Income Statement'!C$3</f>
        <v>-3.5693192614847341E-3</v>
      </c>
      <c r="D18">
        <f>'Cash Flows'!D18/ 'Income Statement'!D$3</f>
        <v>0</v>
      </c>
    </row>
    <row r="19" spans="1:4" x14ac:dyDescent="0.3">
      <c r="A19" t="s">
        <v>126</v>
      </c>
      <c r="B19">
        <f>'Cash Flows'!B19/ 'Income Statement'!B$3</f>
        <v>2.426232722282129E-3</v>
      </c>
      <c r="C19">
        <f>'Cash Flows'!C19/ 'Income Statement'!C$3</f>
        <v>1.6434275736332588E-3</v>
      </c>
      <c r="D19">
        <f>'Cash Flows'!D19/ 'Income Statement'!D$3</f>
        <v>-1.9139328329196446E-3</v>
      </c>
    </row>
    <row r="20" spans="1:4" x14ac:dyDescent="0.3">
      <c r="A20" t="s">
        <v>127</v>
      </c>
      <c r="B20">
        <f>'Cash Flows'!B20/ 'Income Statement'!B$3</f>
        <v>-2.328203117341437E-3</v>
      </c>
      <c r="C20">
        <f>'Cash Flows'!C20/ 'Income Statement'!C$3</f>
        <v>-7.9860308656241174E-3</v>
      </c>
      <c r="D20">
        <f>'Cash Flows'!D20/ 'Income Statement'!D$3</f>
        <v>3.5886240617243339E-3</v>
      </c>
    </row>
    <row r="22" spans="1:4" x14ac:dyDescent="0.3">
      <c r="A22" s="1" t="s">
        <v>128</v>
      </c>
      <c r="B22">
        <f>'Cash Flows'!B22/ 'Income Statement'!B$3</f>
        <v>-3.1369473581021469E-2</v>
      </c>
      <c r="C22">
        <f>'Cash Flows'!C22/ 'Income Statement'!C$3</f>
        <v>-3.6206763731607736E-2</v>
      </c>
      <c r="D22">
        <f>'Cash Flows'!D22/ 'Income Statement'!D$3</f>
        <v>-5.8315141003020422E-3</v>
      </c>
    </row>
    <row r="23" spans="1:4" x14ac:dyDescent="0.3">
      <c r="A23" t="s">
        <v>129</v>
      </c>
      <c r="B23">
        <f>'Cash Flows'!B23/ 'Income Statement'!B$3</f>
        <v>1.1175374963238898E-2</v>
      </c>
      <c r="C23">
        <f>'Cash Flows'!C23/ 'Income Statement'!C$3</f>
        <v>-3.1071052564003799E-3</v>
      </c>
      <c r="D23">
        <f>'Cash Flows'!D23/ 'Income Statement'!D$3</f>
        <v>5.2035048895002843E-2</v>
      </c>
    </row>
    <row r="24" spans="1:4" x14ac:dyDescent="0.3">
      <c r="A24" t="s">
        <v>130</v>
      </c>
      <c r="B24">
        <f>'Cash Flows'!B24/ 'Income Statement'!B$3</f>
        <v>4.5265170081364575E-2</v>
      </c>
      <c r="C24">
        <f>'Cash Flows'!C24/ 'Income Statement'!C$3</f>
        <v>4.4680687158154223E-2</v>
      </c>
      <c r="D24">
        <f>'Cash Flows'!D24/ 'Income Statement'!D$3</f>
        <v>8.2687879422231519E-2</v>
      </c>
    </row>
    <row r="25" spans="1:4" x14ac:dyDescent="0.3">
      <c r="A25" t="s">
        <v>131</v>
      </c>
      <c r="B25">
        <f>'Cash Flows'!B25/ 'Income Statement'!B$3</f>
        <v>-3.4089795118125675E-2</v>
      </c>
      <c r="C25">
        <f>'Cash Flows'!C25/ 'Income Statement'!C$3</f>
        <v>-4.7787792414554608E-2</v>
      </c>
      <c r="D25">
        <f>'Cash Flows'!D25/ 'Income Statement'!D$3</f>
        <v>-3.0652830527228687E-2</v>
      </c>
    </row>
    <row r="26" spans="1:4" x14ac:dyDescent="0.3">
      <c r="A26" t="s">
        <v>132</v>
      </c>
      <c r="B26">
        <f>'Cash Flows'!B26/ 'Income Statement'!B$3</f>
        <v>-4.031467503185962E-2</v>
      </c>
      <c r="C26">
        <f>'Cash Flows'!C26/ 'Income Statement'!C$3</f>
        <v>-3.1713016459954294E-2</v>
      </c>
      <c r="D26">
        <f>'Cash Flows'!D26/ 'Income Statement'!D$3</f>
        <v>-5.5145189748497261E-2</v>
      </c>
    </row>
    <row r="27" spans="1:4" x14ac:dyDescent="0.3">
      <c r="A27" t="s">
        <v>133</v>
      </c>
      <c r="B27">
        <f>'Cash Flows'!B27/ 'Income Statement'!B$3</f>
        <v>0</v>
      </c>
      <c r="C27">
        <f>'Cash Flows'!C27/ 'Income Statement'!C$3</f>
        <v>0</v>
      </c>
      <c r="D27">
        <f>'Cash Flows'!D27/ 'Income Statement'!D$3</f>
        <v>5.9810401028738895E-5</v>
      </c>
    </row>
    <row r="28" spans="1:4" x14ac:dyDescent="0.3">
      <c r="A28" t="s">
        <v>134</v>
      </c>
      <c r="B28">
        <f>'Cash Flows'!B28/ 'Income Statement'!B$3</f>
        <v>-2.2301735124007449E-3</v>
      </c>
      <c r="C28">
        <f>'Cash Flows'!C28/ 'Income Statement'!C$3</f>
        <v>-1.3866420152530623E-3</v>
      </c>
      <c r="D28">
        <f>'Cash Flows'!D28/ 'Income Statement'!D$3</f>
        <v>-2.7811836478363588E-3</v>
      </c>
    </row>
    <row r="30" spans="1:4" x14ac:dyDescent="0.3">
      <c r="A30" t="s">
        <v>135</v>
      </c>
      <c r="B30">
        <f>'Cash Flows'!B30/ 'Income Statement'!B$3</f>
        <v>7.0287226742476228E-2</v>
      </c>
      <c r="C30">
        <f>'Cash Flows'!C30/ 'Income Statement'!C$3</f>
        <v>4.6195721952597385E-2</v>
      </c>
      <c r="D30">
        <f>'Cash Flows'!D30/ 'Income Statement'!D$3</f>
        <v>4.7579174018361793E-2</v>
      </c>
    </row>
    <row r="31" spans="1:4" x14ac:dyDescent="0.3">
      <c r="A31" t="s">
        <v>136</v>
      </c>
      <c r="B31">
        <f>'Cash Flows'!B31/ 'Income Statement'!B$3</f>
        <v>2.6198411920399962E-2</v>
      </c>
      <c r="C31">
        <f>'Cash Flows'!C31/ 'Income Statement'!C$3</f>
        <v>5.3411396143080913E-3</v>
      </c>
      <c r="D31">
        <f>'Cash Flows'!D31/ 'Income Statement'!D$3</f>
        <v>-2.1292502766231049E-2</v>
      </c>
    </row>
    <row r="32" spans="1:4" x14ac:dyDescent="0.3">
      <c r="A32" t="s">
        <v>137</v>
      </c>
      <c r="B32">
        <f>'Cash Flows'!B32/ 'Income Statement'!B$3</f>
        <v>4.4088814822076265E-2</v>
      </c>
      <c r="C32">
        <f>'Cash Flows'!C32/ 'Income Statement'!C$3</f>
        <v>4.0854582338289293E-2</v>
      </c>
      <c r="D32">
        <f>'Cash Flows'!D32/ 'Income Statement'!D$3</f>
        <v>6.8871676784592842E-2</v>
      </c>
    </row>
    <row r="33" spans="1:4" x14ac:dyDescent="0.3">
      <c r="A33" t="s">
        <v>138</v>
      </c>
      <c r="B33">
        <f>'Cash Flows'!B33/ 'Income Statement'!B$3</f>
        <v>7.1071463582001761E-4</v>
      </c>
      <c r="C33">
        <f>'Cash Flows'!C33/ 'Income Statement'!C$3</f>
        <v>4.8789256092237373E-4</v>
      </c>
      <c r="D33">
        <f>'Cash Flows'!D33/ 'Income Statement'!D$3</f>
        <v>5.9810401028738901E-4</v>
      </c>
    </row>
    <row r="34" spans="1:4" x14ac:dyDescent="0.3">
      <c r="A34" t="s">
        <v>139</v>
      </c>
      <c r="B34">
        <f>'Cash Flows'!B34/ 'Income Statement'!B$3</f>
        <v>1.5880796000392119E-2</v>
      </c>
      <c r="C34">
        <f>'Cash Flows'!C34/ 'Income Statement'!C$3</f>
        <v>1.6716739850550805E-2</v>
      </c>
      <c r="D34">
        <f>'Cash Flows'!D34/ 'Income Statement'!D$3</f>
        <v>1.7075869493704956E-2</v>
      </c>
    </row>
    <row r="35" spans="1:4" x14ac:dyDescent="0.3">
      <c r="A35" s="1" t="s">
        <v>140</v>
      </c>
      <c r="B35">
        <f>'Cash Flows'!B35/ 'Income Statement'!B$3</f>
        <v>-0.11096951279286345</v>
      </c>
      <c r="C35">
        <f>'Cash Flows'!C35/ 'Income Statement'!C$3</f>
        <v>-0.10725932773540817</v>
      </c>
      <c r="D35">
        <f>'Cash Flows'!D35/ 'Income Statement'!D$3</f>
        <v>-0.11956099165644905</v>
      </c>
    </row>
    <row r="36" spans="1:4" x14ac:dyDescent="0.3">
      <c r="A36" t="s">
        <v>141</v>
      </c>
      <c r="B36">
        <f>'Cash Flows'!B36/ 'Income Statement'!B$3</f>
        <v>4.5265170081364575E-2</v>
      </c>
      <c r="C36">
        <f>'Cash Flows'!C36/ 'Income Statement'!C$3</f>
        <v>4.4680687158154223E-2</v>
      </c>
      <c r="D36">
        <f>'Cash Flows'!D36/ 'Income Statement'!D$3</f>
        <v>8.2687879422231519E-2</v>
      </c>
    </row>
    <row r="37" spans="1:4" x14ac:dyDescent="0.3">
      <c r="A37" t="s">
        <v>142</v>
      </c>
      <c r="B37">
        <f>'Cash Flows'!B37/ 'Income Statement'!B$3</f>
        <v>-3.4089795118125675E-2</v>
      </c>
      <c r="C37">
        <f>'Cash Flows'!C37/ 'Income Statement'!C$3</f>
        <v>-4.7787792414554608E-2</v>
      </c>
      <c r="D37">
        <f>'Cash Flows'!D37/ 'Income Statement'!D$3</f>
        <v>-3.0652830527228687E-2</v>
      </c>
    </row>
    <row r="38" spans="1:4" x14ac:dyDescent="0.3">
      <c r="A38" t="s">
        <v>143</v>
      </c>
      <c r="B38">
        <f>'Cash Flows'!B38/ 'Income Statement'!B$3</f>
        <v>-4.031467503185962E-2</v>
      </c>
      <c r="C38">
        <f>'Cash Flows'!C38/ 'Income Statement'!C$3</f>
        <v>-3.1713016459954294E-2</v>
      </c>
      <c r="D38">
        <f>'Cash Flows'!D38/ 'Income Statement'!D$3</f>
        <v>-5.5145189748497261E-2</v>
      </c>
    </row>
    <row r="39" spans="1:4" x14ac:dyDescent="0.3">
      <c r="A39" s="1" t="s">
        <v>144</v>
      </c>
      <c r="B39">
        <f>'Cash Flows'!B39/ 'Income Statement'!B$3</f>
        <v>5.8352122340946964E-2</v>
      </c>
      <c r="C39">
        <f>'Cash Flows'!C39/ 'Income Statement'!C$3</f>
        <v>5.1459825899391416E-2</v>
      </c>
      <c r="D39">
        <f>'Cash Flows'!D39/ 'Income Statement'!D$3</f>
        <v>-1.7494542300906128E-2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 Sheet</vt:lpstr>
      <vt:lpstr>Income Statement</vt:lpstr>
      <vt:lpstr>Cash Flows</vt:lpstr>
      <vt:lpstr>Ratios</vt:lpstr>
      <vt:lpstr>Common Size Balance Sheet</vt:lpstr>
      <vt:lpstr>Common Size Income Statement</vt:lpstr>
      <vt:lpstr>Common Size Cash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2020-11-15T03:29:47Z</dcterms:created>
  <dcterms:modified xsi:type="dcterms:W3CDTF">2020-11-25T07:17:40Z</dcterms:modified>
</cp:coreProperties>
</file>