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53222"/>
  <mc:AlternateContent xmlns:mc="http://schemas.openxmlformats.org/markup-compatibility/2006">
    <mc:Choice Requires="x15">
      <x15ac:absPath xmlns:x15ac="http://schemas.microsoft.com/office/spreadsheetml/2010/11/ac" url="C:\Users\Public\eos_climada\eos_data\results\"/>
    </mc:Choice>
  </mc:AlternateContent>
  <bookViews>
    <workbookView xWindow="0" yWindow="0" windowWidth="24000" windowHeight="10335" activeTab="1"/>
  </bookViews>
  <sheets>
    <sheet name="_readme" sheetId="5" r:id="rId1"/>
    <sheet name="measures" sheetId="4" r:id="rId2"/>
    <sheet name="_measures_NPV" sheetId="1" r:id="rId3"/>
    <sheet name="_measures_full_list" sheetId="3" r:id="rId4"/>
    <sheet name="_discounting_sheet" sheetId="2" r:id="rId5"/>
  </sheets>
  <externalReferences>
    <externalReference r:id="rId6"/>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4" l="1"/>
  <c r="D8" i="4"/>
  <c r="D7" i="4"/>
  <c r="D6" i="4"/>
  <c r="D5" i="4"/>
  <c r="D3" i="4"/>
  <c r="D2" i="4"/>
  <c r="L2" i="4" l="1"/>
  <c r="C2" i="4" s="1"/>
  <c r="L3" i="4"/>
  <c r="C3" i="4" s="1"/>
  <c r="L4" i="4"/>
  <c r="C4" i="4" s="1"/>
  <c r="L5" i="4"/>
  <c r="C5" i="4" s="1"/>
  <c r="L6" i="4"/>
  <c r="C6" i="4" s="1"/>
  <c r="L7" i="4"/>
  <c r="C7" i="4" s="1"/>
  <c r="L8" i="4"/>
  <c r="C8" i="4" s="1"/>
  <c r="L9" i="4"/>
  <c r="C9" i="4" s="1"/>
  <c r="D4" i="4" l="1"/>
  <c r="J2" i="4" l="1"/>
  <c r="J7" i="4"/>
  <c r="J9" i="4"/>
  <c r="J5" i="4"/>
  <c r="J8" i="4"/>
  <c r="J6" i="4"/>
  <c r="J4" i="4"/>
  <c r="J3" i="4"/>
  <c r="D8" i="1"/>
  <c r="D2" i="1" l="1"/>
  <c r="D6" i="1" l="1"/>
  <c r="D5" i="1" l="1"/>
  <c r="D7" i="1" l="1"/>
  <c r="C41" i="2"/>
  <c r="D43" i="2" s="1"/>
  <c r="C40" i="2"/>
  <c r="D26" i="2" l="1"/>
  <c r="D30" i="2"/>
  <c r="D34" i="2"/>
  <c r="D22" i="2"/>
  <c r="D23" i="2"/>
  <c r="D27" i="2"/>
  <c r="D31" i="2"/>
  <c r="D35" i="2"/>
  <c r="D24" i="2"/>
  <c r="D28" i="2"/>
  <c r="D32" i="2"/>
  <c r="D36" i="2"/>
  <c r="D25" i="2"/>
  <c r="D29" i="2"/>
  <c r="D33" i="2"/>
  <c r="D37" i="2"/>
  <c r="D20" i="2" s="1"/>
  <c r="C23" i="2" l="1"/>
  <c r="C24" i="2"/>
  <c r="I24" i="2" s="1"/>
  <c r="C25" i="2"/>
  <c r="C26" i="2"/>
  <c r="P26" i="2" s="1"/>
  <c r="C27" i="2"/>
  <c r="C28" i="2"/>
  <c r="I28" i="2" s="1"/>
  <c r="C29" i="2"/>
  <c r="G29" i="2" s="1"/>
  <c r="C30" i="2"/>
  <c r="L30" i="2" s="1"/>
  <c r="C31" i="2"/>
  <c r="C32" i="2"/>
  <c r="I32" i="2" s="1"/>
  <c r="C33" i="2"/>
  <c r="G33" i="2" s="1"/>
  <c r="C34" i="2"/>
  <c r="S34" i="2" s="1"/>
  <c r="C35" i="2"/>
  <c r="C36" i="2"/>
  <c r="I36" i="2" s="1"/>
  <c r="C37" i="2"/>
  <c r="J37" i="2" s="1"/>
  <c r="J20" i="2" s="1"/>
  <c r="C22" i="2"/>
  <c r="E22" i="2" s="1"/>
  <c r="R3" i="2"/>
  <c r="S3" i="2"/>
  <c r="F3" i="2"/>
  <c r="G3" i="2"/>
  <c r="H3" i="2"/>
  <c r="I3" i="2"/>
  <c r="J3" i="2"/>
  <c r="K3" i="2"/>
  <c r="L3" i="2"/>
  <c r="M3" i="2"/>
  <c r="N3" i="2"/>
  <c r="O3" i="2"/>
  <c r="P3" i="2"/>
  <c r="Q3" i="2"/>
  <c r="E3" i="2"/>
  <c r="A5" i="2"/>
  <c r="A6" i="2"/>
  <c r="A7" i="2"/>
  <c r="A8" i="2"/>
  <c r="A9" i="2"/>
  <c r="A10" i="2"/>
  <c r="A11" i="2"/>
  <c r="A12" i="2"/>
  <c r="A13" i="2"/>
  <c r="A14" i="2"/>
  <c r="A15" i="2"/>
  <c r="A16" i="2"/>
  <c r="A17" i="2"/>
  <c r="A18" i="2"/>
  <c r="A19" i="2"/>
  <c r="A20" i="2"/>
  <c r="A4" i="2"/>
  <c r="J23" i="2"/>
  <c r="G25" i="2"/>
  <c r="N31" i="2"/>
  <c r="G37" i="2"/>
  <c r="G20" i="2" s="1"/>
  <c r="B37" i="2"/>
  <c r="D19" i="2" s="1"/>
  <c r="D18" i="2" s="1"/>
  <c r="B36" i="2"/>
  <c r="B35" i="2"/>
  <c r="B34" i="2"/>
  <c r="B33" i="2"/>
  <c r="B32" i="2"/>
  <c r="B31" i="2"/>
  <c r="B30" i="2"/>
  <c r="B29" i="2"/>
  <c r="B28" i="2"/>
  <c r="B27" i="2"/>
  <c r="B26" i="2"/>
  <c r="B25" i="2"/>
  <c r="B24" i="2"/>
  <c r="B23" i="2"/>
  <c r="B22" i="2"/>
  <c r="L2" i="1"/>
  <c r="D17" i="2" l="1"/>
  <c r="D16" i="2" s="1"/>
  <c r="D15" i="2" s="1"/>
  <c r="D14" i="2" s="1"/>
  <c r="D13" i="2" s="1"/>
  <c r="D12" i="2" s="1"/>
  <c r="D11" i="2" s="1"/>
  <c r="D10" i="2" s="1"/>
  <c r="D9" i="2" s="1"/>
  <c r="D8" i="2" s="1"/>
  <c r="D7" i="2" s="1"/>
  <c r="D6" i="2" s="1"/>
  <c r="D5" i="2" s="1"/>
  <c r="I2" i="1" s="1"/>
  <c r="P34" i="2"/>
  <c r="F37" i="2"/>
  <c r="F20" i="2" s="1"/>
  <c r="S22" i="2"/>
  <c r="C2" i="1"/>
  <c r="J2" i="1" s="1"/>
  <c r="K36" i="2"/>
  <c r="S28" i="2"/>
  <c r="K24" i="2"/>
  <c r="O32" i="2"/>
  <c r="S24" i="2"/>
  <c r="F28" i="2"/>
  <c r="R36" i="2"/>
  <c r="G36" i="2"/>
  <c r="G19" i="2" s="1"/>
  <c r="L32" i="2"/>
  <c r="O28" i="2"/>
  <c r="R24" i="2"/>
  <c r="P32" i="2"/>
  <c r="G28" i="2"/>
  <c r="H36" i="2"/>
  <c r="R28" i="2"/>
  <c r="H24" i="2"/>
  <c r="F24" i="2"/>
  <c r="P36" i="2"/>
  <c r="J33" i="2"/>
  <c r="G32" i="2"/>
  <c r="K28" i="2"/>
  <c r="P24" i="2"/>
  <c r="Q37" i="2"/>
  <c r="Q20" i="2" s="1"/>
  <c r="I33" i="2"/>
  <c r="N29" i="2"/>
  <c r="N25" i="2"/>
  <c r="L22" i="2"/>
  <c r="F25" i="2"/>
  <c r="M37" i="2"/>
  <c r="M20" i="2" s="1"/>
  <c r="O36" i="2"/>
  <c r="Q33" i="2"/>
  <c r="S32" i="2"/>
  <c r="H32" i="2"/>
  <c r="I29" i="2"/>
  <c r="L28" i="2"/>
  <c r="M25" i="2"/>
  <c r="L24" i="2"/>
  <c r="H26" i="2"/>
  <c r="F33" i="2"/>
  <c r="I37" i="2"/>
  <c r="I20" i="2" s="1"/>
  <c r="I19" i="2" s="1"/>
  <c r="N33" i="2"/>
  <c r="S30" i="2"/>
  <c r="M29" i="2"/>
  <c r="Q25" i="2"/>
  <c r="J25" i="2"/>
  <c r="F30" i="2"/>
  <c r="F29" i="2"/>
  <c r="N37" i="2"/>
  <c r="N20" i="2" s="1"/>
  <c r="S36" i="2"/>
  <c r="L36" i="2"/>
  <c r="M33" i="2"/>
  <c r="R32" i="2"/>
  <c r="K32" i="2"/>
  <c r="Q29" i="2"/>
  <c r="J29" i="2"/>
  <c r="P28" i="2"/>
  <c r="H28" i="2"/>
  <c r="I25" i="2"/>
  <c r="O24" i="2"/>
  <c r="G24" i="2"/>
  <c r="G35" i="2"/>
  <c r="K35" i="2"/>
  <c r="O35" i="2"/>
  <c r="R35" i="2"/>
  <c r="F35" i="2"/>
  <c r="H35" i="2"/>
  <c r="L35" i="2"/>
  <c r="P35" i="2"/>
  <c r="S35" i="2"/>
  <c r="G27" i="2"/>
  <c r="K27" i="2"/>
  <c r="O27" i="2"/>
  <c r="R27" i="2"/>
  <c r="I27" i="2"/>
  <c r="H27" i="2"/>
  <c r="L27" i="2"/>
  <c r="P27" i="2"/>
  <c r="S27" i="2"/>
  <c r="F27" i="2"/>
  <c r="M27" i="2"/>
  <c r="E31" i="2"/>
  <c r="Q35" i="2"/>
  <c r="J35" i="2"/>
  <c r="N23" i="2"/>
  <c r="I34" i="2"/>
  <c r="M34" i="2"/>
  <c r="O34" i="2"/>
  <c r="J34" i="2"/>
  <c r="N34" i="2"/>
  <c r="Q34" i="2"/>
  <c r="G34" i="2"/>
  <c r="K34" i="2"/>
  <c r="E30" i="2"/>
  <c r="I35" i="2"/>
  <c r="L34" i="2"/>
  <c r="Q31" i="2"/>
  <c r="P30" i="2"/>
  <c r="S26" i="2"/>
  <c r="H22" i="2"/>
  <c r="F34" i="2"/>
  <c r="E35" i="2"/>
  <c r="E27" i="2"/>
  <c r="N35" i="2"/>
  <c r="H34" i="2"/>
  <c r="Q27" i="2"/>
  <c r="G31" i="2"/>
  <c r="K31" i="2"/>
  <c r="O31" i="2"/>
  <c r="R31" i="2"/>
  <c r="F31" i="2"/>
  <c r="I31" i="2"/>
  <c r="M31" i="2"/>
  <c r="H31" i="2"/>
  <c r="L31" i="2"/>
  <c r="P31" i="2"/>
  <c r="S31" i="2"/>
  <c r="G23" i="2"/>
  <c r="K23" i="2"/>
  <c r="O23" i="2"/>
  <c r="R23" i="2"/>
  <c r="M23" i="2"/>
  <c r="H23" i="2"/>
  <c r="L23" i="2"/>
  <c r="P23" i="2"/>
  <c r="S23" i="2"/>
  <c r="F23" i="2"/>
  <c r="I23" i="2"/>
  <c r="E23" i="2"/>
  <c r="J27" i="2"/>
  <c r="I22" i="2"/>
  <c r="M22" i="2"/>
  <c r="F22" i="2"/>
  <c r="J22" i="2"/>
  <c r="N22" i="2"/>
  <c r="Q22" i="2"/>
  <c r="G22" i="2"/>
  <c r="K22" i="2"/>
  <c r="O22" i="2"/>
  <c r="R22" i="2"/>
  <c r="I30" i="2"/>
  <c r="M30" i="2"/>
  <c r="O30" i="2"/>
  <c r="J30" i="2"/>
  <c r="N30" i="2"/>
  <c r="Q30" i="2"/>
  <c r="G30" i="2"/>
  <c r="K30" i="2"/>
  <c r="R30" i="2"/>
  <c r="I26" i="2"/>
  <c r="M26" i="2"/>
  <c r="F26" i="2"/>
  <c r="J26" i="2"/>
  <c r="N26" i="2"/>
  <c r="Q26" i="2"/>
  <c r="G26" i="2"/>
  <c r="K26" i="2"/>
  <c r="O26" i="2"/>
  <c r="R26" i="2"/>
  <c r="E34" i="2"/>
  <c r="E26" i="2"/>
  <c r="M35" i="2"/>
  <c r="R34" i="2"/>
  <c r="J31" i="2"/>
  <c r="H30" i="2"/>
  <c r="N27" i="2"/>
  <c r="L26" i="2"/>
  <c r="Q23" i="2"/>
  <c r="P22" i="2"/>
  <c r="F36" i="2"/>
  <c r="F19" i="2" s="1"/>
  <c r="F18" i="2" s="1"/>
  <c r="F32" i="2"/>
  <c r="E37" i="2"/>
  <c r="E20" i="2" s="1"/>
  <c r="E33" i="2"/>
  <c r="E29" i="2"/>
  <c r="E25" i="2"/>
  <c r="S37" i="2"/>
  <c r="S20" i="2" s="1"/>
  <c r="P37" i="2"/>
  <c r="P20" i="2" s="1"/>
  <c r="L37" i="2"/>
  <c r="L20" i="2" s="1"/>
  <c r="H37" i="2"/>
  <c r="H20" i="2" s="1"/>
  <c r="Q36" i="2"/>
  <c r="N36" i="2"/>
  <c r="J36" i="2"/>
  <c r="J19" i="2" s="1"/>
  <c r="J18" i="2" s="1"/>
  <c r="S33" i="2"/>
  <c r="P33" i="2"/>
  <c r="L33" i="2"/>
  <c r="H33" i="2"/>
  <c r="Q32" i="2"/>
  <c r="N32" i="2"/>
  <c r="J32" i="2"/>
  <c r="S29" i="2"/>
  <c r="P29" i="2"/>
  <c r="L29" i="2"/>
  <c r="H29" i="2"/>
  <c r="Q28" i="2"/>
  <c r="N28" i="2"/>
  <c r="J28" i="2"/>
  <c r="S25" i="2"/>
  <c r="P25" i="2"/>
  <c r="L25" i="2"/>
  <c r="H25" i="2"/>
  <c r="Q24" i="2"/>
  <c r="N24" i="2"/>
  <c r="J24" i="2"/>
  <c r="E36" i="2"/>
  <c r="E32" i="2"/>
  <c r="E28" i="2"/>
  <c r="E24" i="2"/>
  <c r="R37" i="2"/>
  <c r="R20" i="2" s="1"/>
  <c r="O37" i="2"/>
  <c r="O20" i="2" s="1"/>
  <c r="K37" i="2"/>
  <c r="K20" i="2" s="1"/>
  <c r="M36" i="2"/>
  <c r="R33" i="2"/>
  <c r="O33" i="2"/>
  <c r="K33" i="2"/>
  <c r="M32" i="2"/>
  <c r="R29" i="2"/>
  <c r="O29" i="2"/>
  <c r="K29" i="2"/>
  <c r="M28" i="2"/>
  <c r="R25" i="2"/>
  <c r="O25" i="2"/>
  <c r="K25" i="2"/>
  <c r="M24" i="2"/>
  <c r="G18" i="2" l="1"/>
  <c r="G17" i="2" s="1"/>
  <c r="G16" i="2" s="1"/>
  <c r="G15" i="2" s="1"/>
  <c r="G14" i="2" s="1"/>
  <c r="G13" i="2" s="1"/>
  <c r="G12" i="2" s="1"/>
  <c r="G11" i="2" s="1"/>
  <c r="G10" i="2" s="1"/>
  <c r="G9" i="2" s="1"/>
  <c r="G8" i="2" s="1"/>
  <c r="G7" i="2" s="1"/>
  <c r="G6" i="2" s="1"/>
  <c r="G5" i="2" s="1"/>
  <c r="N19" i="2"/>
  <c r="N18" i="2" s="1"/>
  <c r="N17" i="2" s="1"/>
  <c r="N16" i="2" s="1"/>
  <c r="N15" i="2" s="1"/>
  <c r="N14" i="2" s="1"/>
  <c r="N13" i="2" s="1"/>
  <c r="N12" i="2" s="1"/>
  <c r="N11" i="2" s="1"/>
  <c r="N10" i="2" s="1"/>
  <c r="N9" i="2" s="1"/>
  <c r="N8" i="2" s="1"/>
  <c r="N7" i="2" s="1"/>
  <c r="N6" i="2" s="1"/>
  <c r="N5" i="2" s="1"/>
  <c r="I18" i="2"/>
  <c r="I17" i="2" s="1"/>
  <c r="I16" i="2" s="1"/>
  <c r="I15" i="2" s="1"/>
  <c r="I14" i="2" s="1"/>
  <c r="I13" i="2" s="1"/>
  <c r="I12" i="2" s="1"/>
  <c r="I11" i="2" s="1"/>
  <c r="I10" i="2" s="1"/>
  <c r="I9" i="2" s="1"/>
  <c r="I8" i="2" s="1"/>
  <c r="I7" i="2" s="1"/>
  <c r="I6" i="2" s="1"/>
  <c r="I5" i="2" s="1"/>
  <c r="P19" i="2"/>
  <c r="P18" i="2" s="1"/>
  <c r="P17" i="2" s="1"/>
  <c r="P16" i="2" s="1"/>
  <c r="P15" i="2" s="1"/>
  <c r="P14" i="2" s="1"/>
  <c r="P13" i="2" s="1"/>
  <c r="P12" i="2" s="1"/>
  <c r="P11" i="2" s="1"/>
  <c r="P10" i="2" s="1"/>
  <c r="P9" i="2" s="1"/>
  <c r="P8" i="2" s="1"/>
  <c r="P7" i="2" s="1"/>
  <c r="P6" i="2" s="1"/>
  <c r="P5" i="2" s="1"/>
  <c r="F17" i="2"/>
  <c r="F16" i="2" s="1"/>
  <c r="F15" i="2" s="1"/>
  <c r="F14" i="2" s="1"/>
  <c r="F13" i="2" s="1"/>
  <c r="F12" i="2" s="1"/>
  <c r="F11" i="2" s="1"/>
  <c r="F10" i="2" s="1"/>
  <c r="F9" i="2" s="1"/>
  <c r="F8" i="2" s="1"/>
  <c r="F7" i="2" s="1"/>
  <c r="F6" i="2" s="1"/>
  <c r="F5" i="2" s="1"/>
  <c r="O19" i="2"/>
  <c r="O18" i="2" s="1"/>
  <c r="O17" i="2" s="1"/>
  <c r="O16" i="2" s="1"/>
  <c r="O15" i="2" s="1"/>
  <c r="O14" i="2" s="1"/>
  <c r="O13" i="2" s="1"/>
  <c r="O12" i="2" s="1"/>
  <c r="O11" i="2" s="1"/>
  <c r="O10" i="2" s="1"/>
  <c r="O9" i="2" s="1"/>
  <c r="O8" i="2" s="1"/>
  <c r="O7" i="2" s="1"/>
  <c r="O6" i="2" s="1"/>
  <c r="O5" i="2" s="1"/>
  <c r="S19" i="2"/>
  <c r="S18" i="2" s="1"/>
  <c r="S17" i="2" s="1"/>
  <c r="S16" i="2" s="1"/>
  <c r="S15" i="2" s="1"/>
  <c r="S14" i="2" s="1"/>
  <c r="S13" i="2" s="1"/>
  <c r="S12" i="2" s="1"/>
  <c r="S11" i="2" s="1"/>
  <c r="S10" i="2" s="1"/>
  <c r="S9" i="2" s="1"/>
  <c r="S8" i="2" s="1"/>
  <c r="S7" i="2" s="1"/>
  <c r="S6" i="2" s="1"/>
  <c r="S5" i="2" s="1"/>
  <c r="J17" i="2"/>
  <c r="J16" i="2" s="1"/>
  <c r="J15" i="2" s="1"/>
  <c r="J14" i="2" s="1"/>
  <c r="J13" i="2" s="1"/>
  <c r="J12" i="2" s="1"/>
  <c r="J11" i="2" s="1"/>
  <c r="J10" i="2" s="1"/>
  <c r="J9" i="2" s="1"/>
  <c r="J8" i="2" s="1"/>
  <c r="J7" i="2" s="1"/>
  <c r="J6" i="2" s="1"/>
  <c r="J5" i="2" s="1"/>
  <c r="M19" i="2"/>
  <c r="M18" i="2" s="1"/>
  <c r="M17" i="2" s="1"/>
  <c r="M16" i="2" s="1"/>
  <c r="M15" i="2" s="1"/>
  <c r="M14" i="2" s="1"/>
  <c r="M13" i="2" s="1"/>
  <c r="M12" i="2" s="1"/>
  <c r="M11" i="2" s="1"/>
  <c r="M10" i="2" s="1"/>
  <c r="M9" i="2" s="1"/>
  <c r="M8" i="2" s="1"/>
  <c r="M7" i="2" s="1"/>
  <c r="M6" i="2" s="1"/>
  <c r="M5" i="2" s="1"/>
  <c r="H19" i="2"/>
  <c r="H18" i="2" s="1"/>
  <c r="H17" i="2" s="1"/>
  <c r="H16" i="2" s="1"/>
  <c r="H15" i="2" s="1"/>
  <c r="H14" i="2" s="1"/>
  <c r="H13" i="2" s="1"/>
  <c r="H12" i="2" s="1"/>
  <c r="H11" i="2" s="1"/>
  <c r="H10" i="2" s="1"/>
  <c r="H9" i="2" s="1"/>
  <c r="H8" i="2" s="1"/>
  <c r="H7" i="2" s="1"/>
  <c r="H6" i="2" s="1"/>
  <c r="H5" i="2" s="1"/>
  <c r="K19" i="2"/>
  <c r="K18" i="2" s="1"/>
  <c r="K17" i="2" s="1"/>
  <c r="K16" i="2" s="1"/>
  <c r="K15" i="2" s="1"/>
  <c r="K14" i="2" s="1"/>
  <c r="K13" i="2" s="1"/>
  <c r="K12" i="2" s="1"/>
  <c r="K11" i="2" s="1"/>
  <c r="K10" i="2" s="1"/>
  <c r="K9" i="2" s="1"/>
  <c r="K8" i="2" s="1"/>
  <c r="K7" i="2" s="1"/>
  <c r="K6" i="2" s="1"/>
  <c r="K5" i="2" s="1"/>
  <c r="L19" i="2"/>
  <c r="L18" i="2" s="1"/>
  <c r="L17" i="2" s="1"/>
  <c r="L16" i="2" s="1"/>
  <c r="L15" i="2" s="1"/>
  <c r="L14" i="2" s="1"/>
  <c r="L13" i="2" s="1"/>
  <c r="L12" i="2" s="1"/>
  <c r="L11" i="2" s="1"/>
  <c r="L10" i="2" s="1"/>
  <c r="L9" i="2" s="1"/>
  <c r="L8" i="2" s="1"/>
  <c r="L7" i="2" s="1"/>
  <c r="L6" i="2" s="1"/>
  <c r="L5" i="2" s="1"/>
  <c r="Q19" i="2"/>
  <c r="Q18" i="2" s="1"/>
  <c r="Q17" i="2" s="1"/>
  <c r="Q16" i="2" s="1"/>
  <c r="Q15" i="2" s="1"/>
  <c r="Q14" i="2" s="1"/>
  <c r="Q13" i="2" s="1"/>
  <c r="Q12" i="2" s="1"/>
  <c r="Q11" i="2" s="1"/>
  <c r="Q10" i="2" s="1"/>
  <c r="Q9" i="2" s="1"/>
  <c r="Q8" i="2" s="1"/>
  <c r="Q7" i="2" s="1"/>
  <c r="Q6" i="2" s="1"/>
  <c r="Q5" i="2" s="1"/>
  <c r="R19" i="2"/>
  <c r="R18" i="2" s="1"/>
  <c r="R17" i="2" s="1"/>
  <c r="R16" i="2" s="1"/>
  <c r="R15" i="2" s="1"/>
  <c r="R14" i="2" s="1"/>
  <c r="R13" i="2" s="1"/>
  <c r="R12" i="2" s="1"/>
  <c r="R11" i="2" s="1"/>
  <c r="R10" i="2" s="1"/>
  <c r="R9" i="2" s="1"/>
  <c r="R8" i="2" s="1"/>
  <c r="R7" i="2" s="1"/>
  <c r="R6" i="2" s="1"/>
  <c r="R5" i="2" s="1"/>
  <c r="E19" i="2"/>
  <c r="E18" i="2" s="1"/>
  <c r="E17" i="2" s="1"/>
  <c r="E16" i="2" s="1"/>
  <c r="E15" i="2" s="1"/>
  <c r="E14" i="2" s="1"/>
  <c r="E13" i="2" s="1"/>
  <c r="E12" i="2" s="1"/>
  <c r="E11" i="2" s="1"/>
  <c r="E10" i="2" s="1"/>
  <c r="E9" i="2" s="1"/>
  <c r="E8" i="2" s="1"/>
  <c r="E7" i="2" s="1"/>
  <c r="E6" i="2" s="1"/>
  <c r="E5" i="2" s="1"/>
  <c r="L3" i="1"/>
  <c r="L4" i="1"/>
  <c r="L5" i="1"/>
  <c r="L6" i="1"/>
  <c r="C6" i="1" s="1"/>
  <c r="L7" i="1"/>
  <c r="L8" i="1"/>
  <c r="C8" i="1" s="1"/>
  <c r="L9" i="1"/>
  <c r="J8" i="1" l="1"/>
  <c r="C5" i="1"/>
  <c r="J5" i="1" s="1"/>
  <c r="C3" i="1"/>
  <c r="J3" i="1" s="1"/>
  <c r="C7" i="1"/>
  <c r="J7" i="1" s="1"/>
  <c r="C4" i="1"/>
  <c r="D4" i="1" s="1"/>
  <c r="C9" i="1"/>
  <c r="J9" i="1" s="1"/>
  <c r="J6" i="1"/>
  <c r="J4" i="1" l="1"/>
</calcChain>
</file>

<file path=xl/comments1.xml><?xml version="1.0" encoding="utf-8"?>
<comments xmlns="http://schemas.openxmlformats.org/spreadsheetml/2006/main">
  <authors>
    <author>srzdnb</author>
    <author>David Bresch</author>
    <author>sarah</author>
  </authors>
  <commentList>
    <comment ref="A1" authorId="0" shapeId="0">
      <text>
        <r>
          <rPr>
            <b/>
            <sz val="8"/>
            <color indexed="81"/>
            <rFont val="Tahoma"/>
            <family val="2"/>
          </rPr>
          <t>this name appears later on the adaptation cost curve, so please keep it short</t>
        </r>
      </text>
    </comment>
    <comment ref="B1" authorId="0" shapeId="0">
      <text>
        <r>
          <rPr>
            <b/>
            <sz val="8"/>
            <color indexed="81"/>
            <rFont val="Tahoma"/>
            <family val="2"/>
          </rPr>
          <t>used when plotting the adaptation cost curve, an RGB triple, with R G B values separated by a space</t>
        </r>
      </text>
    </comment>
    <comment ref="C1" authorId="0" shapeId="0">
      <text>
        <r>
          <rPr>
            <b/>
            <sz val="8"/>
            <color indexed="81"/>
            <rFont val="Tahoma"/>
            <family val="2"/>
          </rPr>
          <t>the cost to realize this measure in the same currency (and currency unit) as the assets</t>
        </r>
      </text>
    </comment>
    <comment ref="L1" authorId="0" shapeId="0">
      <text>
        <r>
          <rPr>
            <b/>
            <sz val="8"/>
            <color indexed="81"/>
            <rFont val="Tahoma"/>
            <family val="2"/>
          </rPr>
          <t>the cost to realize this measure in the same currency (and currency unit) as the assets</t>
        </r>
      </text>
    </comment>
    <comment ref="M1" authorId="0" shapeId="0">
      <text>
        <r>
          <rPr>
            <b/>
            <sz val="8"/>
            <color indexed="81"/>
            <rFont val="Tahoma"/>
            <family val="2"/>
          </rPr>
          <t>the cost to realize this measure in the same currency (and currency unit) as the assets</t>
        </r>
      </text>
    </comment>
    <comment ref="O1" authorId="0" shapeId="0">
      <text>
        <r>
          <rPr>
            <sz val="8"/>
            <color indexed="81"/>
            <rFont val="Tahoma"/>
            <family val="2"/>
          </rPr>
          <t>added to hazard
e.g. -2 means that this measure reduces the hazard intensity by 2
default=0</t>
        </r>
      </text>
    </comment>
    <comment ref="P1" authorId="0" shapeId="0">
      <text>
        <r>
          <rPr>
            <sz val="8"/>
            <color indexed="81"/>
            <rFont val="Tahoma"/>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Q1" authorId="1" shapeId="0">
      <text>
        <r>
          <rPr>
            <sz val="9"/>
            <color indexed="81"/>
            <rFont val="Arial"/>
            <family val="2"/>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R1" authorId="0" shapeId="0">
      <text>
        <r>
          <rPr>
            <b/>
            <sz val="8"/>
            <color indexed="81"/>
            <rFont val="Tahoma"/>
            <family val="2"/>
          </rPr>
          <t>MDD=orig_MDD*a+b</t>
        </r>
        <r>
          <rPr>
            <sz val="8"/>
            <color indexed="81"/>
            <rFont val="Tahoma"/>
            <family val="2"/>
          </rPr>
          <t xml:space="preserve">
The original </t>
        </r>
        <r>
          <rPr>
            <b/>
            <sz val="8"/>
            <color indexed="81"/>
            <rFont val="Tahoma"/>
            <family val="2"/>
          </rPr>
          <t>M</t>
        </r>
        <r>
          <rPr>
            <sz val="8"/>
            <color indexed="81"/>
            <rFont val="Tahoma"/>
            <family val="2"/>
          </rPr>
          <t xml:space="preserve">ean </t>
        </r>
        <r>
          <rPr>
            <b/>
            <sz val="8"/>
            <color indexed="81"/>
            <rFont val="Tahoma"/>
            <family val="2"/>
          </rPr>
          <t>D</t>
        </r>
        <r>
          <rPr>
            <sz val="8"/>
            <color indexed="81"/>
            <rFont val="Tahoma"/>
            <family val="2"/>
          </rPr>
          <t xml:space="preserve">amage </t>
        </r>
        <r>
          <rPr>
            <b/>
            <sz val="8"/>
            <color indexed="81"/>
            <rFont val="Tahoma"/>
            <family val="2"/>
          </rPr>
          <t>D</t>
        </r>
        <r>
          <rPr>
            <sz val="8"/>
            <color indexed="81"/>
            <rFont val="Tahoma"/>
            <family val="2"/>
          </rPr>
          <t>egree</t>
        </r>
        <r>
          <rPr>
            <sz val="8"/>
            <color indexed="81"/>
            <rFont val="Tahoma"/>
            <family val="2"/>
          </rPr>
          <t>(the damage for a given intensity at an affected asset) is linearly transformed
default=1</t>
        </r>
      </text>
    </comment>
    <comment ref="S1" authorId="0" shapeId="0">
      <text>
        <r>
          <rPr>
            <b/>
            <sz val="8"/>
            <color indexed="81"/>
            <rFont val="Tahoma"/>
            <family val="2"/>
          </rPr>
          <t>MDD=orig_MDD*a+b</t>
        </r>
        <r>
          <rPr>
            <sz val="8"/>
            <color indexed="81"/>
            <rFont val="Tahoma"/>
            <family val="2"/>
          </rPr>
          <t xml:space="preserve">
The original </t>
        </r>
        <r>
          <rPr>
            <b/>
            <sz val="8"/>
            <color indexed="81"/>
            <rFont val="Tahoma"/>
            <family val="2"/>
          </rPr>
          <t>M</t>
        </r>
        <r>
          <rPr>
            <sz val="8"/>
            <color indexed="81"/>
            <rFont val="Tahoma"/>
            <family val="2"/>
          </rPr>
          <t xml:space="preserve">ean </t>
        </r>
        <r>
          <rPr>
            <b/>
            <sz val="8"/>
            <color indexed="81"/>
            <rFont val="Tahoma"/>
            <family val="2"/>
          </rPr>
          <t>D</t>
        </r>
        <r>
          <rPr>
            <sz val="8"/>
            <color indexed="81"/>
            <rFont val="Tahoma"/>
            <family val="2"/>
          </rPr>
          <t xml:space="preserve">amage </t>
        </r>
        <r>
          <rPr>
            <b/>
            <sz val="8"/>
            <color indexed="81"/>
            <rFont val="Tahoma"/>
            <family val="2"/>
          </rPr>
          <t>D</t>
        </r>
        <r>
          <rPr>
            <sz val="8"/>
            <color indexed="81"/>
            <rFont val="Tahoma"/>
            <family val="2"/>
          </rPr>
          <t>egree</t>
        </r>
        <r>
          <rPr>
            <sz val="8"/>
            <color indexed="81"/>
            <rFont val="Tahoma"/>
            <family val="2"/>
          </rPr>
          <t>(the damage for a given intensity at an affected asset) is linearly transformed
default=0</t>
        </r>
      </text>
    </comment>
    <comment ref="T1" authorId="0" shapeId="0">
      <text>
        <r>
          <rPr>
            <b/>
            <sz val="8"/>
            <color indexed="81"/>
            <rFont val="Tahoma"/>
            <family val="2"/>
          </rPr>
          <t>PAA=orig_PAA*a+b</t>
        </r>
        <r>
          <rPr>
            <sz val="8"/>
            <color indexed="81"/>
            <rFont val="Tahoma"/>
            <family val="2"/>
          </rPr>
          <t xml:space="preserve">
The original </t>
        </r>
        <r>
          <rPr>
            <b/>
            <sz val="8"/>
            <color indexed="81"/>
            <rFont val="Tahoma"/>
            <family val="2"/>
          </rPr>
          <t>P</t>
        </r>
        <r>
          <rPr>
            <sz val="8"/>
            <color indexed="81"/>
            <rFont val="Tahoma"/>
            <family val="2"/>
          </rPr>
          <t xml:space="preserve">ercentage of </t>
        </r>
        <r>
          <rPr>
            <b/>
            <sz val="8"/>
            <color indexed="81"/>
            <rFont val="Tahoma"/>
            <family val="2"/>
          </rPr>
          <t>A</t>
        </r>
        <r>
          <rPr>
            <sz val="8"/>
            <color indexed="81"/>
            <rFont val="Tahoma"/>
            <family val="2"/>
          </rPr>
          <t>ssets</t>
        </r>
        <r>
          <rPr>
            <sz val="8"/>
            <color indexed="81"/>
            <rFont val="Tahoma"/>
            <family val="2"/>
          </rPr>
          <t xml:space="preserve"> </t>
        </r>
        <r>
          <rPr>
            <b/>
            <sz val="8"/>
            <color indexed="81"/>
            <rFont val="Tahoma"/>
            <family val="2"/>
          </rPr>
          <t>A</t>
        </r>
        <r>
          <rPr>
            <sz val="8"/>
            <color indexed="81"/>
            <rFont val="Tahoma"/>
            <family val="2"/>
          </rPr>
          <t>ffected  (the percentage of assets affected for a given hazard intensity) is linearly transformed
default=1</t>
        </r>
      </text>
    </comment>
    <comment ref="U1" authorId="0" shapeId="0">
      <text>
        <r>
          <rPr>
            <b/>
            <sz val="8"/>
            <color indexed="81"/>
            <rFont val="Tahoma"/>
            <family val="2"/>
          </rPr>
          <t>PAA=orig_PAA*a+b</t>
        </r>
        <r>
          <rPr>
            <sz val="8"/>
            <color indexed="81"/>
            <rFont val="Tahoma"/>
            <family val="2"/>
          </rPr>
          <t xml:space="preserve">
The original </t>
        </r>
        <r>
          <rPr>
            <b/>
            <sz val="8"/>
            <color indexed="81"/>
            <rFont val="Tahoma"/>
            <family val="2"/>
          </rPr>
          <t>P</t>
        </r>
        <r>
          <rPr>
            <sz val="8"/>
            <color indexed="81"/>
            <rFont val="Tahoma"/>
            <family val="2"/>
          </rPr>
          <t xml:space="preserve">ercentage of </t>
        </r>
        <r>
          <rPr>
            <b/>
            <sz val="8"/>
            <color indexed="81"/>
            <rFont val="Tahoma"/>
            <family val="2"/>
          </rPr>
          <t>A</t>
        </r>
        <r>
          <rPr>
            <sz val="8"/>
            <color indexed="81"/>
            <rFont val="Tahoma"/>
            <family val="2"/>
          </rPr>
          <t>ssets</t>
        </r>
        <r>
          <rPr>
            <sz val="8"/>
            <color indexed="81"/>
            <rFont val="Tahoma"/>
            <family val="2"/>
          </rPr>
          <t xml:space="preserve"> </t>
        </r>
        <r>
          <rPr>
            <b/>
            <sz val="8"/>
            <color indexed="81"/>
            <rFont val="Tahoma"/>
            <family val="2"/>
          </rPr>
          <t>A</t>
        </r>
        <r>
          <rPr>
            <sz val="8"/>
            <color indexed="81"/>
            <rFont val="Tahoma"/>
            <family val="2"/>
          </rPr>
          <t>ffected  (the percentage of assets affected for a given hazard intensity) is linearly transformed
default=0</t>
        </r>
      </text>
    </comment>
    <comment ref="V1" authorId="0" shapeId="0">
      <text>
        <r>
          <rPr>
            <sz val="8"/>
            <color indexed="81"/>
            <rFont val="Tahoma"/>
            <family val="2"/>
          </rPr>
          <t xml:space="preserve">a list to map existing on new damagefunctions, of the form XtoY with 
X the existing DamageFunID as in assets, tab damagefunctions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W1" authorId="2" shapeId="0">
      <text>
        <r>
          <rPr>
            <sz val="8"/>
            <color indexed="81"/>
            <rFont val="Tahoma"/>
            <family val="2"/>
          </rPr>
          <t>attachement point of risk transfer (CatXL)
default=0</t>
        </r>
      </text>
    </comment>
    <comment ref="X1" authorId="2" shapeId="0">
      <text>
        <r>
          <rPr>
            <sz val="8"/>
            <color indexed="81"/>
            <rFont val="Tahoma"/>
            <family val="2"/>
          </rPr>
          <t>cover of risk transfer
default=0</t>
        </r>
      </text>
    </comment>
  </commentList>
</comments>
</file>

<file path=xl/comments2.xml><?xml version="1.0" encoding="utf-8"?>
<comments xmlns="http://schemas.openxmlformats.org/spreadsheetml/2006/main">
  <authors>
    <author>srzdnb</author>
    <author>David Bresch</author>
    <author>sarah</author>
  </authors>
  <commentList>
    <comment ref="A1" authorId="0" shapeId="0">
      <text>
        <r>
          <rPr>
            <b/>
            <sz val="8"/>
            <color indexed="81"/>
            <rFont val="Tahoma"/>
            <family val="2"/>
          </rPr>
          <t>this name appears later on the adaptation cost curve, so please keep it short</t>
        </r>
      </text>
    </comment>
    <comment ref="B1" authorId="0" shapeId="0">
      <text>
        <r>
          <rPr>
            <b/>
            <sz val="8"/>
            <color indexed="81"/>
            <rFont val="Tahoma"/>
            <family val="2"/>
          </rPr>
          <t>used when plotting the adaptation cost curve, an RGB triple, with R G B values separated by a space</t>
        </r>
      </text>
    </comment>
    <comment ref="C1" authorId="0" shapeId="0">
      <text>
        <r>
          <rPr>
            <b/>
            <sz val="8"/>
            <color indexed="81"/>
            <rFont val="Tahoma"/>
            <family val="2"/>
          </rPr>
          <t>the cost to realize this measure in the same currency (and currency unit) as the assets</t>
        </r>
      </text>
    </comment>
    <comment ref="L1" authorId="0" shapeId="0">
      <text>
        <r>
          <rPr>
            <b/>
            <sz val="8"/>
            <color indexed="81"/>
            <rFont val="Tahoma"/>
            <family val="2"/>
          </rPr>
          <t>the cost to realize this measure in the same currency (and currency unit) as the assets</t>
        </r>
      </text>
    </comment>
    <comment ref="M1" authorId="0" shapeId="0">
      <text>
        <r>
          <rPr>
            <b/>
            <sz val="8"/>
            <color indexed="81"/>
            <rFont val="Tahoma"/>
            <family val="2"/>
          </rPr>
          <t>the cost to realize this measure in the same currency (and currency unit) as the assets</t>
        </r>
      </text>
    </comment>
    <comment ref="O1" authorId="0" shapeId="0">
      <text>
        <r>
          <rPr>
            <sz val="8"/>
            <color indexed="81"/>
            <rFont val="Tahoma"/>
            <family val="2"/>
          </rPr>
          <t>added to hazard
e.g. -2 means that this measure reduces the hazard intensity by 2
default=0</t>
        </r>
      </text>
    </comment>
    <comment ref="P1" authorId="0" shapeId="0">
      <text>
        <r>
          <rPr>
            <sz val="8"/>
            <color indexed="81"/>
            <rFont val="Tahoma"/>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Q1" authorId="1" shapeId="0">
      <text>
        <r>
          <rPr>
            <sz val="9"/>
            <color indexed="81"/>
            <rFont val="Arial"/>
            <family val="2"/>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R1" authorId="0" shapeId="0">
      <text>
        <r>
          <rPr>
            <b/>
            <sz val="8"/>
            <color indexed="81"/>
            <rFont val="Tahoma"/>
            <family val="2"/>
          </rPr>
          <t>MDD=orig_MDD*a+b</t>
        </r>
        <r>
          <rPr>
            <sz val="8"/>
            <color indexed="81"/>
            <rFont val="Tahoma"/>
            <family val="2"/>
          </rPr>
          <t xml:space="preserve">
The original </t>
        </r>
        <r>
          <rPr>
            <b/>
            <sz val="8"/>
            <color indexed="81"/>
            <rFont val="Tahoma"/>
            <family val="2"/>
          </rPr>
          <t>M</t>
        </r>
        <r>
          <rPr>
            <sz val="8"/>
            <color indexed="81"/>
            <rFont val="Tahoma"/>
            <family val="2"/>
          </rPr>
          <t xml:space="preserve">ean </t>
        </r>
        <r>
          <rPr>
            <b/>
            <sz val="8"/>
            <color indexed="81"/>
            <rFont val="Tahoma"/>
            <family val="2"/>
          </rPr>
          <t>D</t>
        </r>
        <r>
          <rPr>
            <sz val="8"/>
            <color indexed="81"/>
            <rFont val="Tahoma"/>
            <family val="2"/>
          </rPr>
          <t xml:space="preserve">amage </t>
        </r>
        <r>
          <rPr>
            <b/>
            <sz val="8"/>
            <color indexed="81"/>
            <rFont val="Tahoma"/>
            <family val="2"/>
          </rPr>
          <t>D</t>
        </r>
        <r>
          <rPr>
            <sz val="8"/>
            <color indexed="81"/>
            <rFont val="Tahoma"/>
            <family val="2"/>
          </rPr>
          <t>egree</t>
        </r>
        <r>
          <rPr>
            <sz val="8"/>
            <color indexed="81"/>
            <rFont val="Tahoma"/>
            <family val="2"/>
          </rPr>
          <t>(the damage for a given intensity at an affected asset) is linearly transformed
default=1</t>
        </r>
      </text>
    </comment>
    <comment ref="S1" authorId="0" shapeId="0">
      <text>
        <r>
          <rPr>
            <b/>
            <sz val="8"/>
            <color indexed="81"/>
            <rFont val="Tahoma"/>
            <family val="2"/>
          </rPr>
          <t>MDD=orig_MDD*a+b</t>
        </r>
        <r>
          <rPr>
            <sz val="8"/>
            <color indexed="81"/>
            <rFont val="Tahoma"/>
            <family val="2"/>
          </rPr>
          <t xml:space="preserve">
The original </t>
        </r>
        <r>
          <rPr>
            <b/>
            <sz val="8"/>
            <color indexed="81"/>
            <rFont val="Tahoma"/>
            <family val="2"/>
          </rPr>
          <t>M</t>
        </r>
        <r>
          <rPr>
            <sz val="8"/>
            <color indexed="81"/>
            <rFont val="Tahoma"/>
            <family val="2"/>
          </rPr>
          <t xml:space="preserve">ean </t>
        </r>
        <r>
          <rPr>
            <b/>
            <sz val="8"/>
            <color indexed="81"/>
            <rFont val="Tahoma"/>
            <family val="2"/>
          </rPr>
          <t>D</t>
        </r>
        <r>
          <rPr>
            <sz val="8"/>
            <color indexed="81"/>
            <rFont val="Tahoma"/>
            <family val="2"/>
          </rPr>
          <t xml:space="preserve">amage </t>
        </r>
        <r>
          <rPr>
            <b/>
            <sz val="8"/>
            <color indexed="81"/>
            <rFont val="Tahoma"/>
            <family val="2"/>
          </rPr>
          <t>D</t>
        </r>
        <r>
          <rPr>
            <sz val="8"/>
            <color indexed="81"/>
            <rFont val="Tahoma"/>
            <family val="2"/>
          </rPr>
          <t>egree</t>
        </r>
        <r>
          <rPr>
            <sz val="8"/>
            <color indexed="81"/>
            <rFont val="Tahoma"/>
            <family val="2"/>
          </rPr>
          <t>(the damage for a given intensity at an affected asset) is linearly transformed
default=0</t>
        </r>
      </text>
    </comment>
    <comment ref="T1" authorId="0" shapeId="0">
      <text>
        <r>
          <rPr>
            <b/>
            <sz val="8"/>
            <color indexed="81"/>
            <rFont val="Tahoma"/>
            <family val="2"/>
          </rPr>
          <t>PAA=orig_PAA*a+b</t>
        </r>
        <r>
          <rPr>
            <sz val="8"/>
            <color indexed="81"/>
            <rFont val="Tahoma"/>
            <family val="2"/>
          </rPr>
          <t xml:space="preserve">
The original </t>
        </r>
        <r>
          <rPr>
            <b/>
            <sz val="8"/>
            <color indexed="81"/>
            <rFont val="Tahoma"/>
            <family val="2"/>
          </rPr>
          <t>P</t>
        </r>
        <r>
          <rPr>
            <sz val="8"/>
            <color indexed="81"/>
            <rFont val="Tahoma"/>
            <family val="2"/>
          </rPr>
          <t xml:space="preserve">ercentage of </t>
        </r>
        <r>
          <rPr>
            <b/>
            <sz val="8"/>
            <color indexed="81"/>
            <rFont val="Tahoma"/>
            <family val="2"/>
          </rPr>
          <t>A</t>
        </r>
        <r>
          <rPr>
            <sz val="8"/>
            <color indexed="81"/>
            <rFont val="Tahoma"/>
            <family val="2"/>
          </rPr>
          <t>ssets</t>
        </r>
        <r>
          <rPr>
            <sz val="8"/>
            <color indexed="81"/>
            <rFont val="Tahoma"/>
            <family val="2"/>
          </rPr>
          <t xml:space="preserve"> </t>
        </r>
        <r>
          <rPr>
            <b/>
            <sz val="8"/>
            <color indexed="81"/>
            <rFont val="Tahoma"/>
            <family val="2"/>
          </rPr>
          <t>A</t>
        </r>
        <r>
          <rPr>
            <sz val="8"/>
            <color indexed="81"/>
            <rFont val="Tahoma"/>
            <family val="2"/>
          </rPr>
          <t>ffected  (the percentage of assets affected for a given hazard intensity) is linearly transformed
default=1</t>
        </r>
      </text>
    </comment>
    <comment ref="U1" authorId="0" shapeId="0">
      <text>
        <r>
          <rPr>
            <b/>
            <sz val="8"/>
            <color indexed="81"/>
            <rFont val="Tahoma"/>
            <family val="2"/>
          </rPr>
          <t>PAA=orig_PAA*a+b</t>
        </r>
        <r>
          <rPr>
            <sz val="8"/>
            <color indexed="81"/>
            <rFont val="Tahoma"/>
            <family val="2"/>
          </rPr>
          <t xml:space="preserve">
The original </t>
        </r>
        <r>
          <rPr>
            <b/>
            <sz val="8"/>
            <color indexed="81"/>
            <rFont val="Tahoma"/>
            <family val="2"/>
          </rPr>
          <t>P</t>
        </r>
        <r>
          <rPr>
            <sz val="8"/>
            <color indexed="81"/>
            <rFont val="Tahoma"/>
            <family val="2"/>
          </rPr>
          <t xml:space="preserve">ercentage of </t>
        </r>
        <r>
          <rPr>
            <b/>
            <sz val="8"/>
            <color indexed="81"/>
            <rFont val="Tahoma"/>
            <family val="2"/>
          </rPr>
          <t>A</t>
        </r>
        <r>
          <rPr>
            <sz val="8"/>
            <color indexed="81"/>
            <rFont val="Tahoma"/>
            <family val="2"/>
          </rPr>
          <t>ssets</t>
        </r>
        <r>
          <rPr>
            <sz val="8"/>
            <color indexed="81"/>
            <rFont val="Tahoma"/>
            <family val="2"/>
          </rPr>
          <t xml:space="preserve"> </t>
        </r>
        <r>
          <rPr>
            <b/>
            <sz val="8"/>
            <color indexed="81"/>
            <rFont val="Tahoma"/>
            <family val="2"/>
          </rPr>
          <t>A</t>
        </r>
        <r>
          <rPr>
            <sz val="8"/>
            <color indexed="81"/>
            <rFont val="Tahoma"/>
            <family val="2"/>
          </rPr>
          <t>ffected  (the percentage of assets affected for a given hazard intensity) is linearly transformed
default=0</t>
        </r>
      </text>
    </comment>
    <comment ref="V1" authorId="0" shapeId="0">
      <text>
        <r>
          <rPr>
            <sz val="8"/>
            <color indexed="81"/>
            <rFont val="Tahoma"/>
            <family val="2"/>
          </rPr>
          <t xml:space="preserve">a list to map existing on new damagefunctions, of the form XtoY with 
X the existing DamageFunID as in assets, tab damagefunctions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W1" authorId="2" shapeId="0">
      <text>
        <r>
          <rPr>
            <sz val="8"/>
            <color indexed="81"/>
            <rFont val="Tahoma"/>
            <family val="2"/>
          </rPr>
          <t>attachement point of risk transfer (CatXL)
default=0</t>
        </r>
      </text>
    </comment>
    <comment ref="X1" authorId="2" shapeId="0">
      <text>
        <r>
          <rPr>
            <sz val="8"/>
            <color indexed="81"/>
            <rFont val="Tahoma"/>
            <family val="2"/>
          </rPr>
          <t>cover of risk transfer
default=0</t>
        </r>
      </text>
    </comment>
  </commentList>
</comments>
</file>

<file path=xl/comments3.xml><?xml version="1.0" encoding="utf-8"?>
<comments xmlns="http://schemas.openxmlformats.org/spreadsheetml/2006/main">
  <authors>
    <author>srzdnb</author>
    <author>David Bresch</author>
    <author>sarah</author>
  </authors>
  <commentList>
    <comment ref="A1" authorId="0" shapeId="0">
      <text>
        <r>
          <rPr>
            <b/>
            <sz val="8"/>
            <color indexed="81"/>
            <rFont val="Tahoma"/>
            <family val="2"/>
          </rPr>
          <t>this name appears later on the adaptation cost curve, so please keep it short</t>
        </r>
      </text>
    </comment>
    <comment ref="B1" authorId="0" shapeId="0">
      <text>
        <r>
          <rPr>
            <b/>
            <sz val="8"/>
            <color indexed="81"/>
            <rFont val="Tahoma"/>
            <family val="2"/>
          </rPr>
          <t>the cost to realize this measure in the same currency (and currency unit) as the assets</t>
        </r>
      </text>
    </comment>
    <comment ref="M1" authorId="0" shapeId="0">
      <text>
        <r>
          <rPr>
            <b/>
            <sz val="8"/>
            <color indexed="81"/>
            <rFont val="Tahoma"/>
            <family val="2"/>
          </rPr>
          <t>the cost to realize this measure in the same currency (and currency unit) as the assets</t>
        </r>
      </text>
    </comment>
    <comment ref="N1" authorId="0" shapeId="0">
      <text>
        <r>
          <rPr>
            <b/>
            <sz val="8"/>
            <color indexed="81"/>
            <rFont val="Tahoma"/>
            <family val="2"/>
          </rPr>
          <t>the cost to realize this measure in the same currency (and currency unit) as the assets</t>
        </r>
      </text>
    </comment>
    <comment ref="P1" authorId="0" shapeId="0">
      <text>
        <r>
          <rPr>
            <b/>
            <sz val="8"/>
            <color indexed="81"/>
            <rFont val="Tahoma"/>
            <family val="2"/>
          </rPr>
          <t>used when plotting the adaptation cost curve, an RGB triple, with R G B values separated by a space</t>
        </r>
      </text>
    </comment>
    <comment ref="Q1" authorId="0" shapeId="0">
      <text>
        <r>
          <rPr>
            <sz val="8"/>
            <color indexed="81"/>
            <rFont val="Tahoma"/>
            <family val="2"/>
          </rPr>
          <t>added to hazard
e.g. -2 means that this measure reduces the hazard intensity by 2
default=0</t>
        </r>
      </text>
    </comment>
    <comment ref="R1" authorId="0" shapeId="0">
      <text>
        <r>
          <rPr>
            <sz val="8"/>
            <color indexed="81"/>
            <rFont val="Tahoma"/>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S1" authorId="1" shapeId="0">
      <text>
        <r>
          <rPr>
            <sz val="9"/>
            <color indexed="81"/>
            <rFont val="Arial"/>
            <family val="2"/>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T1" authorId="0" shapeId="0">
      <text>
        <r>
          <rPr>
            <b/>
            <sz val="8"/>
            <color indexed="81"/>
            <rFont val="Tahoma"/>
            <family val="2"/>
          </rPr>
          <t>MDD=orig_MDD*a+b</t>
        </r>
        <r>
          <rPr>
            <sz val="8"/>
            <color indexed="81"/>
            <rFont val="Tahoma"/>
            <family val="2"/>
          </rPr>
          <t xml:space="preserve">
The original </t>
        </r>
        <r>
          <rPr>
            <b/>
            <sz val="8"/>
            <color indexed="81"/>
            <rFont val="Tahoma"/>
            <family val="2"/>
          </rPr>
          <t>M</t>
        </r>
        <r>
          <rPr>
            <sz val="8"/>
            <color indexed="81"/>
            <rFont val="Tahoma"/>
            <family val="2"/>
          </rPr>
          <t xml:space="preserve">ean </t>
        </r>
        <r>
          <rPr>
            <b/>
            <sz val="8"/>
            <color indexed="81"/>
            <rFont val="Tahoma"/>
            <family val="2"/>
          </rPr>
          <t>D</t>
        </r>
        <r>
          <rPr>
            <sz val="8"/>
            <color indexed="81"/>
            <rFont val="Tahoma"/>
            <family val="2"/>
          </rPr>
          <t xml:space="preserve">amage </t>
        </r>
        <r>
          <rPr>
            <b/>
            <sz val="8"/>
            <color indexed="81"/>
            <rFont val="Tahoma"/>
            <family val="2"/>
          </rPr>
          <t>D</t>
        </r>
        <r>
          <rPr>
            <sz val="8"/>
            <color indexed="81"/>
            <rFont val="Tahoma"/>
            <family val="2"/>
          </rPr>
          <t>egree</t>
        </r>
        <r>
          <rPr>
            <sz val="8"/>
            <color indexed="81"/>
            <rFont val="Tahoma"/>
            <family val="2"/>
          </rPr>
          <t>(the damage for a given intensity at an affected asset) is linearly transformed
default=1</t>
        </r>
      </text>
    </comment>
    <comment ref="U1" authorId="0" shapeId="0">
      <text>
        <r>
          <rPr>
            <b/>
            <sz val="8"/>
            <color indexed="81"/>
            <rFont val="Tahoma"/>
            <family val="2"/>
          </rPr>
          <t>MDD=orig_MDD*a+b</t>
        </r>
        <r>
          <rPr>
            <sz val="8"/>
            <color indexed="81"/>
            <rFont val="Tahoma"/>
            <family val="2"/>
          </rPr>
          <t xml:space="preserve">
The original </t>
        </r>
        <r>
          <rPr>
            <b/>
            <sz val="8"/>
            <color indexed="81"/>
            <rFont val="Tahoma"/>
            <family val="2"/>
          </rPr>
          <t>M</t>
        </r>
        <r>
          <rPr>
            <sz val="8"/>
            <color indexed="81"/>
            <rFont val="Tahoma"/>
            <family val="2"/>
          </rPr>
          <t xml:space="preserve">ean </t>
        </r>
        <r>
          <rPr>
            <b/>
            <sz val="8"/>
            <color indexed="81"/>
            <rFont val="Tahoma"/>
            <family val="2"/>
          </rPr>
          <t>D</t>
        </r>
        <r>
          <rPr>
            <sz val="8"/>
            <color indexed="81"/>
            <rFont val="Tahoma"/>
            <family val="2"/>
          </rPr>
          <t xml:space="preserve">amage </t>
        </r>
        <r>
          <rPr>
            <b/>
            <sz val="8"/>
            <color indexed="81"/>
            <rFont val="Tahoma"/>
            <family val="2"/>
          </rPr>
          <t>D</t>
        </r>
        <r>
          <rPr>
            <sz val="8"/>
            <color indexed="81"/>
            <rFont val="Tahoma"/>
            <family val="2"/>
          </rPr>
          <t>egree</t>
        </r>
        <r>
          <rPr>
            <sz val="8"/>
            <color indexed="81"/>
            <rFont val="Tahoma"/>
            <family val="2"/>
          </rPr>
          <t>(the damage for a given intensity at an affected asset) is linearly transformed
default=0</t>
        </r>
      </text>
    </comment>
    <comment ref="V1" authorId="0" shapeId="0">
      <text>
        <r>
          <rPr>
            <b/>
            <sz val="8"/>
            <color indexed="81"/>
            <rFont val="Tahoma"/>
            <family val="2"/>
          </rPr>
          <t>PAA=orig_PAA*a+b</t>
        </r>
        <r>
          <rPr>
            <sz val="8"/>
            <color indexed="81"/>
            <rFont val="Tahoma"/>
            <family val="2"/>
          </rPr>
          <t xml:space="preserve">
The original </t>
        </r>
        <r>
          <rPr>
            <b/>
            <sz val="8"/>
            <color indexed="81"/>
            <rFont val="Tahoma"/>
            <family val="2"/>
          </rPr>
          <t>P</t>
        </r>
        <r>
          <rPr>
            <sz val="8"/>
            <color indexed="81"/>
            <rFont val="Tahoma"/>
            <family val="2"/>
          </rPr>
          <t xml:space="preserve">ercentage of </t>
        </r>
        <r>
          <rPr>
            <b/>
            <sz val="8"/>
            <color indexed="81"/>
            <rFont val="Tahoma"/>
            <family val="2"/>
          </rPr>
          <t>A</t>
        </r>
        <r>
          <rPr>
            <sz val="8"/>
            <color indexed="81"/>
            <rFont val="Tahoma"/>
            <family val="2"/>
          </rPr>
          <t>ssets</t>
        </r>
        <r>
          <rPr>
            <sz val="8"/>
            <color indexed="81"/>
            <rFont val="Tahoma"/>
            <family val="2"/>
          </rPr>
          <t xml:space="preserve"> </t>
        </r>
        <r>
          <rPr>
            <b/>
            <sz val="8"/>
            <color indexed="81"/>
            <rFont val="Tahoma"/>
            <family val="2"/>
          </rPr>
          <t>A</t>
        </r>
        <r>
          <rPr>
            <sz val="8"/>
            <color indexed="81"/>
            <rFont val="Tahoma"/>
            <family val="2"/>
          </rPr>
          <t>ffected  (the percentage of assets affected for a given hazard intensity) is linearly transformed
default=1</t>
        </r>
      </text>
    </comment>
    <comment ref="W1" authorId="0" shapeId="0">
      <text>
        <r>
          <rPr>
            <b/>
            <sz val="8"/>
            <color indexed="81"/>
            <rFont val="Tahoma"/>
            <family val="2"/>
          </rPr>
          <t>PAA=orig_PAA*a+b</t>
        </r>
        <r>
          <rPr>
            <sz val="8"/>
            <color indexed="81"/>
            <rFont val="Tahoma"/>
            <family val="2"/>
          </rPr>
          <t xml:space="preserve">
The original </t>
        </r>
        <r>
          <rPr>
            <b/>
            <sz val="8"/>
            <color indexed="81"/>
            <rFont val="Tahoma"/>
            <family val="2"/>
          </rPr>
          <t>P</t>
        </r>
        <r>
          <rPr>
            <sz val="8"/>
            <color indexed="81"/>
            <rFont val="Tahoma"/>
            <family val="2"/>
          </rPr>
          <t xml:space="preserve">ercentage of </t>
        </r>
        <r>
          <rPr>
            <b/>
            <sz val="8"/>
            <color indexed="81"/>
            <rFont val="Tahoma"/>
            <family val="2"/>
          </rPr>
          <t>A</t>
        </r>
        <r>
          <rPr>
            <sz val="8"/>
            <color indexed="81"/>
            <rFont val="Tahoma"/>
            <family val="2"/>
          </rPr>
          <t>ssets</t>
        </r>
        <r>
          <rPr>
            <sz val="8"/>
            <color indexed="81"/>
            <rFont val="Tahoma"/>
            <family val="2"/>
          </rPr>
          <t xml:space="preserve"> </t>
        </r>
        <r>
          <rPr>
            <b/>
            <sz val="8"/>
            <color indexed="81"/>
            <rFont val="Tahoma"/>
            <family val="2"/>
          </rPr>
          <t>A</t>
        </r>
        <r>
          <rPr>
            <sz val="8"/>
            <color indexed="81"/>
            <rFont val="Tahoma"/>
            <family val="2"/>
          </rPr>
          <t>ffected  (the percentage of assets affected for a given hazard intensity) is linearly transformed
default=0</t>
        </r>
      </text>
    </comment>
    <comment ref="X1" authorId="0" shapeId="0">
      <text>
        <r>
          <rPr>
            <sz val="8"/>
            <color indexed="81"/>
            <rFont val="Tahoma"/>
            <family val="2"/>
          </rPr>
          <t xml:space="preserve">a list to map existing on new damagefunctions, of the form XtoY with 
X the existing DamageFunID as in assets, tab damagefunctions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Y1" authorId="2" shapeId="0">
      <text>
        <r>
          <rPr>
            <sz val="8"/>
            <color indexed="81"/>
            <rFont val="Tahoma"/>
            <family val="2"/>
          </rPr>
          <t>attachement point of risk transfer (CatXL)
default=0</t>
        </r>
      </text>
    </comment>
    <comment ref="Z1" authorId="2" shapeId="0">
      <text>
        <r>
          <rPr>
            <sz val="8"/>
            <color indexed="81"/>
            <rFont val="Tahoma"/>
            <family val="2"/>
          </rPr>
          <t>cover of risk transfer
default=0</t>
        </r>
      </text>
    </comment>
  </commentList>
</comments>
</file>

<file path=xl/sharedStrings.xml><?xml version="1.0" encoding="utf-8"?>
<sst xmlns="http://schemas.openxmlformats.org/spreadsheetml/2006/main" count="247" uniqueCount="93">
  <si>
    <t>Investment (EUR min equivalent)</t>
  </si>
  <si>
    <t>name</t>
  </si>
  <si>
    <t>bc_ratio</t>
  </si>
  <si>
    <t>color</t>
  </si>
  <si>
    <t>cost</t>
  </si>
  <si>
    <t>hazard intensity impact</t>
  </si>
  <si>
    <t>hazard high frequency cutoff</t>
  </si>
  <si>
    <t>hazard event set</t>
  </si>
  <si>
    <t>MDD impact a</t>
  </si>
  <si>
    <t>MDD impact b</t>
  </si>
  <si>
    <t>PAA impact a</t>
  </si>
  <si>
    <t>PAA impact b</t>
  </si>
  <si>
    <t>damagefunctions map</t>
  </si>
  <si>
    <t>risk transfer attachement</t>
  </si>
  <si>
    <t>risk transfer cover</t>
  </si>
  <si>
    <t>benefit</t>
  </si>
  <si>
    <t>Value_display_unit_name</t>
  </si>
  <si>
    <t>Value_display_unit_fact</t>
  </si>
  <si>
    <t>cost_display_unit_name</t>
  </si>
  <si>
    <t>cost_display_unit_fact</t>
  </si>
  <si>
    <t>Khal	 widening</t>
  </si>
  <si>
    <t>Land 	raising &amp; resettlement slums</t>
  </si>
  <si>
    <t>Drainage 	improvement</t>
  </si>
  <si>
    <t>Khal	 deepening, restoration project</t>
  </si>
  <si>
    <t>Hazard	 proof roads</t>
  </si>
  <si>
    <t>Early	 warning system</t>
  </si>
  <si>
    <t>Hazard 	proof water supply</t>
  </si>
  <si>
    <t>Hazard	 proof power grid</t>
  </si>
  <si>
    <t>Cyclone	 shelters</t>
  </si>
  <si>
    <t>Additional 	pond</t>
  </si>
  <si>
    <t>Rain water 	infiltration</t>
  </si>
  <si>
    <t>Flood 	resilient buildings</t>
  </si>
  <si>
    <t xml:space="preserve">Spatial	 zoning	</t>
  </si>
  <si>
    <t>Flood 	resilient crops</t>
  </si>
  <si>
    <t>River	 erosion control</t>
  </si>
  <si>
    <t>Regular	 embankments</t>
  </si>
  <si>
    <t>Embankment and gates</t>
  </si>
  <si>
    <t>cost capex (TK. crore)</t>
  </si>
  <si>
    <t>cost opex (TK. crore)</t>
  </si>
  <si>
    <t>capex and opex (TK crore, 10 million bangaldeshi taka)</t>
  </si>
  <si>
    <t>USD mn</t>
  </si>
  <si>
    <t>benefit 2015 (%)</t>
  </si>
  <si>
    <t>benefit 2050 (%)</t>
  </si>
  <si>
    <t>Solid waste management improvement</t>
  </si>
  <si>
    <t>worksheet to discount measures</t>
  </si>
  <si>
    <t>year</t>
  </si>
  <si>
    <t>yield</t>
  </si>
  <si>
    <t>time_dependence</t>
  </si>
  <si>
    <t>discounted benefit</t>
  </si>
  <si>
    <t>ED without measure</t>
  </si>
  <si>
    <t>benefit per year</t>
  </si>
  <si>
    <t>bc_ratio orig</t>
  </si>
  <si>
    <t>expert judgment to be aligned with the bc ratio in report</t>
  </si>
  <si>
    <t>measures omitted in the plot, as not enough information is given</t>
  </si>
  <si>
    <t>nil</t>
  </si>
  <si>
    <t>Khal deepening and watershed restoration</t>
  </si>
  <si>
    <t>Land raising and resettlement of slums</t>
  </si>
  <si>
    <t>all numbers in USD</t>
  </si>
  <si>
    <t>Embankment, gates and pumps</t>
  </si>
  <si>
    <t>Rain water infiltration</t>
  </si>
  <si>
    <t>Early warning and shelters</t>
  </si>
  <si>
    <t>Waste management and drainage improvement</t>
  </si>
  <si>
    <t>Flood-resilient crops</t>
  </si>
  <si>
    <t>Flood-resilient buildings</t>
  </si>
  <si>
    <t>Total climate risk</t>
  </si>
  <si>
    <t>discounted</t>
  </si>
  <si>
    <t>y = mx+b</t>
  </si>
  <si>
    <t>m</t>
  </si>
  <si>
    <t>NPV_total_climate_risk</t>
  </si>
  <si>
    <t>ECA Barisal, Bangladesh</t>
  </si>
  <si>
    <t>Adaptation cost curve results based on climada results and cost estimates from consultants.</t>
  </si>
  <si>
    <t>Data (Capex, opex, risk reduction potentials) are copied from table 5.3 in the Vulnerability Analysis (see tab _measures_full_list)</t>
  </si>
  <si>
    <t>Data can be plotted with the following matlab code:</t>
  </si>
  <si>
    <t>measures_filename = [climada_global.data_dir filesep 'results' filesep 'measures_impact_barisal.xlsx'];</t>
  </si>
  <si>
    <t>[measures, measures_impact] = climada_measures_read(measures_filename);</t>
  </si>
  <si>
    <t>measures_impact.color_keep = 1;</t>
  </si>
  <si>
    <t>fig = climada_figuresize(0.4,0.95);</t>
  </si>
  <si>
    <t>climada_adaptation_cost_curve(measures_impact)</t>
  </si>
  <si>
    <t>print(fig,'-dpdf',[climada_global.data_dir filesep 'results' filesep 'adaptation_cost_curve_barisal.pdf'])</t>
  </si>
  <si>
    <t>0.5 0.694 0.135</t>
  </si>
  <si>
    <t>0.5 0.694 0.136</t>
  </si>
  <si>
    <t>0.5 0.694 0.137</t>
  </si>
  <si>
    <t>0.5 0.694 0.138</t>
  </si>
  <si>
    <t>0.5 0.694 0.139</t>
  </si>
  <si>
    <t>0.5 0.694 0.140</t>
  </si>
  <si>
    <t>0.5 0.694 0.141</t>
  </si>
  <si>
    <t>0.5 0.694 0.142</t>
  </si>
  <si>
    <t>0.5 0.694 0.143</t>
  </si>
  <si>
    <t>0.5 0.694 0.144</t>
  </si>
  <si>
    <t>0.5 0.694 0.145</t>
  </si>
  <si>
    <t>0.5 0.694 0.146</t>
  </si>
  <si>
    <t>0.5 0.694 0.147</t>
  </si>
  <si>
    <t>0.5 0.694 0.148</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</si>
</sst>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 #,##0.00_ ;_ * \-#,##0.00_ ;_ * &quot;-&quot;??_ ;_ @_ "/>
    <numFmt numFmtId="164" formatCode="0.000"/>
    <numFmt numFmtId="165" formatCode="0.0"/>
    <numFmt numFmtId="166" formatCode="0.E+00"/>
    <numFmt numFmtId="167" formatCode="0.0%"/>
    <numFmt numFmtId="168" formatCode="_(* #,##0.00_);_(* \(#,##0.00\);_(* &quot;-&quot;??_);_(@_)"/>
    <numFmt numFmtId="169" formatCode="_(* #,##0_);_(* \(#,##0\);_(* &quot;-&quot;??_);_(@_)"/>
    <numFmt numFmtId="170" formatCode="0.0.E+00"/>
    <numFmt numFmtId="171" formatCode="_ * #,##0_ ;_ * \-#,##0_ ;_ * &quot;-&quot;??_ ;_ @_ "/>
  </numFmts>
  <fonts count="13" x14ac:knownFonts="1">
    <font>
      <sz val="11"/>
      <color theme="1"/>
      <name val="SwissReSans"/>
      <family val="2"/>
    </font>
    <font>
      <sz val="11"/>
      <color theme="1"/>
      <name val="Arial"/>
      <family val="2"/>
    </font>
    <font>
      <sz val="11"/>
      <color theme="1"/>
      <name val="SwissReSans"/>
      <family val="2"/>
    </font>
    <font>
      <b/>
      <sz val="8"/>
      <color indexed="81"/>
      <name val="Tahoma"/>
      <family val="2"/>
    </font>
    <font>
      <sz val="8"/>
      <color indexed="81"/>
      <name val="Tahoma"/>
      <family val="2"/>
    </font>
    <font>
      <sz val="9"/>
      <color indexed="81"/>
      <name val="Arial"/>
      <family val="2"/>
    </font>
    <font>
      <sz val="9"/>
      <color theme="1"/>
      <name val="SwissReSans"/>
      <family val="2"/>
    </font>
    <font>
      <sz val="8"/>
      <color theme="1"/>
      <name val="SwissReSans"/>
      <family val="2"/>
    </font>
    <font>
      <sz val="10"/>
      <name val="Arial"/>
      <family val="2"/>
    </font>
    <font>
      <i/>
      <sz val="10"/>
      <name val="Arial"/>
      <family val="2"/>
    </font>
    <font>
      <sz val="11"/>
      <color theme="2" tint="-9.9978637043366805E-2"/>
      <name val="Arial"/>
      <family val="2"/>
    </font>
    <font>
      <b/>
      <sz val="14"/>
      <color theme="1"/>
      <name val="SwissReSans"/>
      <family val="2"/>
    </font>
    <font>
      <i/>
      <sz val="11"/>
      <color theme="1"/>
      <name val="SwissReSans"/>
      <family val="2"/>
    </font>
  </fonts>
  <fills count="9">
    <fill>
      <patternFill patternType="none"/>
    </fill>
    <fill>
      <patternFill patternType="gray125"/>
    </fill>
    <fill>
      <patternFill patternType="solid">
        <fgColor theme="0" tint="-4.9989318521683403E-2"/>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theme="7" tint="0.79998168889431442"/>
        <bgColor indexed="64"/>
      </patternFill>
    </fill>
    <fill>
      <patternFill patternType="solid">
        <fgColor rgb="FFE8D1FF"/>
        <bgColor indexed="64"/>
      </patternFill>
    </fill>
    <fill>
      <patternFill patternType="solid">
        <fgColor theme="7"/>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5">
    <xf numFmtId="0" fontId="0" fillId="0" borderId="0"/>
    <xf numFmtId="9" fontId="2" fillId="0" borderId="0" applyFont="0" applyFill="0" applyBorder="0" applyAlignment="0" applyProtection="0"/>
    <xf numFmtId="0" fontId="8" fillId="0" borderId="0"/>
    <xf numFmtId="168" fontId="8" fillId="0" borderId="0" applyFont="0" applyFill="0" applyBorder="0" applyAlignment="0" applyProtection="0"/>
    <xf numFmtId="43" fontId="2" fillId="0" borderId="0" applyFont="0" applyFill="0" applyBorder="0" applyAlignment="0" applyProtection="0"/>
  </cellStyleXfs>
  <cellXfs count="46">
    <xf numFmtId="0" fontId="0" fillId="0" borderId="0" xfId="0"/>
    <xf numFmtId="0" fontId="1" fillId="0" borderId="0" xfId="0" applyFont="1"/>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1" fillId="0" borderId="0" xfId="0" applyFont="1" applyAlignment="1">
      <alignment vertical="top" wrapText="1"/>
    </xf>
    <xf numFmtId="0" fontId="0" fillId="7" borderId="0" xfId="0" applyFill="1" applyAlignment="1">
      <alignment vertical="top" wrapText="1"/>
    </xf>
    <xf numFmtId="0" fontId="7" fillId="7" borderId="0" xfId="0" applyFont="1" applyFill="1" applyAlignment="1">
      <alignment vertical="top" wrapText="1"/>
    </xf>
    <xf numFmtId="165" fontId="1" fillId="0" borderId="0" xfId="0" applyNumberFormat="1" applyFont="1"/>
    <xf numFmtId="0" fontId="6" fillId="0" borderId="0" xfId="0" applyFont="1"/>
    <xf numFmtId="166" fontId="6" fillId="0" borderId="0" xfId="0" applyNumberFormat="1" applyFont="1"/>
    <xf numFmtId="1" fontId="1" fillId="0" borderId="0" xfId="0" applyNumberFormat="1" applyFont="1"/>
    <xf numFmtId="0" fontId="8" fillId="0" borderId="0" xfId="2"/>
    <xf numFmtId="167" fontId="8" fillId="0" borderId="0" xfId="2" applyNumberFormat="1"/>
    <xf numFmtId="164" fontId="8" fillId="0" borderId="0" xfId="2" applyNumberFormat="1"/>
    <xf numFmtId="167" fontId="1" fillId="0" borderId="0" xfId="1" applyNumberFormat="1" applyFont="1"/>
    <xf numFmtId="2" fontId="8" fillId="0" borderId="0" xfId="2" applyNumberFormat="1"/>
    <xf numFmtId="9" fontId="8" fillId="0" borderId="0" xfId="1" applyFont="1"/>
    <xf numFmtId="0" fontId="8" fillId="0" borderId="0" xfId="2" applyAlignment="1">
      <alignment wrapText="1"/>
    </xf>
    <xf numFmtId="0" fontId="8" fillId="0" borderId="0" xfId="2" applyBorder="1"/>
    <xf numFmtId="169" fontId="0" fillId="0" borderId="0" xfId="3" applyNumberFormat="1" applyFont="1" applyBorder="1"/>
    <xf numFmtId="167" fontId="8" fillId="0" borderId="0" xfId="1" applyNumberFormat="1" applyFont="1" applyBorder="1"/>
    <xf numFmtId="0" fontId="8" fillId="0" borderId="1" xfId="2" applyBorder="1"/>
    <xf numFmtId="169" fontId="0" fillId="0" borderId="1" xfId="3" applyNumberFormat="1" applyFont="1" applyBorder="1"/>
    <xf numFmtId="167" fontId="8" fillId="0" borderId="1" xfId="1" applyNumberFormat="1" applyFont="1" applyBorder="1"/>
    <xf numFmtId="0" fontId="8" fillId="0" borderId="3" xfId="2" applyBorder="1" applyAlignment="1">
      <alignment wrapText="1"/>
    </xf>
    <xf numFmtId="0" fontId="8" fillId="0" borderId="2" xfId="2" applyBorder="1" applyAlignment="1">
      <alignment wrapText="1"/>
    </xf>
    <xf numFmtId="0" fontId="8" fillId="0" borderId="1" xfId="2" applyBorder="1" applyAlignment="1">
      <alignment wrapText="1"/>
    </xf>
    <xf numFmtId="1" fontId="9" fillId="0" borderId="1" xfId="2" applyNumberFormat="1" applyFont="1" applyBorder="1" applyAlignment="1">
      <alignment wrapText="1"/>
    </xf>
    <xf numFmtId="169" fontId="0" fillId="8" borderId="3" xfId="3" applyNumberFormat="1" applyFont="1" applyFill="1" applyBorder="1" applyAlignment="1">
      <alignment wrapText="1"/>
    </xf>
    <xf numFmtId="0" fontId="8" fillId="8" borderId="0" xfId="2" applyFill="1"/>
    <xf numFmtId="1" fontId="1" fillId="6" borderId="0" xfId="0" applyNumberFormat="1" applyFont="1" applyFill="1"/>
    <xf numFmtId="165" fontId="1" fillId="0" borderId="0" xfId="0" applyNumberFormat="1" applyFont="1" applyFill="1"/>
    <xf numFmtId="0" fontId="1" fillId="6" borderId="0" xfId="0" applyFont="1" applyFill="1"/>
    <xf numFmtId="1" fontId="8" fillId="0" borderId="0" xfId="2" applyNumberFormat="1"/>
    <xf numFmtId="169" fontId="9" fillId="8" borderId="0" xfId="3" applyNumberFormat="1" applyFont="1" applyFill="1"/>
    <xf numFmtId="169" fontId="9" fillId="0" borderId="0" xfId="3" applyNumberFormat="1" applyFont="1"/>
    <xf numFmtId="9" fontId="0" fillId="0" borderId="0" xfId="1" applyFont="1" applyBorder="1"/>
    <xf numFmtId="9" fontId="0" fillId="0" borderId="1" xfId="1" applyFont="1" applyBorder="1"/>
    <xf numFmtId="170" fontId="6" fillId="0" borderId="0" xfId="0" applyNumberFormat="1" applyFont="1"/>
    <xf numFmtId="171" fontId="1" fillId="0" borderId="0" xfId="4" applyNumberFormat="1" applyFont="1"/>
    <xf numFmtId="171" fontId="1" fillId="6" borderId="0" xfId="4" applyNumberFormat="1" applyFont="1" applyFill="1"/>
    <xf numFmtId="0" fontId="10" fillId="0" borderId="0" xfId="0" applyFont="1"/>
    <xf numFmtId="0" fontId="11" fillId="0" borderId="0" xfId="0" applyFont="1"/>
    <xf numFmtId="0" fontId="12" fillId="0" borderId="0" xfId="0" applyFont="1"/>
  </cellXfs>
  <cellStyles count="5">
    <cellStyle name="Comma" xfId="4" builtinId="3"/>
    <cellStyle name="Comma 2" xfId="3"/>
    <cellStyle name="Normal" xfId="0" builtinId="0"/>
    <cellStyle name="Normal 2" xfId="2"/>
    <cellStyle name="Percent" xfId="1" builtinId="5"/>
  </cellStyles>
  <dxfs count="0"/>
  <tableStyles count="0" defaultTableStyle="TableStyleMedium2" defaultPivotStyle="PivotStyleLight16"/>
  <colors>
    <mruColors>
      <color rgb="FFE8D1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18</xdr:row>
      <xdr:rowOff>0</xdr:rowOff>
    </xdr:from>
    <xdr:to>
      <xdr:col>11</xdr:col>
      <xdr:colOff>256071</xdr:colOff>
      <xdr:row>58</xdr:row>
      <xdr:rowOff>84809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771900"/>
          <a:ext cx="8828571" cy="73238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ublic/eos_climada/climada/data/entities/measures_impact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damagefunctions"/>
      <sheetName val="measures"/>
      <sheetName val="discount"/>
      <sheetName val="_assets_details"/>
      <sheetName val="_measures_details"/>
      <sheetName val="_discounting_sheet"/>
    </sheetNames>
    <sheetDataSet>
      <sheetData sheetId="0"/>
      <sheetData sheetId="1"/>
      <sheetData sheetId="2"/>
      <sheetData sheetId="3">
        <row r="17">
          <cell r="C17">
            <v>0.02</v>
          </cell>
        </row>
        <row r="18">
          <cell r="C18">
            <v>0.02</v>
          </cell>
        </row>
        <row r="19">
          <cell r="C19">
            <v>0.02</v>
          </cell>
        </row>
        <row r="20">
          <cell r="C20">
            <v>0.02</v>
          </cell>
        </row>
        <row r="21">
          <cell r="C21">
            <v>0.02</v>
          </cell>
        </row>
        <row r="22">
          <cell r="C22">
            <v>0.02</v>
          </cell>
        </row>
        <row r="23">
          <cell r="C23">
            <v>0.02</v>
          </cell>
        </row>
        <row r="24">
          <cell r="C24">
            <v>0.02</v>
          </cell>
        </row>
        <row r="25">
          <cell r="C25">
            <v>0.02</v>
          </cell>
        </row>
        <row r="26">
          <cell r="C26">
            <v>0.02</v>
          </cell>
        </row>
        <row r="27">
          <cell r="C27">
            <v>0.02</v>
          </cell>
        </row>
        <row r="28">
          <cell r="C28">
            <v>0.02</v>
          </cell>
        </row>
        <row r="29">
          <cell r="C29">
            <v>0.02</v>
          </cell>
        </row>
        <row r="30">
          <cell r="C30">
            <v>0.02</v>
          </cell>
        </row>
        <row r="31">
          <cell r="C31">
            <v>0.02</v>
          </cell>
        </row>
        <row r="32">
          <cell r="C32">
            <v>0.02</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
  <sheetViews>
    <sheetView workbookViewId="0">
      <selection activeCell="E27" sqref="E27"/>
    </sheetView>
  </sheetViews>
  <sheetFormatPr defaultRowHeight="14.25" x14ac:dyDescent="0.2"/>
  <sheetData>
    <row r="2" spans="1:2" ht="21" customHeight="1" x14ac:dyDescent="0.25">
      <c r="A2" s="44" t="s">
        <v>69</v>
      </c>
    </row>
    <row r="3" spans="1:2" ht="21" customHeight="1" x14ac:dyDescent="0.2">
      <c r="A3" t="s">
        <v>70</v>
      </c>
    </row>
    <row r="4" spans="1:2" ht="21" customHeight="1" x14ac:dyDescent="0.2">
      <c r="A4" t="s">
        <v>71</v>
      </c>
    </row>
    <row r="5" spans="1:2" ht="21" customHeight="1" x14ac:dyDescent="0.2">
      <c r="A5" t="s">
        <v>72</v>
      </c>
    </row>
    <row r="6" spans="1:2" x14ac:dyDescent="0.2">
      <c r="B6" s="45" t="s">
        <v>73</v>
      </c>
    </row>
    <row r="7" spans="1:2" x14ac:dyDescent="0.2">
      <c r="B7" s="45" t="s">
        <v>74</v>
      </c>
    </row>
    <row r="8" spans="1:2" x14ac:dyDescent="0.2">
      <c r="B8" s="45" t="s">
        <v>75</v>
      </c>
    </row>
    <row r="9" spans="1:2" x14ac:dyDescent="0.2">
      <c r="B9" s="45" t="s">
        <v>76</v>
      </c>
    </row>
    <row r="10" spans="1:2" x14ac:dyDescent="0.2">
      <c r="B10" s="45" t="s">
        <v>77</v>
      </c>
    </row>
    <row r="11" spans="1:2" x14ac:dyDescent="0.2">
      <c r="B11" s="45" t="s">
        <v>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
  <sheetViews>
    <sheetView tabSelected="1" workbookViewId="0">
      <selection activeCell="A2" sqref="A2"/>
    </sheetView>
  </sheetViews>
  <sheetFormatPr defaultRowHeight="14.25" x14ac:dyDescent="0.2"/>
  <cols>
    <col min="1" max="1" width="30.6640625" style="1" customWidth="1"/>
    <col min="2" max="2" width="6.33203125" style="1" customWidth="1"/>
    <col min="3" max="3" width="10.44140625" customWidth="1"/>
    <col min="4" max="4" width="12.109375" style="1" customWidth="1"/>
    <col min="5" max="5" width="7.44140625" style="1" customWidth="1"/>
    <col min="6" max="8" width="5" style="1" customWidth="1"/>
    <col min="9" max="9" width="9" style="1" customWidth="1"/>
    <col min="10" max="10" width="5.77734375" style="1" customWidth="1"/>
    <col min="11" max="11" width="10" style="1" customWidth="1"/>
    <col min="12" max="12" width="11.33203125" style="1" customWidth="1"/>
    <col min="13" max="14" width="10" style="1" customWidth="1"/>
    <col min="15" max="16384" width="8.88671875" style="1"/>
  </cols>
  <sheetData>
    <row r="1" spans="1:24" s="6" customFormat="1" ht="54.75" customHeight="1" x14ac:dyDescent="0.2">
      <c r="A1" s="2" t="s">
        <v>1</v>
      </c>
      <c r="B1" s="2" t="s">
        <v>3</v>
      </c>
      <c r="C1" s="7" t="s">
        <v>4</v>
      </c>
      <c r="D1" s="7" t="s">
        <v>15</v>
      </c>
      <c r="E1" s="8" t="s">
        <v>16</v>
      </c>
      <c r="F1" s="8" t="s">
        <v>17</v>
      </c>
      <c r="G1" s="8" t="s">
        <v>18</v>
      </c>
      <c r="H1" s="8" t="s">
        <v>19</v>
      </c>
      <c r="I1" s="8" t="s">
        <v>68</v>
      </c>
      <c r="J1" s="6" t="s">
        <v>2</v>
      </c>
      <c r="K1" s="6" t="s">
        <v>51</v>
      </c>
      <c r="L1" s="2" t="s">
        <v>39</v>
      </c>
      <c r="M1" s="2" t="s">
        <v>37</v>
      </c>
      <c r="N1" s="2" t="s">
        <v>38</v>
      </c>
      <c r="O1" s="3" t="s">
        <v>5</v>
      </c>
      <c r="P1" s="3" t="s">
        <v>6</v>
      </c>
      <c r="Q1" s="3" t="s">
        <v>7</v>
      </c>
      <c r="R1" s="4" t="s">
        <v>8</v>
      </c>
      <c r="S1" s="4" t="s">
        <v>9</v>
      </c>
      <c r="T1" s="4" t="s">
        <v>10</v>
      </c>
      <c r="U1" s="4" t="s">
        <v>11</v>
      </c>
      <c r="V1" s="4" t="s">
        <v>12</v>
      </c>
      <c r="W1" s="5" t="s">
        <v>13</v>
      </c>
      <c r="X1" s="5" t="s">
        <v>14</v>
      </c>
    </row>
    <row r="2" spans="1:24" x14ac:dyDescent="0.2">
      <c r="A2" s="1" t="s">
        <v>61</v>
      </c>
      <c r="B2" s="1" t="s">
        <v>79</v>
      </c>
      <c r="C2" s="41">
        <f>(L2+20.6)*0.012715*10*10^6*37/550</f>
        <v>979401.77272727271</v>
      </c>
      <c r="D2" s="41">
        <f>(73933301.0221233+17601167.9080783)*37/550</f>
        <v>6157773.364395381</v>
      </c>
      <c r="E2" s="10" t="s">
        <v>40</v>
      </c>
      <c r="F2" s="11">
        <v>9.9999999999999995E-7</v>
      </c>
      <c r="G2" s="10" t="s">
        <v>40</v>
      </c>
      <c r="H2" s="11">
        <v>9.9999999999999995E-7</v>
      </c>
      <c r="I2" s="40"/>
      <c r="J2" s="9">
        <f>D2/C2</f>
        <v>6.2872801906905407</v>
      </c>
      <c r="K2" s="1">
        <v>5.3</v>
      </c>
      <c r="L2" s="1">
        <f t="shared" ref="L2:L9" si="0">M2+N2</f>
        <v>93.9</v>
      </c>
      <c r="M2" s="1">
        <v>85.4</v>
      </c>
      <c r="N2" s="1">
        <v>8.5</v>
      </c>
      <c r="O2" s="1">
        <v>0</v>
      </c>
      <c r="P2" s="1">
        <v>0</v>
      </c>
      <c r="Q2" s="1">
        <v>0</v>
      </c>
      <c r="R2" s="1">
        <v>0</v>
      </c>
      <c r="S2" s="1">
        <v>0</v>
      </c>
      <c r="T2" s="1">
        <v>0</v>
      </c>
      <c r="U2" s="1">
        <v>0</v>
      </c>
      <c r="V2" s="1" t="s">
        <v>54</v>
      </c>
      <c r="W2" s="1">
        <v>0</v>
      </c>
      <c r="X2" s="1">
        <v>0</v>
      </c>
    </row>
    <row r="3" spans="1:24" x14ac:dyDescent="0.2">
      <c r="A3" s="1" t="s">
        <v>55</v>
      </c>
      <c r="B3" s="1" t="s">
        <v>79</v>
      </c>
      <c r="C3" s="41">
        <f>L3*0.012715*10*10^6*37/550</f>
        <v>346425.95454545453</v>
      </c>
      <c r="D3" s="41">
        <f>59224530.2336164*37/550</f>
        <v>3984195.6702614664</v>
      </c>
      <c r="J3" s="9">
        <f>D3/C3</f>
        <v>11.50085788314888</v>
      </c>
      <c r="K3" s="1">
        <v>7.3</v>
      </c>
      <c r="L3" s="1">
        <f t="shared" si="0"/>
        <v>40.5</v>
      </c>
      <c r="M3" s="1">
        <v>34.299999999999997</v>
      </c>
      <c r="N3" s="1">
        <v>6.2</v>
      </c>
      <c r="O3" s="1">
        <v>0</v>
      </c>
      <c r="P3" s="1">
        <v>0</v>
      </c>
      <c r="Q3" s="1">
        <v>0</v>
      </c>
      <c r="R3" s="1">
        <v>0</v>
      </c>
      <c r="S3" s="1">
        <v>0</v>
      </c>
      <c r="T3" s="1">
        <v>0</v>
      </c>
      <c r="U3" s="1">
        <v>0</v>
      </c>
      <c r="V3" s="1" t="s">
        <v>54</v>
      </c>
      <c r="W3" s="1">
        <v>0</v>
      </c>
      <c r="X3" s="1">
        <v>0</v>
      </c>
    </row>
    <row r="4" spans="1:24" x14ac:dyDescent="0.2">
      <c r="A4" s="1" t="s">
        <v>56</v>
      </c>
      <c r="B4" s="1" t="s">
        <v>79</v>
      </c>
      <c r="C4" s="41">
        <f>L4*0.012715*10*10^6*37/550</f>
        <v>5506889.6181818182</v>
      </c>
      <c r="D4" s="42">
        <f>1.7*C4</f>
        <v>9361712.3509090915</v>
      </c>
      <c r="J4" s="33">
        <f t="shared" ref="J4:J9" si="1">D4/C4</f>
        <v>1.7000000000000002</v>
      </c>
      <c r="K4" s="1">
        <v>1.7</v>
      </c>
      <c r="L4" s="1">
        <f t="shared" si="0"/>
        <v>643.79999999999995</v>
      </c>
      <c r="M4" s="1">
        <v>643.79999999999995</v>
      </c>
      <c r="N4" s="1">
        <v>0</v>
      </c>
      <c r="O4" s="1">
        <v>0</v>
      </c>
      <c r="P4" s="1">
        <v>0</v>
      </c>
      <c r="Q4" s="1">
        <v>0</v>
      </c>
      <c r="R4" s="1">
        <v>0</v>
      </c>
      <c r="S4" s="1">
        <v>0</v>
      </c>
      <c r="T4" s="1">
        <v>0</v>
      </c>
      <c r="U4" s="1">
        <v>0</v>
      </c>
      <c r="V4" s="1" t="s">
        <v>54</v>
      </c>
      <c r="W4" s="1">
        <v>0</v>
      </c>
      <c r="X4" s="1">
        <v>0</v>
      </c>
    </row>
    <row r="5" spans="1:24" x14ac:dyDescent="0.2">
      <c r="A5" s="1" t="s">
        <v>60</v>
      </c>
      <c r="B5" s="1" t="s">
        <v>79</v>
      </c>
      <c r="C5" s="41">
        <f>L5*0.012715*10*10^6*37/550</f>
        <v>189892.74545454545</v>
      </c>
      <c r="D5" s="42">
        <f>15*10^6*37/550</f>
        <v>1009090.9090909091</v>
      </c>
      <c r="J5" s="9">
        <f t="shared" si="1"/>
        <v>5.314004527531857</v>
      </c>
      <c r="K5" s="1">
        <v>2.4</v>
      </c>
      <c r="L5" s="1">
        <f t="shared" si="0"/>
        <v>22.2</v>
      </c>
      <c r="M5" s="1">
        <v>22</v>
      </c>
      <c r="N5" s="1">
        <v>0.2</v>
      </c>
      <c r="O5" s="1">
        <v>0</v>
      </c>
      <c r="P5" s="1">
        <v>0</v>
      </c>
      <c r="Q5" s="1">
        <v>0</v>
      </c>
      <c r="R5" s="1">
        <v>0</v>
      </c>
      <c r="S5" s="1">
        <v>0</v>
      </c>
      <c r="T5" s="1">
        <v>0</v>
      </c>
      <c r="U5" s="1">
        <v>0</v>
      </c>
      <c r="V5" s="1" t="s">
        <v>54</v>
      </c>
      <c r="W5" s="1">
        <v>0</v>
      </c>
      <c r="X5" s="1">
        <v>0</v>
      </c>
    </row>
    <row r="6" spans="1:24" x14ac:dyDescent="0.2">
      <c r="A6" s="1" t="s">
        <v>59</v>
      </c>
      <c r="B6" s="1" t="s">
        <v>79</v>
      </c>
      <c r="C6" s="41">
        <f>(L6+19.3)*0.012715*10*10^6*37/550</f>
        <v>217264.67272727276</v>
      </c>
      <c r="D6" s="41">
        <f>(24375575.8120187+20*10^6)*37/550</f>
        <v>2985266.0091721667</v>
      </c>
      <c r="J6" s="9">
        <f t="shared" si="1"/>
        <v>13.740227399598925</v>
      </c>
      <c r="K6" s="1">
        <v>26.2</v>
      </c>
      <c r="L6" s="1">
        <f t="shared" si="0"/>
        <v>6.1000000000000005</v>
      </c>
      <c r="M6" s="1">
        <v>5.7</v>
      </c>
      <c r="N6" s="1">
        <v>0.4</v>
      </c>
      <c r="O6" s="1">
        <v>0</v>
      </c>
      <c r="P6" s="1">
        <v>0</v>
      </c>
      <c r="Q6" s="1">
        <v>0</v>
      </c>
      <c r="R6" s="1">
        <v>0</v>
      </c>
      <c r="S6" s="1">
        <v>0</v>
      </c>
      <c r="T6" s="1">
        <v>0</v>
      </c>
      <c r="U6" s="1">
        <v>0</v>
      </c>
      <c r="V6" s="1" t="s">
        <v>54</v>
      </c>
      <c r="W6" s="1">
        <v>0</v>
      </c>
      <c r="X6" s="1">
        <v>0</v>
      </c>
    </row>
    <row r="7" spans="1:24" x14ac:dyDescent="0.2">
      <c r="A7" s="1" t="s">
        <v>63</v>
      </c>
      <c r="B7" s="1" t="s">
        <v>79</v>
      </c>
      <c r="C7" s="41">
        <f>L7*0.012715*10*10^6*37/550</f>
        <v>141136.5</v>
      </c>
      <c r="D7" s="42">
        <f>12*10^6*37/550</f>
        <v>807272.72727272729</v>
      </c>
      <c r="J7" s="9">
        <f t="shared" si="1"/>
        <v>5.7198012369070179</v>
      </c>
      <c r="K7" s="1">
        <v>4.3</v>
      </c>
      <c r="L7" s="1">
        <f t="shared" si="0"/>
        <v>16.5</v>
      </c>
      <c r="M7" s="1">
        <v>16.5</v>
      </c>
      <c r="N7" s="1">
        <v>0</v>
      </c>
      <c r="O7" s="1">
        <v>0</v>
      </c>
      <c r="P7" s="1">
        <v>0</v>
      </c>
      <c r="Q7" s="1">
        <v>0</v>
      </c>
      <c r="R7" s="1">
        <v>0</v>
      </c>
      <c r="S7" s="1">
        <v>0</v>
      </c>
      <c r="T7" s="1">
        <v>0</v>
      </c>
      <c r="U7" s="1">
        <v>0</v>
      </c>
      <c r="V7" s="1" t="s">
        <v>54</v>
      </c>
      <c r="W7" s="1">
        <v>0</v>
      </c>
      <c r="X7" s="1">
        <v>0</v>
      </c>
    </row>
    <row r="8" spans="1:24" x14ac:dyDescent="0.2">
      <c r="A8" s="1" t="s">
        <v>62</v>
      </c>
      <c r="B8" s="1" t="s">
        <v>79</v>
      </c>
      <c r="C8" s="41">
        <f>L8*0.012715*10*10^6*2*37/550</f>
        <v>35925.654545454548</v>
      </c>
      <c r="D8" s="42">
        <f>10.5*10^6*37/550</f>
        <v>706363.63636363635</v>
      </c>
      <c r="J8" s="9">
        <f t="shared" si="1"/>
        <v>19.661816751867871</v>
      </c>
      <c r="K8" s="1">
        <v>35</v>
      </c>
      <c r="L8" s="1">
        <f t="shared" si="0"/>
        <v>2.1</v>
      </c>
      <c r="M8" s="1">
        <v>2.1</v>
      </c>
      <c r="N8" s="1">
        <v>0</v>
      </c>
      <c r="O8" s="1">
        <v>0</v>
      </c>
      <c r="P8" s="1">
        <v>0</v>
      </c>
      <c r="Q8" s="1">
        <v>0</v>
      </c>
      <c r="R8" s="1">
        <v>0</v>
      </c>
      <c r="S8" s="1">
        <v>0</v>
      </c>
      <c r="T8" s="1">
        <v>0</v>
      </c>
      <c r="U8" s="1">
        <v>0</v>
      </c>
      <c r="V8" s="1" t="s">
        <v>54</v>
      </c>
      <c r="W8" s="1">
        <v>0</v>
      </c>
      <c r="X8" s="1">
        <v>0</v>
      </c>
    </row>
    <row r="9" spans="1:24" x14ac:dyDescent="0.2">
      <c r="A9" s="1" t="s">
        <v>58</v>
      </c>
      <c r="B9" s="1" t="s">
        <v>79</v>
      </c>
      <c r="C9" s="41">
        <f>L9*0.012715*10*10^6*37/550</f>
        <v>1916034.9090909092</v>
      </c>
      <c r="D9" s="41">
        <f>199819856.789696*37/550</f>
        <v>13442426.729488639</v>
      </c>
      <c r="J9" s="9">
        <f t="shared" si="1"/>
        <v>7.0157525135419352</v>
      </c>
      <c r="K9" s="1">
        <v>7.8</v>
      </c>
      <c r="L9" s="1">
        <f t="shared" si="0"/>
        <v>224</v>
      </c>
      <c r="M9" s="1">
        <v>208</v>
      </c>
      <c r="N9" s="1">
        <v>16</v>
      </c>
      <c r="O9" s="1">
        <v>0</v>
      </c>
      <c r="P9" s="1">
        <v>0</v>
      </c>
      <c r="Q9" s="1">
        <v>0</v>
      </c>
      <c r="R9" s="1">
        <v>0</v>
      </c>
      <c r="S9" s="1">
        <v>0</v>
      </c>
      <c r="T9" s="1">
        <v>0</v>
      </c>
      <c r="U9" s="1">
        <v>0</v>
      </c>
      <c r="V9" s="1" t="s">
        <v>54</v>
      </c>
      <c r="W9" s="1">
        <v>0</v>
      </c>
      <c r="X9" s="1">
        <v>0</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
  <sheetViews>
    <sheetView workbookViewId="0">
      <selection activeCell="B2" sqref="B2"/>
    </sheetView>
  </sheetViews>
  <sheetFormatPr defaultRowHeight="14.25" x14ac:dyDescent="0.2"/>
  <cols>
    <col min="1" max="1" width="30.6640625" style="1" customWidth="1"/>
    <col min="2" max="2" width="6.33203125" style="1" customWidth="1"/>
    <col min="3" max="3" width="10.44140625" customWidth="1"/>
    <col min="4" max="4" width="12.109375" style="1" customWidth="1"/>
    <col min="5" max="5" width="7.44140625" style="1" customWidth="1"/>
    <col min="6" max="8" width="5" style="1" customWidth="1"/>
    <col min="9" max="9" width="9" style="1" customWidth="1"/>
    <col min="10" max="10" width="5.77734375" style="1" customWidth="1"/>
    <col min="11" max="11" width="10" style="1" customWidth="1"/>
    <col min="12" max="12" width="11.33203125" style="1" customWidth="1"/>
    <col min="13" max="14" width="10" style="1" customWidth="1"/>
    <col min="15" max="16384" width="8.88671875" style="1"/>
  </cols>
  <sheetData>
    <row r="1" spans="1:24" s="6" customFormat="1" ht="54.75" customHeight="1" x14ac:dyDescent="0.2">
      <c r="A1" s="2" t="s">
        <v>1</v>
      </c>
      <c r="B1" s="2" t="s">
        <v>3</v>
      </c>
      <c r="C1" s="7" t="s">
        <v>4</v>
      </c>
      <c r="D1" s="7" t="s">
        <v>15</v>
      </c>
      <c r="E1" s="8" t="s">
        <v>16</v>
      </c>
      <c r="F1" s="8" t="s">
        <v>17</v>
      </c>
      <c r="G1" s="8" t="s">
        <v>18</v>
      </c>
      <c r="H1" s="8" t="s">
        <v>19</v>
      </c>
      <c r="I1" s="8" t="s">
        <v>68</v>
      </c>
      <c r="J1" s="6" t="s">
        <v>2</v>
      </c>
      <c r="K1" s="6" t="s">
        <v>51</v>
      </c>
      <c r="L1" s="2" t="s">
        <v>39</v>
      </c>
      <c r="M1" s="2" t="s">
        <v>37</v>
      </c>
      <c r="N1" s="2" t="s">
        <v>38</v>
      </c>
      <c r="O1" s="3" t="s">
        <v>5</v>
      </c>
      <c r="P1" s="3" t="s">
        <v>6</v>
      </c>
      <c r="Q1" s="3" t="s">
        <v>7</v>
      </c>
      <c r="R1" s="4" t="s">
        <v>8</v>
      </c>
      <c r="S1" s="4" t="s">
        <v>9</v>
      </c>
      <c r="T1" s="4" t="s">
        <v>10</v>
      </c>
      <c r="U1" s="4" t="s">
        <v>11</v>
      </c>
      <c r="V1" s="4" t="s">
        <v>12</v>
      </c>
      <c r="W1" s="5" t="s">
        <v>13</v>
      </c>
      <c r="X1" s="5" t="s">
        <v>14</v>
      </c>
    </row>
    <row r="2" spans="1:24" x14ac:dyDescent="0.2">
      <c r="A2" s="1" t="s">
        <v>61</v>
      </c>
      <c r="B2" s="1" t="s">
        <v>79</v>
      </c>
      <c r="C2" s="12">
        <f>(L2+20.6)*0.012715*10*10^6</f>
        <v>14558675</v>
      </c>
      <c r="D2" s="12">
        <f>73933301.0221233+17601167.908078</f>
        <v>91534468.930201307</v>
      </c>
      <c r="E2" s="10" t="s">
        <v>40</v>
      </c>
      <c r="F2" s="11">
        <v>9.9999999999999995E-7</v>
      </c>
      <c r="G2" s="10" t="s">
        <v>40</v>
      </c>
      <c r="H2" s="11">
        <v>9.9999999999999995E-7</v>
      </c>
      <c r="I2" s="40">
        <f>_discounting_sheet!D5</f>
        <v>288838101.26383388</v>
      </c>
      <c r="J2" s="9">
        <f>D2/C2</f>
        <v>6.2872801906905202</v>
      </c>
      <c r="K2" s="1">
        <v>5.3</v>
      </c>
      <c r="L2" s="1">
        <f t="shared" ref="L2:L9" si="0">M2+N2</f>
        <v>93.9</v>
      </c>
      <c r="M2" s="1">
        <v>85.4</v>
      </c>
      <c r="N2" s="1">
        <v>8.5</v>
      </c>
      <c r="O2" s="1">
        <v>0</v>
      </c>
      <c r="P2" s="1">
        <v>0</v>
      </c>
      <c r="Q2" s="1">
        <v>0</v>
      </c>
      <c r="R2" s="1">
        <v>0</v>
      </c>
      <c r="S2" s="1">
        <v>0</v>
      </c>
      <c r="T2" s="1">
        <v>0</v>
      </c>
      <c r="U2" s="1">
        <v>0</v>
      </c>
      <c r="V2" s="1" t="s">
        <v>54</v>
      </c>
      <c r="W2" s="1">
        <v>0</v>
      </c>
      <c r="X2" s="1">
        <v>0</v>
      </c>
    </row>
    <row r="3" spans="1:24" x14ac:dyDescent="0.2">
      <c r="A3" s="1" t="s">
        <v>55</v>
      </c>
      <c r="B3" s="1" t="s">
        <v>79</v>
      </c>
      <c r="C3" s="12">
        <f t="shared" ref="C3:C9" si="1">L3*0.012715*10*10^6</f>
        <v>5149575</v>
      </c>
      <c r="D3" s="12">
        <v>59224530.23361636</v>
      </c>
      <c r="J3" s="9">
        <f>D3/C3</f>
        <v>11.500857883148873</v>
      </c>
      <c r="K3" s="1">
        <v>7.3</v>
      </c>
      <c r="L3" s="1">
        <f t="shared" si="0"/>
        <v>40.5</v>
      </c>
      <c r="M3" s="1">
        <v>34.299999999999997</v>
      </c>
      <c r="N3" s="1">
        <v>6.2</v>
      </c>
      <c r="O3" s="1">
        <v>0</v>
      </c>
      <c r="P3" s="1">
        <v>0</v>
      </c>
      <c r="Q3" s="1">
        <v>0</v>
      </c>
      <c r="R3" s="1">
        <v>0</v>
      </c>
      <c r="S3" s="1">
        <v>0</v>
      </c>
      <c r="T3" s="1">
        <v>0</v>
      </c>
      <c r="U3" s="1">
        <v>0</v>
      </c>
      <c r="V3" s="1" t="s">
        <v>54</v>
      </c>
      <c r="W3" s="1">
        <v>0</v>
      </c>
      <c r="X3" s="1">
        <v>0</v>
      </c>
    </row>
    <row r="4" spans="1:24" x14ac:dyDescent="0.2">
      <c r="A4" s="1" t="s">
        <v>56</v>
      </c>
      <c r="B4" s="1" t="s">
        <v>79</v>
      </c>
      <c r="C4" s="12">
        <f t="shared" si="1"/>
        <v>81859170</v>
      </c>
      <c r="D4" s="32">
        <f>1.7*C4</f>
        <v>139160589</v>
      </c>
      <c r="J4" s="33">
        <f t="shared" ref="J4:J9" si="2">D4/C4</f>
        <v>1.7</v>
      </c>
      <c r="K4" s="1">
        <v>1.7</v>
      </c>
      <c r="L4" s="1">
        <f t="shared" si="0"/>
        <v>643.79999999999995</v>
      </c>
      <c r="M4" s="1">
        <v>643.79999999999995</v>
      </c>
      <c r="N4" s="1">
        <v>0</v>
      </c>
      <c r="O4" s="1">
        <v>0</v>
      </c>
      <c r="P4" s="1">
        <v>0</v>
      </c>
      <c r="Q4" s="1">
        <v>0</v>
      </c>
      <c r="R4" s="1">
        <v>0</v>
      </c>
      <c r="S4" s="1">
        <v>0</v>
      </c>
      <c r="T4" s="1">
        <v>0</v>
      </c>
      <c r="U4" s="1">
        <v>0</v>
      </c>
      <c r="V4" s="1" t="s">
        <v>54</v>
      </c>
      <c r="W4" s="1">
        <v>0</v>
      </c>
      <c r="X4" s="1">
        <v>0</v>
      </c>
    </row>
    <row r="5" spans="1:24" x14ac:dyDescent="0.2">
      <c r="A5" s="1" t="s">
        <v>60</v>
      </c>
      <c r="B5" s="1" t="s">
        <v>79</v>
      </c>
      <c r="C5" s="12">
        <f t="shared" si="1"/>
        <v>2822730</v>
      </c>
      <c r="D5" s="32">
        <f>15*10^6</f>
        <v>15000000</v>
      </c>
      <c r="J5" s="9">
        <f t="shared" si="2"/>
        <v>5.314004527531857</v>
      </c>
      <c r="K5" s="1">
        <v>2.4</v>
      </c>
      <c r="L5" s="1">
        <f t="shared" si="0"/>
        <v>22.2</v>
      </c>
      <c r="M5" s="1">
        <v>22</v>
      </c>
      <c r="N5" s="1">
        <v>0.2</v>
      </c>
      <c r="O5" s="1">
        <v>0</v>
      </c>
      <c r="P5" s="1">
        <v>0</v>
      </c>
      <c r="Q5" s="1">
        <v>0</v>
      </c>
      <c r="R5" s="1">
        <v>0</v>
      </c>
      <c r="S5" s="1">
        <v>0</v>
      </c>
      <c r="T5" s="1">
        <v>0</v>
      </c>
      <c r="U5" s="1">
        <v>0</v>
      </c>
      <c r="V5" s="1" t="s">
        <v>54</v>
      </c>
      <c r="W5" s="1">
        <v>0</v>
      </c>
      <c r="X5" s="1">
        <v>0</v>
      </c>
    </row>
    <row r="6" spans="1:24" x14ac:dyDescent="0.2">
      <c r="A6" s="1" t="s">
        <v>59</v>
      </c>
      <c r="B6" s="1" t="s">
        <v>79</v>
      </c>
      <c r="C6" s="12">
        <f>(L6+19.3)*0.012715*10*10^6</f>
        <v>3229610.0000000005</v>
      </c>
      <c r="D6" s="12">
        <f>24375575.8120187+20*10^6</f>
        <v>44375575.8120187</v>
      </c>
      <c r="J6" s="9">
        <f t="shared" si="2"/>
        <v>13.740227399598927</v>
      </c>
      <c r="K6" s="1">
        <v>26.2</v>
      </c>
      <c r="L6" s="1">
        <f t="shared" si="0"/>
        <v>6.1000000000000005</v>
      </c>
      <c r="M6" s="1">
        <v>5.7</v>
      </c>
      <c r="N6" s="1">
        <v>0.4</v>
      </c>
      <c r="O6" s="1">
        <v>0</v>
      </c>
      <c r="P6" s="1">
        <v>0</v>
      </c>
      <c r="Q6" s="1">
        <v>0</v>
      </c>
      <c r="R6" s="1">
        <v>0</v>
      </c>
      <c r="S6" s="1">
        <v>0</v>
      </c>
      <c r="T6" s="1">
        <v>0</v>
      </c>
      <c r="U6" s="1">
        <v>0</v>
      </c>
      <c r="V6" s="1" t="s">
        <v>54</v>
      </c>
      <c r="W6" s="1">
        <v>0</v>
      </c>
      <c r="X6" s="1">
        <v>0</v>
      </c>
    </row>
    <row r="7" spans="1:24" x14ac:dyDescent="0.2">
      <c r="A7" s="1" t="s">
        <v>63</v>
      </c>
      <c r="B7" s="1" t="s">
        <v>79</v>
      </c>
      <c r="C7" s="12">
        <f t="shared" si="1"/>
        <v>2097975</v>
      </c>
      <c r="D7" s="32">
        <f>12*10^6</f>
        <v>12000000</v>
      </c>
      <c r="J7" s="9">
        <f t="shared" si="2"/>
        <v>5.7198012369070179</v>
      </c>
      <c r="K7" s="1">
        <v>4.3</v>
      </c>
      <c r="L7" s="1">
        <f t="shared" si="0"/>
        <v>16.5</v>
      </c>
      <c r="M7" s="1">
        <v>16.5</v>
      </c>
      <c r="N7" s="1">
        <v>0</v>
      </c>
      <c r="O7" s="1">
        <v>0</v>
      </c>
      <c r="P7" s="1">
        <v>0</v>
      </c>
      <c r="Q7" s="1">
        <v>0</v>
      </c>
      <c r="R7" s="1">
        <v>0</v>
      </c>
      <c r="S7" s="1">
        <v>0</v>
      </c>
      <c r="T7" s="1">
        <v>0</v>
      </c>
      <c r="U7" s="1">
        <v>0</v>
      </c>
      <c r="V7" s="1" t="s">
        <v>54</v>
      </c>
      <c r="W7" s="1">
        <v>0</v>
      </c>
      <c r="X7" s="1">
        <v>0</v>
      </c>
    </row>
    <row r="8" spans="1:24" x14ac:dyDescent="0.2">
      <c r="A8" s="1" t="s">
        <v>62</v>
      </c>
      <c r="B8" s="1" t="s">
        <v>79</v>
      </c>
      <c r="C8" s="12">
        <f>L8*0.012715*10*10^6*2</f>
        <v>534030</v>
      </c>
      <c r="D8" s="32">
        <f>10.5*10^6</f>
        <v>10500000</v>
      </c>
      <c r="J8" s="9">
        <f t="shared" si="2"/>
        <v>19.661816751867871</v>
      </c>
      <c r="K8" s="1">
        <v>35</v>
      </c>
      <c r="L8" s="1">
        <f t="shared" si="0"/>
        <v>2.1</v>
      </c>
      <c r="M8" s="1">
        <v>2.1</v>
      </c>
      <c r="N8" s="1">
        <v>0</v>
      </c>
      <c r="O8" s="1">
        <v>0</v>
      </c>
      <c r="P8" s="1">
        <v>0</v>
      </c>
      <c r="Q8" s="1">
        <v>0</v>
      </c>
      <c r="R8" s="1">
        <v>0</v>
      </c>
      <c r="S8" s="1">
        <v>0</v>
      </c>
      <c r="T8" s="1">
        <v>0</v>
      </c>
      <c r="U8" s="1">
        <v>0</v>
      </c>
      <c r="V8" s="1" t="s">
        <v>54</v>
      </c>
      <c r="W8" s="1">
        <v>0</v>
      </c>
      <c r="X8" s="1">
        <v>0</v>
      </c>
    </row>
    <row r="9" spans="1:24" x14ac:dyDescent="0.2">
      <c r="A9" s="1" t="s">
        <v>58</v>
      </c>
      <c r="B9" s="1" t="s">
        <v>79</v>
      </c>
      <c r="C9" s="12">
        <f t="shared" si="1"/>
        <v>28481600</v>
      </c>
      <c r="D9" s="12">
        <v>199819856.78969628</v>
      </c>
      <c r="J9" s="9">
        <f t="shared" si="2"/>
        <v>7.0157525135419458</v>
      </c>
      <c r="K9" s="1">
        <v>7.8</v>
      </c>
      <c r="L9" s="1">
        <f t="shared" si="0"/>
        <v>224</v>
      </c>
      <c r="M9" s="1">
        <v>208</v>
      </c>
      <c r="N9" s="1">
        <v>16</v>
      </c>
      <c r="O9" s="1">
        <v>0</v>
      </c>
      <c r="P9" s="1">
        <v>0</v>
      </c>
      <c r="Q9" s="1">
        <v>0</v>
      </c>
      <c r="R9" s="1">
        <v>0</v>
      </c>
      <c r="S9" s="1">
        <v>0</v>
      </c>
      <c r="T9" s="1">
        <v>0</v>
      </c>
      <c r="U9" s="1">
        <v>0</v>
      </c>
      <c r="V9" s="1" t="s">
        <v>54</v>
      </c>
      <c r="W9" s="1">
        <v>0</v>
      </c>
      <c r="X9" s="1">
        <v>0</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5"/>
  <sheetViews>
    <sheetView workbookViewId="0">
      <selection activeCell="N25" sqref="N25"/>
    </sheetView>
  </sheetViews>
  <sheetFormatPr defaultRowHeight="14.25" x14ac:dyDescent="0.2"/>
  <cols>
    <col min="1" max="1" width="30.6640625" style="1" customWidth="1"/>
    <col min="2" max="2" width="7" customWidth="1"/>
    <col min="3" max="3" width="6.5546875" style="1" customWidth="1"/>
    <col min="4" max="7" width="5" style="1" customWidth="1"/>
    <col min="8" max="8" width="5.77734375" style="1" customWidth="1"/>
    <col min="9" max="12" width="10" style="1" customWidth="1"/>
    <col min="13" max="13" width="11.33203125" style="1" customWidth="1"/>
    <col min="14" max="15" width="10" style="1" customWidth="1"/>
    <col min="16" max="16" width="6.33203125" style="1" customWidth="1"/>
    <col min="17" max="16384" width="8.88671875" style="1"/>
  </cols>
  <sheetData>
    <row r="1" spans="1:26" s="6" customFormat="1" ht="54.75" customHeight="1" x14ac:dyDescent="0.2">
      <c r="A1" s="2" t="s">
        <v>1</v>
      </c>
      <c r="B1" s="7" t="s">
        <v>4</v>
      </c>
      <c r="C1" s="7" t="s">
        <v>15</v>
      </c>
      <c r="D1" s="8" t="s">
        <v>16</v>
      </c>
      <c r="E1" s="8" t="s">
        <v>17</v>
      </c>
      <c r="F1" s="8" t="s">
        <v>18</v>
      </c>
      <c r="G1" s="8" t="s">
        <v>19</v>
      </c>
      <c r="H1" s="6" t="s">
        <v>2</v>
      </c>
      <c r="I1" s="6" t="s">
        <v>41</v>
      </c>
      <c r="J1" s="6" t="s">
        <v>42</v>
      </c>
      <c r="K1" s="6" t="s">
        <v>51</v>
      </c>
      <c r="L1" s="6" t="s">
        <v>0</v>
      </c>
      <c r="M1" s="2" t="s">
        <v>39</v>
      </c>
      <c r="N1" s="2" t="s">
        <v>37</v>
      </c>
      <c r="O1" s="2" t="s">
        <v>38</v>
      </c>
      <c r="P1" s="2" t="s">
        <v>3</v>
      </c>
      <c r="Q1" s="3" t="s">
        <v>5</v>
      </c>
      <c r="R1" s="3" t="s">
        <v>6</v>
      </c>
      <c r="S1" s="3" t="s">
        <v>7</v>
      </c>
      <c r="T1" s="4" t="s">
        <v>8</v>
      </c>
      <c r="U1" s="4" t="s">
        <v>9</v>
      </c>
      <c r="V1" s="4" t="s">
        <v>10</v>
      </c>
      <c r="W1" s="4" t="s">
        <v>11</v>
      </c>
      <c r="X1" s="4" t="s">
        <v>12</v>
      </c>
      <c r="Y1" s="5" t="s">
        <v>13</v>
      </c>
      <c r="Z1" s="5" t="s">
        <v>14</v>
      </c>
    </row>
    <row r="2" spans="1:26" x14ac:dyDescent="0.2">
      <c r="A2" s="1" t="s">
        <v>22</v>
      </c>
      <c r="B2" s="9">
        <v>11.939385000000001</v>
      </c>
      <c r="C2" s="12">
        <v>73.933301022123302</v>
      </c>
      <c r="D2" s="10" t="s">
        <v>40</v>
      </c>
      <c r="E2" s="11">
        <v>9.9999999999999995E-7</v>
      </c>
      <c r="F2" s="10" t="s">
        <v>40</v>
      </c>
      <c r="G2" s="11">
        <v>9.9999999999999995E-7</v>
      </c>
      <c r="H2" s="9">
        <v>6.1923877169655972</v>
      </c>
      <c r="I2" s="16">
        <v>0.22700000000000001</v>
      </c>
      <c r="J2" s="16">
        <v>0.19700000000000001</v>
      </c>
      <c r="K2" s="1">
        <v>5.3</v>
      </c>
      <c r="L2" s="1">
        <v>10</v>
      </c>
      <c r="M2" s="1">
        <v>93.9</v>
      </c>
      <c r="N2" s="1">
        <v>85.4</v>
      </c>
      <c r="O2" s="1">
        <v>8.5</v>
      </c>
      <c r="P2" s="1" t="s">
        <v>79</v>
      </c>
      <c r="Q2" s="43">
        <v>0</v>
      </c>
      <c r="R2" s="43">
        <v>0</v>
      </c>
      <c r="S2" s="43">
        <v>0</v>
      </c>
      <c r="T2" s="43">
        <v>0</v>
      </c>
      <c r="U2" s="43">
        <v>0</v>
      </c>
      <c r="V2" s="43">
        <v>0</v>
      </c>
      <c r="W2" s="43">
        <v>0</v>
      </c>
      <c r="X2" s="43" t="s">
        <v>54</v>
      </c>
      <c r="Y2" s="43">
        <v>0</v>
      </c>
      <c r="Z2" s="43">
        <v>0</v>
      </c>
    </row>
    <row r="3" spans="1:26" x14ac:dyDescent="0.2">
      <c r="A3" s="1" t="s">
        <v>23</v>
      </c>
      <c r="B3" s="9">
        <v>5.1495750000000005</v>
      </c>
      <c r="C3" s="12">
        <v>59.224530233616356</v>
      </c>
      <c r="H3" s="9">
        <v>11.500857883148871</v>
      </c>
      <c r="I3" s="16">
        <v>0.19400000000000001</v>
      </c>
      <c r="J3" s="16">
        <v>0.15</v>
      </c>
      <c r="K3" s="1">
        <v>7.3</v>
      </c>
      <c r="L3" s="1">
        <v>4</v>
      </c>
      <c r="M3" s="1">
        <v>40.5</v>
      </c>
      <c r="N3" s="1">
        <v>34.299999999999997</v>
      </c>
      <c r="O3" s="1">
        <v>6.2</v>
      </c>
      <c r="P3" s="1" t="s">
        <v>80</v>
      </c>
      <c r="Q3" s="43">
        <v>0</v>
      </c>
      <c r="R3" s="43">
        <v>0</v>
      </c>
      <c r="S3" s="43">
        <v>0</v>
      </c>
      <c r="T3" s="43">
        <v>0</v>
      </c>
      <c r="U3" s="43">
        <v>0</v>
      </c>
      <c r="V3" s="43">
        <v>0</v>
      </c>
      <c r="W3" s="43">
        <v>0</v>
      </c>
      <c r="X3" s="43" t="s">
        <v>54</v>
      </c>
      <c r="Y3" s="43">
        <v>0</v>
      </c>
      <c r="Z3" s="43">
        <v>0</v>
      </c>
    </row>
    <row r="4" spans="1:26" x14ac:dyDescent="0.2">
      <c r="A4" s="1" t="s">
        <v>43</v>
      </c>
      <c r="B4" s="9">
        <v>2.6192899999999995</v>
      </c>
      <c r="C4" s="12">
        <v>17.601167908078015</v>
      </c>
      <c r="H4" s="9">
        <v>6.7198240393686905</v>
      </c>
      <c r="I4" s="16">
        <v>5.7000000000000002E-2</v>
      </c>
      <c r="J4" s="16">
        <v>4.4999999999999998E-2</v>
      </c>
      <c r="K4" s="1">
        <v>3.1</v>
      </c>
      <c r="L4" s="1">
        <v>2</v>
      </c>
      <c r="M4" s="1">
        <v>20.599999999999998</v>
      </c>
      <c r="N4" s="1">
        <v>17.2</v>
      </c>
      <c r="O4" s="1">
        <v>3.4</v>
      </c>
      <c r="P4" s="1" t="s">
        <v>81</v>
      </c>
      <c r="Q4" s="43">
        <v>0</v>
      </c>
      <c r="R4" s="43">
        <v>0</v>
      </c>
      <c r="S4" s="43">
        <v>0</v>
      </c>
      <c r="T4" s="43">
        <v>0</v>
      </c>
      <c r="U4" s="43">
        <v>0</v>
      </c>
      <c r="V4" s="43">
        <v>0</v>
      </c>
      <c r="W4" s="43">
        <v>0</v>
      </c>
      <c r="X4" s="43" t="s">
        <v>54</v>
      </c>
      <c r="Y4" s="43">
        <v>0</v>
      </c>
      <c r="Z4" s="43">
        <v>0</v>
      </c>
    </row>
    <row r="5" spans="1:26" x14ac:dyDescent="0.2">
      <c r="A5" s="1" t="s">
        <v>21</v>
      </c>
      <c r="B5" s="9">
        <v>81.859170000000006</v>
      </c>
      <c r="C5" s="32">
        <v>139.16058900000002</v>
      </c>
      <c r="H5" s="33">
        <v>1.7000000000000002</v>
      </c>
      <c r="I5" s="16">
        <v>1.6E-2</v>
      </c>
      <c r="J5" s="16">
        <v>2.4E-2</v>
      </c>
      <c r="K5" s="1">
        <v>1.7</v>
      </c>
      <c r="L5" s="1">
        <v>75.7</v>
      </c>
      <c r="M5" s="1">
        <v>643.79999999999995</v>
      </c>
      <c r="N5" s="1">
        <v>643.79999999999995</v>
      </c>
      <c r="O5" s="1">
        <v>0</v>
      </c>
      <c r="P5" s="1" t="s">
        <v>82</v>
      </c>
      <c r="Q5" s="43">
        <v>0</v>
      </c>
      <c r="R5" s="43">
        <v>0</v>
      </c>
      <c r="S5" s="43">
        <v>0</v>
      </c>
      <c r="T5" s="43">
        <v>0</v>
      </c>
      <c r="U5" s="43">
        <v>0</v>
      </c>
      <c r="V5" s="43">
        <v>0</v>
      </c>
      <c r="W5" s="43">
        <v>0</v>
      </c>
      <c r="X5" s="43" t="s">
        <v>54</v>
      </c>
      <c r="Y5" s="43">
        <v>0</v>
      </c>
      <c r="Z5" s="43">
        <v>0</v>
      </c>
    </row>
    <row r="6" spans="1:26" x14ac:dyDescent="0.2">
      <c r="A6" s="1" t="s">
        <v>25</v>
      </c>
      <c r="B6" s="9">
        <v>5.0860000000000002E-2</v>
      </c>
      <c r="C6" s="12">
        <v>1.2</v>
      </c>
      <c r="H6" s="9">
        <v>23.594180102241445</v>
      </c>
      <c r="I6" s="16">
        <v>1.2E-2</v>
      </c>
      <c r="J6" s="16">
        <v>4.9000000000000002E-2</v>
      </c>
      <c r="K6" s="1">
        <v>20</v>
      </c>
      <c r="L6" s="1">
        <v>0</v>
      </c>
      <c r="M6" s="1">
        <v>0.4</v>
      </c>
      <c r="N6" s="1">
        <v>0</v>
      </c>
      <c r="O6" s="1">
        <v>0.4</v>
      </c>
      <c r="P6" s="1" t="s">
        <v>83</v>
      </c>
      <c r="Q6" s="43">
        <v>0</v>
      </c>
      <c r="R6" s="43">
        <v>0</v>
      </c>
      <c r="S6" s="43">
        <v>0</v>
      </c>
      <c r="T6" s="43">
        <v>0</v>
      </c>
      <c r="U6" s="43">
        <v>0</v>
      </c>
      <c r="V6" s="43">
        <v>0</v>
      </c>
      <c r="W6" s="43">
        <v>0</v>
      </c>
      <c r="X6" s="43" t="s">
        <v>54</v>
      </c>
      <c r="Y6" s="43">
        <v>0</v>
      </c>
      <c r="Z6" s="43">
        <v>0</v>
      </c>
    </row>
    <row r="7" spans="1:26" x14ac:dyDescent="0.2">
      <c r="A7" s="1" t="s">
        <v>28</v>
      </c>
      <c r="B7" s="9">
        <v>2.82273</v>
      </c>
      <c r="C7" s="32">
        <v>12.231851573953106</v>
      </c>
      <c r="H7" s="9">
        <v>4.3333409762722992</v>
      </c>
      <c r="I7" s="16">
        <v>1.2E-2</v>
      </c>
      <c r="J7" s="16">
        <v>4.9000000000000002E-2</v>
      </c>
      <c r="K7" s="1">
        <v>2.4</v>
      </c>
      <c r="L7" s="1">
        <v>2.6</v>
      </c>
      <c r="M7" s="1">
        <v>22.2</v>
      </c>
      <c r="N7" s="1">
        <v>22</v>
      </c>
      <c r="O7" s="1">
        <v>0.2</v>
      </c>
      <c r="P7" s="1" t="s">
        <v>84</v>
      </c>
      <c r="Q7" s="43">
        <v>0</v>
      </c>
      <c r="R7" s="43">
        <v>0</v>
      </c>
      <c r="S7" s="43">
        <v>0</v>
      </c>
      <c r="T7" s="43">
        <v>0</v>
      </c>
      <c r="U7" s="43">
        <v>0</v>
      </c>
      <c r="V7" s="43">
        <v>0</v>
      </c>
      <c r="W7" s="43">
        <v>0</v>
      </c>
      <c r="X7" s="43" t="s">
        <v>54</v>
      </c>
      <c r="Y7" s="43">
        <v>0</v>
      </c>
      <c r="Z7" s="43">
        <v>0</v>
      </c>
    </row>
    <row r="8" spans="1:26" x14ac:dyDescent="0.2">
      <c r="A8" s="1" t="s">
        <v>29</v>
      </c>
      <c r="B8" s="9">
        <v>0.77561500000000005</v>
      </c>
      <c r="C8" s="12">
        <v>24.375575812018713</v>
      </c>
      <c r="H8" s="9">
        <v>31.427416710634414</v>
      </c>
      <c r="I8" s="16">
        <v>0</v>
      </c>
      <c r="J8" s="16">
        <v>0.113</v>
      </c>
      <c r="K8" s="1">
        <v>26.2</v>
      </c>
      <c r="L8" s="1">
        <v>0.7</v>
      </c>
      <c r="M8" s="1">
        <v>6.1000000000000005</v>
      </c>
      <c r="N8" s="1">
        <v>5.7</v>
      </c>
      <c r="O8" s="1">
        <v>0.4</v>
      </c>
      <c r="P8" s="1" t="s">
        <v>85</v>
      </c>
      <c r="Q8" s="43">
        <v>0</v>
      </c>
      <c r="R8" s="43">
        <v>0</v>
      </c>
      <c r="S8" s="43">
        <v>0</v>
      </c>
      <c r="T8" s="43">
        <v>0</v>
      </c>
      <c r="U8" s="43">
        <v>0</v>
      </c>
      <c r="V8" s="43">
        <v>0</v>
      </c>
      <c r="W8" s="43">
        <v>0</v>
      </c>
      <c r="X8" s="43" t="s">
        <v>54</v>
      </c>
      <c r="Y8" s="43">
        <v>0</v>
      </c>
      <c r="Z8" s="43">
        <v>0</v>
      </c>
    </row>
    <row r="9" spans="1:26" x14ac:dyDescent="0.2">
      <c r="A9" s="1" t="s">
        <v>30</v>
      </c>
      <c r="B9" s="9">
        <v>2.4539950000000004</v>
      </c>
      <c r="C9" s="12">
        <v>13.489192199614656</v>
      </c>
      <c r="H9" s="9">
        <v>5.4968295369854685</v>
      </c>
      <c r="I9" s="16">
        <v>4.5999999999999999E-2</v>
      </c>
      <c r="J9" s="16">
        <v>3.3000000000000002E-2</v>
      </c>
      <c r="K9" s="1">
        <v>4</v>
      </c>
      <c r="L9" s="1">
        <v>2.1</v>
      </c>
      <c r="M9" s="1">
        <v>19.3</v>
      </c>
      <c r="N9" s="1">
        <v>17.5</v>
      </c>
      <c r="O9" s="1">
        <v>1.8</v>
      </c>
      <c r="P9" s="1" t="s">
        <v>86</v>
      </c>
      <c r="Q9" s="43">
        <v>0</v>
      </c>
      <c r="R9" s="43">
        <v>0</v>
      </c>
      <c r="S9" s="43">
        <v>0</v>
      </c>
      <c r="T9" s="43">
        <v>0</v>
      </c>
      <c r="U9" s="43">
        <v>0</v>
      </c>
      <c r="V9" s="43">
        <v>0</v>
      </c>
      <c r="W9" s="43">
        <v>0</v>
      </c>
      <c r="X9" s="43" t="s">
        <v>54</v>
      </c>
      <c r="Y9" s="43">
        <v>0</v>
      </c>
      <c r="Z9" s="43">
        <v>0</v>
      </c>
    </row>
    <row r="10" spans="1:26" x14ac:dyDescent="0.2">
      <c r="A10" s="1" t="s">
        <v>31</v>
      </c>
      <c r="B10" s="9">
        <v>2.0979749999999999</v>
      </c>
      <c r="C10" s="32">
        <v>12</v>
      </c>
      <c r="H10" s="9">
        <v>5.7198012369070179</v>
      </c>
      <c r="I10" s="16">
        <v>0.21199999999999999</v>
      </c>
      <c r="J10" s="16">
        <v>0.19400000000000001</v>
      </c>
      <c r="K10" s="1">
        <v>4.3</v>
      </c>
      <c r="L10" s="1">
        <v>1.9</v>
      </c>
      <c r="M10" s="1">
        <v>16.5</v>
      </c>
      <c r="N10" s="1">
        <v>16.5</v>
      </c>
      <c r="O10" s="1">
        <v>0</v>
      </c>
      <c r="P10" s="1" t="s">
        <v>87</v>
      </c>
      <c r="Q10" s="43">
        <v>0</v>
      </c>
      <c r="R10" s="43">
        <v>0</v>
      </c>
      <c r="S10" s="43">
        <v>0</v>
      </c>
      <c r="T10" s="43">
        <v>0</v>
      </c>
      <c r="U10" s="43">
        <v>0</v>
      </c>
      <c r="V10" s="43">
        <v>0</v>
      </c>
      <c r="W10" s="43">
        <v>0</v>
      </c>
      <c r="X10" s="43" t="s">
        <v>54</v>
      </c>
      <c r="Y10" s="43">
        <v>0</v>
      </c>
      <c r="Z10" s="43">
        <v>0</v>
      </c>
    </row>
    <row r="11" spans="1:26" x14ac:dyDescent="0.2">
      <c r="A11" s="1" t="s">
        <v>32</v>
      </c>
      <c r="B11" s="9">
        <v>5.0860000000000002E-2</v>
      </c>
      <c r="C11" s="12">
        <v>1.4</v>
      </c>
      <c r="H11" s="9">
        <v>27.526543452615019</v>
      </c>
      <c r="I11" s="16">
        <v>4.0000000000000001E-3</v>
      </c>
      <c r="J11" s="16">
        <v>6.0999999999999999E-2</v>
      </c>
      <c r="K11" s="1">
        <v>25.3</v>
      </c>
      <c r="L11" s="1">
        <v>0</v>
      </c>
      <c r="M11" s="1">
        <v>0.4</v>
      </c>
      <c r="N11" s="1">
        <v>0</v>
      </c>
      <c r="O11" s="1">
        <v>0.4</v>
      </c>
      <c r="P11" s="1" t="s">
        <v>88</v>
      </c>
      <c r="Q11" s="43">
        <v>0</v>
      </c>
      <c r="R11" s="43">
        <v>0</v>
      </c>
      <c r="S11" s="43">
        <v>0</v>
      </c>
      <c r="T11" s="43">
        <v>0</v>
      </c>
      <c r="U11" s="43">
        <v>0</v>
      </c>
      <c r="V11" s="43">
        <v>0</v>
      </c>
      <c r="W11" s="43">
        <v>0</v>
      </c>
      <c r="X11" s="43" t="s">
        <v>54</v>
      </c>
      <c r="Y11" s="43">
        <v>0</v>
      </c>
      <c r="Z11" s="43">
        <v>0</v>
      </c>
    </row>
    <row r="12" spans="1:26" x14ac:dyDescent="0.2">
      <c r="A12" s="1" t="s">
        <v>33</v>
      </c>
      <c r="B12" s="9">
        <v>0.267015</v>
      </c>
      <c r="C12" s="32">
        <v>10.5</v>
      </c>
      <c r="H12" s="9">
        <v>39.323633503735742</v>
      </c>
      <c r="I12" s="16">
        <v>0.43099999999999999</v>
      </c>
      <c r="J12" s="16">
        <v>0</v>
      </c>
      <c r="K12" s="1">
        <v>35</v>
      </c>
      <c r="L12" s="1">
        <v>0.2</v>
      </c>
      <c r="M12" s="1">
        <v>2.1</v>
      </c>
      <c r="N12" s="1">
        <v>2.1</v>
      </c>
      <c r="O12" s="1">
        <v>0</v>
      </c>
      <c r="P12" s="1" t="s">
        <v>89</v>
      </c>
      <c r="Q12" s="43">
        <v>0</v>
      </c>
      <c r="R12" s="43">
        <v>0</v>
      </c>
      <c r="S12" s="43">
        <v>0</v>
      </c>
      <c r="T12" s="43">
        <v>0</v>
      </c>
      <c r="U12" s="43">
        <v>0</v>
      </c>
      <c r="V12" s="43">
        <v>0</v>
      </c>
      <c r="W12" s="43">
        <v>0</v>
      </c>
      <c r="X12" s="43" t="s">
        <v>54</v>
      </c>
      <c r="Y12" s="43">
        <v>0</v>
      </c>
      <c r="Z12" s="43">
        <v>0</v>
      </c>
    </row>
    <row r="13" spans="1:26" x14ac:dyDescent="0.2">
      <c r="A13" s="1" t="s">
        <v>35</v>
      </c>
      <c r="B13" s="9">
        <v>4.9969950000000001</v>
      </c>
      <c r="C13" s="12">
        <v>4.0825999298341964</v>
      </c>
      <c r="H13" s="9">
        <v>0.81701100958359896</v>
      </c>
      <c r="I13" s="16">
        <v>3.0000000000000001E-3</v>
      </c>
      <c r="J13" s="16">
        <v>1.7000000000000001E-2</v>
      </c>
      <c r="K13" s="1">
        <v>0.5</v>
      </c>
      <c r="L13" s="1">
        <v>4.2</v>
      </c>
      <c r="M13" s="1">
        <v>39.299999999999997</v>
      </c>
      <c r="N13" s="1">
        <v>35.799999999999997</v>
      </c>
      <c r="O13" s="1">
        <v>3.5</v>
      </c>
      <c r="P13" s="1" t="s">
        <v>90</v>
      </c>
      <c r="Q13" s="43">
        <v>0</v>
      </c>
      <c r="R13" s="43">
        <v>0</v>
      </c>
      <c r="S13" s="43">
        <v>0</v>
      </c>
      <c r="T13" s="43">
        <v>0</v>
      </c>
      <c r="U13" s="43">
        <v>0</v>
      </c>
      <c r="V13" s="43">
        <v>0</v>
      </c>
      <c r="W13" s="43">
        <v>0</v>
      </c>
      <c r="X13" s="43" t="s">
        <v>54</v>
      </c>
      <c r="Y13" s="43">
        <v>0</v>
      </c>
      <c r="Z13" s="43">
        <v>0</v>
      </c>
    </row>
    <row r="14" spans="1:26" x14ac:dyDescent="0.2">
      <c r="A14" s="1" t="s">
        <v>36</v>
      </c>
      <c r="B14" s="9">
        <v>21.017895000000003</v>
      </c>
      <c r="C14" s="12">
        <v>140.52397173647259</v>
      </c>
      <c r="H14" s="9">
        <v>6.6859203424735245</v>
      </c>
      <c r="I14" s="16">
        <v>0.41499999999999998</v>
      </c>
      <c r="J14" s="16">
        <v>0.38500000000000001</v>
      </c>
      <c r="K14" s="1">
        <v>9.3000000000000007</v>
      </c>
      <c r="L14" s="1">
        <v>18.5</v>
      </c>
      <c r="M14" s="1">
        <v>165.3</v>
      </c>
      <c r="N14" s="1">
        <v>157</v>
      </c>
      <c r="O14" s="1">
        <v>8.3000000000000007</v>
      </c>
      <c r="P14" s="1" t="s">
        <v>91</v>
      </c>
      <c r="Q14" s="43">
        <v>0</v>
      </c>
      <c r="R14" s="43">
        <v>0</v>
      </c>
      <c r="S14" s="43">
        <v>0</v>
      </c>
      <c r="T14" s="43">
        <v>0</v>
      </c>
      <c r="U14" s="43">
        <v>0</v>
      </c>
      <c r="V14" s="43">
        <v>0</v>
      </c>
      <c r="W14" s="43">
        <v>0</v>
      </c>
      <c r="X14" s="43" t="s">
        <v>54</v>
      </c>
      <c r="Y14" s="43">
        <v>0</v>
      </c>
      <c r="Z14" s="43">
        <v>0</v>
      </c>
    </row>
    <row r="15" spans="1:26" x14ac:dyDescent="0.2">
      <c r="A15" s="1" t="s">
        <v>58</v>
      </c>
      <c r="B15" s="9">
        <v>28.4816</v>
      </c>
      <c r="C15" s="12">
        <v>199.81985678969627</v>
      </c>
      <c r="H15" s="9">
        <v>7.0157525135419458</v>
      </c>
      <c r="I15" s="16">
        <v>0.55500000000000005</v>
      </c>
      <c r="J15" s="16">
        <v>0.56999999999999995</v>
      </c>
      <c r="K15" s="1">
        <v>7.8</v>
      </c>
      <c r="L15" s="1">
        <v>24.5</v>
      </c>
      <c r="M15" s="1">
        <v>224</v>
      </c>
      <c r="N15" s="1">
        <v>208</v>
      </c>
      <c r="O15" s="1">
        <v>16</v>
      </c>
      <c r="P15" s="1" t="s">
        <v>92</v>
      </c>
      <c r="Q15" s="43">
        <v>0</v>
      </c>
      <c r="R15" s="43">
        <v>0</v>
      </c>
      <c r="S15" s="43">
        <v>0</v>
      </c>
      <c r="T15" s="43">
        <v>0</v>
      </c>
      <c r="U15" s="43">
        <v>0</v>
      </c>
      <c r="V15" s="43">
        <v>0</v>
      </c>
      <c r="W15" s="43">
        <v>0</v>
      </c>
      <c r="X15" s="43" t="s">
        <v>54</v>
      </c>
      <c r="Y15" s="43">
        <v>0</v>
      </c>
      <c r="Z15" s="43">
        <v>0</v>
      </c>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topLeftCell="A10" zoomScale="80" zoomScaleNormal="80" workbookViewId="0">
      <selection activeCell="I47" sqref="I47"/>
    </sheetView>
  </sheetViews>
  <sheetFormatPr defaultColWidth="6.88671875" defaultRowHeight="12.75" x14ac:dyDescent="0.2"/>
  <cols>
    <col min="1" max="1" width="12.44140625" style="13" customWidth="1"/>
    <col min="2" max="2" width="5.109375" style="13" customWidth="1"/>
    <col min="3" max="4" width="12.77734375" style="13" customWidth="1"/>
    <col min="5" max="19" width="10.6640625" style="13" customWidth="1"/>
    <col min="20" max="20" width="2.5546875" style="13" customWidth="1"/>
    <col min="21" max="16384" width="6.88671875" style="13"/>
  </cols>
  <sheetData>
    <row r="1" spans="1:21" x14ac:dyDescent="0.2">
      <c r="A1" s="13" t="s">
        <v>44</v>
      </c>
    </row>
    <row r="2" spans="1:21" x14ac:dyDescent="0.2">
      <c r="A2" s="31" t="s">
        <v>57</v>
      </c>
      <c r="B2" s="31"/>
    </row>
    <row r="3" spans="1:21" s="19" customFormat="1" ht="71.25" x14ac:dyDescent="0.2">
      <c r="A3" s="26"/>
      <c r="B3" s="26"/>
      <c r="C3" s="26"/>
      <c r="D3" s="30" t="s">
        <v>64</v>
      </c>
      <c r="E3" s="30" t="str">
        <f t="shared" ref="E3:S3" si="0">E39</f>
        <v>Drainage 	improvement</v>
      </c>
      <c r="F3" s="30" t="str">
        <f t="shared" si="0"/>
        <v>Khal	 deepening, restoration project</v>
      </c>
      <c r="G3" s="30" t="str">
        <f t="shared" si="0"/>
        <v>Solid waste management improvement</v>
      </c>
      <c r="H3" s="30" t="str">
        <f t="shared" si="0"/>
        <v>Hazard	 proof roads</v>
      </c>
      <c r="I3" s="30" t="str">
        <f t="shared" si="0"/>
        <v>Land 	raising &amp; resettlement slums</v>
      </c>
      <c r="J3" s="30" t="str">
        <f t="shared" si="0"/>
        <v>Early	 warning system</v>
      </c>
      <c r="K3" s="30" t="str">
        <f t="shared" si="0"/>
        <v>Cyclone	 shelters</v>
      </c>
      <c r="L3" s="30" t="str">
        <f t="shared" si="0"/>
        <v>Additional 	pond</v>
      </c>
      <c r="M3" s="30" t="str">
        <f t="shared" si="0"/>
        <v>Rain water 	infiltration</v>
      </c>
      <c r="N3" s="30" t="str">
        <f t="shared" si="0"/>
        <v>Flood 	resilient buildings</v>
      </c>
      <c r="O3" s="30" t="str">
        <f t="shared" si="0"/>
        <v xml:space="preserve">Spatial	 zoning	</v>
      </c>
      <c r="P3" s="30" t="str">
        <f t="shared" si="0"/>
        <v>Flood 	resilient crops</v>
      </c>
      <c r="Q3" s="30" t="str">
        <f t="shared" si="0"/>
        <v>Regular	 embankments</v>
      </c>
      <c r="R3" s="30" t="str">
        <f t="shared" si="0"/>
        <v>Embankment and gates</v>
      </c>
      <c r="S3" s="30" t="str">
        <f t="shared" si="0"/>
        <v>Embankment, gates and pumps</v>
      </c>
    </row>
    <row r="4" spans="1:21" s="19" customFormat="1" ht="25.5" x14ac:dyDescent="0.2">
      <c r="A4" s="28" t="str">
        <f t="shared" ref="A4:A20" si="1">A21</f>
        <v>year</v>
      </c>
      <c r="B4" s="28"/>
      <c r="C4" s="28"/>
      <c r="D4" s="28" t="s">
        <v>65</v>
      </c>
      <c r="E4" s="29" t="s">
        <v>48</v>
      </c>
      <c r="F4" s="29" t="s">
        <v>48</v>
      </c>
      <c r="G4" s="29" t="s">
        <v>48</v>
      </c>
      <c r="H4" s="29" t="s">
        <v>48</v>
      </c>
      <c r="I4" s="29" t="s">
        <v>48</v>
      </c>
      <c r="J4" s="29" t="s">
        <v>48</v>
      </c>
      <c r="K4" s="29" t="s">
        <v>48</v>
      </c>
      <c r="L4" s="29" t="s">
        <v>48</v>
      </c>
      <c r="M4" s="29" t="s">
        <v>48</v>
      </c>
      <c r="N4" s="29" t="s">
        <v>48</v>
      </c>
      <c r="O4" s="29" t="s">
        <v>48</v>
      </c>
      <c r="P4" s="29" t="s">
        <v>48</v>
      </c>
      <c r="Q4" s="29" t="s">
        <v>48</v>
      </c>
      <c r="R4" s="29" t="s">
        <v>48</v>
      </c>
      <c r="S4" s="29" t="s">
        <v>48</v>
      </c>
    </row>
    <row r="5" spans="1:21" ht="14.25" x14ac:dyDescent="0.2">
      <c r="A5" s="13">
        <f t="shared" si="1"/>
        <v>2015</v>
      </c>
      <c r="B5" s="18"/>
      <c r="C5" s="15"/>
      <c r="D5" s="36">
        <f t="shared" ref="D5:D18" si="2">D22+D6/(1+$B23)</f>
        <v>288838101.26383388</v>
      </c>
      <c r="E5" s="36">
        <f t="shared" ref="E5:E19" si="3">E22+E6/(1+$B23)</f>
        <v>73933301.022123307</v>
      </c>
      <c r="F5" s="36">
        <f t="shared" ref="F5:F19" si="4">F22+F6/(1+$B23)</f>
        <v>59224530.233616352</v>
      </c>
      <c r="G5" s="36">
        <f t="shared" ref="G5:G19" si="5">G22+G6/(1+$B23)</f>
        <v>17601167.908078019</v>
      </c>
      <c r="H5" s="36">
        <f t="shared" ref="H5:H19" si="6">H22+H6/(1+$B23)</f>
        <v>647139.18085005414</v>
      </c>
      <c r="I5" s="36">
        <f t="shared" ref="I5:I19" si="7">I22+I6/(1+$B23)</f>
        <v>7392995.6068922803</v>
      </c>
      <c r="J5" s="36">
        <f t="shared" ref="J5:J19" si="8">J22+J6/(1+$B23)</f>
        <v>12231851.573953103</v>
      </c>
      <c r="K5" s="36">
        <f t="shared" ref="K5:K19" si="9">K22+K6/(1+$B23)</f>
        <v>12231851.573953103</v>
      </c>
      <c r="L5" s="36">
        <f t="shared" ref="L5:L19" si="10">L22+L6/(1+$B23)</f>
        <v>24375575.812018711</v>
      </c>
      <c r="M5" s="36">
        <f t="shared" ref="M5:M19" si="11">M22+M6/(1+$B23)</f>
        <v>13489192.199614657</v>
      </c>
      <c r="N5" s="36">
        <f t="shared" ref="N5:N19" si="12">N22+N6/(1+$B23)</f>
        <v>71208772.316187143</v>
      </c>
      <c r="O5" s="36">
        <f t="shared" ref="O5:O19" si="13">O22+O6/(1+$B23)</f>
        <v>13712467.217307398</v>
      </c>
      <c r="P5" s="36">
        <f t="shared" ref="P5:P19" si="14">P22+P6/(1+$B23)</f>
        <v>59690325.687474132</v>
      </c>
      <c r="Q5" s="36">
        <f t="shared" ref="Q5:Q19" si="15">Q22+Q6/(1+$B23)</f>
        <v>4082599.9298341954</v>
      </c>
      <c r="R5" s="36">
        <f t="shared" ref="R5:R19" si="16">R22+R6/(1+$B23)</f>
        <v>140523971.73647255</v>
      </c>
      <c r="S5" s="36">
        <f t="shared" ref="S5:S19" si="17">S22+S6/(1+$B23)</f>
        <v>199819856.78969625</v>
      </c>
      <c r="U5" s="34" t="s">
        <v>52</v>
      </c>
    </row>
    <row r="6" spans="1:21" x14ac:dyDescent="0.2">
      <c r="A6" s="13">
        <f t="shared" si="1"/>
        <v>2016</v>
      </c>
      <c r="B6" s="18"/>
      <c r="C6" s="15"/>
      <c r="D6" s="37">
        <f t="shared" si="2"/>
        <v>284414863.28911054</v>
      </c>
      <c r="E6" s="37">
        <f t="shared" si="3"/>
        <v>73096567.042565778</v>
      </c>
      <c r="F6" s="37">
        <f t="shared" si="4"/>
        <v>58430220.83828868</v>
      </c>
      <c r="G6" s="37">
        <f t="shared" si="5"/>
        <v>17371791.26623958</v>
      </c>
      <c r="H6" s="37">
        <f t="shared" si="6"/>
        <v>660081.96446705528</v>
      </c>
      <c r="I6" s="37">
        <f t="shared" si="7"/>
        <v>7377655.5190301258</v>
      </c>
      <c r="J6" s="37">
        <f t="shared" si="8"/>
        <v>12354088.605432166</v>
      </c>
      <c r="K6" s="37">
        <f t="shared" si="9"/>
        <v>12354088.605432166</v>
      </c>
      <c r="L6" s="37">
        <f t="shared" si="10"/>
        <v>24863087.328259084</v>
      </c>
      <c r="M6" s="37">
        <f t="shared" si="11"/>
        <v>13289776.04360695</v>
      </c>
      <c r="N6" s="37">
        <f t="shared" si="12"/>
        <v>70470547.762510881</v>
      </c>
      <c r="O6" s="37">
        <f t="shared" si="13"/>
        <v>13945916.561653547</v>
      </c>
      <c r="P6" s="37">
        <f t="shared" si="14"/>
        <v>56487932.201223612</v>
      </c>
      <c r="Q6" s="37">
        <f t="shared" si="15"/>
        <v>4133651.9284308795</v>
      </c>
      <c r="R6" s="37">
        <f t="shared" si="16"/>
        <v>139101451.171202</v>
      </c>
      <c r="S6" s="37">
        <f t="shared" si="17"/>
        <v>198155253.92549017</v>
      </c>
    </row>
    <row r="7" spans="1:21" x14ac:dyDescent="0.2">
      <c r="A7" s="13">
        <f t="shared" si="1"/>
        <v>2017</v>
      </c>
      <c r="B7" s="18"/>
      <c r="C7" s="15"/>
      <c r="D7" s="37">
        <f t="shared" si="2"/>
        <v>278339160.55489278</v>
      </c>
      <c r="E7" s="37">
        <f t="shared" si="3"/>
        <v>71801030.3834171</v>
      </c>
      <c r="F7" s="37">
        <f t="shared" si="4"/>
        <v>57283425.255054452</v>
      </c>
      <c r="G7" s="37">
        <f t="shared" si="5"/>
        <v>17036847.091564372</v>
      </c>
      <c r="H7" s="37">
        <f t="shared" si="6"/>
        <v>666551.60375639645</v>
      </c>
      <c r="I7" s="37">
        <f t="shared" si="7"/>
        <v>7308152.6294107288</v>
      </c>
      <c r="J7" s="37">
        <f t="shared" si="8"/>
        <v>12368814.37754081</v>
      </c>
      <c r="K7" s="37">
        <f t="shared" si="9"/>
        <v>12368814.37754081</v>
      </c>
      <c r="L7" s="37">
        <f t="shared" si="10"/>
        <v>25106777.074824266</v>
      </c>
      <c r="M7" s="37">
        <f t="shared" si="11"/>
        <v>13012319.564479088</v>
      </c>
      <c r="N7" s="37">
        <f t="shared" si="12"/>
        <v>69282222.717761099</v>
      </c>
      <c r="O7" s="37">
        <f t="shared" si="13"/>
        <v>14047150.892886618</v>
      </c>
      <c r="P7" s="37">
        <f t="shared" si="14"/>
        <v>53221490.845248088</v>
      </c>
      <c r="Q7" s="37">
        <f t="shared" si="15"/>
        <v>4147576.9669994973</v>
      </c>
      <c r="R7" s="37">
        <f t="shared" si="16"/>
        <v>136786540.19462606</v>
      </c>
      <c r="S7" s="37">
        <f t="shared" si="17"/>
        <v>195178279.00399998</v>
      </c>
      <c r="U7" s="13" t="s">
        <v>53</v>
      </c>
    </row>
    <row r="8" spans="1:21" ht="14.25" x14ac:dyDescent="0.2">
      <c r="A8" s="13">
        <f t="shared" si="1"/>
        <v>2018</v>
      </c>
      <c r="B8" s="18"/>
      <c r="C8" s="15"/>
      <c r="D8" s="37">
        <f t="shared" si="2"/>
        <v>270577943.76599061</v>
      </c>
      <c r="E8" s="37">
        <f t="shared" si="3"/>
        <v>70037514.99108544</v>
      </c>
      <c r="F8" s="37">
        <f t="shared" si="4"/>
        <v>55777093.760155544</v>
      </c>
      <c r="G8" s="37">
        <f t="shared" si="5"/>
        <v>16594224.033395657</v>
      </c>
      <c r="H8" s="37">
        <f t="shared" si="6"/>
        <v>666418.63583152439</v>
      </c>
      <c r="I8" s="37">
        <f t="shared" si="7"/>
        <v>7183403.6819989439</v>
      </c>
      <c r="J8" s="37">
        <f t="shared" si="8"/>
        <v>12273878.665091626</v>
      </c>
      <c r="K8" s="37">
        <f t="shared" si="9"/>
        <v>12273878.665091626</v>
      </c>
      <c r="L8" s="37">
        <f t="shared" si="10"/>
        <v>25101768.616320752</v>
      </c>
      <c r="M8" s="37">
        <f t="shared" si="11"/>
        <v>12655261.955768671</v>
      </c>
      <c r="N8" s="37">
        <f t="shared" si="12"/>
        <v>67634795.172116324</v>
      </c>
      <c r="O8" s="37">
        <f t="shared" si="13"/>
        <v>14013525.91074435</v>
      </c>
      <c r="P8" s="37">
        <f t="shared" si="14"/>
        <v>49889720.66215305</v>
      </c>
      <c r="Q8" s="37">
        <f t="shared" si="15"/>
        <v>4123632.5063394872</v>
      </c>
      <c r="R8" s="37">
        <f t="shared" si="16"/>
        <v>133561390.99851859</v>
      </c>
      <c r="S8" s="37">
        <f t="shared" si="17"/>
        <v>190862684.58407998</v>
      </c>
      <c r="U8" s="1" t="s">
        <v>20</v>
      </c>
    </row>
    <row r="9" spans="1:21" ht="14.25" x14ac:dyDescent="0.2">
      <c r="A9" s="13">
        <f t="shared" si="1"/>
        <v>2019</v>
      </c>
      <c r="B9" s="18"/>
      <c r="C9" s="15"/>
      <c r="D9" s="37">
        <f t="shared" si="2"/>
        <v>261097502.64131042</v>
      </c>
      <c r="E9" s="37">
        <f t="shared" si="3"/>
        <v>67796661.290907145</v>
      </c>
      <c r="F9" s="37">
        <f t="shared" si="4"/>
        <v>53904035.635358654</v>
      </c>
      <c r="G9" s="37">
        <f t="shared" si="5"/>
        <v>16041768.514063571</v>
      </c>
      <c r="H9" s="37">
        <f t="shared" si="6"/>
        <v>659551.00854815484</v>
      </c>
      <c r="I9" s="37">
        <f t="shared" si="7"/>
        <v>7002303.7556389226</v>
      </c>
      <c r="J9" s="37">
        <f t="shared" si="8"/>
        <v>12067088.238393459</v>
      </c>
      <c r="K9" s="37">
        <f t="shared" si="9"/>
        <v>12067088.238393459</v>
      </c>
      <c r="L9" s="37">
        <f t="shared" si="10"/>
        <v>24843087.988647167</v>
      </c>
      <c r="M9" s="37">
        <f t="shared" si="11"/>
        <v>12217011.194884045</v>
      </c>
      <c r="N9" s="37">
        <f t="shared" si="12"/>
        <v>65519083.075558655</v>
      </c>
      <c r="O9" s="37">
        <f t="shared" si="13"/>
        <v>13842344.428959237</v>
      </c>
      <c r="P9" s="37">
        <f t="shared" si="14"/>
        <v>46491315.075396113</v>
      </c>
      <c r="Q9" s="37">
        <f t="shared" si="15"/>
        <v>4061061.1564662769</v>
      </c>
      <c r="R9" s="37">
        <f t="shared" si="16"/>
        <v>129407798.81848896</v>
      </c>
      <c r="S9" s="37">
        <f t="shared" si="17"/>
        <v>185181698.27576157</v>
      </c>
      <c r="U9" s="1" t="s">
        <v>27</v>
      </c>
    </row>
    <row r="10" spans="1:21" ht="14.25" x14ac:dyDescent="0.2">
      <c r="A10" s="13">
        <f t="shared" si="1"/>
        <v>2020</v>
      </c>
      <c r="B10" s="18"/>
      <c r="C10" s="15"/>
      <c r="D10" s="37">
        <f t="shared" si="2"/>
        <v>249863452.69413662</v>
      </c>
      <c r="E10" s="37">
        <f t="shared" si="3"/>
        <v>65068922.516725294</v>
      </c>
      <c r="F10" s="37">
        <f t="shared" si="4"/>
        <v>51656916.348065831</v>
      </c>
      <c r="G10" s="37">
        <f t="shared" si="5"/>
        <v>15377283.884344842</v>
      </c>
      <c r="H10" s="37">
        <f t="shared" si="6"/>
        <v>645814.02871911798</v>
      </c>
      <c r="I10" s="37">
        <f t="shared" si="7"/>
        <v>6763725.8307517013</v>
      </c>
      <c r="J10" s="37">
        <f t="shared" si="8"/>
        <v>11746206.003161328</v>
      </c>
      <c r="K10" s="37">
        <f t="shared" si="9"/>
        <v>11746206.003161328</v>
      </c>
      <c r="L10" s="37">
        <f t="shared" si="10"/>
        <v>24325661.748420112</v>
      </c>
      <c r="M10" s="37">
        <f t="shared" si="11"/>
        <v>11695943.418781726</v>
      </c>
      <c r="N10" s="37">
        <f t="shared" si="12"/>
        <v>62925720.73706983</v>
      </c>
      <c r="O10" s="37">
        <f t="shared" si="13"/>
        <v>13530855.317538422</v>
      </c>
      <c r="P10" s="37">
        <f t="shared" si="14"/>
        <v>43024941.376904033</v>
      </c>
      <c r="Q10" s="37">
        <f t="shared" si="15"/>
        <v>3959090.3795956024</v>
      </c>
      <c r="R10" s="37">
        <f t="shared" si="16"/>
        <v>124307194.79485874</v>
      </c>
      <c r="S10" s="37">
        <f t="shared" si="17"/>
        <v>178108012.2412768</v>
      </c>
      <c r="U10" s="1" t="s">
        <v>26</v>
      </c>
    </row>
    <row r="11" spans="1:21" ht="14.25" x14ac:dyDescent="0.2">
      <c r="A11" s="13">
        <f t="shared" si="1"/>
        <v>2021</v>
      </c>
      <c r="B11" s="18"/>
      <c r="C11" s="15"/>
      <c r="D11" s="37">
        <f t="shared" si="2"/>
        <v>236840721.74801937</v>
      </c>
      <c r="E11" s="37">
        <f t="shared" si="3"/>
        <v>61844560.967059799</v>
      </c>
      <c r="F11" s="37">
        <f t="shared" si="4"/>
        <v>49028254.675027147</v>
      </c>
      <c r="G11" s="37">
        <f t="shared" si="5"/>
        <v>14598529.56203174</v>
      </c>
      <c r="H11" s="37">
        <f t="shared" si="6"/>
        <v>625070.30929350038</v>
      </c>
      <c r="I11" s="37">
        <f t="shared" si="7"/>
        <v>6466520.3473667353</v>
      </c>
      <c r="J11" s="37">
        <f t="shared" si="8"/>
        <v>11308950.123224555</v>
      </c>
      <c r="K11" s="37">
        <f t="shared" si="9"/>
        <v>11308950.123224555</v>
      </c>
      <c r="L11" s="37">
        <f t="shared" si="10"/>
        <v>23544314.983388513</v>
      </c>
      <c r="M11" s="37">
        <f t="shared" si="11"/>
        <v>11090402.28715736</v>
      </c>
      <c r="N11" s="37">
        <f t="shared" si="12"/>
        <v>59845155.151811227</v>
      </c>
      <c r="O11" s="37">
        <f t="shared" si="13"/>
        <v>13076252.42388919</v>
      </c>
      <c r="P11" s="37">
        <f t="shared" si="14"/>
        <v>39489240.204442114</v>
      </c>
      <c r="Q11" s="37">
        <f t="shared" si="15"/>
        <v>3816932.1871875147</v>
      </c>
      <c r="R11" s="37">
        <f t="shared" si="16"/>
        <v>118240638.69075592</v>
      </c>
      <c r="S11" s="37">
        <f t="shared" si="17"/>
        <v>169613772.48610234</v>
      </c>
      <c r="U11" s="1" t="s">
        <v>34</v>
      </c>
    </row>
    <row r="12" spans="1:21" ht="14.25" x14ac:dyDescent="0.2">
      <c r="A12" s="13">
        <f t="shared" si="1"/>
        <v>2022</v>
      </c>
      <c r="B12" s="18"/>
      <c r="C12" s="15"/>
      <c r="D12" s="37">
        <f t="shared" si="2"/>
        <v>221993536.18297976</v>
      </c>
      <c r="E12" s="37">
        <f t="shared" si="3"/>
        <v>58113644.186400995</v>
      </c>
      <c r="F12" s="37">
        <f t="shared" si="4"/>
        <v>46010419.768527694</v>
      </c>
      <c r="G12" s="37">
        <f t="shared" si="5"/>
        <v>13703220.153272375</v>
      </c>
      <c r="H12" s="37">
        <f t="shared" si="6"/>
        <v>597179.71547937044</v>
      </c>
      <c r="I12" s="37">
        <f t="shared" si="7"/>
        <v>6109514.7543140706</v>
      </c>
      <c r="J12" s="37">
        <f t="shared" si="8"/>
        <v>10752993.125689046</v>
      </c>
      <c r="K12" s="37">
        <f t="shared" si="9"/>
        <v>10752993.125689046</v>
      </c>
      <c r="L12" s="37">
        <f t="shared" si="10"/>
        <v>22493769.283056285</v>
      </c>
      <c r="M12" s="37">
        <f t="shared" si="11"/>
        <v>10398698.332900507</v>
      </c>
      <c r="N12" s="37">
        <f t="shared" si="12"/>
        <v>56267642.254847452</v>
      </c>
      <c r="O12" s="37">
        <f t="shared" si="13"/>
        <v>12475673.472366974</v>
      </c>
      <c r="P12" s="37">
        <f t="shared" si="14"/>
        <v>35882825.008530959</v>
      </c>
      <c r="Q12" s="37">
        <f t="shared" si="15"/>
        <v>3633782.8309312649</v>
      </c>
      <c r="R12" s="37">
        <f t="shared" si="16"/>
        <v>111188811.46457104</v>
      </c>
      <c r="S12" s="37">
        <f t="shared" si="17"/>
        <v>159670567.93582439</v>
      </c>
      <c r="U12" s="1" t="s">
        <v>24</v>
      </c>
    </row>
    <row r="13" spans="1:21" x14ac:dyDescent="0.2">
      <c r="A13" s="13">
        <f t="shared" si="1"/>
        <v>2023</v>
      </c>
      <c r="B13" s="18"/>
      <c r="C13" s="15"/>
      <c r="D13" s="37">
        <f t="shared" si="2"/>
        <v>205285406.90663934</v>
      </c>
      <c r="E13" s="37">
        <f t="shared" si="3"/>
        <v>53866041.070129015</v>
      </c>
      <c r="F13" s="37">
        <f t="shared" si="4"/>
        <v>42595628.163898252</v>
      </c>
      <c r="G13" s="37">
        <f t="shared" si="5"/>
        <v>12689024.556337824</v>
      </c>
      <c r="H13" s="37">
        <f t="shared" si="6"/>
        <v>561999.30978895782</v>
      </c>
      <c r="I13" s="37">
        <f t="shared" si="7"/>
        <v>5691513.0494003519</v>
      </c>
      <c r="J13" s="37">
        <f t="shared" si="8"/>
        <v>10075960.988202827</v>
      </c>
      <c r="K13" s="37">
        <f t="shared" si="9"/>
        <v>10075960.988202827</v>
      </c>
      <c r="L13" s="37">
        <f t="shared" si="10"/>
        <v>21168640.66871741</v>
      </c>
      <c r="M13" s="37">
        <f t="shared" si="11"/>
        <v>9619108.2995585185</v>
      </c>
      <c r="N13" s="37">
        <f t="shared" si="12"/>
        <v>52183243.099944405</v>
      </c>
      <c r="O13" s="37">
        <f t="shared" si="13"/>
        <v>11726198.941814313</v>
      </c>
      <c r="P13" s="37">
        <f t="shared" si="14"/>
        <v>32204281.508701574</v>
      </c>
      <c r="Q13" s="37">
        <f t="shared" si="15"/>
        <v>3408822.4875498903</v>
      </c>
      <c r="R13" s="37">
        <f t="shared" si="16"/>
        <v>103132007.69386247</v>
      </c>
      <c r="S13" s="37">
        <f t="shared" si="17"/>
        <v>148249419.29454088</v>
      </c>
    </row>
    <row r="14" spans="1:21" x14ac:dyDescent="0.2">
      <c r="A14" s="13">
        <f t="shared" si="1"/>
        <v>2024</v>
      </c>
      <c r="B14" s="18"/>
      <c r="C14" s="15"/>
      <c r="D14" s="37">
        <f t="shared" si="2"/>
        <v>186679115.04477215</v>
      </c>
      <c r="E14" s="37">
        <f t="shared" si="3"/>
        <v>49091417.891531594</v>
      </c>
      <c r="F14" s="37">
        <f t="shared" si="4"/>
        <v>38775940.727176219</v>
      </c>
      <c r="G14" s="37">
        <f t="shared" si="5"/>
        <v>11553565.047464581</v>
      </c>
      <c r="H14" s="37">
        <f t="shared" si="6"/>
        <v>519383.29598473699</v>
      </c>
      <c r="I14" s="37">
        <f t="shared" si="7"/>
        <v>5211295.3103883592</v>
      </c>
      <c r="J14" s="37">
        <f t="shared" si="8"/>
        <v>9275432.2079668846</v>
      </c>
      <c r="K14" s="37">
        <f t="shared" si="9"/>
        <v>9275432.2079668846</v>
      </c>
      <c r="L14" s="37">
        <f t="shared" si="10"/>
        <v>19563437.482091758</v>
      </c>
      <c r="M14" s="37">
        <f t="shared" si="11"/>
        <v>8749874.4655496888</v>
      </c>
      <c r="N14" s="37">
        <f t="shared" si="12"/>
        <v>47581819.961943291</v>
      </c>
      <c r="O14" s="37">
        <f t="shared" si="13"/>
        <v>10824850.9206506</v>
      </c>
      <c r="P14" s="37">
        <f t="shared" si="14"/>
        <v>28452167.138875607</v>
      </c>
      <c r="Q14" s="37">
        <f t="shared" si="15"/>
        <v>3141214.9373008884</v>
      </c>
      <c r="R14" s="37">
        <f t="shared" si="16"/>
        <v>94050127.847739726</v>
      </c>
      <c r="S14" s="37">
        <f t="shared" si="17"/>
        <v>135320767.68043172</v>
      </c>
    </row>
    <row r="15" spans="1:21" x14ac:dyDescent="0.2">
      <c r="A15" s="13">
        <f t="shared" si="1"/>
        <v>2025</v>
      </c>
      <c r="B15" s="18"/>
      <c r="C15" s="15"/>
      <c r="D15" s="37">
        <f t="shared" si="2"/>
        <v>166136697.3456676</v>
      </c>
      <c r="E15" s="37">
        <f t="shared" si="3"/>
        <v>43779234.24936223</v>
      </c>
      <c r="F15" s="37">
        <f t="shared" si="4"/>
        <v>34543259.541719742</v>
      </c>
      <c r="G15" s="37">
        <f t="shared" si="5"/>
        <v>10294416.348413873</v>
      </c>
      <c r="H15" s="37">
        <f t="shared" si="6"/>
        <v>469182.96190443175</v>
      </c>
      <c r="I15" s="37">
        <f t="shared" si="7"/>
        <v>4667617.2165961266</v>
      </c>
      <c r="J15" s="37">
        <f t="shared" si="8"/>
        <v>8348936.8521262221</v>
      </c>
      <c r="K15" s="37">
        <f t="shared" si="9"/>
        <v>8348936.8521262221</v>
      </c>
      <c r="L15" s="37">
        <f t="shared" si="10"/>
        <v>17672558.231733594</v>
      </c>
      <c r="M15" s="37">
        <f t="shared" si="11"/>
        <v>7789203.9548606826</v>
      </c>
      <c r="N15" s="37">
        <f t="shared" si="12"/>
        <v>42453032.361182161</v>
      </c>
      <c r="O15" s="37">
        <f t="shared" si="13"/>
        <v>9768591.9390636124</v>
      </c>
      <c r="P15" s="37">
        <f t="shared" si="14"/>
        <v>24625010.48165312</v>
      </c>
      <c r="Q15" s="37">
        <f t="shared" si="15"/>
        <v>2830107.2360469061</v>
      </c>
      <c r="R15" s="37">
        <f t="shared" si="16"/>
        <v>83922670.404694527</v>
      </c>
      <c r="S15" s="37">
        <f t="shared" si="17"/>
        <v>120854463.03404036</v>
      </c>
    </row>
    <row r="16" spans="1:21" x14ac:dyDescent="0.2">
      <c r="A16" s="13">
        <f t="shared" si="1"/>
        <v>2026</v>
      </c>
      <c r="B16" s="18"/>
      <c r="C16" s="15"/>
      <c r="D16" s="37">
        <f t="shared" si="2"/>
        <v>143619431.29258093</v>
      </c>
      <c r="E16" s="37">
        <f t="shared" si="3"/>
        <v>37918738.934349477</v>
      </c>
      <c r="F16" s="37">
        <f t="shared" si="4"/>
        <v>29889324.732554138</v>
      </c>
      <c r="G16" s="37">
        <f t="shared" si="5"/>
        <v>8909104.6753821503</v>
      </c>
      <c r="H16" s="37">
        <f t="shared" si="6"/>
        <v>411246.62114252039</v>
      </c>
      <c r="I16" s="37">
        <f t="shared" si="7"/>
        <v>4059209.5609280495</v>
      </c>
      <c r="J16" s="37">
        <f t="shared" si="8"/>
        <v>7293955.589168747</v>
      </c>
      <c r="K16" s="37">
        <f t="shared" si="9"/>
        <v>7293955.589168747</v>
      </c>
      <c r="L16" s="37">
        <f t="shared" si="10"/>
        <v>15490289.396368267</v>
      </c>
      <c r="M16" s="37">
        <f t="shared" si="11"/>
        <v>6735268.0339578968</v>
      </c>
      <c r="N16" s="37">
        <f t="shared" si="12"/>
        <v>36786333.008405805</v>
      </c>
      <c r="O16" s="37">
        <f t="shared" si="13"/>
        <v>8554323.7778448854</v>
      </c>
      <c r="P16" s="37">
        <f t="shared" si="14"/>
        <v>20721310.691286184</v>
      </c>
      <c r="Q16" s="37">
        <f t="shared" si="15"/>
        <v>2474629.3807678442</v>
      </c>
      <c r="R16" s="37">
        <f t="shared" si="16"/>
        <v>72728723.812788412</v>
      </c>
      <c r="S16" s="37">
        <f t="shared" si="17"/>
        <v>104819752.29472117</v>
      </c>
    </row>
    <row r="17" spans="1:19" x14ac:dyDescent="0.2">
      <c r="A17" s="13">
        <f t="shared" si="1"/>
        <v>2027</v>
      </c>
      <c r="B17" s="18"/>
      <c r="C17" s="15"/>
      <c r="D17" s="37">
        <f t="shared" si="2"/>
        <v>119087819.91843256</v>
      </c>
      <c r="E17" s="37">
        <f t="shared" si="3"/>
        <v>31498965.713036463</v>
      </c>
      <c r="F17" s="37">
        <f t="shared" si="4"/>
        <v>24805711.227205221</v>
      </c>
      <c r="G17" s="37">
        <f t="shared" si="5"/>
        <v>7395106.7688897932</v>
      </c>
      <c r="H17" s="37">
        <f t="shared" si="6"/>
        <v>345419.55356537079</v>
      </c>
      <c r="I17" s="37">
        <f t="shared" si="7"/>
        <v>3384777.7521466105</v>
      </c>
      <c r="J17" s="37">
        <f t="shared" si="8"/>
        <v>6107918.700952122</v>
      </c>
      <c r="K17" s="37">
        <f t="shared" si="9"/>
        <v>6107918.700952122</v>
      </c>
      <c r="L17" s="37">
        <f t="shared" si="10"/>
        <v>13010803.184295632</v>
      </c>
      <c r="M17" s="37">
        <f t="shared" si="11"/>
        <v>5586201.3946370548</v>
      </c>
      <c r="N17" s="37">
        <f t="shared" si="12"/>
        <v>30570963.668573923</v>
      </c>
      <c r="O17" s="37">
        <f t="shared" si="13"/>
        <v>7178886.2534017833</v>
      </c>
      <c r="P17" s="37">
        <f t="shared" si="14"/>
        <v>16739536.905111909</v>
      </c>
      <c r="Q17" s="37">
        <f t="shared" si="15"/>
        <v>2073893.9683832012</v>
      </c>
      <c r="R17" s="37">
        <f t="shared" si="16"/>
        <v>60446958.289044179</v>
      </c>
      <c r="S17" s="37">
        <f t="shared" si="17"/>
        <v>87185267.3406156</v>
      </c>
    </row>
    <row r="18" spans="1:19" x14ac:dyDescent="0.2">
      <c r="A18" s="13">
        <f t="shared" si="1"/>
        <v>2028</v>
      </c>
      <c r="B18" s="18"/>
      <c r="C18" s="15"/>
      <c r="D18" s="37">
        <f t="shared" si="2"/>
        <v>92501576.31680122</v>
      </c>
      <c r="E18" s="37">
        <f t="shared" si="3"/>
        <v>24508729.027297191</v>
      </c>
      <c r="F18" s="37">
        <f t="shared" si="4"/>
        <v>19283825.451749325</v>
      </c>
      <c r="G18" s="37">
        <f t="shared" si="5"/>
        <v>5749848.9042675896</v>
      </c>
      <c r="H18" s="37">
        <f t="shared" si="6"/>
        <v>271543.94463667821</v>
      </c>
      <c r="I18" s="37">
        <f t="shared" si="7"/>
        <v>2643001.3071895428</v>
      </c>
      <c r="J18" s="37">
        <f t="shared" si="8"/>
        <v>4788205.0749711646</v>
      </c>
      <c r="K18" s="37">
        <f t="shared" si="9"/>
        <v>4788205.0749711646</v>
      </c>
      <c r="L18" s="37">
        <f t="shared" si="10"/>
        <v>10228155.247981545</v>
      </c>
      <c r="M18" s="37">
        <f t="shared" si="11"/>
        <v>4340101.4225297961</v>
      </c>
      <c r="N18" s="37">
        <f t="shared" si="12"/>
        <v>23795950.941945404</v>
      </c>
      <c r="O18" s="37">
        <f t="shared" si="13"/>
        <v>5639055.9784698188</v>
      </c>
      <c r="P18" s="37">
        <f t="shared" si="14"/>
        <v>12678127.643214148</v>
      </c>
      <c r="Q18" s="37">
        <f t="shared" si="15"/>
        <v>1626995.8477508652</v>
      </c>
      <c r="R18" s="37">
        <f t="shared" si="16"/>
        <v>47055617.454825066</v>
      </c>
      <c r="S18" s="37">
        <f t="shared" si="17"/>
        <v>67919012.687427908</v>
      </c>
    </row>
    <row r="19" spans="1:19" x14ac:dyDescent="0.2">
      <c r="A19" s="13">
        <f t="shared" si="1"/>
        <v>2029</v>
      </c>
      <c r="B19" s="18"/>
      <c r="C19" s="15"/>
      <c r="D19" s="37">
        <f>D36+D20/(1+$B37)</f>
        <v>63819607.843137249</v>
      </c>
      <c r="E19" s="37">
        <f t="shared" si="3"/>
        <v>16936619.607843138</v>
      </c>
      <c r="F19" s="37">
        <f t="shared" si="4"/>
        <v>13314901.960784312</v>
      </c>
      <c r="G19" s="37">
        <f t="shared" si="5"/>
        <v>3970705.8823529412</v>
      </c>
      <c r="H19" s="37">
        <f t="shared" si="6"/>
        <v>189458.82352941175</v>
      </c>
      <c r="I19" s="37">
        <f t="shared" si="7"/>
        <v>1832533.3333333335</v>
      </c>
      <c r="J19" s="37">
        <f t="shared" si="8"/>
        <v>3332141.176470588</v>
      </c>
      <c r="K19" s="37">
        <f t="shared" si="9"/>
        <v>3332141.176470588</v>
      </c>
      <c r="L19" s="37">
        <f t="shared" si="10"/>
        <v>7136282.3529411759</v>
      </c>
      <c r="M19" s="37">
        <f t="shared" si="11"/>
        <v>2995027.4509803923</v>
      </c>
      <c r="N19" s="37">
        <f t="shared" si="12"/>
        <v>16450101.960784312</v>
      </c>
      <c r="O19" s="37">
        <f t="shared" si="13"/>
        <v>3931545.0980392154</v>
      </c>
      <c r="P19" s="37">
        <f t="shared" si="14"/>
        <v>8535490.1960784309</v>
      </c>
      <c r="Q19" s="37">
        <f t="shared" si="15"/>
        <v>1133011.7647058824</v>
      </c>
      <c r="R19" s="37">
        <f t="shared" si="16"/>
        <v>32532509.803921569</v>
      </c>
      <c r="S19" s="37">
        <f t="shared" si="17"/>
        <v>46988352.941176474</v>
      </c>
    </row>
    <row r="20" spans="1:19" x14ac:dyDescent="0.2">
      <c r="A20" s="13">
        <f t="shared" si="1"/>
        <v>2030</v>
      </c>
      <c r="B20" s="18"/>
      <c r="C20" s="15"/>
      <c r="D20" s="37">
        <f>D37</f>
        <v>33000000</v>
      </c>
      <c r="E20" s="37">
        <f t="shared" ref="E20:S20" si="18">E37</f>
        <v>8771000</v>
      </c>
      <c r="F20" s="37">
        <f t="shared" si="18"/>
        <v>6890000</v>
      </c>
      <c r="G20" s="37">
        <f t="shared" si="18"/>
        <v>2055000</v>
      </c>
      <c r="H20" s="37">
        <f t="shared" si="18"/>
        <v>99000</v>
      </c>
      <c r="I20" s="37">
        <f t="shared" si="18"/>
        <v>952000</v>
      </c>
      <c r="J20" s="37">
        <f t="shared" si="18"/>
        <v>1737000</v>
      </c>
      <c r="K20" s="37">
        <f t="shared" si="18"/>
        <v>1737000</v>
      </c>
      <c r="L20" s="37">
        <f t="shared" si="18"/>
        <v>3729000</v>
      </c>
      <c r="M20" s="37">
        <f t="shared" si="18"/>
        <v>1549000</v>
      </c>
      <c r="N20" s="37">
        <f t="shared" si="18"/>
        <v>8522000</v>
      </c>
      <c r="O20" s="37">
        <f t="shared" si="18"/>
        <v>2053000</v>
      </c>
      <c r="P20" s="37">
        <f t="shared" si="18"/>
        <v>4310000</v>
      </c>
      <c r="Q20" s="37">
        <f t="shared" si="18"/>
        <v>591000</v>
      </c>
      <c r="R20" s="37">
        <f t="shared" si="18"/>
        <v>16855000</v>
      </c>
      <c r="S20" s="37">
        <f t="shared" si="18"/>
        <v>24360000</v>
      </c>
    </row>
    <row r="21" spans="1:19" s="19" customFormat="1" ht="25.5" x14ac:dyDescent="0.2">
      <c r="A21" s="27" t="s">
        <v>45</v>
      </c>
      <c r="B21" s="27" t="s">
        <v>46</v>
      </c>
      <c r="C21" s="27" t="s">
        <v>47</v>
      </c>
      <c r="D21" s="27" t="s">
        <v>49</v>
      </c>
      <c r="E21" s="27" t="s">
        <v>50</v>
      </c>
      <c r="F21" s="27" t="s">
        <v>50</v>
      </c>
      <c r="G21" s="27" t="s">
        <v>50</v>
      </c>
      <c r="H21" s="27" t="s">
        <v>50</v>
      </c>
      <c r="I21" s="27" t="s">
        <v>50</v>
      </c>
      <c r="J21" s="27" t="s">
        <v>50</v>
      </c>
      <c r="K21" s="27" t="s">
        <v>50</v>
      </c>
      <c r="L21" s="27" t="s">
        <v>50</v>
      </c>
      <c r="M21" s="27" t="s">
        <v>50</v>
      </c>
      <c r="N21" s="27" t="s">
        <v>50</v>
      </c>
      <c r="O21" s="27" t="s">
        <v>50</v>
      </c>
      <c r="P21" s="27" t="s">
        <v>50</v>
      </c>
      <c r="Q21" s="27" t="s">
        <v>50</v>
      </c>
      <c r="R21" s="27" t="s">
        <v>50</v>
      </c>
      <c r="S21" s="27" t="s">
        <v>50</v>
      </c>
    </row>
    <row r="22" spans="1:19" x14ac:dyDescent="0.2">
      <c r="A22" s="13">
        <v>2015</v>
      </c>
      <c r="B22" s="14">
        <f>[1]discount!C17</f>
        <v>0.02</v>
      </c>
      <c r="C22" s="15">
        <f>(A22-$A$22)/($A$37-$A$22)</f>
        <v>0</v>
      </c>
      <c r="D22" s="35">
        <f>(A22-$A$22)*$D$43+$C$40</f>
        <v>10000000</v>
      </c>
      <c r="E22" s="35">
        <f t="shared" ref="E22:S31" si="19">($C$40*E$40)+($C$41*E$41)*$C22</f>
        <v>2270000</v>
      </c>
      <c r="F22" s="35">
        <f t="shared" si="19"/>
        <v>1940000</v>
      </c>
      <c r="G22" s="35">
        <f t="shared" si="19"/>
        <v>570000</v>
      </c>
      <c r="H22" s="35">
        <f t="shared" si="19"/>
        <v>0</v>
      </c>
      <c r="I22" s="35">
        <f t="shared" si="19"/>
        <v>160000</v>
      </c>
      <c r="J22" s="35">
        <f t="shared" si="19"/>
        <v>120000</v>
      </c>
      <c r="K22" s="35">
        <f t="shared" si="19"/>
        <v>120000</v>
      </c>
      <c r="L22" s="35">
        <f t="shared" si="19"/>
        <v>0</v>
      </c>
      <c r="M22" s="35">
        <f t="shared" si="19"/>
        <v>460000</v>
      </c>
      <c r="N22" s="35">
        <f t="shared" si="19"/>
        <v>2120000</v>
      </c>
      <c r="O22" s="35">
        <f t="shared" si="19"/>
        <v>40000</v>
      </c>
      <c r="P22" s="35">
        <f t="shared" si="19"/>
        <v>4310000</v>
      </c>
      <c r="Q22" s="35">
        <f t="shared" si="19"/>
        <v>30000</v>
      </c>
      <c r="R22" s="35">
        <f t="shared" si="19"/>
        <v>4150000</v>
      </c>
      <c r="S22" s="35">
        <f t="shared" si="19"/>
        <v>5550000.0000000009</v>
      </c>
    </row>
    <row r="23" spans="1:19" x14ac:dyDescent="0.2">
      <c r="A23" s="13">
        <v>2016</v>
      </c>
      <c r="B23" s="14">
        <f>[1]discount!C18</f>
        <v>0.02</v>
      </c>
      <c r="C23" s="15">
        <f t="shared" ref="C23:C37" si="20">(A23-$A$22)/($A$37-$A$22)</f>
        <v>6.6666666666666666E-2</v>
      </c>
      <c r="D23" s="35">
        <f t="shared" ref="D23:D37" si="21">(A23-$A$22)*$D$43+$C$40</f>
        <v>11533333.333333334</v>
      </c>
      <c r="E23" s="35">
        <f t="shared" si="19"/>
        <v>2703400</v>
      </c>
      <c r="F23" s="35">
        <f t="shared" si="19"/>
        <v>2270000</v>
      </c>
      <c r="G23" s="35">
        <f t="shared" si="19"/>
        <v>669000</v>
      </c>
      <c r="H23" s="35">
        <f t="shared" si="19"/>
        <v>6600</v>
      </c>
      <c r="I23" s="35">
        <f t="shared" si="19"/>
        <v>212800</v>
      </c>
      <c r="J23" s="35">
        <f t="shared" si="19"/>
        <v>227800</v>
      </c>
      <c r="K23" s="35">
        <f t="shared" si="19"/>
        <v>227800</v>
      </c>
      <c r="L23" s="35">
        <f t="shared" si="19"/>
        <v>248600</v>
      </c>
      <c r="M23" s="35">
        <f t="shared" si="19"/>
        <v>532600</v>
      </c>
      <c r="N23" s="35">
        <f t="shared" si="19"/>
        <v>2546800</v>
      </c>
      <c r="O23" s="35">
        <f t="shared" si="19"/>
        <v>174200</v>
      </c>
      <c r="P23" s="35">
        <f t="shared" si="19"/>
        <v>4310000</v>
      </c>
      <c r="Q23" s="35">
        <f t="shared" si="19"/>
        <v>67400</v>
      </c>
      <c r="R23" s="35">
        <f t="shared" si="19"/>
        <v>4997000</v>
      </c>
      <c r="S23" s="35">
        <f t="shared" si="19"/>
        <v>6804000.0000000009</v>
      </c>
    </row>
    <row r="24" spans="1:19" x14ac:dyDescent="0.2">
      <c r="A24" s="13">
        <v>2017</v>
      </c>
      <c r="B24" s="14">
        <f>[1]discount!C19</f>
        <v>0.02</v>
      </c>
      <c r="C24" s="15">
        <f t="shared" si="20"/>
        <v>0.13333333333333333</v>
      </c>
      <c r="D24" s="35">
        <f t="shared" si="21"/>
        <v>13066666.666666666</v>
      </c>
      <c r="E24" s="35">
        <f t="shared" si="19"/>
        <v>3136800</v>
      </c>
      <c r="F24" s="35">
        <f t="shared" si="19"/>
        <v>2600000</v>
      </c>
      <c r="G24" s="35">
        <f t="shared" si="19"/>
        <v>768000</v>
      </c>
      <c r="H24" s="35">
        <f t="shared" si="19"/>
        <v>13200</v>
      </c>
      <c r="I24" s="35">
        <f t="shared" si="19"/>
        <v>265600</v>
      </c>
      <c r="J24" s="35">
        <f t="shared" si="19"/>
        <v>335600</v>
      </c>
      <c r="K24" s="35">
        <f t="shared" si="19"/>
        <v>335600</v>
      </c>
      <c r="L24" s="35">
        <f t="shared" si="19"/>
        <v>497200</v>
      </c>
      <c r="M24" s="35">
        <f t="shared" si="19"/>
        <v>605200</v>
      </c>
      <c r="N24" s="35">
        <f t="shared" si="19"/>
        <v>2973600</v>
      </c>
      <c r="O24" s="35">
        <f t="shared" si="19"/>
        <v>308400</v>
      </c>
      <c r="P24" s="35">
        <f t="shared" si="19"/>
        <v>4310000</v>
      </c>
      <c r="Q24" s="35">
        <f t="shared" si="19"/>
        <v>104800</v>
      </c>
      <c r="R24" s="35">
        <f t="shared" si="19"/>
        <v>5844000</v>
      </c>
      <c r="S24" s="35">
        <f t="shared" si="19"/>
        <v>8058000.0000000009</v>
      </c>
    </row>
    <row r="25" spans="1:19" x14ac:dyDescent="0.2">
      <c r="A25" s="13">
        <v>2018</v>
      </c>
      <c r="B25" s="14">
        <f>[1]discount!C20</f>
        <v>0.02</v>
      </c>
      <c r="C25" s="15">
        <f t="shared" si="20"/>
        <v>0.2</v>
      </c>
      <c r="D25" s="35">
        <f t="shared" si="21"/>
        <v>14600000</v>
      </c>
      <c r="E25" s="35">
        <f t="shared" si="19"/>
        <v>3570200</v>
      </c>
      <c r="F25" s="35">
        <f t="shared" si="19"/>
        <v>2930000</v>
      </c>
      <c r="G25" s="35">
        <f t="shared" si="19"/>
        <v>867000</v>
      </c>
      <c r="H25" s="35">
        <f t="shared" si="19"/>
        <v>19800</v>
      </c>
      <c r="I25" s="35">
        <f t="shared" si="19"/>
        <v>318400</v>
      </c>
      <c r="J25" s="35">
        <f t="shared" si="19"/>
        <v>443400</v>
      </c>
      <c r="K25" s="35">
        <f t="shared" si="19"/>
        <v>443400</v>
      </c>
      <c r="L25" s="35">
        <f t="shared" si="19"/>
        <v>745800</v>
      </c>
      <c r="M25" s="35">
        <f t="shared" si="19"/>
        <v>677800</v>
      </c>
      <c r="N25" s="35">
        <f t="shared" si="19"/>
        <v>3400400</v>
      </c>
      <c r="O25" s="35">
        <f t="shared" si="19"/>
        <v>442600</v>
      </c>
      <c r="P25" s="35">
        <f t="shared" si="19"/>
        <v>4310000</v>
      </c>
      <c r="Q25" s="35">
        <f t="shared" si="19"/>
        <v>142200</v>
      </c>
      <c r="R25" s="35">
        <f t="shared" si="19"/>
        <v>6691000</v>
      </c>
      <c r="S25" s="35">
        <f t="shared" si="19"/>
        <v>9312000</v>
      </c>
    </row>
    <row r="26" spans="1:19" x14ac:dyDescent="0.2">
      <c r="A26" s="13">
        <v>2019</v>
      </c>
      <c r="B26" s="14">
        <f>[1]discount!C21</f>
        <v>0.02</v>
      </c>
      <c r="C26" s="15">
        <f t="shared" si="20"/>
        <v>0.26666666666666666</v>
      </c>
      <c r="D26" s="35">
        <f t="shared" si="21"/>
        <v>16133333.333333332</v>
      </c>
      <c r="E26" s="35">
        <f t="shared" si="19"/>
        <v>4003600</v>
      </c>
      <c r="F26" s="35">
        <f t="shared" si="19"/>
        <v>3260000</v>
      </c>
      <c r="G26" s="35">
        <f t="shared" si="19"/>
        <v>966000</v>
      </c>
      <c r="H26" s="35">
        <f t="shared" si="19"/>
        <v>26400</v>
      </c>
      <c r="I26" s="35">
        <f t="shared" si="19"/>
        <v>371200</v>
      </c>
      <c r="J26" s="35">
        <f t="shared" si="19"/>
        <v>551200</v>
      </c>
      <c r="K26" s="35">
        <f t="shared" si="19"/>
        <v>551200</v>
      </c>
      <c r="L26" s="35">
        <f t="shared" si="19"/>
        <v>994400</v>
      </c>
      <c r="M26" s="35">
        <f t="shared" si="19"/>
        <v>750400</v>
      </c>
      <c r="N26" s="35">
        <f t="shared" si="19"/>
        <v>3827200</v>
      </c>
      <c r="O26" s="35">
        <f t="shared" si="19"/>
        <v>576800</v>
      </c>
      <c r="P26" s="35">
        <f t="shared" si="19"/>
        <v>4310000</v>
      </c>
      <c r="Q26" s="35">
        <f t="shared" si="19"/>
        <v>179600</v>
      </c>
      <c r="R26" s="35">
        <f t="shared" si="19"/>
        <v>7538000</v>
      </c>
      <c r="S26" s="35">
        <f t="shared" si="19"/>
        <v>10566000</v>
      </c>
    </row>
    <row r="27" spans="1:19" x14ac:dyDescent="0.2">
      <c r="A27" s="13">
        <v>2020</v>
      </c>
      <c r="B27" s="14">
        <f>[1]discount!C22</f>
        <v>0.02</v>
      </c>
      <c r="C27" s="15">
        <f t="shared" si="20"/>
        <v>0.33333333333333331</v>
      </c>
      <c r="D27" s="35">
        <f t="shared" si="21"/>
        <v>17666666.666666664</v>
      </c>
      <c r="E27" s="35">
        <f t="shared" si="19"/>
        <v>4437000</v>
      </c>
      <c r="F27" s="35">
        <f t="shared" si="19"/>
        <v>3590000</v>
      </c>
      <c r="G27" s="35">
        <f t="shared" si="19"/>
        <v>1065000</v>
      </c>
      <c r="H27" s="35">
        <f t="shared" si="19"/>
        <v>33000</v>
      </c>
      <c r="I27" s="35">
        <f t="shared" si="19"/>
        <v>424000</v>
      </c>
      <c r="J27" s="35">
        <f t="shared" si="19"/>
        <v>659000</v>
      </c>
      <c r="K27" s="35">
        <f t="shared" si="19"/>
        <v>659000</v>
      </c>
      <c r="L27" s="35">
        <f t="shared" si="19"/>
        <v>1243000</v>
      </c>
      <c r="M27" s="35">
        <f t="shared" si="19"/>
        <v>823000</v>
      </c>
      <c r="N27" s="35">
        <f t="shared" si="19"/>
        <v>4254000</v>
      </c>
      <c r="O27" s="35">
        <f t="shared" si="19"/>
        <v>711000</v>
      </c>
      <c r="P27" s="35">
        <f t="shared" si="19"/>
        <v>4310000</v>
      </c>
      <c r="Q27" s="35">
        <f t="shared" si="19"/>
        <v>217000</v>
      </c>
      <c r="R27" s="35">
        <f t="shared" si="19"/>
        <v>8385000</v>
      </c>
      <c r="S27" s="35">
        <f t="shared" si="19"/>
        <v>11820000</v>
      </c>
    </row>
    <row r="28" spans="1:19" x14ac:dyDescent="0.2">
      <c r="A28" s="13">
        <v>2021</v>
      </c>
      <c r="B28" s="14">
        <f>[1]discount!C23</f>
        <v>0.02</v>
      </c>
      <c r="C28" s="15">
        <f t="shared" si="20"/>
        <v>0.4</v>
      </c>
      <c r="D28" s="35">
        <f t="shared" si="21"/>
        <v>19200000</v>
      </c>
      <c r="E28" s="35">
        <f t="shared" si="19"/>
        <v>4870400</v>
      </c>
      <c r="F28" s="35">
        <f t="shared" si="19"/>
        <v>3920000</v>
      </c>
      <c r="G28" s="35">
        <f t="shared" si="19"/>
        <v>1164000</v>
      </c>
      <c r="H28" s="35">
        <f t="shared" si="19"/>
        <v>39600</v>
      </c>
      <c r="I28" s="35">
        <f t="shared" si="19"/>
        <v>476800</v>
      </c>
      <c r="J28" s="35">
        <f t="shared" si="19"/>
        <v>766800</v>
      </c>
      <c r="K28" s="35">
        <f t="shared" si="19"/>
        <v>766800</v>
      </c>
      <c r="L28" s="35">
        <f t="shared" si="19"/>
        <v>1491600</v>
      </c>
      <c r="M28" s="35">
        <f t="shared" si="19"/>
        <v>895600</v>
      </c>
      <c r="N28" s="35">
        <f t="shared" si="19"/>
        <v>4680800</v>
      </c>
      <c r="O28" s="35">
        <f t="shared" si="19"/>
        <v>845200</v>
      </c>
      <c r="P28" s="35">
        <f t="shared" si="19"/>
        <v>4310000</v>
      </c>
      <c r="Q28" s="35">
        <f t="shared" si="19"/>
        <v>254400</v>
      </c>
      <c r="R28" s="35">
        <f t="shared" si="19"/>
        <v>9232000</v>
      </c>
      <c r="S28" s="35">
        <f t="shared" si="19"/>
        <v>13074000</v>
      </c>
    </row>
    <row r="29" spans="1:19" x14ac:dyDescent="0.2">
      <c r="A29" s="13">
        <v>2022</v>
      </c>
      <c r="B29" s="14">
        <f>[1]discount!C24</f>
        <v>0.02</v>
      </c>
      <c r="C29" s="15">
        <f t="shared" si="20"/>
        <v>0.46666666666666667</v>
      </c>
      <c r="D29" s="35">
        <f t="shared" si="21"/>
        <v>20733333.333333332</v>
      </c>
      <c r="E29" s="35">
        <f t="shared" si="19"/>
        <v>5303800</v>
      </c>
      <c r="F29" s="35">
        <f t="shared" si="19"/>
        <v>4250000</v>
      </c>
      <c r="G29" s="35">
        <f t="shared" si="19"/>
        <v>1263000</v>
      </c>
      <c r="H29" s="35">
        <f t="shared" si="19"/>
        <v>46200</v>
      </c>
      <c r="I29" s="35">
        <f t="shared" si="19"/>
        <v>529600</v>
      </c>
      <c r="J29" s="35">
        <f t="shared" si="19"/>
        <v>874600</v>
      </c>
      <c r="K29" s="35">
        <f t="shared" si="19"/>
        <v>874600</v>
      </c>
      <c r="L29" s="35">
        <f t="shared" si="19"/>
        <v>1740200</v>
      </c>
      <c r="M29" s="35">
        <f t="shared" si="19"/>
        <v>968200</v>
      </c>
      <c r="N29" s="35">
        <f t="shared" si="19"/>
        <v>5107600</v>
      </c>
      <c r="O29" s="35">
        <f t="shared" si="19"/>
        <v>979400</v>
      </c>
      <c r="P29" s="35">
        <f t="shared" si="19"/>
        <v>4310000</v>
      </c>
      <c r="Q29" s="35">
        <f t="shared" si="19"/>
        <v>291800</v>
      </c>
      <c r="R29" s="35">
        <f t="shared" si="19"/>
        <v>10079000</v>
      </c>
      <c r="S29" s="35">
        <f t="shared" si="19"/>
        <v>14328000</v>
      </c>
    </row>
    <row r="30" spans="1:19" x14ac:dyDescent="0.2">
      <c r="A30" s="13">
        <v>2023</v>
      </c>
      <c r="B30" s="14">
        <f>[1]discount!C25</f>
        <v>0.02</v>
      </c>
      <c r="C30" s="15">
        <f t="shared" si="20"/>
        <v>0.53333333333333333</v>
      </c>
      <c r="D30" s="35">
        <f t="shared" si="21"/>
        <v>22266666.666666664</v>
      </c>
      <c r="E30" s="35">
        <f t="shared" si="19"/>
        <v>5737200</v>
      </c>
      <c r="F30" s="35">
        <f t="shared" si="19"/>
        <v>4580000</v>
      </c>
      <c r="G30" s="35">
        <f t="shared" si="19"/>
        <v>1362000</v>
      </c>
      <c r="H30" s="35">
        <f t="shared" si="19"/>
        <v>52800</v>
      </c>
      <c r="I30" s="35">
        <f t="shared" si="19"/>
        <v>582400</v>
      </c>
      <c r="J30" s="35">
        <f t="shared" si="19"/>
        <v>982400</v>
      </c>
      <c r="K30" s="35">
        <f t="shared" si="19"/>
        <v>982400</v>
      </c>
      <c r="L30" s="35">
        <f t="shared" si="19"/>
        <v>1988800</v>
      </c>
      <c r="M30" s="35">
        <f t="shared" si="19"/>
        <v>1040800</v>
      </c>
      <c r="N30" s="35">
        <f t="shared" si="19"/>
        <v>5534400</v>
      </c>
      <c r="O30" s="35">
        <f t="shared" si="19"/>
        <v>1113600</v>
      </c>
      <c r="P30" s="35">
        <f t="shared" si="19"/>
        <v>4310000</v>
      </c>
      <c r="Q30" s="35">
        <f t="shared" si="19"/>
        <v>329200</v>
      </c>
      <c r="R30" s="35">
        <f t="shared" si="19"/>
        <v>10926000</v>
      </c>
      <c r="S30" s="35">
        <f t="shared" si="19"/>
        <v>15582000</v>
      </c>
    </row>
    <row r="31" spans="1:19" x14ac:dyDescent="0.2">
      <c r="A31" s="13">
        <v>2024</v>
      </c>
      <c r="B31" s="14">
        <f>[1]discount!C26</f>
        <v>0.02</v>
      </c>
      <c r="C31" s="15">
        <f t="shared" si="20"/>
        <v>0.6</v>
      </c>
      <c r="D31" s="35">
        <f t="shared" si="21"/>
        <v>23800000</v>
      </c>
      <c r="E31" s="35">
        <f t="shared" si="19"/>
        <v>6170600</v>
      </c>
      <c r="F31" s="35">
        <f t="shared" si="19"/>
        <v>4910000</v>
      </c>
      <c r="G31" s="35">
        <f t="shared" si="19"/>
        <v>1461000</v>
      </c>
      <c r="H31" s="35">
        <f t="shared" si="19"/>
        <v>59400</v>
      </c>
      <c r="I31" s="35">
        <f t="shared" si="19"/>
        <v>635200</v>
      </c>
      <c r="J31" s="35">
        <f t="shared" si="19"/>
        <v>1090200</v>
      </c>
      <c r="K31" s="35">
        <f t="shared" si="19"/>
        <v>1090200</v>
      </c>
      <c r="L31" s="35">
        <f t="shared" si="19"/>
        <v>2237400</v>
      </c>
      <c r="M31" s="35">
        <f t="shared" si="19"/>
        <v>1113400</v>
      </c>
      <c r="N31" s="35">
        <f t="shared" si="19"/>
        <v>5961200</v>
      </c>
      <c r="O31" s="35">
        <f t="shared" si="19"/>
        <v>1247800</v>
      </c>
      <c r="P31" s="35">
        <f t="shared" si="19"/>
        <v>4310000</v>
      </c>
      <c r="Q31" s="35">
        <f t="shared" si="19"/>
        <v>366600</v>
      </c>
      <c r="R31" s="35">
        <f t="shared" si="19"/>
        <v>11773000</v>
      </c>
      <c r="S31" s="35">
        <f t="shared" si="19"/>
        <v>16836000</v>
      </c>
    </row>
    <row r="32" spans="1:19" x14ac:dyDescent="0.2">
      <c r="A32" s="13">
        <v>2025</v>
      </c>
      <c r="B32" s="14">
        <f>[1]discount!C27</f>
        <v>0.02</v>
      </c>
      <c r="C32" s="15">
        <f t="shared" si="20"/>
        <v>0.66666666666666663</v>
      </c>
      <c r="D32" s="35">
        <f t="shared" si="21"/>
        <v>25333333.333333332</v>
      </c>
      <c r="E32" s="35">
        <f t="shared" ref="E32:S37" si="22">($C$40*E$40)+($C$41*E$41)*$C32</f>
        <v>6604000</v>
      </c>
      <c r="F32" s="35">
        <f t="shared" si="22"/>
        <v>5240000</v>
      </c>
      <c r="G32" s="35">
        <f t="shared" si="22"/>
        <v>1560000</v>
      </c>
      <c r="H32" s="35">
        <f t="shared" si="22"/>
        <v>66000</v>
      </c>
      <c r="I32" s="35">
        <f t="shared" si="22"/>
        <v>688000</v>
      </c>
      <c r="J32" s="35">
        <f t="shared" si="22"/>
        <v>1198000</v>
      </c>
      <c r="K32" s="35">
        <f t="shared" si="22"/>
        <v>1198000</v>
      </c>
      <c r="L32" s="35">
        <f t="shared" si="22"/>
        <v>2486000</v>
      </c>
      <c r="M32" s="35">
        <f t="shared" si="22"/>
        <v>1186000</v>
      </c>
      <c r="N32" s="35">
        <f t="shared" si="22"/>
        <v>6388000</v>
      </c>
      <c r="O32" s="35">
        <f t="shared" si="22"/>
        <v>1382000</v>
      </c>
      <c r="P32" s="35">
        <f t="shared" si="22"/>
        <v>4310000</v>
      </c>
      <c r="Q32" s="35">
        <f t="shared" si="22"/>
        <v>404000</v>
      </c>
      <c r="R32" s="35">
        <f t="shared" si="22"/>
        <v>12620000</v>
      </c>
      <c r="S32" s="35">
        <f t="shared" si="22"/>
        <v>18090000</v>
      </c>
    </row>
    <row r="33" spans="1:19" x14ac:dyDescent="0.2">
      <c r="A33" s="13">
        <v>2026</v>
      </c>
      <c r="B33" s="14">
        <f>[1]discount!C28</f>
        <v>0.02</v>
      </c>
      <c r="C33" s="15">
        <f t="shared" si="20"/>
        <v>0.73333333333333328</v>
      </c>
      <c r="D33" s="35">
        <f t="shared" si="21"/>
        <v>26866666.666666664</v>
      </c>
      <c r="E33" s="35">
        <f t="shared" si="22"/>
        <v>7037400</v>
      </c>
      <c r="F33" s="35">
        <f t="shared" si="22"/>
        <v>5570000</v>
      </c>
      <c r="G33" s="35">
        <f t="shared" si="22"/>
        <v>1659000</v>
      </c>
      <c r="H33" s="35">
        <f t="shared" si="22"/>
        <v>72600</v>
      </c>
      <c r="I33" s="35">
        <f t="shared" si="22"/>
        <v>740800</v>
      </c>
      <c r="J33" s="35">
        <f t="shared" si="22"/>
        <v>1305800</v>
      </c>
      <c r="K33" s="35">
        <f t="shared" si="22"/>
        <v>1305800</v>
      </c>
      <c r="L33" s="35">
        <f t="shared" si="22"/>
        <v>2734600</v>
      </c>
      <c r="M33" s="35">
        <f t="shared" si="22"/>
        <v>1258600</v>
      </c>
      <c r="N33" s="35">
        <f t="shared" si="22"/>
        <v>6814800</v>
      </c>
      <c r="O33" s="35">
        <f t="shared" si="22"/>
        <v>1516200</v>
      </c>
      <c r="P33" s="35">
        <f t="shared" si="22"/>
        <v>4310000</v>
      </c>
      <c r="Q33" s="35">
        <f t="shared" si="22"/>
        <v>441400</v>
      </c>
      <c r="R33" s="35">
        <f t="shared" si="22"/>
        <v>13467000</v>
      </c>
      <c r="S33" s="35">
        <f t="shared" si="22"/>
        <v>19344000</v>
      </c>
    </row>
    <row r="34" spans="1:19" x14ac:dyDescent="0.2">
      <c r="A34" s="13">
        <v>2027</v>
      </c>
      <c r="B34" s="14">
        <f>[1]discount!C29</f>
        <v>0.02</v>
      </c>
      <c r="C34" s="15">
        <f t="shared" si="20"/>
        <v>0.8</v>
      </c>
      <c r="D34" s="35">
        <f t="shared" si="21"/>
        <v>28400000</v>
      </c>
      <c r="E34" s="35">
        <f t="shared" si="22"/>
        <v>7470800</v>
      </c>
      <c r="F34" s="35">
        <f t="shared" si="22"/>
        <v>5900000</v>
      </c>
      <c r="G34" s="35">
        <f t="shared" si="22"/>
        <v>1758000</v>
      </c>
      <c r="H34" s="35">
        <f t="shared" si="22"/>
        <v>79200</v>
      </c>
      <c r="I34" s="35">
        <f t="shared" si="22"/>
        <v>793600</v>
      </c>
      <c r="J34" s="35">
        <f t="shared" si="22"/>
        <v>1413600</v>
      </c>
      <c r="K34" s="35">
        <f t="shared" si="22"/>
        <v>1413600</v>
      </c>
      <c r="L34" s="35">
        <f t="shared" si="22"/>
        <v>2983200</v>
      </c>
      <c r="M34" s="35">
        <f t="shared" si="22"/>
        <v>1331200</v>
      </c>
      <c r="N34" s="35">
        <f t="shared" si="22"/>
        <v>7241600</v>
      </c>
      <c r="O34" s="35">
        <f t="shared" si="22"/>
        <v>1650400</v>
      </c>
      <c r="P34" s="35">
        <f t="shared" si="22"/>
        <v>4310000</v>
      </c>
      <c r="Q34" s="35">
        <f t="shared" si="22"/>
        <v>478800</v>
      </c>
      <c r="R34" s="35">
        <f t="shared" si="22"/>
        <v>14314000</v>
      </c>
      <c r="S34" s="35">
        <f t="shared" si="22"/>
        <v>20598000</v>
      </c>
    </row>
    <row r="35" spans="1:19" x14ac:dyDescent="0.2">
      <c r="A35" s="13">
        <v>2028</v>
      </c>
      <c r="B35" s="14">
        <f>[1]discount!C30</f>
        <v>0.02</v>
      </c>
      <c r="C35" s="15">
        <f t="shared" si="20"/>
        <v>0.8666666666666667</v>
      </c>
      <c r="D35" s="35">
        <f t="shared" si="21"/>
        <v>29933333.333333332</v>
      </c>
      <c r="E35" s="35">
        <f t="shared" si="22"/>
        <v>7904200</v>
      </c>
      <c r="F35" s="35">
        <f t="shared" si="22"/>
        <v>6230000</v>
      </c>
      <c r="G35" s="35">
        <f t="shared" si="22"/>
        <v>1857000</v>
      </c>
      <c r="H35" s="35">
        <f t="shared" si="22"/>
        <v>85800</v>
      </c>
      <c r="I35" s="35">
        <f t="shared" si="22"/>
        <v>846400</v>
      </c>
      <c r="J35" s="35">
        <f t="shared" si="22"/>
        <v>1521400</v>
      </c>
      <c r="K35" s="35">
        <f t="shared" si="22"/>
        <v>1521400</v>
      </c>
      <c r="L35" s="35">
        <f t="shared" si="22"/>
        <v>3231800</v>
      </c>
      <c r="M35" s="35">
        <f t="shared" si="22"/>
        <v>1403800</v>
      </c>
      <c r="N35" s="35">
        <f t="shared" si="22"/>
        <v>7668400</v>
      </c>
      <c r="O35" s="35">
        <f t="shared" si="22"/>
        <v>1784600</v>
      </c>
      <c r="P35" s="35">
        <f t="shared" si="22"/>
        <v>4310000</v>
      </c>
      <c r="Q35" s="35">
        <f t="shared" si="22"/>
        <v>516200</v>
      </c>
      <c r="R35" s="35">
        <f t="shared" si="22"/>
        <v>15161000</v>
      </c>
      <c r="S35" s="35">
        <f t="shared" si="22"/>
        <v>21852000</v>
      </c>
    </row>
    <row r="36" spans="1:19" x14ac:dyDescent="0.2">
      <c r="A36" s="13">
        <v>2029</v>
      </c>
      <c r="B36" s="14">
        <f>[1]discount!C31</f>
        <v>0.02</v>
      </c>
      <c r="C36" s="15">
        <f t="shared" si="20"/>
        <v>0.93333333333333335</v>
      </c>
      <c r="D36" s="35">
        <f t="shared" si="21"/>
        <v>31466666.666666664</v>
      </c>
      <c r="E36" s="35">
        <f t="shared" si="22"/>
        <v>8337600</v>
      </c>
      <c r="F36" s="35">
        <f t="shared" si="22"/>
        <v>6560000</v>
      </c>
      <c r="G36" s="35">
        <f t="shared" si="22"/>
        <v>1956000</v>
      </c>
      <c r="H36" s="35">
        <f t="shared" si="22"/>
        <v>92400</v>
      </c>
      <c r="I36" s="35">
        <f t="shared" si="22"/>
        <v>899200</v>
      </c>
      <c r="J36" s="35">
        <f t="shared" si="22"/>
        <v>1629200</v>
      </c>
      <c r="K36" s="35">
        <f t="shared" si="22"/>
        <v>1629200</v>
      </c>
      <c r="L36" s="35">
        <f t="shared" si="22"/>
        <v>3480400</v>
      </c>
      <c r="M36" s="35">
        <f t="shared" si="22"/>
        <v>1476400</v>
      </c>
      <c r="N36" s="35">
        <f t="shared" si="22"/>
        <v>8095200</v>
      </c>
      <c r="O36" s="35">
        <f t="shared" si="22"/>
        <v>1918800</v>
      </c>
      <c r="P36" s="35">
        <f t="shared" si="22"/>
        <v>4310000</v>
      </c>
      <c r="Q36" s="35">
        <f t="shared" si="22"/>
        <v>553600</v>
      </c>
      <c r="R36" s="35">
        <f t="shared" si="22"/>
        <v>16008000</v>
      </c>
      <c r="S36" s="35">
        <f t="shared" si="22"/>
        <v>23106000</v>
      </c>
    </row>
    <row r="37" spans="1:19" x14ac:dyDescent="0.2">
      <c r="A37" s="13">
        <v>2030</v>
      </c>
      <c r="B37" s="14">
        <f>[1]discount!C32</f>
        <v>0.02</v>
      </c>
      <c r="C37" s="15">
        <f t="shared" si="20"/>
        <v>1</v>
      </c>
      <c r="D37" s="35">
        <f t="shared" si="21"/>
        <v>33000000</v>
      </c>
      <c r="E37" s="35">
        <f t="shared" si="22"/>
        <v>8771000</v>
      </c>
      <c r="F37" s="35">
        <f t="shared" si="22"/>
        <v>6890000</v>
      </c>
      <c r="G37" s="35">
        <f t="shared" si="22"/>
        <v>2055000</v>
      </c>
      <c r="H37" s="35">
        <f t="shared" si="22"/>
        <v>99000</v>
      </c>
      <c r="I37" s="35">
        <f t="shared" si="22"/>
        <v>952000</v>
      </c>
      <c r="J37" s="35">
        <f t="shared" si="22"/>
        <v>1737000</v>
      </c>
      <c r="K37" s="35">
        <f t="shared" si="22"/>
        <v>1737000</v>
      </c>
      <c r="L37" s="35">
        <f t="shared" si="22"/>
        <v>3729000</v>
      </c>
      <c r="M37" s="35">
        <f t="shared" si="22"/>
        <v>1549000</v>
      </c>
      <c r="N37" s="35">
        <f t="shared" si="22"/>
        <v>8522000</v>
      </c>
      <c r="O37" s="35">
        <f t="shared" si="22"/>
        <v>2053000</v>
      </c>
      <c r="P37" s="35">
        <f t="shared" si="22"/>
        <v>4310000</v>
      </c>
      <c r="Q37" s="35">
        <f t="shared" si="22"/>
        <v>591000</v>
      </c>
      <c r="R37" s="35">
        <f t="shared" si="22"/>
        <v>16855000</v>
      </c>
      <c r="S37" s="35">
        <f t="shared" si="22"/>
        <v>24360000</v>
      </c>
    </row>
    <row r="38" spans="1:19" hidden="1" x14ac:dyDescent="0.2">
      <c r="E38" s="17"/>
    </row>
    <row r="39" spans="1:19" s="19" customFormat="1" ht="51" x14ac:dyDescent="0.2">
      <c r="A39" s="27" t="s">
        <v>1</v>
      </c>
      <c r="B39" s="27"/>
      <c r="C39" s="27" t="s">
        <v>49</v>
      </c>
      <c r="D39" s="27" t="s">
        <v>64</v>
      </c>
      <c r="E39" s="27" t="s">
        <v>22</v>
      </c>
      <c r="F39" s="27" t="s">
        <v>23</v>
      </c>
      <c r="G39" s="27" t="s">
        <v>43</v>
      </c>
      <c r="H39" s="27" t="s">
        <v>24</v>
      </c>
      <c r="I39" s="27" t="s">
        <v>21</v>
      </c>
      <c r="J39" s="27" t="s">
        <v>25</v>
      </c>
      <c r="K39" s="27" t="s">
        <v>28</v>
      </c>
      <c r="L39" s="27" t="s">
        <v>29</v>
      </c>
      <c r="M39" s="27" t="s">
        <v>30</v>
      </c>
      <c r="N39" s="27" t="s">
        <v>31</v>
      </c>
      <c r="O39" s="27" t="s">
        <v>32</v>
      </c>
      <c r="P39" s="27" t="s">
        <v>33</v>
      </c>
      <c r="Q39" s="27" t="s">
        <v>35</v>
      </c>
      <c r="R39" s="27" t="s">
        <v>36</v>
      </c>
      <c r="S39" s="27" t="s">
        <v>58</v>
      </c>
    </row>
    <row r="40" spans="1:19" ht="14.25" x14ac:dyDescent="0.2">
      <c r="A40" s="20" t="s">
        <v>41</v>
      </c>
      <c r="B40" s="20"/>
      <c r="C40" s="21">
        <f>10*10^6</f>
        <v>10000000</v>
      </c>
      <c r="D40" s="38">
        <v>1</v>
      </c>
      <c r="E40" s="22">
        <v>0.22700000000000001</v>
      </c>
      <c r="F40" s="22">
        <v>0.19400000000000001</v>
      </c>
      <c r="G40" s="22">
        <v>5.7000000000000002E-2</v>
      </c>
      <c r="H40" s="22">
        <v>0</v>
      </c>
      <c r="I40" s="22">
        <v>1.6E-2</v>
      </c>
      <c r="J40" s="22">
        <v>1.2E-2</v>
      </c>
      <c r="K40" s="22">
        <v>1.2E-2</v>
      </c>
      <c r="L40" s="22">
        <v>0</v>
      </c>
      <c r="M40" s="22">
        <v>4.5999999999999999E-2</v>
      </c>
      <c r="N40" s="22">
        <v>0.21199999999999999</v>
      </c>
      <c r="O40" s="22">
        <v>4.0000000000000001E-3</v>
      </c>
      <c r="P40" s="22">
        <v>0.43099999999999999</v>
      </c>
      <c r="Q40" s="22">
        <v>3.0000000000000001E-3</v>
      </c>
      <c r="R40" s="22">
        <v>0.41499999999999998</v>
      </c>
      <c r="S40" s="22">
        <v>0.55500000000000005</v>
      </c>
    </row>
    <row r="41" spans="1:19" ht="14.25" x14ac:dyDescent="0.2">
      <c r="A41" s="23" t="s">
        <v>42</v>
      </c>
      <c r="B41" s="23"/>
      <c r="C41" s="24">
        <f>33*10^6</f>
        <v>33000000</v>
      </c>
      <c r="D41" s="39">
        <v>1</v>
      </c>
      <c r="E41" s="25">
        <v>0.19700000000000001</v>
      </c>
      <c r="F41" s="25">
        <v>0.15</v>
      </c>
      <c r="G41" s="25">
        <v>4.4999999999999998E-2</v>
      </c>
      <c r="H41" s="25">
        <v>3.0000000000000001E-3</v>
      </c>
      <c r="I41" s="25">
        <v>2.4E-2</v>
      </c>
      <c r="J41" s="25">
        <v>4.9000000000000002E-2</v>
      </c>
      <c r="K41" s="25">
        <v>4.9000000000000002E-2</v>
      </c>
      <c r="L41" s="25">
        <v>0.113</v>
      </c>
      <c r="M41" s="25">
        <v>3.3000000000000002E-2</v>
      </c>
      <c r="N41" s="25">
        <v>0.19400000000000001</v>
      </c>
      <c r="O41" s="25">
        <v>6.0999999999999999E-2</v>
      </c>
      <c r="P41" s="25">
        <v>0</v>
      </c>
      <c r="Q41" s="25">
        <v>1.7000000000000001E-2</v>
      </c>
      <c r="R41" s="25">
        <v>0.38500000000000001</v>
      </c>
      <c r="S41" s="25">
        <v>0.56999999999999995</v>
      </c>
    </row>
    <row r="42" spans="1:19" x14ac:dyDescent="0.2">
      <c r="D42" s="13" t="s">
        <v>66</v>
      </c>
    </row>
    <row r="43" spans="1:19" x14ac:dyDescent="0.2">
      <c r="C43" s="13" t="s">
        <v>67</v>
      </c>
      <c r="D43" s="13">
        <f>(C41-C40)/(A37-A22)</f>
        <v>1533333.3333333333</v>
      </c>
    </row>
  </sheetData>
  <pageMargins left="0.75" right="0.75" top="1" bottom="1" header="0.5" footer="0.5"/>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dlc_DocId xmlns="d6b3294d-d0ac-402f-8738-58b01d6ec124">CCC@67c2c257-f406-45a2-b4f3-c51b55725850</_dlc_DocId>
    <_dlc_DocIdUrl xmlns="d6b3294d-d0ac-402f-8738-58b01d6ec124">
      <Url>https://shp.swissre.com/sites/sustainabledevelopm/_layouts/15/DocIdRedir.aspx?ID=CCC%4067c2c257-f406-45a2-b4f3-c51b55725850</Url>
      <Description>CCC@67c2c257-f406-45a2-b4f3-c51b55725850</Description>
    </_dlc_DocIdUrl>
    <Status xmlns="1f080b53-0fae-48c4-958a-d1f43cb1676a">in process</Status>
    <Ratings xmlns="http://schemas.microsoft.com/sharepoint/v3" xsi:nil="true"/>
    <Tags xmlns="1f080b53-0fae-48c4-958a-d1f43cb1676a" xsi:nil="true"/>
    <Event_x0020_date xmlns="1f080b53-0fae-48c4-958a-d1f43cb1676a">2015-11-20T09:06:37+00:00</Event_x0020_date>
    <LikedBy xmlns="http://schemas.microsoft.com/sharepoint/v3">
      <UserInfo>
        <DisplayName/>
        <AccountId xsi:nil="true"/>
        <AccountType/>
      </UserInfo>
    </LikedBy>
    <category xmlns="1f080b53-0fae-48c4-958a-d1f43cb1676a">
      <Value>Communications</Value>
    </category>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EF70A61FF442064594E698C3B91A79B4" ma:contentTypeVersion="10" ma:contentTypeDescription="Create a new document." ma:contentTypeScope="" ma:versionID="34a20b73cedbd73773c9f72fdfe0f352">
  <xsd:schema xmlns:xsd="http://www.w3.org/2001/XMLSchema" xmlns:xs="http://www.w3.org/2001/XMLSchema" xmlns:p="http://schemas.microsoft.com/office/2006/metadata/properties" xmlns:ns1="1f080b53-0fae-48c4-958a-d1f43cb1676a" xmlns:ns2="http://schemas.microsoft.com/sharepoint/v3" xmlns:ns3="d6b3294d-d0ac-402f-8738-58b01d6ec124" targetNamespace="http://schemas.microsoft.com/office/2006/metadata/properties" ma:root="true" ma:fieldsID="fd574f646ee8599f81c931b0181a56ea" ns1:_="" ns2:_="" ns3:_="">
    <xsd:import namespace="1f080b53-0fae-48c4-958a-d1f43cb1676a"/>
    <xsd:import namespace="http://schemas.microsoft.com/sharepoint/v3"/>
    <xsd:import namespace="d6b3294d-d0ac-402f-8738-58b01d6ec124"/>
    <xsd:element name="properties">
      <xsd:complexType>
        <xsd:sequence>
          <xsd:element name="documentManagement">
            <xsd:complexType>
              <xsd:all>
                <xsd:element ref="ns1:category" minOccurs="0"/>
                <xsd:element ref="ns1:Event_x0020_date" minOccurs="0"/>
                <xsd:element ref="ns1:Tags" minOccurs="0"/>
                <xsd:element ref="ns2:AverageRating" minOccurs="0"/>
                <xsd:element ref="ns3:_dlc_DocId" minOccurs="0"/>
                <xsd:element ref="ns3:_dlc_DocIdUrl" minOccurs="0"/>
                <xsd:element ref="ns3:_dlc_DocIdPersistId" minOccurs="0"/>
                <xsd:element ref="ns2:RatedBy" minOccurs="0"/>
                <xsd:element ref="ns2:Ratings" minOccurs="0"/>
                <xsd:element ref="ns2:LikedBy" minOccurs="0"/>
                <xsd:element ref="ns1:Status"/>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080b53-0fae-48c4-958a-d1f43cb1676a" elementFormDefault="qualified">
    <xsd:import namespace="http://schemas.microsoft.com/office/2006/documentManagement/types"/>
    <xsd:import namespace="http://schemas.microsoft.com/office/infopath/2007/PartnerControls"/>
    <xsd:element name="category" ma:index="0" nillable="true" ma:displayName="Category" ma:default="Communications" ma:description="Main category" ma:internalName="category" ma:requiredMultiChoice="true">
      <xsd:complexType>
        <xsd:complexContent>
          <xsd:extension base="dms:MultiChoice">
            <xsd:sequence>
              <xsd:element name="Value" maxOccurs="unbounded" minOccurs="0" nillable="true">
                <xsd:simpleType>
                  <xsd:restriction base="dms:Choice">
                    <xsd:enumeration value="Communications"/>
                    <xsd:enumeration value="Presentations"/>
                    <xsd:enumeration value="Projects"/>
                    <xsd:enumeration value="Reporting"/>
                  </xsd:restriction>
                </xsd:simpleType>
              </xsd:element>
            </xsd:sequence>
          </xsd:extension>
        </xsd:complexContent>
      </xsd:complexType>
    </xsd:element>
    <xsd:element name="Event_x0020_date" ma:index="2" nillable="true" ma:displayName="Event date" ma:default="[today]" ma:description="Date of event (presentation, article, etc.)" ma:format="DateOnly" ma:internalName="Event_x0020_date">
      <xsd:simpleType>
        <xsd:restriction base="dms:DateTime"/>
      </xsd:simpleType>
    </xsd:element>
    <xsd:element name="Tags" ma:index="3" nillable="true" ma:displayName="Tags" ma:description="Tags" ma:internalName="Tags">
      <xsd:simpleType>
        <xsd:restriction base="dms:Note"/>
      </xsd:simpleType>
    </xsd:element>
    <xsd:element name="Status" ma:index="18" ma:displayName="Status" ma:default="in process" ma:description="Set status to a preselected option (in process, final, old/draft)" ma:format="Dropdown" ma:indexed="true" ma:internalName="Status">
      <xsd:simpleType>
        <xsd:restriction base="dms:Choice">
          <xsd:enumeration value="in process"/>
          <xsd:enumeration value="old/draft"/>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verageRating" ma:index="4" nillable="true" ma:displayName="Rating (0-5)" ma:decimals="2" ma:description="Average value of all the ratings that have been submitted" ma:internalName="AverageRating" ma:readOnly="true">
      <xsd:simpleType>
        <xsd:restriction base="dms:Number"/>
      </xsd:simpleType>
    </xsd:element>
    <xsd:element name="RatedBy" ma:index="11"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2" nillable="true" ma:displayName="User ratings" ma:description="User ratings for the item" ma:hidden="true" ma:internalName="Ratings">
      <xsd:simpleType>
        <xsd:restriction base="dms:Note"/>
      </xsd:simpleType>
    </xsd:element>
    <xsd:element name="LikedBy" ma:index="13"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6b3294d-d0ac-402f-8738-58b01d6ec124"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index="5"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3BF311-0371-401A-A779-8E649BEA6DCB}">
  <ds:schemaRefs>
    <ds:schemaRef ds:uri="http://schemas.microsoft.com/sharepoint/events"/>
  </ds:schemaRefs>
</ds:datastoreItem>
</file>

<file path=customXml/itemProps2.xml><?xml version="1.0" encoding="utf-8"?>
<ds:datastoreItem xmlns:ds="http://schemas.openxmlformats.org/officeDocument/2006/customXml" ds:itemID="{8119A702-8393-4053-954C-46C4B0760436}">
  <ds:schemaRefs>
    <ds:schemaRef ds:uri="http://schemas.microsoft.com/office/2006/metadata/properties"/>
    <ds:schemaRef ds:uri="http://schemas.microsoft.com/sharepoint/v3"/>
    <ds:schemaRef ds:uri="http://purl.org/dc/elements/1.1/"/>
    <ds:schemaRef ds:uri="http://purl.org/dc/dcmitype/"/>
    <ds:schemaRef ds:uri="http://www.w3.org/XML/1998/namespace"/>
    <ds:schemaRef ds:uri="http://schemas.microsoft.com/office/2006/documentManagement/types"/>
    <ds:schemaRef ds:uri="http://schemas.openxmlformats.org/package/2006/metadata/core-properties"/>
    <ds:schemaRef ds:uri="http://purl.org/dc/terms/"/>
    <ds:schemaRef ds:uri="http://schemas.microsoft.com/office/infopath/2007/PartnerControls"/>
    <ds:schemaRef ds:uri="d6b3294d-d0ac-402f-8738-58b01d6ec124"/>
    <ds:schemaRef ds:uri="1f080b53-0fae-48c4-958a-d1f43cb1676a"/>
  </ds:schemaRefs>
</ds:datastoreItem>
</file>

<file path=customXml/itemProps3.xml><?xml version="1.0" encoding="utf-8"?>
<ds:datastoreItem xmlns:ds="http://schemas.openxmlformats.org/officeDocument/2006/customXml" ds:itemID="{0B6BD0DE-6D90-42E0-A227-164B6555CD63}">
  <ds:schemaRefs>
    <ds:schemaRef ds:uri="http://schemas.microsoft.com/sharepoint/v3/contenttype/forms"/>
  </ds:schemaRefs>
</ds:datastoreItem>
</file>

<file path=customXml/itemProps4.xml><?xml version="1.0" encoding="utf-8"?>
<ds:datastoreItem xmlns:ds="http://schemas.openxmlformats.org/officeDocument/2006/customXml" ds:itemID="{EACE2F62-0BAA-428C-9553-41EEBBC105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080b53-0fae-48c4-958a-d1f43cb1676a"/>
    <ds:schemaRef ds:uri="http://schemas.microsoft.com/sharepoint/v3"/>
    <ds:schemaRef ds:uri="d6b3294d-d0ac-402f-8738-58b01d6ec1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_readme</vt:lpstr>
      <vt:lpstr>measures</vt:lpstr>
      <vt:lpstr>_measures_NPV</vt:lpstr>
      <vt:lpstr>_measures_full_list</vt:lpstr>
      <vt:lpstr>_discounting_sheet</vt:lpstr>
    </vt:vector>
  </TitlesOfParts>
  <Company>Swiss 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Lea Müller</cp:lastModifiedBy>
  <dcterms:created xsi:type="dcterms:W3CDTF">2015-09-17T09:05:08Z</dcterms:created>
  <dcterms:modified xsi:type="dcterms:W3CDTF">2016-05-31T13:29:54Z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67c2c257-f406-45a2-b4f3-c51b55725850</vt:lpwstr>
  </property>
  <property fmtid="{D5CDD505-2E9C-101B-9397-08002B2CF9AE}" pid="3" name="ContentTypeId">
    <vt:lpwstr>0x010100EF70A61FF442064594E698C3B91A79B4</vt:lpwstr>
  </property>
</Properties>
</file>